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xml"/>
  <Override PartName="/xl/charts/chart25.xml" ContentType="application/vnd.openxmlformats-officedocument.drawingml.chart+xml"/>
  <Override PartName="/xl/drawings/drawing11.xml" ContentType="application/vnd.openxmlformats-officedocument.drawing+xml"/>
  <Override PartName="/xl/charts/chart26.xml" ContentType="application/vnd.openxmlformats-officedocument.drawingml.chart+xml"/>
  <Override PartName="/xl/drawings/drawing12.xml" ContentType="application/vnd.openxmlformats-officedocument.drawing+xml"/>
  <Override PartName="/xl/charts/chart27.xml" ContentType="application/vnd.openxmlformats-officedocument.drawingml.chart+xml"/>
  <Override PartName="/xl/drawings/drawing13.xml" ContentType="application/vnd.openxmlformats-officedocument.drawing+xml"/>
  <Override PartName="/xl/charts/chart28.xml" ContentType="application/vnd.openxmlformats-officedocument.drawingml.chart+xml"/>
  <Override PartName="/xl/drawings/drawing14.xml" ContentType="application/vnd.openxmlformats-officedocument.drawing+xml"/>
  <Override PartName="/xl/charts/chart29.xml" ContentType="application/vnd.openxmlformats-officedocument.drawingml.chart+xml"/>
  <Override PartName="/xl/drawings/drawing15.xml" ContentType="application/vnd.openxmlformats-officedocument.drawing+xml"/>
  <Override PartName="/xl/charts/chart30.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drawings/drawing1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9.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0.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1.xml" ContentType="application/vnd.openxmlformats-officedocument.drawing+xml"/>
  <Override PartName="/xl/charts/chart56.xml" ContentType="application/vnd.openxmlformats-officedocument.drawingml.chart+xml"/>
  <Override PartName="/xl/drawings/drawing22.xml" ContentType="application/vnd.openxmlformats-officedocument.drawing+xml"/>
  <Override PartName="/xl/charts/chart57.xml" ContentType="application/vnd.openxmlformats-officedocument.drawingml.chart+xml"/>
  <Override PartName="/xl/drawings/drawing23.xml" ContentType="application/vnd.openxmlformats-officedocument.drawing+xml"/>
  <Override PartName="/xl/charts/chart58.xml" ContentType="application/vnd.openxmlformats-officedocument.drawingml.chart+xml"/>
  <Override PartName="/xl/drawings/drawing24.xml" ContentType="application/vnd.openxmlformats-officedocument.drawing+xml"/>
  <Override PartName="/xl/charts/chart59.xml" ContentType="application/vnd.openxmlformats-officedocument.drawingml.chart+xml"/>
  <Override PartName="/xl/drawings/drawing25.xml" ContentType="application/vnd.openxmlformats-officedocument.drawing+xml"/>
  <Override PartName="/xl/charts/chart60.xml" ContentType="application/vnd.openxmlformats-officedocument.drawingml.chart+xml"/>
  <Override PartName="/xl/drawings/drawing26.xml" ContentType="application/vnd.openxmlformats-officedocument.drawing+xml"/>
  <Override PartName="/xl/charts/chart61.xml" ContentType="application/vnd.openxmlformats-officedocument.drawingml.chart+xml"/>
  <Override PartName="/xl/drawings/drawing27.xml" ContentType="application/vnd.openxmlformats-officedocument.drawing+xml"/>
  <Override PartName="/xl/charts/chart6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cuments\adriana\Manteniemiento\METROLOGIA\Certificados de Calibracion 2021\PISTA MIXTA 2\"/>
    </mc:Choice>
  </mc:AlternateContent>
  <bookViews>
    <workbookView xWindow="0" yWindow="0" windowWidth="20490" windowHeight="7620" activeTab="3"/>
  </bookViews>
  <sheets>
    <sheet name="CARTA DE CONTROL" sheetId="4" r:id="rId1"/>
    <sheet name="MONOXIDO 1 (CO)  " sheetId="32" r:id="rId2"/>
    <sheet name="DIOXIDO 1(CO2)  " sheetId="33" r:id="rId3"/>
    <sheet name="HIDROCARBUROS 1(HC) " sheetId="34" r:id="rId4"/>
    <sheet name="OXIGENO 1 (O2) " sheetId="35" r:id="rId5"/>
    <sheet name="MONOXIDO 2 (CO)  " sheetId="48" r:id="rId6"/>
    <sheet name="DIOXIDO  2 (CO2)" sheetId="49" r:id="rId7"/>
    <sheet name="HIDROCARBUROS  2 (HC)" sheetId="50" r:id="rId8"/>
    <sheet name="OXIGENO 2 (O2)" sheetId="51" r:id="rId9"/>
    <sheet name="TEMPERATURA (TEM) 1" sheetId="39" r:id="rId10"/>
    <sheet name="VIBRACION RPM 1" sheetId="36" r:id="rId11"/>
    <sheet name="BATERIA RPM 1 " sheetId="43" r:id="rId12"/>
    <sheet name="TEMPERATURA (TEM) 2" sheetId="52" r:id="rId13"/>
    <sheet name="VIBRACION RPM 2" sheetId="53" r:id="rId14"/>
    <sheet name="BATERIA RPM 2" sheetId="54" r:id="rId15"/>
    <sheet name="ALINEADOR AL PASO" sheetId="44" r:id="rId16"/>
    <sheet name="SUSPENSION" sheetId="45" r:id="rId17"/>
    <sheet name="FRENOMETRO (FUERZA)" sheetId="20" r:id="rId18"/>
    <sheet name="FRENOMETRO (PESO)" sheetId="21" r:id="rId19"/>
    <sheet name="FRENOMETRO LIVIANO " sheetId="55" r:id="rId20"/>
    <sheet name="OPACIMETRO" sheetId="46" r:id="rId21"/>
    <sheet name="LUXOMETRO (INTENSIDAD)" sheetId="22" r:id="rId22"/>
    <sheet name="LUXOMETRO (INCLINACION)" sheetId="23" r:id="rId23"/>
    <sheet name="PROFUNDIMETRO" sheetId="42" r:id="rId24"/>
    <sheet name="SONOMETRO" sheetId="47" r:id="rId25"/>
    <sheet name="TEMPERATURA AMBIENTE" sheetId="41" r:id="rId26"/>
    <sheet name="HUMEDAD RELATIVA" sheetId="56" r:id="rId2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56" l="1"/>
  <c r="C33" i="56"/>
  <c r="G33" i="56" s="1"/>
  <c r="D33" i="56"/>
  <c r="E33" i="56"/>
  <c r="F33" i="56"/>
  <c r="B34" i="56"/>
  <c r="C34" i="56"/>
  <c r="D34" i="56"/>
  <c r="E34" i="56"/>
  <c r="F34" i="56"/>
  <c r="F32" i="56"/>
  <c r="E32" i="56"/>
  <c r="D32" i="56"/>
  <c r="C32" i="56"/>
  <c r="B32" i="56"/>
  <c r="G34" i="56"/>
  <c r="G32" i="56"/>
  <c r="C10" i="56"/>
  <c r="C9" i="56"/>
  <c r="C8" i="56"/>
  <c r="C7" i="56"/>
  <c r="B33" i="41"/>
  <c r="C33" i="41"/>
  <c r="D33" i="41"/>
  <c r="E33" i="41"/>
  <c r="F33" i="41"/>
  <c r="G33" i="41"/>
  <c r="B34" i="41"/>
  <c r="C34" i="41"/>
  <c r="D34" i="41"/>
  <c r="E34" i="41"/>
  <c r="F34" i="41"/>
  <c r="G34" i="41"/>
  <c r="F32" i="41"/>
  <c r="E32" i="41"/>
  <c r="D32" i="41"/>
  <c r="C32" i="41"/>
  <c r="B32" i="41"/>
  <c r="C10" i="41"/>
  <c r="C9" i="41"/>
  <c r="C8" i="41"/>
  <c r="C7" i="41"/>
  <c r="AR271" i="4"/>
  <c r="AT271" i="4" s="1"/>
  <c r="AV271" i="4" s="1"/>
  <c r="AW271" i="4" s="1"/>
  <c r="AX271" i="4" s="1"/>
  <c r="AY271" i="4" s="1"/>
  <c r="AJ271" i="4"/>
  <c r="AS271" i="4" s="1"/>
  <c r="AU271" i="4"/>
  <c r="AS275" i="4"/>
  <c r="AS273" i="4"/>
  <c r="AJ274" i="4"/>
  <c r="AR274" i="4" s="1"/>
  <c r="AU274" i="4"/>
  <c r="AU275" i="4"/>
  <c r="AJ275" i="4"/>
  <c r="AR275" i="4" s="1"/>
  <c r="AT275" i="4" s="1"/>
  <c r="AV275" i="4" s="1"/>
  <c r="AW275" i="4" s="1"/>
  <c r="AX275" i="4" s="1"/>
  <c r="AY275" i="4" s="1"/>
  <c r="AU273" i="4"/>
  <c r="AJ273" i="4"/>
  <c r="AR273" i="4" s="1"/>
  <c r="AU272" i="4"/>
  <c r="AJ272" i="4"/>
  <c r="AR272" i="4" s="1"/>
  <c r="BD270" i="4"/>
  <c r="AU270" i="4"/>
  <c r="AJ270" i="4"/>
  <c r="AS270" i="4" s="1"/>
  <c r="AS274" i="4" l="1"/>
  <c r="AT274" i="4" s="1"/>
  <c r="AV274" i="4" s="1"/>
  <c r="AW274" i="4" s="1"/>
  <c r="AX274" i="4" s="1"/>
  <c r="AY274" i="4" s="1"/>
  <c r="AT273" i="4"/>
  <c r="AV273" i="4"/>
  <c r="AW273" i="4" s="1"/>
  <c r="AX273" i="4" s="1"/>
  <c r="AY273" i="4" s="1"/>
  <c r="AR270" i="4"/>
  <c r="AT270" i="4" s="1"/>
  <c r="AV270" i="4" s="1"/>
  <c r="AW270" i="4" s="1"/>
  <c r="AX270" i="4" s="1"/>
  <c r="AS272" i="4"/>
  <c r="AT272" i="4" s="1"/>
  <c r="AV272" i="4" s="1"/>
  <c r="AW272" i="4" s="1"/>
  <c r="AX272" i="4" s="1"/>
  <c r="AY272" i="4" s="1"/>
  <c r="BC273" i="4" l="1"/>
  <c r="AY270" i="4"/>
  <c r="AJ269" i="4" l="1"/>
  <c r="AJ268" i="4"/>
  <c r="AJ267" i="4"/>
  <c r="AJ266" i="4"/>
  <c r="AJ264" i="4"/>
  <c r="AJ263" i="4"/>
  <c r="AJ262" i="4"/>
  <c r="AJ261" i="4"/>
  <c r="AJ260" i="4"/>
  <c r="B121" i="55" l="1"/>
  <c r="D121" i="55"/>
  <c r="B122" i="55"/>
  <c r="D122" i="55"/>
  <c r="B123" i="55"/>
  <c r="D123" i="55"/>
  <c r="B124" i="55"/>
  <c r="D124" i="55"/>
  <c r="B125" i="55"/>
  <c r="D125" i="55"/>
  <c r="B126" i="55"/>
  <c r="D126" i="55"/>
  <c r="B127" i="55"/>
  <c r="D127" i="55"/>
  <c r="B128" i="55"/>
  <c r="D128" i="55"/>
  <c r="B129" i="55"/>
  <c r="D129" i="55"/>
  <c r="B130" i="55"/>
  <c r="D130" i="55"/>
  <c r="D120" i="55"/>
  <c r="B120" i="55"/>
  <c r="B102" i="55"/>
  <c r="E102" i="55"/>
  <c r="F102" i="55"/>
  <c r="B93" i="55"/>
  <c r="E93" i="55"/>
  <c r="F93" i="55"/>
  <c r="B94" i="55"/>
  <c r="E94" i="55"/>
  <c r="F94" i="55"/>
  <c r="B95" i="55"/>
  <c r="E95" i="55"/>
  <c r="F95" i="55"/>
  <c r="B96" i="55"/>
  <c r="E96" i="55"/>
  <c r="F96" i="55"/>
  <c r="B97" i="55"/>
  <c r="E97" i="55"/>
  <c r="F97" i="55"/>
  <c r="B98" i="55"/>
  <c r="E98" i="55"/>
  <c r="F98" i="55"/>
  <c r="B99" i="55"/>
  <c r="E99" i="55"/>
  <c r="F99" i="55"/>
  <c r="B100" i="55"/>
  <c r="E100" i="55"/>
  <c r="F100" i="55"/>
  <c r="B101" i="55"/>
  <c r="E101" i="55"/>
  <c r="F101" i="55"/>
  <c r="F92" i="55"/>
  <c r="E92" i="55"/>
  <c r="B92" i="55"/>
  <c r="B79" i="55"/>
  <c r="D79" i="55"/>
  <c r="B70" i="55"/>
  <c r="D70" i="55"/>
  <c r="B71" i="55"/>
  <c r="D71" i="55"/>
  <c r="B72" i="55"/>
  <c r="D72" i="55"/>
  <c r="B73" i="55"/>
  <c r="D73" i="55"/>
  <c r="B74" i="55"/>
  <c r="D74" i="55"/>
  <c r="B75" i="55"/>
  <c r="D75" i="55"/>
  <c r="B76" i="55"/>
  <c r="D76" i="55"/>
  <c r="B77" i="55"/>
  <c r="D77" i="55"/>
  <c r="B78" i="55"/>
  <c r="D78" i="55"/>
  <c r="D69" i="55"/>
  <c r="C69" i="55"/>
  <c r="E69" i="55" s="1"/>
  <c r="B69" i="55"/>
  <c r="B49" i="55"/>
  <c r="E49" i="55"/>
  <c r="F49" i="55"/>
  <c r="B50" i="55"/>
  <c r="E50" i="55"/>
  <c r="F50" i="55"/>
  <c r="B51" i="55"/>
  <c r="E51" i="55"/>
  <c r="F51" i="55"/>
  <c r="B42" i="55"/>
  <c r="E42" i="55"/>
  <c r="F42" i="55"/>
  <c r="B43" i="55"/>
  <c r="E43" i="55"/>
  <c r="F43" i="55"/>
  <c r="B44" i="55"/>
  <c r="E44" i="55"/>
  <c r="F44" i="55"/>
  <c r="B45" i="55"/>
  <c r="E45" i="55"/>
  <c r="F45" i="55"/>
  <c r="B46" i="55"/>
  <c r="E46" i="55"/>
  <c r="F46" i="55"/>
  <c r="B47" i="55"/>
  <c r="E47" i="55"/>
  <c r="F47" i="55"/>
  <c r="B48" i="55"/>
  <c r="E48" i="55"/>
  <c r="F48" i="55"/>
  <c r="F41" i="55"/>
  <c r="E41" i="55"/>
  <c r="B41" i="55"/>
  <c r="C10" i="55"/>
  <c r="C9" i="55"/>
  <c r="C8" i="55"/>
  <c r="C7" i="55"/>
  <c r="AU225" i="4"/>
  <c r="Y227" i="4"/>
  <c r="V227" i="4"/>
  <c r="W227" i="4" s="1"/>
  <c r="Y225" i="4"/>
  <c r="V225" i="4"/>
  <c r="W225" i="4" s="1"/>
  <c r="Y224" i="4"/>
  <c r="V224" i="4"/>
  <c r="W224" i="4" s="1"/>
  <c r="Y223" i="4"/>
  <c r="V223" i="4"/>
  <c r="W223" i="4" s="1"/>
  <c r="Y222" i="4"/>
  <c r="V222" i="4"/>
  <c r="W222" i="4" s="1"/>
  <c r="Y220" i="4"/>
  <c r="V220" i="4"/>
  <c r="W220" i="4" s="1"/>
  <c r="Y218" i="4"/>
  <c r="V218" i="4"/>
  <c r="W218" i="4" s="1"/>
  <c r="AE217" i="4"/>
  <c r="AD217" i="4"/>
  <c r="AF217" i="4" s="1"/>
  <c r="X217" i="4"/>
  <c r="V217" i="4"/>
  <c r="Y216" i="4"/>
  <c r="Y214" i="4"/>
  <c r="Y213" i="4"/>
  <c r="Y212" i="4"/>
  <c r="Y211" i="4"/>
  <c r="Y209" i="4"/>
  <c r="Y207" i="4"/>
  <c r="V214" i="4"/>
  <c r="W214" i="4" s="1"/>
  <c r="AJ225" i="4"/>
  <c r="AQ207" i="4"/>
  <c r="AQ208" i="4"/>
  <c r="AQ209" i="4"/>
  <c r="AQ210" i="4"/>
  <c r="AQ211" i="4"/>
  <c r="AQ212" i="4"/>
  <c r="AQ213" i="4"/>
  <c r="AQ214" i="4"/>
  <c r="AQ215" i="4"/>
  <c r="AQ216" i="4"/>
  <c r="AQ217" i="4"/>
  <c r="AR217" i="4" s="1"/>
  <c r="C92" i="55" s="1"/>
  <c r="AQ218" i="4"/>
  <c r="AQ219" i="4"/>
  <c r="AQ220" i="4"/>
  <c r="AQ221" i="4"/>
  <c r="AQ222" i="4"/>
  <c r="AQ223" i="4"/>
  <c r="AQ224" i="4"/>
  <c r="AQ225" i="4"/>
  <c r="AQ226" i="4"/>
  <c r="AQ227" i="4"/>
  <c r="AQ206" i="4"/>
  <c r="AM208" i="4"/>
  <c r="C71" i="55" s="1"/>
  <c r="E71" i="55" s="1"/>
  <c r="AM209" i="4"/>
  <c r="C72" i="55" s="1"/>
  <c r="E72" i="55" s="1"/>
  <c r="AM210" i="4"/>
  <c r="C73" i="55" s="1"/>
  <c r="E73" i="55" s="1"/>
  <c r="AM211" i="4"/>
  <c r="C74" i="55" s="1"/>
  <c r="E74" i="55" s="1"/>
  <c r="AM212" i="4"/>
  <c r="C75" i="55" s="1"/>
  <c r="E75" i="55" s="1"/>
  <c r="AM213" i="4"/>
  <c r="C76" i="55" s="1"/>
  <c r="E76" i="55" s="1"/>
  <c r="AM214" i="4"/>
  <c r="C77" i="55" s="1"/>
  <c r="E77" i="55" s="1"/>
  <c r="AM215" i="4"/>
  <c r="C78" i="55" s="1"/>
  <c r="E78" i="55" s="1"/>
  <c r="AM216" i="4"/>
  <c r="C79" i="55" s="1"/>
  <c r="E79" i="55" s="1"/>
  <c r="AM217" i="4"/>
  <c r="C120" i="55" s="1"/>
  <c r="E120" i="55" s="1"/>
  <c r="AM218" i="4"/>
  <c r="C121" i="55" s="1"/>
  <c r="E121" i="55" s="1"/>
  <c r="AM219" i="4"/>
  <c r="C122" i="55" s="1"/>
  <c r="E122" i="55" s="1"/>
  <c r="AM220" i="4"/>
  <c r="C123" i="55" s="1"/>
  <c r="E123" i="55" s="1"/>
  <c r="AM221" i="4"/>
  <c r="C124" i="55" s="1"/>
  <c r="E124" i="55" s="1"/>
  <c r="AM222" i="4"/>
  <c r="C125" i="55" s="1"/>
  <c r="E125" i="55" s="1"/>
  <c r="AM223" i="4"/>
  <c r="C126" i="55" s="1"/>
  <c r="E126" i="55" s="1"/>
  <c r="AM224" i="4"/>
  <c r="C127" i="55" s="1"/>
  <c r="E127" i="55" s="1"/>
  <c r="AM225" i="4"/>
  <c r="C128" i="55" s="1"/>
  <c r="E128" i="55" s="1"/>
  <c r="AM226" i="4"/>
  <c r="C129" i="55" s="1"/>
  <c r="E129" i="55" s="1"/>
  <c r="AM227" i="4"/>
  <c r="C130" i="55" s="1"/>
  <c r="E130" i="55" s="1"/>
  <c r="AM207" i="4"/>
  <c r="C70" i="55" s="1"/>
  <c r="E70" i="55" s="1"/>
  <c r="AJ215" i="4"/>
  <c r="AJ212" i="4"/>
  <c r="AK212" i="4" s="1"/>
  <c r="AK215" i="4"/>
  <c r="AS215" i="4" s="1"/>
  <c r="AK217" i="4"/>
  <c r="AK225" i="4"/>
  <c r="AS225" i="4" s="1"/>
  <c r="AU215" i="4"/>
  <c r="AY227" i="4"/>
  <c r="AU227" i="4"/>
  <c r="AJ227" i="4"/>
  <c r="AK227" i="4" s="1"/>
  <c r="AU226" i="4"/>
  <c r="AJ226" i="4"/>
  <c r="AK226" i="4" s="1"/>
  <c r="AU224" i="4"/>
  <c r="AJ224" i="4"/>
  <c r="AK224" i="4" s="1"/>
  <c r="AR224" i="4" s="1"/>
  <c r="C99" i="55" s="1"/>
  <c r="AU223" i="4"/>
  <c r="AJ223" i="4"/>
  <c r="AK223" i="4" s="1"/>
  <c r="AU222" i="4"/>
  <c r="AJ222" i="4"/>
  <c r="AK222" i="4" s="1"/>
  <c r="AU221" i="4"/>
  <c r="AJ221" i="4"/>
  <c r="AU220" i="4"/>
  <c r="AJ220" i="4"/>
  <c r="AK220" i="4" s="1"/>
  <c r="AU219" i="4"/>
  <c r="AJ219" i="4"/>
  <c r="AK219" i="4" s="1"/>
  <c r="AU218" i="4"/>
  <c r="AJ218" i="4"/>
  <c r="AK218" i="4" s="1"/>
  <c r="AU217" i="4"/>
  <c r="AY216" i="4"/>
  <c r="AU216" i="4"/>
  <c r="AJ216" i="4"/>
  <c r="AK216" i="4" s="1"/>
  <c r="V216" i="4"/>
  <c r="W216" i="4" s="1"/>
  <c r="AE216" i="4" s="1"/>
  <c r="AU214" i="4"/>
  <c r="AJ214" i="4"/>
  <c r="AK214" i="4" s="1"/>
  <c r="AR214" i="4" s="1"/>
  <c r="C49" i="55" s="1"/>
  <c r="AU213" i="4"/>
  <c r="AJ213" i="4"/>
  <c r="AK213" i="4" s="1"/>
  <c r="V213" i="4"/>
  <c r="W213" i="4" s="1"/>
  <c r="AU212" i="4"/>
  <c r="V212" i="4"/>
  <c r="AU211" i="4"/>
  <c r="AJ211" i="4"/>
  <c r="AK211" i="4" s="1"/>
  <c r="V211" i="4"/>
  <c r="W211" i="4" s="1"/>
  <c r="AU210" i="4"/>
  <c r="AJ210" i="4"/>
  <c r="AK210" i="4" s="1"/>
  <c r="AU209" i="4"/>
  <c r="AJ209" i="4"/>
  <c r="V209" i="4"/>
  <c r="AU208" i="4"/>
  <c r="AJ208" i="4"/>
  <c r="AK208" i="4" s="1"/>
  <c r="AU207" i="4"/>
  <c r="AJ207" i="4"/>
  <c r="V207" i="4"/>
  <c r="AU206" i="4"/>
  <c r="AR206" i="4"/>
  <c r="C41" i="55" s="1"/>
  <c r="AE206" i="4"/>
  <c r="AD206" i="4"/>
  <c r="X206" i="4"/>
  <c r="V206" i="4"/>
  <c r="Y205" i="4"/>
  <c r="V205" i="4"/>
  <c r="W205" i="4" s="1"/>
  <c r="Y204" i="4"/>
  <c r="W204" i="4"/>
  <c r="V204" i="4"/>
  <c r="Y203" i="4"/>
  <c r="V203" i="4"/>
  <c r="W203" i="4" s="1"/>
  <c r="Y202" i="4"/>
  <c r="V202" i="4"/>
  <c r="W202" i="4" s="1"/>
  <c r="Y201" i="4"/>
  <c r="V201" i="4"/>
  <c r="W201" i="4" s="1"/>
  <c r="Y200" i="4"/>
  <c r="V200" i="4"/>
  <c r="W200" i="4" s="1"/>
  <c r="Y198" i="4"/>
  <c r="V198" i="4"/>
  <c r="W198" i="4" s="1"/>
  <c r="Y196" i="4"/>
  <c r="V196" i="4"/>
  <c r="W196" i="4" s="1"/>
  <c r="V192" i="4"/>
  <c r="D100" i="55" l="1"/>
  <c r="D50" i="55"/>
  <c r="AR215" i="4"/>
  <c r="C50" i="55" s="1"/>
  <c r="AR225" i="4"/>
  <c r="C100" i="55" s="1"/>
  <c r="AF206" i="4"/>
  <c r="AK207" i="4"/>
  <c r="AR207" i="4" s="1"/>
  <c r="C42" i="55" s="1"/>
  <c r="AR212" i="4"/>
  <c r="C47" i="55" s="1"/>
  <c r="AR210" i="4"/>
  <c r="C45" i="55" s="1"/>
  <c r="AR208" i="4"/>
  <c r="C43" i="55" s="1"/>
  <c r="G100" i="55"/>
  <c r="AD214" i="4"/>
  <c r="AE214" i="4"/>
  <c r="AF214" i="4" s="1"/>
  <c r="AE213" i="4"/>
  <c r="W212" i="4"/>
  <c r="AD212" i="4" s="1"/>
  <c r="W209" i="4"/>
  <c r="AE209" i="4" s="1"/>
  <c r="AE207" i="4"/>
  <c r="W207" i="4"/>
  <c r="AD218" i="4"/>
  <c r="AF218" i="4" s="1"/>
  <c r="AE218" i="4"/>
  <c r="AD220" i="4"/>
  <c r="AF220" i="4" s="1"/>
  <c r="AE220" i="4"/>
  <c r="AD222" i="4"/>
  <c r="AF222" i="4" s="1"/>
  <c r="AE222" i="4"/>
  <c r="AD223" i="4"/>
  <c r="AF223" i="4" s="1"/>
  <c r="AE223" i="4"/>
  <c r="AD224" i="4"/>
  <c r="AF224" i="4" s="1"/>
  <c r="AE224" i="4"/>
  <c r="AD225" i="4"/>
  <c r="AF225" i="4" s="1"/>
  <c r="AE225" i="4"/>
  <c r="AD227" i="4"/>
  <c r="AF227" i="4" s="1"/>
  <c r="AE227" i="4"/>
  <c r="AD211" i="4"/>
  <c r="AR223" i="4"/>
  <c r="C98" i="55" s="1"/>
  <c r="AR219" i="4"/>
  <c r="C94" i="55" s="1"/>
  <c r="G94" i="55" s="1"/>
  <c r="AR226" i="4"/>
  <c r="C101" i="55" s="1"/>
  <c r="G101" i="55" s="1"/>
  <c r="AK221" i="4"/>
  <c r="AR221" i="4" s="1"/>
  <c r="C96" i="55" s="1"/>
  <c r="AR220" i="4"/>
  <c r="AR216" i="4"/>
  <c r="C51" i="55" s="1"/>
  <c r="G51" i="55" s="1"/>
  <c r="AS212" i="4"/>
  <c r="D47" i="55" s="1"/>
  <c r="G47" i="55" s="1"/>
  <c r="AS210" i="4"/>
  <c r="AK209" i="4"/>
  <c r="AS209" i="4" s="1"/>
  <c r="D44" i="55" s="1"/>
  <c r="AS211" i="4"/>
  <c r="D46" i="55" s="1"/>
  <c r="AR213" i="4"/>
  <c r="C48" i="55" s="1"/>
  <c r="AR227" i="4"/>
  <c r="C102" i="55" s="1"/>
  <c r="AS226" i="4"/>
  <c r="D101" i="55" s="1"/>
  <c r="AS224" i="4"/>
  <c r="AR222" i="4"/>
  <c r="C97" i="55" s="1"/>
  <c r="G97" i="55" s="1"/>
  <c r="AS222" i="4"/>
  <c r="D97" i="55" s="1"/>
  <c r="AS220" i="4"/>
  <c r="D95" i="55" s="1"/>
  <c r="AR218" i="4"/>
  <c r="AS218" i="4"/>
  <c r="D93" i="55" s="1"/>
  <c r="AS216" i="4"/>
  <c r="AS206" i="4"/>
  <c r="AD207" i="4"/>
  <c r="AS207" i="4"/>
  <c r="AS208" i="4"/>
  <c r="AE212" i="4"/>
  <c r="AD216" i="4"/>
  <c r="AF216" i="4" s="1"/>
  <c r="AR209" i="4"/>
  <c r="AE211" i="4"/>
  <c r="AR211" i="4"/>
  <c r="AT212" i="4"/>
  <c r="AD213" i="4"/>
  <c r="AF213" i="4" s="1"/>
  <c r="AS213" i="4"/>
  <c r="AS214" i="4"/>
  <c r="AS217" i="4"/>
  <c r="AS219" i="4"/>
  <c r="D94" i="55" s="1"/>
  <c r="AS221" i="4"/>
  <c r="D96" i="55" s="1"/>
  <c r="AS223" i="4"/>
  <c r="AS227" i="4"/>
  <c r="AC157" i="4"/>
  <c r="Y157" i="4"/>
  <c r="V157" i="4"/>
  <c r="W157" i="4" s="1"/>
  <c r="AC156" i="4"/>
  <c r="Y156" i="4"/>
  <c r="V156" i="4"/>
  <c r="W156" i="4" s="1"/>
  <c r="AC155" i="4"/>
  <c r="Y155" i="4"/>
  <c r="V155" i="4"/>
  <c r="W155" i="4" s="1"/>
  <c r="AC154" i="4"/>
  <c r="Y154" i="4"/>
  <c r="V154" i="4"/>
  <c r="W154" i="4" s="1"/>
  <c r="AC153" i="4"/>
  <c r="Y153" i="4"/>
  <c r="V153" i="4"/>
  <c r="W153" i="4" s="1"/>
  <c r="AC151" i="4"/>
  <c r="Y151" i="4"/>
  <c r="V151" i="4"/>
  <c r="W151" i="4" s="1"/>
  <c r="V147" i="4"/>
  <c r="AC142" i="4"/>
  <c r="V126" i="4"/>
  <c r="AE126" i="4" s="1"/>
  <c r="V132" i="4"/>
  <c r="AE132" i="4" s="1"/>
  <c r="AJ126" i="4"/>
  <c r="B42" i="54"/>
  <c r="E42" i="54"/>
  <c r="F42" i="54"/>
  <c r="B43" i="54"/>
  <c r="E43" i="54"/>
  <c r="F43" i="54"/>
  <c r="B44" i="54"/>
  <c r="E44" i="54"/>
  <c r="F44" i="54"/>
  <c r="B45" i="54"/>
  <c r="E45" i="54"/>
  <c r="F45" i="54"/>
  <c r="B46" i="54"/>
  <c r="E46" i="54"/>
  <c r="F46" i="54"/>
  <c r="B47" i="54"/>
  <c r="E47" i="54"/>
  <c r="F47" i="54"/>
  <c r="B48" i="54"/>
  <c r="E48" i="54"/>
  <c r="F48" i="54"/>
  <c r="B49" i="54"/>
  <c r="E49" i="54"/>
  <c r="F49" i="54"/>
  <c r="B50" i="54"/>
  <c r="E50" i="54"/>
  <c r="F50" i="54"/>
  <c r="F41" i="54"/>
  <c r="E41" i="54"/>
  <c r="B41" i="54"/>
  <c r="C10" i="54"/>
  <c r="C9" i="54"/>
  <c r="C8" i="54"/>
  <c r="C7" i="54"/>
  <c r="B42" i="53"/>
  <c r="E42" i="53"/>
  <c r="F42" i="53"/>
  <c r="B43" i="53"/>
  <c r="E43" i="53"/>
  <c r="F43" i="53"/>
  <c r="B44" i="53"/>
  <c r="E44" i="53"/>
  <c r="F44" i="53"/>
  <c r="B45" i="53"/>
  <c r="E45" i="53"/>
  <c r="F45" i="53"/>
  <c r="B46" i="53"/>
  <c r="E46" i="53"/>
  <c r="F46" i="53"/>
  <c r="B47" i="53"/>
  <c r="E47" i="53"/>
  <c r="F47" i="53"/>
  <c r="B48" i="53"/>
  <c r="E48" i="53"/>
  <c r="F48" i="53"/>
  <c r="B49" i="53"/>
  <c r="E49" i="53"/>
  <c r="F49" i="53"/>
  <c r="B50" i="53"/>
  <c r="E50" i="53"/>
  <c r="F50" i="53"/>
  <c r="F41" i="53"/>
  <c r="E41" i="53"/>
  <c r="B41" i="53"/>
  <c r="C10" i="53"/>
  <c r="C9" i="53"/>
  <c r="C8" i="53"/>
  <c r="C7" i="53"/>
  <c r="B41" i="52"/>
  <c r="E41" i="52"/>
  <c r="F41" i="52"/>
  <c r="B42" i="52"/>
  <c r="E42" i="52"/>
  <c r="F42" i="52"/>
  <c r="F40" i="52"/>
  <c r="E40" i="52"/>
  <c r="B40" i="52"/>
  <c r="C10" i="52"/>
  <c r="C9" i="52"/>
  <c r="C8" i="52"/>
  <c r="C7" i="52"/>
  <c r="AQ105" i="4"/>
  <c r="AQ104" i="4"/>
  <c r="AQ103" i="4"/>
  <c r="AU125" i="4"/>
  <c r="AQ125" i="4"/>
  <c r="AJ125" i="4"/>
  <c r="AK125" i="4" s="1"/>
  <c r="AU124" i="4"/>
  <c r="AQ124" i="4"/>
  <c r="AJ124" i="4"/>
  <c r="AK124" i="4" s="1"/>
  <c r="AU123" i="4"/>
  <c r="AQ123" i="4"/>
  <c r="AJ123" i="4"/>
  <c r="AK123" i="4" s="1"/>
  <c r="AU122" i="4"/>
  <c r="AQ122" i="4"/>
  <c r="AJ122" i="4"/>
  <c r="AK122" i="4" s="1"/>
  <c r="AU121" i="4"/>
  <c r="AQ121" i="4"/>
  <c r="AJ121" i="4"/>
  <c r="AK121" i="4" s="1"/>
  <c r="AU120" i="4"/>
  <c r="AQ120" i="4"/>
  <c r="AJ120" i="4"/>
  <c r="AK120" i="4" s="1"/>
  <c r="AU119" i="4"/>
  <c r="AQ119" i="4"/>
  <c r="AJ119" i="4"/>
  <c r="AK119" i="4" s="1"/>
  <c r="AU118" i="4"/>
  <c r="AQ118" i="4"/>
  <c r="AJ118" i="4"/>
  <c r="AK118" i="4" s="1"/>
  <c r="AU117" i="4"/>
  <c r="AQ117" i="4"/>
  <c r="AJ117" i="4"/>
  <c r="AK117" i="4" s="1"/>
  <c r="BD116" i="4"/>
  <c r="AU116" i="4"/>
  <c r="AQ116" i="4"/>
  <c r="AJ116" i="4"/>
  <c r="AK116" i="4" s="1"/>
  <c r="AU115" i="4"/>
  <c r="AQ115" i="4"/>
  <c r="AJ115" i="4"/>
  <c r="AK115" i="4" s="1"/>
  <c r="AU114" i="4"/>
  <c r="AQ114" i="4"/>
  <c r="AJ114" i="4"/>
  <c r="AK114" i="4" s="1"/>
  <c r="AU113" i="4"/>
  <c r="AQ113" i="4"/>
  <c r="AJ113" i="4"/>
  <c r="AK113" i="4" s="1"/>
  <c r="AU112" i="4"/>
  <c r="AQ112" i="4"/>
  <c r="AJ112" i="4"/>
  <c r="AK112" i="4" s="1"/>
  <c r="AU111" i="4"/>
  <c r="AQ111" i="4"/>
  <c r="AJ111" i="4"/>
  <c r="AK111" i="4" s="1"/>
  <c r="AU110" i="4"/>
  <c r="AQ110" i="4"/>
  <c r="AJ110" i="4"/>
  <c r="AK110" i="4" s="1"/>
  <c r="AU109" i="4"/>
  <c r="AQ109" i="4"/>
  <c r="AJ109" i="4"/>
  <c r="AK109" i="4" s="1"/>
  <c r="AU108" i="4"/>
  <c r="AQ108" i="4"/>
  <c r="AJ108" i="4"/>
  <c r="AK108" i="4" s="1"/>
  <c r="AU107" i="4"/>
  <c r="AQ107" i="4"/>
  <c r="AJ107" i="4"/>
  <c r="AK107" i="4" s="1"/>
  <c r="AS107" i="4" s="1"/>
  <c r="D42" i="53" s="1"/>
  <c r="BD106" i="4"/>
  <c r="AU106" i="4"/>
  <c r="AQ106" i="4"/>
  <c r="AJ106" i="4"/>
  <c r="AK106" i="4" s="1"/>
  <c r="AU105" i="4"/>
  <c r="AJ105" i="4"/>
  <c r="AK105" i="4" s="1"/>
  <c r="AU104" i="4"/>
  <c r="AJ104" i="4"/>
  <c r="AK104" i="4" s="1"/>
  <c r="BD103" i="4"/>
  <c r="AU103" i="4"/>
  <c r="AJ103" i="4"/>
  <c r="AK103" i="4" s="1"/>
  <c r="B41" i="39"/>
  <c r="E41" i="39"/>
  <c r="F41" i="39"/>
  <c r="B42" i="39"/>
  <c r="C42" i="39"/>
  <c r="D42" i="39"/>
  <c r="E42" i="39"/>
  <c r="F42" i="39"/>
  <c r="B91" i="51"/>
  <c r="C91" i="51"/>
  <c r="E91" i="51" s="1"/>
  <c r="D91" i="51"/>
  <c r="B92" i="51"/>
  <c r="C92" i="51"/>
  <c r="D92" i="51"/>
  <c r="B93" i="51"/>
  <c r="C93" i="51"/>
  <c r="E93" i="51" s="1"/>
  <c r="D93" i="51"/>
  <c r="D90" i="51"/>
  <c r="C90" i="51"/>
  <c r="E90" i="51" s="1"/>
  <c r="B90" i="51"/>
  <c r="B89" i="51"/>
  <c r="C89" i="51"/>
  <c r="E89" i="51" s="1"/>
  <c r="D89" i="51"/>
  <c r="B87" i="51"/>
  <c r="C87" i="51"/>
  <c r="E87" i="51" s="1"/>
  <c r="D87" i="51"/>
  <c r="B88" i="51"/>
  <c r="C88" i="51"/>
  <c r="E88" i="51" s="1"/>
  <c r="D88" i="51"/>
  <c r="D86" i="51"/>
  <c r="C86" i="51"/>
  <c r="E86" i="51" s="1"/>
  <c r="B86" i="51"/>
  <c r="B69" i="51"/>
  <c r="C69" i="51"/>
  <c r="E69" i="51" s="1"/>
  <c r="D69" i="51"/>
  <c r="B70" i="51"/>
  <c r="C70" i="51"/>
  <c r="E70" i="51" s="1"/>
  <c r="D70" i="51"/>
  <c r="B71" i="51"/>
  <c r="C71" i="51"/>
  <c r="E71" i="51" s="1"/>
  <c r="D71" i="51"/>
  <c r="D68" i="51"/>
  <c r="C68" i="51"/>
  <c r="E68" i="51" s="1"/>
  <c r="B68" i="51"/>
  <c r="B45" i="51"/>
  <c r="E45" i="51"/>
  <c r="F45" i="51"/>
  <c r="B46" i="51"/>
  <c r="E46" i="51"/>
  <c r="F46" i="51"/>
  <c r="B47" i="51"/>
  <c r="E47" i="51"/>
  <c r="F47" i="51"/>
  <c r="F44" i="51"/>
  <c r="E44" i="51"/>
  <c r="B44" i="51"/>
  <c r="B41" i="51"/>
  <c r="E41" i="51"/>
  <c r="F41" i="51"/>
  <c r="B42" i="51"/>
  <c r="E42" i="51"/>
  <c r="F42" i="51"/>
  <c r="B43" i="51"/>
  <c r="E43" i="51"/>
  <c r="F43" i="51"/>
  <c r="F40" i="51"/>
  <c r="E40" i="51"/>
  <c r="B40" i="51"/>
  <c r="C10" i="51"/>
  <c r="C9" i="51"/>
  <c r="C8" i="51"/>
  <c r="C7" i="51"/>
  <c r="E92" i="51"/>
  <c r="C10" i="35"/>
  <c r="C9" i="35"/>
  <c r="C8" i="35"/>
  <c r="C7" i="35"/>
  <c r="B94" i="50"/>
  <c r="C94" i="50"/>
  <c r="E94" i="50" s="1"/>
  <c r="D94" i="50"/>
  <c r="B95" i="50"/>
  <c r="C95" i="50"/>
  <c r="D95" i="50"/>
  <c r="B96" i="50"/>
  <c r="C96" i="50"/>
  <c r="E96" i="50" s="1"/>
  <c r="D96" i="50"/>
  <c r="D93" i="50"/>
  <c r="C93" i="50"/>
  <c r="E93" i="50" s="1"/>
  <c r="B93" i="50"/>
  <c r="B90" i="50"/>
  <c r="C90" i="50"/>
  <c r="E90" i="50" s="1"/>
  <c r="D90" i="50"/>
  <c r="B91" i="50"/>
  <c r="C91" i="50"/>
  <c r="E91" i="50" s="1"/>
  <c r="D91" i="50"/>
  <c r="B92" i="50"/>
  <c r="C92" i="50"/>
  <c r="E92" i="50" s="1"/>
  <c r="D92" i="50"/>
  <c r="D89" i="50"/>
  <c r="C89" i="50"/>
  <c r="E89" i="50" s="1"/>
  <c r="B89" i="50"/>
  <c r="B70" i="50"/>
  <c r="C70" i="50"/>
  <c r="E70" i="50" s="1"/>
  <c r="D70" i="50"/>
  <c r="B71" i="50"/>
  <c r="C71" i="50"/>
  <c r="E71" i="50" s="1"/>
  <c r="D71" i="50"/>
  <c r="B72" i="50"/>
  <c r="C72" i="50"/>
  <c r="E72" i="50" s="1"/>
  <c r="D72" i="50"/>
  <c r="D69" i="50"/>
  <c r="C69" i="50"/>
  <c r="E69" i="50" s="1"/>
  <c r="B69" i="50"/>
  <c r="B45" i="50"/>
  <c r="E45" i="50"/>
  <c r="F45" i="50"/>
  <c r="B46" i="50"/>
  <c r="E46" i="50"/>
  <c r="F46" i="50"/>
  <c r="B47" i="50"/>
  <c r="E47" i="50"/>
  <c r="F47" i="50"/>
  <c r="F44" i="50"/>
  <c r="E44" i="50"/>
  <c r="B44" i="50"/>
  <c r="B41" i="50"/>
  <c r="E41" i="50"/>
  <c r="F41" i="50"/>
  <c r="B42" i="50"/>
  <c r="E42" i="50"/>
  <c r="F42" i="50"/>
  <c r="B43" i="50"/>
  <c r="E43" i="50"/>
  <c r="F43" i="50"/>
  <c r="F40" i="50"/>
  <c r="E40" i="50"/>
  <c r="B40" i="50"/>
  <c r="C10" i="50"/>
  <c r="C9" i="50"/>
  <c r="C8" i="50"/>
  <c r="C7" i="50"/>
  <c r="E95" i="50"/>
  <c r="B94" i="49"/>
  <c r="C94" i="49"/>
  <c r="E94" i="49" s="1"/>
  <c r="D94" i="49"/>
  <c r="B95" i="49"/>
  <c r="C95" i="49"/>
  <c r="D95" i="49"/>
  <c r="B96" i="49"/>
  <c r="C96" i="49"/>
  <c r="E96" i="49" s="1"/>
  <c r="D96" i="49"/>
  <c r="D93" i="49"/>
  <c r="C93" i="49"/>
  <c r="E93" i="49" s="1"/>
  <c r="B93" i="49"/>
  <c r="B90" i="49"/>
  <c r="C90" i="49"/>
  <c r="E90" i="49" s="1"/>
  <c r="D90" i="49"/>
  <c r="B91" i="49"/>
  <c r="C91" i="49"/>
  <c r="E91" i="49" s="1"/>
  <c r="D91" i="49"/>
  <c r="B92" i="49"/>
  <c r="C92" i="49"/>
  <c r="E92" i="49" s="1"/>
  <c r="D92" i="49"/>
  <c r="D89" i="49"/>
  <c r="C89" i="49"/>
  <c r="E89" i="49" s="1"/>
  <c r="B89" i="49"/>
  <c r="B92" i="48"/>
  <c r="C92" i="48"/>
  <c r="E92" i="48" s="1"/>
  <c r="D92" i="48"/>
  <c r="B93" i="48"/>
  <c r="C93" i="48"/>
  <c r="E93" i="48" s="1"/>
  <c r="D93" i="48"/>
  <c r="B94" i="48"/>
  <c r="C94" i="48"/>
  <c r="D94" i="48"/>
  <c r="D91" i="48"/>
  <c r="C91" i="48"/>
  <c r="E91" i="48" s="1"/>
  <c r="B91" i="48"/>
  <c r="B88" i="48"/>
  <c r="C88" i="48"/>
  <c r="E88" i="48" s="1"/>
  <c r="D88" i="48"/>
  <c r="B89" i="48"/>
  <c r="C89" i="48"/>
  <c r="E89" i="48" s="1"/>
  <c r="D89" i="48"/>
  <c r="B90" i="48"/>
  <c r="C90" i="48"/>
  <c r="E90" i="48" s="1"/>
  <c r="D90" i="48"/>
  <c r="D87" i="48"/>
  <c r="C87" i="48"/>
  <c r="E87" i="48" s="1"/>
  <c r="B87" i="48"/>
  <c r="B71" i="49"/>
  <c r="C71" i="49"/>
  <c r="E71" i="49" s="1"/>
  <c r="D71" i="49"/>
  <c r="B72" i="49"/>
  <c r="C72" i="49"/>
  <c r="E72" i="49" s="1"/>
  <c r="D72" i="49"/>
  <c r="B73" i="49"/>
  <c r="C73" i="49"/>
  <c r="E73" i="49" s="1"/>
  <c r="D73" i="49"/>
  <c r="D70" i="49"/>
  <c r="C70" i="49"/>
  <c r="E70" i="49" s="1"/>
  <c r="B70" i="49"/>
  <c r="B46" i="49"/>
  <c r="E46" i="49"/>
  <c r="F46" i="49"/>
  <c r="B47" i="49"/>
  <c r="E47" i="49"/>
  <c r="F47" i="49"/>
  <c r="B48" i="49"/>
  <c r="E48" i="49"/>
  <c r="F48" i="49"/>
  <c r="F45" i="49"/>
  <c r="E45" i="49"/>
  <c r="B45" i="49"/>
  <c r="B42" i="49"/>
  <c r="E42" i="49"/>
  <c r="F42" i="49"/>
  <c r="B43" i="49"/>
  <c r="E43" i="49"/>
  <c r="F43" i="49"/>
  <c r="B44" i="49"/>
  <c r="E44" i="49"/>
  <c r="F44" i="49"/>
  <c r="F41" i="49"/>
  <c r="E41" i="49"/>
  <c r="B41" i="49"/>
  <c r="C10" i="49"/>
  <c r="C9" i="49"/>
  <c r="C8" i="49"/>
  <c r="C7" i="49"/>
  <c r="E95" i="49"/>
  <c r="B70" i="48"/>
  <c r="C70" i="48"/>
  <c r="E70" i="48" s="1"/>
  <c r="D70" i="48"/>
  <c r="B71" i="48"/>
  <c r="C71" i="48"/>
  <c r="E71" i="48" s="1"/>
  <c r="D71" i="48"/>
  <c r="B72" i="48"/>
  <c r="C72" i="48"/>
  <c r="E72" i="48" s="1"/>
  <c r="D72" i="48"/>
  <c r="D69" i="48"/>
  <c r="C69" i="48"/>
  <c r="E69" i="48" s="1"/>
  <c r="B69" i="48"/>
  <c r="B46" i="48"/>
  <c r="E46" i="48"/>
  <c r="F46" i="48"/>
  <c r="B47" i="48"/>
  <c r="E47" i="48"/>
  <c r="F47" i="48"/>
  <c r="B48" i="48"/>
  <c r="E48" i="48"/>
  <c r="F48" i="48"/>
  <c r="F45" i="48"/>
  <c r="E45" i="48"/>
  <c r="B45" i="48"/>
  <c r="B42" i="48"/>
  <c r="E42" i="48"/>
  <c r="F42" i="48"/>
  <c r="B43" i="48"/>
  <c r="E43" i="48"/>
  <c r="F43" i="48"/>
  <c r="B44" i="48"/>
  <c r="E44" i="48"/>
  <c r="F44" i="48"/>
  <c r="F41" i="48"/>
  <c r="E41" i="48"/>
  <c r="B41" i="48"/>
  <c r="C10" i="48"/>
  <c r="C9" i="48"/>
  <c r="C8" i="48"/>
  <c r="C7" i="48"/>
  <c r="E94" i="48"/>
  <c r="AD132" i="4" l="1"/>
  <c r="AF132" i="4" s="1"/>
  <c r="AD126" i="4"/>
  <c r="AF126" i="4" s="1"/>
  <c r="AT223" i="4"/>
  <c r="D98" i="55"/>
  <c r="G98" i="55" s="1"/>
  <c r="AT214" i="4"/>
  <c r="AV214" i="4" s="1"/>
  <c r="AW214" i="4" s="1"/>
  <c r="AX214" i="4" s="1"/>
  <c r="AY214" i="4" s="1"/>
  <c r="D49" i="55"/>
  <c r="G49" i="55" s="1"/>
  <c r="AT211" i="4"/>
  <c r="C46" i="55"/>
  <c r="G46" i="55" s="1"/>
  <c r="AT209" i="4"/>
  <c r="C44" i="55"/>
  <c r="G44" i="55" s="1"/>
  <c r="AT207" i="4"/>
  <c r="D42" i="55"/>
  <c r="G42" i="55" s="1"/>
  <c r="AT206" i="4"/>
  <c r="AV206" i="4" s="1"/>
  <c r="AW206" i="4" s="1"/>
  <c r="AX206" i="4" s="1"/>
  <c r="AY206" i="4" s="1"/>
  <c r="D41" i="55"/>
  <c r="G41" i="55" s="1"/>
  <c r="AT210" i="4"/>
  <c r="D45" i="55"/>
  <c r="G45" i="55" s="1"/>
  <c r="G96" i="55"/>
  <c r="G50" i="55"/>
  <c r="AT227" i="4"/>
  <c r="D102" i="55"/>
  <c r="G102" i="55" s="1"/>
  <c r="AT217" i="4"/>
  <c r="AV217" i="4" s="1"/>
  <c r="AW217" i="4" s="1"/>
  <c r="AX217" i="4" s="1"/>
  <c r="AY217" i="4" s="1"/>
  <c r="D92" i="55"/>
  <c r="G92" i="55" s="1"/>
  <c r="AT213" i="4"/>
  <c r="D48" i="55"/>
  <c r="G48" i="55" s="1"/>
  <c r="AT208" i="4"/>
  <c r="D43" i="55"/>
  <c r="G43" i="55" s="1"/>
  <c r="AT216" i="4"/>
  <c r="D51" i="55"/>
  <c r="AT218" i="4"/>
  <c r="C93" i="55"/>
  <c r="G93" i="55" s="1"/>
  <c r="AT224" i="4"/>
  <c r="D99" i="55"/>
  <c r="G99" i="55" s="1"/>
  <c r="AT220" i="4"/>
  <c r="C95" i="55"/>
  <c r="G95" i="55" s="1"/>
  <c r="AT215" i="4"/>
  <c r="AV215" i="4" s="1"/>
  <c r="AW215" i="4" s="1"/>
  <c r="AX215" i="4" s="1"/>
  <c r="AY215" i="4" s="1"/>
  <c r="AT225" i="4"/>
  <c r="AV225" i="4" s="1"/>
  <c r="AW225" i="4" s="1"/>
  <c r="AX225" i="4" s="1"/>
  <c r="AY225" i="4" s="1"/>
  <c r="AF212" i="4"/>
  <c r="AD209" i="4"/>
  <c r="AF209" i="4" s="1"/>
  <c r="AF207" i="4"/>
  <c r="AF211" i="4"/>
  <c r="AV208" i="4"/>
  <c r="AW208" i="4" s="1"/>
  <c r="AX208" i="4" s="1"/>
  <c r="AY208" i="4" s="1"/>
  <c r="AV211" i="4"/>
  <c r="AW211" i="4" s="1"/>
  <c r="AX211" i="4" s="1"/>
  <c r="AY211" i="4" s="1"/>
  <c r="AV213" i="4"/>
  <c r="AW213" i="4" s="1"/>
  <c r="AX213" i="4" s="1"/>
  <c r="AY213" i="4" s="1"/>
  <c r="AV218" i="4"/>
  <c r="AW218" i="4" s="1"/>
  <c r="AX218" i="4" s="1"/>
  <c r="AY218" i="4" s="1"/>
  <c r="AV224" i="4"/>
  <c r="AW224" i="4" s="1"/>
  <c r="AX224" i="4" s="1"/>
  <c r="AY224" i="4" s="1"/>
  <c r="AV220" i="4"/>
  <c r="AW220" i="4" s="1"/>
  <c r="AX220" i="4" s="1"/>
  <c r="AY220" i="4" s="1"/>
  <c r="AT226" i="4"/>
  <c r="AV226" i="4" s="1"/>
  <c r="AW226" i="4" s="1"/>
  <c r="AX226" i="4" s="1"/>
  <c r="AY226" i="4" s="1"/>
  <c r="AT219" i="4"/>
  <c r="AT221" i="4"/>
  <c r="AV221" i="4" s="1"/>
  <c r="AW221" i="4" s="1"/>
  <c r="AX221" i="4" s="1"/>
  <c r="AY221" i="4" s="1"/>
  <c r="AV210" i="4"/>
  <c r="AW210" i="4" s="1"/>
  <c r="AX210" i="4" s="1"/>
  <c r="AY210" i="4" s="1"/>
  <c r="AT222" i="4"/>
  <c r="AV222" i="4" s="1"/>
  <c r="AW222" i="4" s="1"/>
  <c r="AX222" i="4" s="1"/>
  <c r="AY222" i="4" s="1"/>
  <c r="AV223" i="4"/>
  <c r="AW223" i="4" s="1"/>
  <c r="AX223" i="4" s="1"/>
  <c r="AY223" i="4" s="1"/>
  <c r="AV219" i="4"/>
  <c r="AW219" i="4" s="1"/>
  <c r="AX219" i="4" s="1"/>
  <c r="AY219" i="4" s="1"/>
  <c r="AV207" i="4"/>
  <c r="AW207" i="4" s="1"/>
  <c r="AX207" i="4" s="1"/>
  <c r="AY207" i="4" s="1"/>
  <c r="AV212" i="4"/>
  <c r="AW212" i="4" s="1"/>
  <c r="AX212" i="4" s="1"/>
  <c r="AY212" i="4" s="1"/>
  <c r="AV209" i="4"/>
  <c r="AW209" i="4" s="1"/>
  <c r="AX209" i="4" s="1"/>
  <c r="AY209" i="4" s="1"/>
  <c r="AS108" i="4"/>
  <c r="D43" i="53" s="1"/>
  <c r="AS121" i="4"/>
  <c r="D46" i="54" s="1"/>
  <c r="AS123" i="4"/>
  <c r="D48" i="54" s="1"/>
  <c r="AS106" i="4"/>
  <c r="D41" i="53" s="1"/>
  <c r="AS112" i="4"/>
  <c r="D47" i="53" s="1"/>
  <c r="AS119" i="4"/>
  <c r="D44" i="54" s="1"/>
  <c r="AS110" i="4"/>
  <c r="D45" i="53" s="1"/>
  <c r="AS114" i="4"/>
  <c r="D49" i="53" s="1"/>
  <c r="AS115" i="4"/>
  <c r="D50" i="53" s="1"/>
  <c r="AR118" i="4"/>
  <c r="C43" i="54" s="1"/>
  <c r="AR120" i="4"/>
  <c r="C45" i="54" s="1"/>
  <c r="AR122" i="4"/>
  <c r="C47" i="54" s="1"/>
  <c r="AR124" i="4"/>
  <c r="C49" i="54" s="1"/>
  <c r="AR106" i="4"/>
  <c r="AR107" i="4"/>
  <c r="AR115" i="4"/>
  <c r="C50" i="53" s="1"/>
  <c r="AS118" i="4"/>
  <c r="D43" i="54" s="1"/>
  <c r="AR119" i="4"/>
  <c r="AR103" i="4"/>
  <c r="C40" i="52" s="1"/>
  <c r="AS103" i="4"/>
  <c r="D40" i="52" s="1"/>
  <c r="AR104" i="4"/>
  <c r="C41" i="52" s="1"/>
  <c r="AS104" i="4"/>
  <c r="D41" i="52" s="1"/>
  <c r="AR105" i="4"/>
  <c r="C42" i="52" s="1"/>
  <c r="AS105" i="4"/>
  <c r="D42" i="52" s="1"/>
  <c r="AR108" i="4"/>
  <c r="AR109" i="4"/>
  <c r="C44" i="53" s="1"/>
  <c r="AS109" i="4"/>
  <c r="D44" i="53" s="1"/>
  <c r="AR110" i="4"/>
  <c r="AR111" i="4"/>
  <c r="C46" i="53" s="1"/>
  <c r="AS111" i="4"/>
  <c r="D46" i="53" s="1"/>
  <c r="AR112" i="4"/>
  <c r="AR113" i="4"/>
  <c r="C48" i="53" s="1"/>
  <c r="AS113" i="4"/>
  <c r="D48" i="53" s="1"/>
  <c r="AR114" i="4"/>
  <c r="AS120" i="4"/>
  <c r="D45" i="54" s="1"/>
  <c r="AR121" i="4"/>
  <c r="AS122" i="4"/>
  <c r="AR123" i="4"/>
  <c r="C48" i="54" s="1"/>
  <c r="AS124" i="4"/>
  <c r="D49" i="54" s="1"/>
  <c r="AR116" i="4"/>
  <c r="C41" i="54" s="1"/>
  <c r="AS116" i="4"/>
  <c r="D41" i="54" s="1"/>
  <c r="AR117" i="4"/>
  <c r="C42" i="54" s="1"/>
  <c r="AS117" i="4"/>
  <c r="D42" i="54" s="1"/>
  <c r="AR125" i="4"/>
  <c r="C50" i="54" s="1"/>
  <c r="AS125" i="4"/>
  <c r="D50" i="54" s="1"/>
  <c r="AU73" i="4"/>
  <c r="AS73" i="4"/>
  <c r="D47" i="51" s="1"/>
  <c r="AR73" i="4"/>
  <c r="AJ73" i="4"/>
  <c r="AU72" i="4"/>
  <c r="AS72" i="4"/>
  <c r="D46" i="51" s="1"/>
  <c r="AR72" i="4"/>
  <c r="AJ72" i="4"/>
  <c r="AU71" i="4"/>
  <c r="AS71" i="4"/>
  <c r="D45" i="51" s="1"/>
  <c r="AR71" i="4"/>
  <c r="AJ71" i="4"/>
  <c r="AU70" i="4"/>
  <c r="AS70" i="4"/>
  <c r="D44" i="51" s="1"/>
  <c r="AR70" i="4"/>
  <c r="C44" i="51" s="1"/>
  <c r="AJ70" i="4"/>
  <c r="AU69" i="4"/>
  <c r="AS69" i="4"/>
  <c r="D47" i="50" s="1"/>
  <c r="AR69" i="4"/>
  <c r="AJ69" i="4"/>
  <c r="AU68" i="4"/>
  <c r="AS68" i="4"/>
  <c r="D46" i="50" s="1"/>
  <c r="AR68" i="4"/>
  <c r="AJ68" i="4"/>
  <c r="AU67" i="4"/>
  <c r="AS67" i="4"/>
  <c r="D45" i="50" s="1"/>
  <c r="AR67" i="4"/>
  <c r="AJ67" i="4"/>
  <c r="AU66" i="4"/>
  <c r="AS66" i="4"/>
  <c r="D44" i="50" s="1"/>
  <c r="AR66" i="4"/>
  <c r="C44" i="50" s="1"/>
  <c r="AJ66" i="4"/>
  <c r="AU65" i="4"/>
  <c r="AS65" i="4"/>
  <c r="AR65" i="4"/>
  <c r="AJ65" i="4"/>
  <c r="AU64" i="4"/>
  <c r="AS64" i="4"/>
  <c r="AR64" i="4"/>
  <c r="AJ64" i="4"/>
  <c r="AU63" i="4"/>
  <c r="AS63" i="4"/>
  <c r="AR63" i="4"/>
  <c r="AJ63" i="4"/>
  <c r="AU62" i="4"/>
  <c r="AS62" i="4"/>
  <c r="AR62" i="4"/>
  <c r="C45" i="49" s="1"/>
  <c r="AJ62" i="4"/>
  <c r="AU61" i="4"/>
  <c r="AS61" i="4"/>
  <c r="D48" i="48" s="1"/>
  <c r="AR61" i="4"/>
  <c r="AJ61" i="4"/>
  <c r="AU60" i="4"/>
  <c r="AS60" i="4"/>
  <c r="D47" i="48" s="1"/>
  <c r="AR60" i="4"/>
  <c r="AJ60" i="4"/>
  <c r="AU59" i="4"/>
  <c r="AS59" i="4"/>
  <c r="D46" i="48" s="1"/>
  <c r="AR59" i="4"/>
  <c r="AJ59" i="4"/>
  <c r="AU58" i="4"/>
  <c r="AS58" i="4"/>
  <c r="D45" i="48" s="1"/>
  <c r="AR58" i="4"/>
  <c r="C45" i="48" s="1"/>
  <c r="AJ58" i="4"/>
  <c r="AU57" i="4"/>
  <c r="AS57" i="4"/>
  <c r="D43" i="51" s="1"/>
  <c r="AR57" i="4"/>
  <c r="AJ57" i="4"/>
  <c r="AU56" i="4"/>
  <c r="AS56" i="4"/>
  <c r="D42" i="51" s="1"/>
  <c r="AR56" i="4"/>
  <c r="AJ56" i="4"/>
  <c r="V56" i="4"/>
  <c r="AD56" i="4" s="1"/>
  <c r="AU55" i="4"/>
  <c r="AS55" i="4"/>
  <c r="D41" i="51" s="1"/>
  <c r="AR55" i="4"/>
  <c r="AJ55" i="4"/>
  <c r="V55" i="4"/>
  <c r="AE55" i="4" s="1"/>
  <c r="AU54" i="4"/>
  <c r="AS54" i="4"/>
  <c r="D40" i="51" s="1"/>
  <c r="AR54" i="4"/>
  <c r="AJ54" i="4"/>
  <c r="V54" i="4"/>
  <c r="AD54" i="4" s="1"/>
  <c r="AU53" i="4"/>
  <c r="AS53" i="4"/>
  <c r="D43" i="50" s="1"/>
  <c r="AR53" i="4"/>
  <c r="AJ53" i="4"/>
  <c r="V53" i="4"/>
  <c r="AE53" i="4" s="1"/>
  <c r="AU52" i="4"/>
  <c r="AS52" i="4"/>
  <c r="D42" i="50" s="1"/>
  <c r="AR52" i="4"/>
  <c r="AJ52" i="4"/>
  <c r="V52" i="4"/>
  <c r="AD52" i="4" s="1"/>
  <c r="AU51" i="4"/>
  <c r="AS51" i="4"/>
  <c r="D41" i="50" s="1"/>
  <c r="AR51" i="4"/>
  <c r="AJ51" i="4"/>
  <c r="V51" i="4"/>
  <c r="AE51" i="4" s="1"/>
  <c r="AU50" i="4"/>
  <c r="AS50" i="4"/>
  <c r="D40" i="50" s="1"/>
  <c r="AR50" i="4"/>
  <c r="AJ50" i="4"/>
  <c r="V50" i="4"/>
  <c r="AD50" i="4" s="1"/>
  <c r="AU49" i="4"/>
  <c r="AS49" i="4"/>
  <c r="AR49" i="4"/>
  <c r="AJ49" i="4"/>
  <c r="V49" i="4"/>
  <c r="AE49" i="4" s="1"/>
  <c r="AU48" i="4"/>
  <c r="AS48" i="4"/>
  <c r="AR48" i="4"/>
  <c r="AJ48" i="4"/>
  <c r="V48" i="4"/>
  <c r="AD48" i="4" s="1"/>
  <c r="AU47" i="4"/>
  <c r="AJ47" i="4"/>
  <c r="AS47" i="4" s="1"/>
  <c r="V47" i="4"/>
  <c r="AE47" i="4" s="1"/>
  <c r="AU46" i="4"/>
  <c r="AJ46" i="4"/>
  <c r="AS46" i="4" s="1"/>
  <c r="V46" i="4"/>
  <c r="AE46" i="4" s="1"/>
  <c r="AU45" i="4"/>
  <c r="AJ45" i="4"/>
  <c r="AR45" i="4" s="1"/>
  <c r="C44" i="48" s="1"/>
  <c r="V45" i="4"/>
  <c r="AD45" i="4" s="1"/>
  <c r="AU44" i="4"/>
  <c r="AJ44" i="4"/>
  <c r="AS44" i="4" s="1"/>
  <c r="D43" i="48" s="1"/>
  <c r="V44" i="4"/>
  <c r="AE44" i="4" s="1"/>
  <c r="AU43" i="4"/>
  <c r="AJ43" i="4"/>
  <c r="AR43" i="4" s="1"/>
  <c r="C42" i="48" s="1"/>
  <c r="V43" i="4"/>
  <c r="AD43" i="4" s="1"/>
  <c r="BD42" i="4"/>
  <c r="AU42" i="4"/>
  <c r="AJ42" i="4"/>
  <c r="AS42" i="4" s="1"/>
  <c r="D41" i="48" s="1"/>
  <c r="V42" i="4"/>
  <c r="AE42" i="4" s="1"/>
  <c r="AJ38" i="4"/>
  <c r="AJ39" i="4"/>
  <c r="AJ40" i="4"/>
  <c r="AJ41" i="4"/>
  <c r="G50" i="54" l="1"/>
  <c r="G42" i="54"/>
  <c r="G41" i="54"/>
  <c r="G48" i="54"/>
  <c r="G50" i="53"/>
  <c r="G43" i="54"/>
  <c r="AT121" i="4"/>
  <c r="C46" i="54"/>
  <c r="G46" i="54" s="1"/>
  <c r="AT119" i="4"/>
  <c r="C44" i="54"/>
  <c r="G44" i="54" s="1"/>
  <c r="AT122" i="4"/>
  <c r="AV122" i="4" s="1"/>
  <c r="AW122" i="4" s="1"/>
  <c r="AX122" i="4" s="1"/>
  <c r="AY122" i="4" s="1"/>
  <c r="D47" i="54"/>
  <c r="G47" i="54" s="1"/>
  <c r="G49" i="54"/>
  <c r="G45" i="54"/>
  <c r="AV119" i="4"/>
  <c r="AW119" i="4" s="1"/>
  <c r="AX119" i="4" s="1"/>
  <c r="AY119" i="4" s="1"/>
  <c r="G48" i="53"/>
  <c r="G44" i="53"/>
  <c r="AT114" i="4"/>
  <c r="AV114" i="4" s="1"/>
  <c r="AW114" i="4" s="1"/>
  <c r="AX114" i="4" s="1"/>
  <c r="AY114" i="4" s="1"/>
  <c r="C49" i="53"/>
  <c r="G49" i="53" s="1"/>
  <c r="AT106" i="4"/>
  <c r="AV106" i="4" s="1"/>
  <c r="AW106" i="4" s="1"/>
  <c r="AX106" i="4" s="1"/>
  <c r="AY106" i="4" s="1"/>
  <c r="C41" i="53"/>
  <c r="G41" i="53" s="1"/>
  <c r="AT110" i="4"/>
  <c r="C45" i="53"/>
  <c r="G45" i="53" s="1"/>
  <c r="AT123" i="4"/>
  <c r="AT112" i="4"/>
  <c r="C47" i="53"/>
  <c r="G47" i="53" s="1"/>
  <c r="G46" i="53"/>
  <c r="AT108" i="4"/>
  <c r="C43" i="53"/>
  <c r="G43" i="53" s="1"/>
  <c r="AT118" i="4"/>
  <c r="AT107" i="4"/>
  <c r="AV107" i="4" s="1"/>
  <c r="AW107" i="4" s="1"/>
  <c r="AX107" i="4" s="1"/>
  <c r="AY107" i="4" s="1"/>
  <c r="C42" i="53"/>
  <c r="G42" i="53" s="1"/>
  <c r="AV110" i="4"/>
  <c r="AW110" i="4" s="1"/>
  <c r="AX110" i="4" s="1"/>
  <c r="AY110" i="4" s="1"/>
  <c r="AT124" i="4"/>
  <c r="AV124" i="4" s="1"/>
  <c r="AW124" i="4" s="1"/>
  <c r="AX124" i="4" s="1"/>
  <c r="AY124" i="4" s="1"/>
  <c r="AT120" i="4"/>
  <c r="G44" i="51"/>
  <c r="AD42" i="4"/>
  <c r="AF42" i="4" s="1"/>
  <c r="AR42" i="4"/>
  <c r="AT42" i="4" s="1"/>
  <c r="AD47" i="4"/>
  <c r="AR47" i="4"/>
  <c r="AT47" i="4" s="1"/>
  <c r="AT115" i="4"/>
  <c r="AV115" i="4" s="1"/>
  <c r="AW115" i="4" s="1"/>
  <c r="AX115" i="4" s="1"/>
  <c r="AY115" i="4" s="1"/>
  <c r="C41" i="48"/>
  <c r="G41" i="48" s="1"/>
  <c r="AD44" i="4"/>
  <c r="AF44" i="4" s="1"/>
  <c r="AR44" i="4"/>
  <c r="C43" i="48" s="1"/>
  <c r="G43" i="48" s="1"/>
  <c r="AD46" i="4"/>
  <c r="AF46" i="4" s="1"/>
  <c r="AR46" i="4"/>
  <c r="C41" i="49" s="1"/>
  <c r="AF47" i="4"/>
  <c r="AE48" i="4"/>
  <c r="AT48" i="4"/>
  <c r="D43" i="49" s="1"/>
  <c r="C43" i="49"/>
  <c r="AD49" i="4"/>
  <c r="AF49" i="4" s="1"/>
  <c r="AT49" i="4"/>
  <c r="D44" i="49" s="1"/>
  <c r="C44" i="49"/>
  <c r="AE50" i="4"/>
  <c r="AF50" i="4" s="1"/>
  <c r="AT50" i="4"/>
  <c r="C40" i="50"/>
  <c r="G40" i="50" s="1"/>
  <c r="AD51" i="4"/>
  <c r="AF51" i="4" s="1"/>
  <c r="AT51" i="4"/>
  <c r="C41" i="50"/>
  <c r="G41" i="50" s="1"/>
  <c r="AE52" i="4"/>
  <c r="AT52" i="4"/>
  <c r="C42" i="50"/>
  <c r="G42" i="50" s="1"/>
  <c r="AD53" i="4"/>
  <c r="AF53" i="4" s="1"/>
  <c r="AT53" i="4"/>
  <c r="C43" i="50"/>
  <c r="G43" i="50" s="1"/>
  <c r="AE54" i="4"/>
  <c r="AF54" i="4" s="1"/>
  <c r="AT54" i="4"/>
  <c r="C40" i="51"/>
  <c r="G40" i="51" s="1"/>
  <c r="AD55" i="4"/>
  <c r="AF55" i="4" s="1"/>
  <c r="AT55" i="4"/>
  <c r="C41" i="51"/>
  <c r="G41" i="51" s="1"/>
  <c r="AE56" i="4"/>
  <c r="AT56" i="4"/>
  <c r="C42" i="51"/>
  <c r="G42" i="51" s="1"/>
  <c r="AT57" i="4"/>
  <c r="AV57" i="4" s="1"/>
  <c r="AW57" i="4" s="1"/>
  <c r="AX57" i="4" s="1"/>
  <c r="AY57" i="4" s="1"/>
  <c r="C43" i="51"/>
  <c r="G43" i="51" s="1"/>
  <c r="G45" i="48"/>
  <c r="AT59" i="4"/>
  <c r="AV59" i="4" s="1"/>
  <c r="AW59" i="4" s="1"/>
  <c r="AX59" i="4" s="1"/>
  <c r="AY59" i="4" s="1"/>
  <c r="C46" i="48"/>
  <c r="G46" i="48" s="1"/>
  <c r="AT60" i="4"/>
  <c r="AV60" i="4" s="1"/>
  <c r="AW60" i="4" s="1"/>
  <c r="AX60" i="4" s="1"/>
  <c r="AY60" i="4" s="1"/>
  <c r="C47" i="48"/>
  <c r="G47" i="48" s="1"/>
  <c r="AT61" i="4"/>
  <c r="AV61" i="4" s="1"/>
  <c r="AW61" i="4" s="1"/>
  <c r="AX61" i="4" s="1"/>
  <c r="AY61" i="4" s="1"/>
  <c r="C48" i="48"/>
  <c r="G48" i="48" s="1"/>
  <c r="AT63" i="4"/>
  <c r="C46" i="49"/>
  <c r="AT64" i="4"/>
  <c r="C47" i="49"/>
  <c r="AT65" i="4"/>
  <c r="C48" i="49"/>
  <c r="G44" i="50"/>
  <c r="AT67" i="4"/>
  <c r="AV67" i="4" s="1"/>
  <c r="AW67" i="4" s="1"/>
  <c r="AX67" i="4" s="1"/>
  <c r="AY67" i="4" s="1"/>
  <c r="C45" i="50"/>
  <c r="G45" i="50" s="1"/>
  <c r="AT68" i="4"/>
  <c r="AV68" i="4" s="1"/>
  <c r="AW68" i="4" s="1"/>
  <c r="AX68" i="4" s="1"/>
  <c r="AY68" i="4" s="1"/>
  <c r="C46" i="50"/>
  <c r="G46" i="50" s="1"/>
  <c r="AT69" i="4"/>
  <c r="AV69" i="4" s="1"/>
  <c r="AW69" i="4" s="1"/>
  <c r="AX69" i="4" s="1"/>
  <c r="AY69" i="4" s="1"/>
  <c r="C47" i="50"/>
  <c r="G47" i="50" s="1"/>
  <c r="AT71" i="4"/>
  <c r="AV71" i="4" s="1"/>
  <c r="AW71" i="4" s="1"/>
  <c r="AX71" i="4" s="1"/>
  <c r="AY71" i="4" s="1"/>
  <c r="C45" i="51"/>
  <c r="G45" i="51" s="1"/>
  <c r="AT72" i="4"/>
  <c r="AV72" i="4" s="1"/>
  <c r="AW72" i="4" s="1"/>
  <c r="AX72" i="4" s="1"/>
  <c r="AY72" i="4" s="1"/>
  <c r="C46" i="51"/>
  <c r="G46" i="51" s="1"/>
  <c r="AT73" i="4"/>
  <c r="AV73" i="4" s="1"/>
  <c r="AW73" i="4" s="1"/>
  <c r="AX73" i="4" s="1"/>
  <c r="AY73" i="4" s="1"/>
  <c r="C47" i="51"/>
  <c r="G47" i="51" s="1"/>
  <c r="AT113" i="4"/>
  <c r="AT109" i="4"/>
  <c r="AV109" i="4" s="1"/>
  <c r="AW109" i="4" s="1"/>
  <c r="AX109" i="4" s="1"/>
  <c r="AY109" i="4" s="1"/>
  <c r="G42" i="52"/>
  <c r="G41" i="52"/>
  <c r="G40" i="52"/>
  <c r="AV121" i="4"/>
  <c r="AW121" i="4" s="1"/>
  <c r="AX121" i="4" s="1"/>
  <c r="AY121" i="4" s="1"/>
  <c r="AT104" i="4"/>
  <c r="AV104" i="4" s="1"/>
  <c r="AW104" i="4" s="1"/>
  <c r="AX104" i="4" s="1"/>
  <c r="AY104" i="4" s="1"/>
  <c r="AT125" i="4"/>
  <c r="AV125" i="4" s="1"/>
  <c r="AW125" i="4" s="1"/>
  <c r="AX125" i="4" s="1"/>
  <c r="AY125" i="4" s="1"/>
  <c r="AV118" i="4"/>
  <c r="AW118" i="4" s="1"/>
  <c r="AX118" i="4" s="1"/>
  <c r="AY118" i="4" s="1"/>
  <c r="AT117" i="4"/>
  <c r="AV117" i="4" s="1"/>
  <c r="AW117" i="4" s="1"/>
  <c r="AX117" i="4" s="1"/>
  <c r="AY117" i="4" s="1"/>
  <c r="AT116" i="4"/>
  <c r="AV116" i="4" s="1"/>
  <c r="AW116" i="4" s="1"/>
  <c r="AX116" i="4" s="1"/>
  <c r="AY116" i="4" s="1"/>
  <c r="AV123" i="4"/>
  <c r="AW123" i="4" s="1"/>
  <c r="AX123" i="4" s="1"/>
  <c r="AY123" i="4" s="1"/>
  <c r="AV112" i="4"/>
  <c r="AW112" i="4" s="1"/>
  <c r="AX112" i="4" s="1"/>
  <c r="AY112" i="4" s="1"/>
  <c r="AT111" i="4"/>
  <c r="AV111" i="4" s="1"/>
  <c r="AW111" i="4" s="1"/>
  <c r="AX111" i="4" s="1"/>
  <c r="AY111" i="4" s="1"/>
  <c r="AV108" i="4"/>
  <c r="AW108" i="4" s="1"/>
  <c r="AX108" i="4" s="1"/>
  <c r="AY108" i="4" s="1"/>
  <c r="AT105" i="4"/>
  <c r="AT103" i="4"/>
  <c r="AV53" i="4"/>
  <c r="AW53" i="4" s="1"/>
  <c r="AX53" i="4" s="1"/>
  <c r="AY53" i="4" s="1"/>
  <c r="AE43" i="4"/>
  <c r="AF43" i="4" s="1"/>
  <c r="AS43" i="4"/>
  <c r="D42" i="48" s="1"/>
  <c r="G42" i="48" s="1"/>
  <c r="AE45" i="4"/>
  <c r="AF45" i="4" s="1"/>
  <c r="AS45" i="4"/>
  <c r="AF48" i="4"/>
  <c r="AF52" i="4"/>
  <c r="AV52" i="4" s="1"/>
  <c r="AW52" i="4" s="1"/>
  <c r="AX52" i="4" s="1"/>
  <c r="AY52" i="4" s="1"/>
  <c r="AF56" i="4"/>
  <c r="AT58" i="4"/>
  <c r="AV58" i="4" s="1"/>
  <c r="AW58" i="4" s="1"/>
  <c r="AX58" i="4" s="1"/>
  <c r="AY58" i="4" s="1"/>
  <c r="AT62" i="4"/>
  <c r="AT66" i="4"/>
  <c r="AV66" i="4" s="1"/>
  <c r="AW66" i="4" s="1"/>
  <c r="AX66" i="4" s="1"/>
  <c r="AY66" i="4" s="1"/>
  <c r="AT70" i="4"/>
  <c r="AV70" i="4" s="1"/>
  <c r="AW70" i="4" s="1"/>
  <c r="AX70" i="4" s="1"/>
  <c r="AY70" i="4" s="1"/>
  <c r="B41" i="47"/>
  <c r="E41" i="47"/>
  <c r="F41" i="47"/>
  <c r="F40" i="47"/>
  <c r="E40" i="47"/>
  <c r="B40" i="47"/>
  <c r="C10" i="47"/>
  <c r="C9" i="47"/>
  <c r="C8" i="47"/>
  <c r="C7" i="47"/>
  <c r="B40" i="42"/>
  <c r="E40" i="42"/>
  <c r="F40" i="42"/>
  <c r="AU268" i="4"/>
  <c r="AP269" i="4"/>
  <c r="AP268" i="4"/>
  <c r="AP267" i="4"/>
  <c r="AP266" i="4"/>
  <c r="AP265" i="4"/>
  <c r="AP264" i="4"/>
  <c r="AP259" i="4"/>
  <c r="AP263" i="4"/>
  <c r="AP262" i="4"/>
  <c r="AP261" i="4"/>
  <c r="AP260" i="4"/>
  <c r="B41" i="46"/>
  <c r="E41" i="46"/>
  <c r="F41" i="46"/>
  <c r="B42" i="46"/>
  <c r="E42" i="46"/>
  <c r="F42" i="46"/>
  <c r="B43" i="46"/>
  <c r="E43" i="46"/>
  <c r="F43" i="46"/>
  <c r="F40" i="46"/>
  <c r="E40" i="46"/>
  <c r="B40" i="46"/>
  <c r="C10" i="46"/>
  <c r="C9" i="46"/>
  <c r="C8" i="46"/>
  <c r="C7" i="46"/>
  <c r="AJ231" i="4"/>
  <c r="AJ230" i="4"/>
  <c r="AJ229" i="4"/>
  <c r="AJ228" i="4"/>
  <c r="C42" i="49" l="1"/>
  <c r="AV49" i="4"/>
  <c r="AW49" i="4" s="1"/>
  <c r="AX49" i="4" s="1"/>
  <c r="AY49" i="4" s="1"/>
  <c r="AV120" i="4"/>
  <c r="AW120" i="4" s="1"/>
  <c r="AX120" i="4" s="1"/>
  <c r="AY120" i="4" s="1"/>
  <c r="AS268" i="4"/>
  <c r="AV56" i="4"/>
  <c r="AW56" i="4" s="1"/>
  <c r="AX56" i="4" s="1"/>
  <c r="AY56" i="4" s="1"/>
  <c r="AV48" i="4"/>
  <c r="AW48" i="4" s="1"/>
  <c r="AX48" i="4" s="1"/>
  <c r="AY48" i="4" s="1"/>
  <c r="AV55" i="4"/>
  <c r="AW55" i="4" s="1"/>
  <c r="AX55" i="4" s="1"/>
  <c r="AY55" i="4" s="1"/>
  <c r="AV54" i="4"/>
  <c r="AW54" i="4" s="1"/>
  <c r="AX54" i="4" s="1"/>
  <c r="AY54" i="4" s="1"/>
  <c r="AV51" i="4"/>
  <c r="AW51" i="4" s="1"/>
  <c r="AX51" i="4" s="1"/>
  <c r="AY51" i="4" s="1"/>
  <c r="AV50" i="4"/>
  <c r="AW50" i="4" s="1"/>
  <c r="AX50" i="4" s="1"/>
  <c r="AY50" i="4" s="1"/>
  <c r="AV113" i="4"/>
  <c r="AW113" i="4" s="1"/>
  <c r="AX113" i="4" s="1"/>
  <c r="AY113" i="4" s="1"/>
  <c r="AV42" i="4"/>
  <c r="AW42" i="4" s="1"/>
  <c r="AX42" i="4" s="1"/>
  <c r="AY42" i="4" s="1"/>
  <c r="AT46" i="4"/>
  <c r="D41" i="49" s="1"/>
  <c r="G41" i="49" s="1"/>
  <c r="AT44" i="4"/>
  <c r="AV44" i="4" s="1"/>
  <c r="AW44" i="4" s="1"/>
  <c r="AX44" i="4" s="1"/>
  <c r="AY44" i="4" s="1"/>
  <c r="G44" i="49"/>
  <c r="D40" i="42"/>
  <c r="AV65" i="4"/>
  <c r="AW65" i="4" s="1"/>
  <c r="AX65" i="4" s="1"/>
  <c r="AY65" i="4" s="1"/>
  <c r="D48" i="49"/>
  <c r="G48" i="49" s="1"/>
  <c r="AV64" i="4"/>
  <c r="AW64" i="4" s="1"/>
  <c r="AX64" i="4" s="1"/>
  <c r="AY64" i="4" s="1"/>
  <c r="D47" i="49"/>
  <c r="G47" i="49" s="1"/>
  <c r="AV63" i="4"/>
  <c r="AW63" i="4" s="1"/>
  <c r="AX63" i="4" s="1"/>
  <c r="AY63" i="4" s="1"/>
  <c r="D46" i="49"/>
  <c r="G46" i="49" s="1"/>
  <c r="AV47" i="4"/>
  <c r="AW47" i="4" s="1"/>
  <c r="AX47" i="4" s="1"/>
  <c r="AY47" i="4" s="1"/>
  <c r="D42" i="49"/>
  <c r="AR268" i="4"/>
  <c r="C40" i="42" s="1"/>
  <c r="AV62" i="4"/>
  <c r="AW62" i="4" s="1"/>
  <c r="AX62" i="4" s="1"/>
  <c r="AY62" i="4" s="1"/>
  <c r="D45" i="49"/>
  <c r="G45" i="49" s="1"/>
  <c r="AT45" i="4"/>
  <c r="AV45" i="4" s="1"/>
  <c r="AW45" i="4" s="1"/>
  <c r="AX45" i="4" s="1"/>
  <c r="D44" i="48"/>
  <c r="G44" i="48" s="1"/>
  <c r="AT43" i="4"/>
  <c r="G43" i="49"/>
  <c r="G42" i="49"/>
  <c r="AV103" i="4"/>
  <c r="AW103" i="4" s="1"/>
  <c r="AX103" i="4" s="1"/>
  <c r="AY103" i="4" s="1"/>
  <c r="AV105" i="4"/>
  <c r="AW105" i="4" s="1"/>
  <c r="AX105" i="4" s="1"/>
  <c r="AY105" i="4" s="1"/>
  <c r="AV43" i="4"/>
  <c r="AW43" i="4" s="1"/>
  <c r="AX43" i="4" s="1"/>
  <c r="AY43" i="4" s="1"/>
  <c r="AU231" i="4"/>
  <c r="AS231" i="4"/>
  <c r="D43" i="46" s="1"/>
  <c r="V231" i="4"/>
  <c r="AE231" i="4" s="1"/>
  <c r="AU230" i="4"/>
  <c r="AR230" i="4"/>
  <c r="C42" i="46" s="1"/>
  <c r="V230" i="4"/>
  <c r="AD230" i="4" s="1"/>
  <c r="AU229" i="4"/>
  <c r="AR229" i="4"/>
  <c r="C41" i="46" s="1"/>
  <c r="AS229" i="4"/>
  <c r="D41" i="46" s="1"/>
  <c r="V229" i="4"/>
  <c r="AE229" i="4" s="1"/>
  <c r="BD228" i="4"/>
  <c r="AU228" i="4"/>
  <c r="AR228" i="4"/>
  <c r="C40" i="46" s="1"/>
  <c r="AS228" i="4"/>
  <c r="D40" i="46" s="1"/>
  <c r="V228" i="4"/>
  <c r="AE228" i="4" s="1"/>
  <c r="G40" i="42" l="1"/>
  <c r="AD228" i="4"/>
  <c r="G40" i="46"/>
  <c r="AD229" i="4"/>
  <c r="AF229" i="4" s="1"/>
  <c r="AV46" i="4"/>
  <c r="AW46" i="4" s="1"/>
  <c r="AX46" i="4" s="1"/>
  <c r="AY46" i="4" s="1"/>
  <c r="AY45" i="4"/>
  <c r="BC104" i="4"/>
  <c r="BC42" i="4"/>
  <c r="AT268" i="4"/>
  <c r="AV268" i="4" s="1"/>
  <c r="AW268" i="4" s="1"/>
  <c r="AX268" i="4" s="1"/>
  <c r="AY268" i="4" s="1"/>
  <c r="G41" i="46"/>
  <c r="AF228" i="4"/>
  <c r="AT228" i="4"/>
  <c r="AT229" i="4"/>
  <c r="AD231" i="4"/>
  <c r="AF231" i="4" s="1"/>
  <c r="AR231" i="4"/>
  <c r="AE230" i="4"/>
  <c r="AF230" i="4" s="1"/>
  <c r="AS230" i="4"/>
  <c r="AV228" i="4" l="1"/>
  <c r="AW228" i="4" s="1"/>
  <c r="AX228" i="4" s="1"/>
  <c r="AT230" i="4"/>
  <c r="AV230" i="4" s="1"/>
  <c r="AW230" i="4" s="1"/>
  <c r="AX230" i="4" s="1"/>
  <c r="AY230" i="4" s="1"/>
  <c r="D42" i="46"/>
  <c r="G42" i="46" s="1"/>
  <c r="AT231" i="4"/>
  <c r="AV231" i="4" s="1"/>
  <c r="AW231" i="4" s="1"/>
  <c r="AX231" i="4" s="1"/>
  <c r="AY231" i="4" s="1"/>
  <c r="C43" i="46"/>
  <c r="G43" i="46" s="1"/>
  <c r="AV229" i="4"/>
  <c r="AW229" i="4" s="1"/>
  <c r="AX229" i="4" s="1"/>
  <c r="AY229" i="4" s="1"/>
  <c r="AY228" i="4"/>
  <c r="BC229" i="4" l="1"/>
  <c r="B222" i="21" l="1"/>
  <c r="D222" i="21"/>
  <c r="B223" i="21"/>
  <c r="D223" i="21"/>
  <c r="B224" i="21"/>
  <c r="D224" i="21"/>
  <c r="B225" i="21"/>
  <c r="D225" i="21"/>
  <c r="B226" i="21"/>
  <c r="D226" i="21"/>
  <c r="B227" i="21"/>
  <c r="D227" i="21"/>
  <c r="B228" i="21"/>
  <c r="D228" i="21"/>
  <c r="B229" i="21"/>
  <c r="D229" i="21"/>
  <c r="D221" i="21"/>
  <c r="B221" i="21"/>
  <c r="B192" i="21"/>
  <c r="E192" i="21"/>
  <c r="F192" i="21"/>
  <c r="B193" i="21"/>
  <c r="E193" i="21"/>
  <c r="F193" i="21"/>
  <c r="B194" i="21"/>
  <c r="E194" i="21"/>
  <c r="F194" i="21"/>
  <c r="B195" i="21"/>
  <c r="E195" i="21"/>
  <c r="F195" i="21"/>
  <c r="B196" i="21"/>
  <c r="E196" i="21"/>
  <c r="F196" i="21"/>
  <c r="B197" i="21"/>
  <c r="E197" i="21"/>
  <c r="F197" i="21"/>
  <c r="B198" i="21"/>
  <c r="E198" i="21"/>
  <c r="F198" i="21"/>
  <c r="B199" i="21"/>
  <c r="E199" i="21"/>
  <c r="F199" i="21"/>
  <c r="F191" i="21"/>
  <c r="E191" i="21"/>
  <c r="B191" i="21"/>
  <c r="B171" i="21"/>
  <c r="D171" i="21"/>
  <c r="B172" i="21"/>
  <c r="D172" i="21"/>
  <c r="B173" i="21"/>
  <c r="D173" i="21"/>
  <c r="B174" i="21"/>
  <c r="D174" i="21"/>
  <c r="D170" i="21"/>
  <c r="C170" i="21"/>
  <c r="B170" i="21"/>
  <c r="B145" i="21"/>
  <c r="E145" i="21"/>
  <c r="F145" i="21"/>
  <c r="B146" i="21"/>
  <c r="E146" i="21"/>
  <c r="F146" i="21"/>
  <c r="B147" i="21"/>
  <c r="E147" i="21"/>
  <c r="F147" i="21"/>
  <c r="B148" i="21"/>
  <c r="E148" i="21"/>
  <c r="F148" i="21"/>
  <c r="F144" i="21"/>
  <c r="E144" i="21"/>
  <c r="B144" i="21"/>
  <c r="E170" i="21"/>
  <c r="B118" i="21"/>
  <c r="D118" i="21"/>
  <c r="B119" i="21"/>
  <c r="D119" i="21"/>
  <c r="B120" i="21"/>
  <c r="D120" i="21"/>
  <c r="B121" i="21"/>
  <c r="D121" i="21"/>
  <c r="B88" i="21" l="1"/>
  <c r="E88" i="21"/>
  <c r="F88" i="21"/>
  <c r="B89" i="21"/>
  <c r="E89" i="21"/>
  <c r="F89" i="21"/>
  <c r="B90" i="21"/>
  <c r="E90" i="21"/>
  <c r="F90" i="21"/>
  <c r="B91" i="21"/>
  <c r="E91" i="21"/>
  <c r="F91" i="21"/>
  <c r="AY193" i="4" l="1"/>
  <c r="AY194" i="4"/>
  <c r="AU203" i="4"/>
  <c r="AU204" i="4"/>
  <c r="AU197" i="4"/>
  <c r="AU198" i="4"/>
  <c r="AU199" i="4"/>
  <c r="AU200" i="4"/>
  <c r="AU183" i="4"/>
  <c r="AU184" i="4"/>
  <c r="AU185" i="4"/>
  <c r="AU186" i="4"/>
  <c r="AU205" i="4"/>
  <c r="AQ205" i="4"/>
  <c r="AM205" i="4"/>
  <c r="C229" i="21" s="1"/>
  <c r="E229" i="21" s="1"/>
  <c r="AJ205" i="4"/>
  <c r="AK205" i="4" s="1"/>
  <c r="AQ204" i="4"/>
  <c r="AM204" i="4"/>
  <c r="C228" i="21" s="1"/>
  <c r="E228" i="21" s="1"/>
  <c r="AJ204" i="4"/>
  <c r="AK204" i="4" s="1"/>
  <c r="AR204" i="4" s="1"/>
  <c r="C198" i="21" s="1"/>
  <c r="AE204" i="4"/>
  <c r="AQ203" i="4"/>
  <c r="AM203" i="4"/>
  <c r="C227" i="21" s="1"/>
  <c r="E227" i="21" s="1"/>
  <c r="AJ203" i="4"/>
  <c r="AK203" i="4" s="1"/>
  <c r="AU202" i="4"/>
  <c r="AQ202" i="4"/>
  <c r="AM202" i="4"/>
  <c r="C226" i="21" s="1"/>
  <c r="E226" i="21" s="1"/>
  <c r="AJ202" i="4"/>
  <c r="AK202" i="4" s="1"/>
  <c r="AS202" i="4" s="1"/>
  <c r="D196" i="21" s="1"/>
  <c r="AD202" i="4"/>
  <c r="AU201" i="4"/>
  <c r="AQ201" i="4"/>
  <c r="AM201" i="4"/>
  <c r="C225" i="21" s="1"/>
  <c r="E225" i="21" s="1"/>
  <c r="AJ201" i="4"/>
  <c r="AK201" i="4" s="1"/>
  <c r="AS201" i="4" s="1"/>
  <c r="D195" i="21" s="1"/>
  <c r="AD201" i="4"/>
  <c r="AQ200" i="4"/>
  <c r="AM200" i="4"/>
  <c r="C224" i="21" s="1"/>
  <c r="E224" i="21" s="1"/>
  <c r="AJ200" i="4"/>
  <c r="AE200" i="4"/>
  <c r="AQ199" i="4"/>
  <c r="AM199" i="4"/>
  <c r="C223" i="21" s="1"/>
  <c r="E223" i="21" s="1"/>
  <c r="AJ199" i="4"/>
  <c r="AK199" i="4" s="1"/>
  <c r="AS199" i="4" s="1"/>
  <c r="D193" i="21" s="1"/>
  <c r="AQ198" i="4"/>
  <c r="AM198" i="4"/>
  <c r="C222" i="21" s="1"/>
  <c r="E222" i="21" s="1"/>
  <c r="AJ198" i="4"/>
  <c r="AK198" i="4" s="1"/>
  <c r="AS198" i="4" s="1"/>
  <c r="D192" i="21" s="1"/>
  <c r="AE198" i="4"/>
  <c r="AQ197" i="4"/>
  <c r="AM197" i="4"/>
  <c r="C221" i="21" s="1"/>
  <c r="E221" i="21" s="1"/>
  <c r="AJ197" i="4"/>
  <c r="AK197" i="4" s="1"/>
  <c r="AS197" i="4" s="1"/>
  <c r="D191" i="21" s="1"/>
  <c r="AU196" i="4"/>
  <c r="AQ196" i="4"/>
  <c r="AM196" i="4"/>
  <c r="C174" i="21" s="1"/>
  <c r="E174" i="21" s="1"/>
  <c r="AJ196" i="4"/>
  <c r="AK196" i="4" s="1"/>
  <c r="AS196" i="4" s="1"/>
  <c r="D148" i="21" s="1"/>
  <c r="AD196" i="4"/>
  <c r="AU195" i="4"/>
  <c r="AQ195" i="4"/>
  <c r="AM195" i="4"/>
  <c r="C173" i="21" s="1"/>
  <c r="E173" i="21" s="1"/>
  <c r="AJ195" i="4"/>
  <c r="AK195" i="4" s="1"/>
  <c r="AS195" i="4" s="1"/>
  <c r="D147" i="21" s="1"/>
  <c r="AQ194" i="4"/>
  <c r="AM194" i="4"/>
  <c r="C172" i="21" s="1"/>
  <c r="E172" i="21" s="1"/>
  <c r="AJ194" i="4"/>
  <c r="AK194" i="4" s="1"/>
  <c r="AS194" i="4" s="1"/>
  <c r="D146" i="21" s="1"/>
  <c r="AQ193" i="4"/>
  <c r="AM193" i="4"/>
  <c r="C171" i="21" s="1"/>
  <c r="E171" i="21" s="1"/>
  <c r="AJ193" i="4"/>
  <c r="AK193" i="4" s="1"/>
  <c r="AS193" i="4" s="1"/>
  <c r="D145" i="21" s="1"/>
  <c r="AU192" i="4"/>
  <c r="AS192" i="4"/>
  <c r="D144" i="21" s="1"/>
  <c r="AR192" i="4"/>
  <c r="AJ192" i="4"/>
  <c r="AE192" i="4"/>
  <c r="AD192" i="4"/>
  <c r="Y191" i="4"/>
  <c r="Y190" i="4"/>
  <c r="Y189" i="4"/>
  <c r="Y188" i="4"/>
  <c r="Y187" i="4"/>
  <c r="Y186" i="4"/>
  <c r="Y184" i="4"/>
  <c r="Y182" i="4"/>
  <c r="V190" i="4"/>
  <c r="W190" i="4" s="1"/>
  <c r="V189" i="4"/>
  <c r="W189" i="4" s="1"/>
  <c r="V188" i="4"/>
  <c r="W188" i="4" s="1"/>
  <c r="V187" i="4"/>
  <c r="W187" i="4" s="1"/>
  <c r="V186" i="4"/>
  <c r="W186" i="4" s="1"/>
  <c r="V184" i="4"/>
  <c r="W184" i="4" s="1"/>
  <c r="V182" i="4"/>
  <c r="AQ180" i="4"/>
  <c r="AQ181" i="4"/>
  <c r="AQ182" i="4"/>
  <c r="AQ183" i="4"/>
  <c r="AQ184" i="4"/>
  <c r="AQ185" i="4"/>
  <c r="AQ186" i="4"/>
  <c r="AQ187" i="4"/>
  <c r="AQ188" i="4"/>
  <c r="AQ189" i="4"/>
  <c r="AQ190" i="4"/>
  <c r="AQ191" i="4"/>
  <c r="AQ179" i="4"/>
  <c r="AM186" i="4"/>
  <c r="C121" i="21" s="1"/>
  <c r="E121" i="21" s="1"/>
  <c r="AM185" i="4"/>
  <c r="C120" i="21" s="1"/>
  <c r="E120" i="21" s="1"/>
  <c r="AM184" i="4"/>
  <c r="C119" i="21" s="1"/>
  <c r="E119" i="21" s="1"/>
  <c r="AM183" i="4"/>
  <c r="C118" i="21" s="1"/>
  <c r="E118" i="21" s="1"/>
  <c r="AJ186" i="4"/>
  <c r="AR186" i="4" s="1"/>
  <c r="AJ185" i="4"/>
  <c r="AK185" i="4" s="1"/>
  <c r="AJ184" i="4"/>
  <c r="AJ183" i="4"/>
  <c r="AK183" i="4" s="1"/>
  <c r="B121" i="20"/>
  <c r="D121" i="20"/>
  <c r="B122" i="20"/>
  <c r="D122" i="20"/>
  <c r="B123" i="20"/>
  <c r="D123" i="20"/>
  <c r="B124" i="20"/>
  <c r="D124" i="20"/>
  <c r="B125" i="20"/>
  <c r="D125" i="20"/>
  <c r="B126" i="20"/>
  <c r="D126" i="20"/>
  <c r="B127" i="20"/>
  <c r="D127" i="20"/>
  <c r="D120" i="20"/>
  <c r="C120" i="20"/>
  <c r="E120" i="20" s="1"/>
  <c r="B120" i="20"/>
  <c r="B93" i="20"/>
  <c r="E93" i="20"/>
  <c r="F93" i="20"/>
  <c r="B94" i="20"/>
  <c r="E94" i="20"/>
  <c r="F94" i="20"/>
  <c r="B95" i="20"/>
  <c r="E95" i="20"/>
  <c r="F95" i="20"/>
  <c r="B96" i="20"/>
  <c r="E96" i="20"/>
  <c r="F96" i="20"/>
  <c r="B97" i="20"/>
  <c r="E97" i="20"/>
  <c r="F97" i="20"/>
  <c r="B98" i="20"/>
  <c r="E98" i="20"/>
  <c r="F98" i="20"/>
  <c r="B99" i="20"/>
  <c r="E99" i="20"/>
  <c r="F99" i="20"/>
  <c r="F92" i="20"/>
  <c r="E92" i="20"/>
  <c r="B92" i="20"/>
  <c r="Y177" i="4"/>
  <c r="Y170" i="4"/>
  <c r="Y171" i="4"/>
  <c r="Y172" i="4"/>
  <c r="Y173" i="4"/>
  <c r="Y174" i="4"/>
  <c r="Y175" i="4"/>
  <c r="Y169" i="4"/>
  <c r="V177" i="4"/>
  <c r="W177" i="4" s="1"/>
  <c r="AE177" i="4" s="1"/>
  <c r="V171" i="4"/>
  <c r="W171" i="4" s="1"/>
  <c r="V170" i="4"/>
  <c r="W170" i="4" s="1"/>
  <c r="Y167" i="4"/>
  <c r="Y160" i="4"/>
  <c r="Y161" i="4"/>
  <c r="Y162" i="4"/>
  <c r="Y163" i="4"/>
  <c r="Y164" i="4"/>
  <c r="Y165" i="4"/>
  <c r="Y159" i="4"/>
  <c r="X158" i="4"/>
  <c r="V167" i="4"/>
  <c r="W167" i="4" s="1"/>
  <c r="V161" i="4"/>
  <c r="W161" i="4" s="1"/>
  <c r="AD161" i="4" s="1"/>
  <c r="V160" i="4"/>
  <c r="W160" i="4" s="1"/>
  <c r="AY177" i="4"/>
  <c r="AU177" i="4"/>
  <c r="AQ177" i="4"/>
  <c r="AM177" i="4"/>
  <c r="AJ177" i="4"/>
  <c r="AK177" i="4" s="1"/>
  <c r="AU176" i="4"/>
  <c r="AQ176" i="4"/>
  <c r="AM176" i="4"/>
  <c r="AJ176" i="4"/>
  <c r="AK176" i="4" s="1"/>
  <c r="AU175" i="4"/>
  <c r="AQ175" i="4"/>
  <c r="AM175" i="4"/>
  <c r="C127" i="20" s="1"/>
  <c r="E127" i="20" s="1"/>
  <c r="AJ175" i="4"/>
  <c r="AK175" i="4" s="1"/>
  <c r="AS175" i="4" s="1"/>
  <c r="D99" i="20" s="1"/>
  <c r="V175" i="4"/>
  <c r="AU174" i="4"/>
  <c r="AQ174" i="4"/>
  <c r="AM174" i="4"/>
  <c r="C126" i="20" s="1"/>
  <c r="E126" i="20" s="1"/>
  <c r="AJ174" i="4"/>
  <c r="AK174" i="4" s="1"/>
  <c r="AS174" i="4" s="1"/>
  <c r="D98" i="20" s="1"/>
  <c r="V174" i="4"/>
  <c r="AU173" i="4"/>
  <c r="AQ173" i="4"/>
  <c r="AM173" i="4"/>
  <c r="C125" i="20" s="1"/>
  <c r="E125" i="20" s="1"/>
  <c r="AJ173" i="4"/>
  <c r="AK173" i="4" s="1"/>
  <c r="AS173" i="4" s="1"/>
  <c r="D97" i="20" s="1"/>
  <c r="V173" i="4"/>
  <c r="AU172" i="4"/>
  <c r="AQ172" i="4"/>
  <c r="AM172" i="4"/>
  <c r="C124" i="20" s="1"/>
  <c r="E124" i="20" s="1"/>
  <c r="AJ172" i="4"/>
  <c r="AK172" i="4" s="1"/>
  <c r="V172" i="4"/>
  <c r="AU171" i="4"/>
  <c r="AQ171" i="4"/>
  <c r="AM171" i="4"/>
  <c r="C123" i="20" s="1"/>
  <c r="E123" i="20" s="1"/>
  <c r="AJ171" i="4"/>
  <c r="AK171" i="4" s="1"/>
  <c r="AS171" i="4" s="1"/>
  <c r="D95" i="20" s="1"/>
  <c r="AU170" i="4"/>
  <c r="AQ170" i="4"/>
  <c r="AM170" i="4"/>
  <c r="C122" i="20" s="1"/>
  <c r="E122" i="20" s="1"/>
  <c r="AJ170" i="4"/>
  <c r="AK170" i="4" s="1"/>
  <c r="AS170" i="4" s="1"/>
  <c r="D94" i="20" s="1"/>
  <c r="AU169" i="4"/>
  <c r="AQ169" i="4"/>
  <c r="AM169" i="4"/>
  <c r="C121" i="20" s="1"/>
  <c r="E121" i="20" s="1"/>
  <c r="AJ169" i="4"/>
  <c r="AK169" i="4" s="1"/>
  <c r="AS169" i="4" s="1"/>
  <c r="D93" i="20" s="1"/>
  <c r="V169" i="4"/>
  <c r="AU168" i="4"/>
  <c r="AQ168" i="4"/>
  <c r="AS168" i="4" s="1"/>
  <c r="D92" i="20" s="1"/>
  <c r="AE168" i="4"/>
  <c r="AD168" i="4"/>
  <c r="V168" i="4"/>
  <c r="B210" i="45"/>
  <c r="D210" i="45"/>
  <c r="B211" i="45"/>
  <c r="D211" i="45"/>
  <c r="B212" i="45"/>
  <c r="D212" i="45"/>
  <c r="B213" i="45"/>
  <c r="D213" i="45"/>
  <c r="B214" i="45"/>
  <c r="D214" i="45"/>
  <c r="D209" i="45"/>
  <c r="B209" i="45"/>
  <c r="B184" i="45"/>
  <c r="E184" i="45"/>
  <c r="F184" i="45"/>
  <c r="B185" i="45"/>
  <c r="E185" i="45"/>
  <c r="F185" i="45"/>
  <c r="B186" i="45"/>
  <c r="E186" i="45"/>
  <c r="F186" i="45"/>
  <c r="B187" i="45"/>
  <c r="E187" i="45"/>
  <c r="F187" i="45"/>
  <c r="B188" i="45"/>
  <c r="E188" i="45"/>
  <c r="F188" i="45"/>
  <c r="F183" i="45"/>
  <c r="E183" i="45"/>
  <c r="B183" i="45"/>
  <c r="B163" i="45"/>
  <c r="D163" i="45"/>
  <c r="B164" i="45"/>
  <c r="D164" i="45"/>
  <c r="B165" i="45"/>
  <c r="D165" i="45"/>
  <c r="B166" i="45"/>
  <c r="D166" i="45"/>
  <c r="D162" i="45"/>
  <c r="C162" i="45"/>
  <c r="E162" i="45" s="1"/>
  <c r="B162" i="45"/>
  <c r="F137" i="45"/>
  <c r="F138" i="45"/>
  <c r="F139" i="45"/>
  <c r="F140" i="45"/>
  <c r="B137" i="45"/>
  <c r="E137" i="45"/>
  <c r="B138" i="45"/>
  <c r="E138" i="45"/>
  <c r="B139" i="45"/>
  <c r="E139" i="45"/>
  <c r="B140" i="45"/>
  <c r="E140" i="45"/>
  <c r="F136" i="45"/>
  <c r="E136" i="45"/>
  <c r="B136" i="45"/>
  <c r="AU157" i="4"/>
  <c r="AQ157" i="4"/>
  <c r="AM157" i="4"/>
  <c r="C214" i="45" s="1"/>
  <c r="E214" i="45" s="1"/>
  <c r="AJ157" i="4"/>
  <c r="AK157" i="4" s="1"/>
  <c r="AD157" i="4"/>
  <c r="AY156" i="4"/>
  <c r="AU156" i="4"/>
  <c r="AQ156" i="4"/>
  <c r="AM156" i="4"/>
  <c r="C213" i="45" s="1"/>
  <c r="E213" i="45" s="1"/>
  <c r="AJ156" i="4"/>
  <c r="AK156" i="4" s="1"/>
  <c r="AD156" i="4"/>
  <c r="AY155" i="4"/>
  <c r="AU155" i="4"/>
  <c r="AQ155" i="4"/>
  <c r="AM155" i="4"/>
  <c r="C212" i="45" s="1"/>
  <c r="E212" i="45" s="1"/>
  <c r="AJ155" i="4"/>
  <c r="AK155" i="4" s="1"/>
  <c r="AD155" i="4"/>
  <c r="AY154" i="4"/>
  <c r="AU154" i="4"/>
  <c r="AQ154" i="4"/>
  <c r="AM154" i="4"/>
  <c r="C211" i="45" s="1"/>
  <c r="E211" i="45" s="1"/>
  <c r="AJ154" i="4"/>
  <c r="AK154" i="4" s="1"/>
  <c r="AD154" i="4"/>
  <c r="AU153" i="4"/>
  <c r="AQ153" i="4"/>
  <c r="AM153" i="4"/>
  <c r="C210" i="45" s="1"/>
  <c r="E210" i="45" s="1"/>
  <c r="AJ153" i="4"/>
  <c r="AK153" i="4" s="1"/>
  <c r="AR153" i="4" s="1"/>
  <c r="C184" i="45" s="1"/>
  <c r="AU152" i="4"/>
  <c r="AQ152" i="4"/>
  <c r="AM152" i="4"/>
  <c r="C209" i="45" s="1"/>
  <c r="E209" i="45" s="1"/>
  <c r="AJ152" i="4"/>
  <c r="AK152" i="4" s="1"/>
  <c r="AU151" i="4"/>
  <c r="AQ151" i="4"/>
  <c r="AM151" i="4"/>
  <c r="C166" i="45" s="1"/>
  <c r="E166" i="45" s="1"/>
  <c r="AJ151" i="4"/>
  <c r="AK151" i="4" s="1"/>
  <c r="AS151" i="4" s="1"/>
  <c r="D140" i="45" s="1"/>
  <c r="AD151" i="4"/>
  <c r="AU150" i="4"/>
  <c r="AQ150" i="4"/>
  <c r="AM150" i="4"/>
  <c r="C165" i="45" s="1"/>
  <c r="E165" i="45" s="1"/>
  <c r="AJ150" i="4"/>
  <c r="AK150" i="4" s="1"/>
  <c r="AS150" i="4" s="1"/>
  <c r="D139" i="45" s="1"/>
  <c r="AY149" i="4"/>
  <c r="AQ149" i="4"/>
  <c r="AM149" i="4"/>
  <c r="C164" i="45" s="1"/>
  <c r="E164" i="45" s="1"/>
  <c r="AJ149" i="4"/>
  <c r="AY148" i="4"/>
  <c r="AQ148" i="4"/>
  <c r="AM148" i="4"/>
  <c r="C163" i="45" s="1"/>
  <c r="E163" i="45" s="1"/>
  <c r="AJ148" i="4"/>
  <c r="AK148" i="4" s="1"/>
  <c r="AS148" i="4" s="1"/>
  <c r="D137" i="45" s="1"/>
  <c r="AU147" i="4"/>
  <c r="AS147" i="4"/>
  <c r="D136" i="45" s="1"/>
  <c r="AJ147" i="4"/>
  <c r="AR147" i="4" s="1"/>
  <c r="C136" i="45" s="1"/>
  <c r="AE147" i="4"/>
  <c r="AF147" i="4" s="1"/>
  <c r="AU160" i="4"/>
  <c r="AU161" i="4"/>
  <c r="AR178" i="4"/>
  <c r="AS178" i="4"/>
  <c r="AQ160" i="4"/>
  <c r="AQ161" i="4"/>
  <c r="AQ162" i="4"/>
  <c r="AQ163" i="4"/>
  <c r="AQ164" i="4"/>
  <c r="AQ165" i="4"/>
  <c r="AQ166" i="4"/>
  <c r="AQ167" i="4"/>
  <c r="AQ158" i="4"/>
  <c r="AS158" i="4" s="1"/>
  <c r="AQ159" i="4"/>
  <c r="AM160" i="4"/>
  <c r="AM161" i="4"/>
  <c r="AM162" i="4"/>
  <c r="AM163" i="4"/>
  <c r="AM164" i="4"/>
  <c r="AM165" i="4"/>
  <c r="AM166" i="4"/>
  <c r="AM167" i="4"/>
  <c r="AM159" i="4"/>
  <c r="AJ161" i="4"/>
  <c r="AK161" i="4" s="1"/>
  <c r="AJ160" i="4"/>
  <c r="AK160" i="4" s="1"/>
  <c r="AS160" i="4" s="1"/>
  <c r="B115" i="45"/>
  <c r="D115" i="45"/>
  <c r="B116" i="45"/>
  <c r="D116" i="45"/>
  <c r="B117" i="45"/>
  <c r="D117" i="45"/>
  <c r="B118" i="45"/>
  <c r="D118" i="45"/>
  <c r="B119" i="45"/>
  <c r="D119" i="45"/>
  <c r="D114" i="45"/>
  <c r="B114" i="45"/>
  <c r="F89" i="45"/>
  <c r="F90" i="45"/>
  <c r="F91" i="45"/>
  <c r="F92" i="45"/>
  <c r="F93" i="45"/>
  <c r="F88" i="45"/>
  <c r="B89" i="45"/>
  <c r="E89" i="45"/>
  <c r="B90" i="45"/>
  <c r="E90" i="45"/>
  <c r="B91" i="45"/>
  <c r="E91" i="45"/>
  <c r="B92" i="45"/>
  <c r="E92" i="45"/>
  <c r="B93" i="45"/>
  <c r="E93" i="45"/>
  <c r="E88" i="45"/>
  <c r="B88" i="45"/>
  <c r="B68" i="45"/>
  <c r="D68" i="45"/>
  <c r="B69" i="45"/>
  <c r="D69" i="45"/>
  <c r="B70" i="45"/>
  <c r="D70" i="45"/>
  <c r="B71" i="45"/>
  <c r="D71" i="45"/>
  <c r="D67" i="45"/>
  <c r="C67" i="45"/>
  <c r="E67" i="45" s="1"/>
  <c r="B67" i="45"/>
  <c r="F45" i="45"/>
  <c r="F42" i="45"/>
  <c r="F43" i="45"/>
  <c r="F44" i="45"/>
  <c r="B42" i="45"/>
  <c r="E42" i="45"/>
  <c r="B43" i="45"/>
  <c r="E43" i="45"/>
  <c r="B44" i="45"/>
  <c r="E44" i="45"/>
  <c r="B45" i="45"/>
  <c r="E45" i="45"/>
  <c r="F41" i="45"/>
  <c r="E41" i="45"/>
  <c r="B41" i="45"/>
  <c r="C10" i="45"/>
  <c r="C9" i="45"/>
  <c r="C8" i="45"/>
  <c r="C7" i="45"/>
  <c r="AC143" i="4"/>
  <c r="AC144" i="4"/>
  <c r="AC145" i="4"/>
  <c r="Y143" i="4"/>
  <c r="Y144" i="4"/>
  <c r="Y145" i="4"/>
  <c r="V143" i="4"/>
  <c r="W143" i="4" s="1"/>
  <c r="V144" i="4"/>
  <c r="W144" i="4" s="1"/>
  <c r="V145" i="4"/>
  <c r="W145" i="4" s="1"/>
  <c r="AU144" i="4"/>
  <c r="AY144" i="4"/>
  <c r="AQ144" i="4"/>
  <c r="AM144" i="4"/>
  <c r="C117" i="45" s="1"/>
  <c r="E117" i="45" s="1"/>
  <c r="AJ144" i="4"/>
  <c r="AK144" i="4" s="1"/>
  <c r="AS144" i="4" s="1"/>
  <c r="AU146" i="4"/>
  <c r="AQ146" i="4"/>
  <c r="AM146" i="4"/>
  <c r="C119" i="45" s="1"/>
  <c r="E119" i="45" s="1"/>
  <c r="AJ146" i="4"/>
  <c r="AK146" i="4" s="1"/>
  <c r="AC146" i="4"/>
  <c r="Y146" i="4"/>
  <c r="V146" i="4"/>
  <c r="W146" i="4" s="1"/>
  <c r="AD146" i="4" s="1"/>
  <c r="AY145" i="4"/>
  <c r="AU145" i="4"/>
  <c r="AQ145" i="4"/>
  <c r="AM145" i="4"/>
  <c r="C118" i="45" s="1"/>
  <c r="E118" i="45" s="1"/>
  <c r="AJ145" i="4"/>
  <c r="AK145" i="4" s="1"/>
  <c r="AY143" i="4"/>
  <c r="AU143" i="4"/>
  <c r="AQ143" i="4"/>
  <c r="AM143" i="4"/>
  <c r="C116" i="45" s="1"/>
  <c r="E116" i="45" s="1"/>
  <c r="AJ143" i="4"/>
  <c r="AK143" i="4" s="1"/>
  <c r="AR143" i="4" s="1"/>
  <c r="C90" i="45" s="1"/>
  <c r="AU142" i="4"/>
  <c r="AQ142" i="4"/>
  <c r="AM142" i="4"/>
  <c r="C115" i="45" s="1"/>
  <c r="E115" i="45" s="1"/>
  <c r="AJ142" i="4"/>
  <c r="AK142" i="4" s="1"/>
  <c r="AR142" i="4" s="1"/>
  <c r="C89" i="45" s="1"/>
  <c r="Y142" i="4"/>
  <c r="V142" i="4"/>
  <c r="W142" i="4" s="1"/>
  <c r="AU141" i="4"/>
  <c r="AQ141" i="4"/>
  <c r="AM141" i="4"/>
  <c r="C114" i="45" s="1"/>
  <c r="E114" i="45" s="1"/>
  <c r="AJ141" i="4"/>
  <c r="AK141" i="4" s="1"/>
  <c r="AU140" i="4"/>
  <c r="AQ140" i="4"/>
  <c r="AM140" i="4"/>
  <c r="C71" i="45" s="1"/>
  <c r="E71" i="45" s="1"/>
  <c r="AJ140" i="4"/>
  <c r="AK140" i="4" s="1"/>
  <c r="AS140" i="4" s="1"/>
  <c r="D45" i="45" s="1"/>
  <c r="AC140" i="4"/>
  <c r="Y140" i="4"/>
  <c r="V140" i="4"/>
  <c r="W140" i="4" s="1"/>
  <c r="AD140" i="4" s="1"/>
  <c r="AU139" i="4"/>
  <c r="AQ139" i="4"/>
  <c r="AM139" i="4"/>
  <c r="C70" i="45" s="1"/>
  <c r="E70" i="45" s="1"/>
  <c r="AJ139" i="4"/>
  <c r="AR139" i="4" s="1"/>
  <c r="AY138" i="4"/>
  <c r="AQ138" i="4"/>
  <c r="AM138" i="4"/>
  <c r="C69" i="45" s="1"/>
  <c r="E69" i="45" s="1"/>
  <c r="AJ138" i="4"/>
  <c r="AK138" i="4" s="1"/>
  <c r="AS138" i="4" s="1"/>
  <c r="D43" i="45" s="1"/>
  <c r="AY137" i="4"/>
  <c r="AQ137" i="4"/>
  <c r="AM137" i="4"/>
  <c r="C68" i="45" s="1"/>
  <c r="E68" i="45" s="1"/>
  <c r="AJ137" i="4"/>
  <c r="AK137" i="4" s="1"/>
  <c r="AS137" i="4" s="1"/>
  <c r="D42" i="45" s="1"/>
  <c r="AU136" i="4"/>
  <c r="AS136" i="4"/>
  <c r="D41" i="45" s="1"/>
  <c r="AJ136" i="4"/>
  <c r="AR136" i="4" s="1"/>
  <c r="AE136" i="4"/>
  <c r="AF136" i="4" s="1"/>
  <c r="V136" i="4"/>
  <c r="B42" i="44"/>
  <c r="B43" i="44"/>
  <c r="E43" i="44"/>
  <c r="F43" i="44"/>
  <c r="B44" i="44"/>
  <c r="E44" i="44"/>
  <c r="F44" i="44"/>
  <c r="B45" i="44"/>
  <c r="E45" i="44"/>
  <c r="F45" i="44"/>
  <c r="B46" i="44"/>
  <c r="E46" i="44"/>
  <c r="F46" i="44"/>
  <c r="B47" i="44"/>
  <c r="E47" i="44"/>
  <c r="F47" i="44"/>
  <c r="B48" i="44"/>
  <c r="E48" i="44"/>
  <c r="F48" i="44"/>
  <c r="B49" i="44"/>
  <c r="E49" i="44"/>
  <c r="F49" i="44"/>
  <c r="B50" i="44"/>
  <c r="E50" i="44"/>
  <c r="F50" i="44"/>
  <c r="F41" i="44"/>
  <c r="E41" i="44"/>
  <c r="B41" i="44"/>
  <c r="C10" i="44"/>
  <c r="C9" i="44"/>
  <c r="C8" i="44"/>
  <c r="C7" i="44"/>
  <c r="V127" i="4"/>
  <c r="AE127" i="4" s="1"/>
  <c r="V129" i="4"/>
  <c r="AE129" i="4" s="1"/>
  <c r="V133" i="4"/>
  <c r="AD133" i="4" s="1"/>
  <c r="V134" i="4"/>
  <c r="AE134" i="4" s="1"/>
  <c r="V135" i="4"/>
  <c r="AE135" i="4" s="1"/>
  <c r="V130" i="4"/>
  <c r="AE130" i="4" s="1"/>
  <c r="AR184" i="4" l="1"/>
  <c r="AD127" i="4"/>
  <c r="AF127" i="4" s="1"/>
  <c r="AR168" i="4"/>
  <c r="C92" i="20" s="1"/>
  <c r="G92" i="20" s="1"/>
  <c r="AK184" i="4"/>
  <c r="AS184" i="4" s="1"/>
  <c r="D89" i="21" s="1"/>
  <c r="AR158" i="4"/>
  <c r="AS183" i="4"/>
  <c r="D88" i="21" s="1"/>
  <c r="AS185" i="4"/>
  <c r="D90" i="21" s="1"/>
  <c r="AK186" i="4"/>
  <c r="AS186" i="4" s="1"/>
  <c r="D91" i="21" s="1"/>
  <c r="AR196" i="4"/>
  <c r="AT196" i="4" s="1"/>
  <c r="AT136" i="4"/>
  <c r="AV136" i="4" s="1"/>
  <c r="AW136" i="4" s="1"/>
  <c r="AX136" i="4" s="1"/>
  <c r="AY136" i="4" s="1"/>
  <c r="C41" i="45"/>
  <c r="G41" i="45" s="1"/>
  <c r="D91" i="45"/>
  <c r="AD144" i="4"/>
  <c r="AE144" i="4"/>
  <c r="AD145" i="4"/>
  <c r="AE145" i="4"/>
  <c r="AD129" i="4"/>
  <c r="AF129" i="4" s="1"/>
  <c r="AR144" i="4"/>
  <c r="C91" i="45" s="1"/>
  <c r="C44" i="45"/>
  <c r="AT168" i="4"/>
  <c r="W169" i="4"/>
  <c r="AD169" i="4" s="1"/>
  <c r="AS172" i="4"/>
  <c r="D96" i="20" s="1"/>
  <c r="AR172" i="4"/>
  <c r="C96" i="20" s="1"/>
  <c r="AD167" i="4"/>
  <c r="AE167" i="4"/>
  <c r="AD170" i="4"/>
  <c r="AE170" i="4"/>
  <c r="C89" i="21"/>
  <c r="C91" i="21"/>
  <c r="AE186" i="4"/>
  <c r="AD186" i="4"/>
  <c r="AE188" i="4"/>
  <c r="AD188" i="4"/>
  <c r="AE190" i="4"/>
  <c r="AD190" i="4"/>
  <c r="AK139" i="4"/>
  <c r="AS139" i="4" s="1"/>
  <c r="D44" i="45" s="1"/>
  <c r="AR161" i="4"/>
  <c r="AR149" i="4"/>
  <c r="C138" i="45" s="1"/>
  <c r="AK149" i="4"/>
  <c r="AS149" i="4" s="1"/>
  <c r="D138" i="45" s="1"/>
  <c r="AD171" i="4"/>
  <c r="AE171" i="4"/>
  <c r="AE184" i="4"/>
  <c r="AD184" i="4"/>
  <c r="AE187" i="4"/>
  <c r="AD187" i="4"/>
  <c r="AE189" i="4"/>
  <c r="AD189" i="4"/>
  <c r="AT192" i="4"/>
  <c r="C144" i="21"/>
  <c r="G144" i="21" s="1"/>
  <c r="C148" i="21"/>
  <c r="G148" i="21" s="1"/>
  <c r="AR160" i="4"/>
  <c r="AT160" i="4" s="1"/>
  <c r="AR148" i="4"/>
  <c r="AR150" i="4"/>
  <c r="AR185" i="4"/>
  <c r="AR183" i="4"/>
  <c r="AF192" i="4"/>
  <c r="AR202" i="4"/>
  <c r="G136" i="45"/>
  <c r="AK200" i="4"/>
  <c r="AR197" i="4"/>
  <c r="AE196" i="4"/>
  <c r="AF196" i="4" s="1"/>
  <c r="AD200" i="4"/>
  <c r="AF200" i="4" s="1"/>
  <c r="AE202" i="4"/>
  <c r="AF202" i="4" s="1"/>
  <c r="AD203" i="4"/>
  <c r="AE203" i="4"/>
  <c r="AS203" i="4"/>
  <c r="D197" i="21" s="1"/>
  <c r="AR203" i="4"/>
  <c r="C197" i="21" s="1"/>
  <c r="AD205" i="4"/>
  <c r="AE205" i="4"/>
  <c r="AS205" i="4"/>
  <c r="D199" i="21" s="1"/>
  <c r="AR205" i="4"/>
  <c r="AS161" i="4"/>
  <c r="AR193" i="4"/>
  <c r="AR194" i="4"/>
  <c r="AR195" i="4"/>
  <c r="AD198" i="4"/>
  <c r="AF198" i="4" s="1"/>
  <c r="AR198" i="4"/>
  <c r="AR199" i="4"/>
  <c r="AE201" i="4"/>
  <c r="AF201" i="4" s="1"/>
  <c r="AR201" i="4"/>
  <c r="AD204" i="4"/>
  <c r="AF204" i="4" s="1"/>
  <c r="AS204" i="4"/>
  <c r="AE160" i="4"/>
  <c r="AD160" i="4"/>
  <c r="AE161" i="4"/>
  <c r="AF161" i="4" s="1"/>
  <c r="W175" i="4"/>
  <c r="AD175" i="4" s="1"/>
  <c r="W173" i="4"/>
  <c r="AD173" i="4" s="1"/>
  <c r="AD177" i="4"/>
  <c r="AF177" i="4" s="1"/>
  <c r="W174" i="4"/>
  <c r="AD174" i="4" s="1"/>
  <c r="W172" i="4"/>
  <c r="AD172" i="4" s="1"/>
  <c r="AF168" i="4"/>
  <c r="AR174" i="4"/>
  <c r="AE174" i="4"/>
  <c r="AR169" i="4"/>
  <c r="AR170" i="4"/>
  <c r="AR171" i="4"/>
  <c r="AR173" i="4"/>
  <c r="AR175" i="4"/>
  <c r="AS176" i="4"/>
  <c r="AR176" i="4"/>
  <c r="AS177" i="4"/>
  <c r="AR177" i="4"/>
  <c r="AE143" i="4"/>
  <c r="AD143" i="4"/>
  <c r="AS155" i="4"/>
  <c r="D186" i="45" s="1"/>
  <c r="AR155" i="4"/>
  <c r="C186" i="45" s="1"/>
  <c r="AS157" i="4"/>
  <c r="D188" i="45" s="1"/>
  <c r="AR157" i="4"/>
  <c r="C188" i="45" s="1"/>
  <c r="AT147" i="4"/>
  <c r="AV147" i="4" s="1"/>
  <c r="AW147" i="4" s="1"/>
  <c r="AX147" i="4" s="1"/>
  <c r="AY147" i="4" s="1"/>
  <c r="AS152" i="4"/>
  <c r="D183" i="45" s="1"/>
  <c r="AR152" i="4"/>
  <c r="C183" i="45" s="1"/>
  <c r="AE153" i="4"/>
  <c r="AD153" i="4"/>
  <c r="AS154" i="4"/>
  <c r="D185" i="45" s="1"/>
  <c r="AR154" i="4"/>
  <c r="AS156" i="4"/>
  <c r="D187" i="45" s="1"/>
  <c r="AR156" i="4"/>
  <c r="C187" i="45" s="1"/>
  <c r="AE151" i="4"/>
  <c r="AF151" i="4" s="1"/>
  <c r="AR151" i="4"/>
  <c r="AS153" i="4"/>
  <c r="AE154" i="4"/>
  <c r="AF154" i="4" s="1"/>
  <c r="AE155" i="4"/>
  <c r="AF155" i="4" s="1"/>
  <c r="AE156" i="4"/>
  <c r="AF156" i="4" s="1"/>
  <c r="AE157" i="4"/>
  <c r="AF157" i="4" s="1"/>
  <c r="AD135" i="4"/>
  <c r="AE133" i="4"/>
  <c r="AF133" i="4" s="1"/>
  <c r="AD134" i="4"/>
  <c r="AS146" i="4"/>
  <c r="D93" i="45" s="1"/>
  <c r="AR146" i="4"/>
  <c r="C93" i="45" s="1"/>
  <c r="AD130" i="4"/>
  <c r="AS141" i="4"/>
  <c r="D88" i="45" s="1"/>
  <c r="AR141" i="4"/>
  <c r="C88" i="45" s="1"/>
  <c r="AE142" i="4"/>
  <c r="AD142" i="4"/>
  <c r="AS145" i="4"/>
  <c r="D92" i="45" s="1"/>
  <c r="AR145" i="4"/>
  <c r="C92" i="45" s="1"/>
  <c r="AR137" i="4"/>
  <c r="AR138" i="4"/>
  <c r="AE140" i="4"/>
  <c r="AF140" i="4" s="1"/>
  <c r="AR140" i="4"/>
  <c r="AS142" i="4"/>
  <c r="AS143" i="4"/>
  <c r="AE146" i="4"/>
  <c r="AF146" i="4" s="1"/>
  <c r="AU126" i="4"/>
  <c r="AU127" i="4"/>
  <c r="AU128" i="4"/>
  <c r="AU129" i="4"/>
  <c r="AU130" i="4"/>
  <c r="AU131" i="4"/>
  <c r="AU132" i="4"/>
  <c r="AU133" i="4"/>
  <c r="AJ128" i="4"/>
  <c r="AR128" i="4" s="1"/>
  <c r="C43" i="44" s="1"/>
  <c r="AJ129" i="4"/>
  <c r="AS129" i="4" s="1"/>
  <c r="AJ130" i="4"/>
  <c r="AR130" i="4" s="1"/>
  <c r="C45" i="44" s="1"/>
  <c r="AJ131" i="4"/>
  <c r="AS131" i="4" s="1"/>
  <c r="AJ132" i="4"/>
  <c r="AR132" i="4" s="1"/>
  <c r="C47" i="44" s="1"/>
  <c r="AJ133" i="4"/>
  <c r="AS133" i="4" s="1"/>
  <c r="AJ134" i="4"/>
  <c r="AR134" i="4" s="1"/>
  <c r="C49" i="44" s="1"/>
  <c r="AJ135" i="4"/>
  <c r="AS135" i="4" s="1"/>
  <c r="D50" i="44" s="1"/>
  <c r="AJ127" i="4"/>
  <c r="AS127" i="4" s="1"/>
  <c r="AS126" i="4"/>
  <c r="AU135" i="4"/>
  <c r="AU134" i="4"/>
  <c r="V128" i="4"/>
  <c r="BD126" i="4"/>
  <c r="AR200" i="4" l="1"/>
  <c r="C194" i="21" s="1"/>
  <c r="AS200" i="4"/>
  <c r="AE173" i="4"/>
  <c r="AE169" i="4"/>
  <c r="AT172" i="4"/>
  <c r="AV196" i="4"/>
  <c r="AW196" i="4" s="1"/>
  <c r="AX196" i="4" s="1"/>
  <c r="AY196" i="4" s="1"/>
  <c r="G44" i="45"/>
  <c r="AT149" i="4"/>
  <c r="AF143" i="4"/>
  <c r="AE175" i="4"/>
  <c r="AF175" i="4" s="1"/>
  <c r="AT186" i="4"/>
  <c r="AT184" i="4"/>
  <c r="AR131" i="4"/>
  <c r="C46" i="44" s="1"/>
  <c r="AF169" i="4"/>
  <c r="AT161" i="4"/>
  <c r="AV161" i="4" s="1"/>
  <c r="AW161" i="4" s="1"/>
  <c r="AX161" i="4" s="1"/>
  <c r="AY161" i="4" s="1"/>
  <c r="G91" i="21"/>
  <c r="G89" i="21"/>
  <c r="AF167" i="4"/>
  <c r="G91" i="45"/>
  <c r="AV168" i="4"/>
  <c r="AW168" i="4" s="1"/>
  <c r="AX168" i="4" s="1"/>
  <c r="AY168" i="4" s="1"/>
  <c r="AR133" i="4"/>
  <c r="C48" i="44" s="1"/>
  <c r="AR129" i="4"/>
  <c r="C44" i="44" s="1"/>
  <c r="AR126" i="4"/>
  <c r="C41" i="44" s="1"/>
  <c r="AF142" i="4"/>
  <c r="AE172" i="4"/>
  <c r="AF172" i="4" s="1"/>
  <c r="AV172" i="4" s="1"/>
  <c r="AW172" i="4" s="1"/>
  <c r="AX172" i="4" s="1"/>
  <c r="AY172" i="4" s="1"/>
  <c r="AV192" i="4"/>
  <c r="AW192" i="4" s="1"/>
  <c r="AX192" i="4" s="1"/>
  <c r="AY192" i="4" s="1"/>
  <c r="AF189" i="4"/>
  <c r="AF187" i="4"/>
  <c r="AF184" i="4"/>
  <c r="AF171" i="4"/>
  <c r="AF145" i="4"/>
  <c r="G92" i="45"/>
  <c r="G88" i="45"/>
  <c r="G93" i="45"/>
  <c r="G187" i="45"/>
  <c r="G183" i="45"/>
  <c r="G188" i="45"/>
  <c r="G186" i="45"/>
  <c r="G197" i="21"/>
  <c r="G138" i="45"/>
  <c r="D41" i="44"/>
  <c r="D48" i="44"/>
  <c r="D46" i="44"/>
  <c r="AT129" i="4"/>
  <c r="AV129" i="4" s="1"/>
  <c r="AW129" i="4" s="1"/>
  <c r="AX129" i="4" s="1"/>
  <c r="AY129" i="4" s="1"/>
  <c r="D44" i="44"/>
  <c r="D42" i="44"/>
  <c r="G46" i="44"/>
  <c r="AS132" i="4"/>
  <c r="AS128" i="4"/>
  <c r="AR127" i="4"/>
  <c r="C42" i="44" s="1"/>
  <c r="G42" i="44" s="1"/>
  <c r="AT140" i="4"/>
  <c r="AV140" i="4" s="1"/>
  <c r="AW140" i="4" s="1"/>
  <c r="AX140" i="4" s="1"/>
  <c r="AY140" i="4" s="1"/>
  <c r="C45" i="45"/>
  <c r="G45" i="45" s="1"/>
  <c r="AT154" i="4"/>
  <c r="C185" i="45"/>
  <c r="G185" i="45" s="1"/>
  <c r="AS130" i="4"/>
  <c r="AT143" i="4"/>
  <c r="D90" i="45"/>
  <c r="G90" i="45" s="1"/>
  <c r="AT138" i="4"/>
  <c r="C43" i="45"/>
  <c r="G43" i="45" s="1"/>
  <c r="AT153" i="4"/>
  <c r="D184" i="45"/>
  <c r="G184" i="45" s="1"/>
  <c r="AT204" i="4"/>
  <c r="AV204" i="4" s="1"/>
  <c r="AW204" i="4" s="1"/>
  <c r="AX204" i="4" s="1"/>
  <c r="AY204" i="4" s="1"/>
  <c r="D198" i="21"/>
  <c r="G198" i="21" s="1"/>
  <c r="AT201" i="4"/>
  <c r="AV201" i="4" s="1"/>
  <c r="AW201" i="4" s="1"/>
  <c r="AX201" i="4" s="1"/>
  <c r="AY201" i="4" s="1"/>
  <c r="C195" i="21"/>
  <c r="G195" i="21" s="1"/>
  <c r="AT198" i="4"/>
  <c r="AV198" i="4" s="1"/>
  <c r="AW198" i="4" s="1"/>
  <c r="AX198" i="4" s="1"/>
  <c r="AY198" i="4" s="1"/>
  <c r="C192" i="21"/>
  <c r="G192" i="21" s="1"/>
  <c r="AT195" i="4"/>
  <c r="AV195" i="4" s="1"/>
  <c r="AW195" i="4" s="1"/>
  <c r="AX195" i="4" s="1"/>
  <c r="AY195" i="4" s="1"/>
  <c r="C147" i="21"/>
  <c r="G147" i="21" s="1"/>
  <c r="AT193" i="4"/>
  <c r="C145" i="21"/>
  <c r="G145" i="21" s="1"/>
  <c r="AT197" i="4"/>
  <c r="AV197" i="4" s="1"/>
  <c r="AW197" i="4" s="1"/>
  <c r="AX197" i="4" s="1"/>
  <c r="AY197" i="4" s="1"/>
  <c r="C191" i="21"/>
  <c r="G191" i="21" s="1"/>
  <c r="AT183" i="4"/>
  <c r="AV183" i="4" s="1"/>
  <c r="AW183" i="4" s="1"/>
  <c r="AX183" i="4" s="1"/>
  <c r="AY183" i="4" s="1"/>
  <c r="C88" i="21"/>
  <c r="G88" i="21" s="1"/>
  <c r="AT150" i="4"/>
  <c r="AV150" i="4" s="1"/>
  <c r="AW150" i="4" s="1"/>
  <c r="AX150" i="4" s="1"/>
  <c r="AY150" i="4" s="1"/>
  <c r="C139" i="45"/>
  <c r="G139" i="45" s="1"/>
  <c r="AT142" i="4"/>
  <c r="D89" i="45"/>
  <c r="G89" i="45" s="1"/>
  <c r="AT137" i="4"/>
  <c r="C42" i="45"/>
  <c r="G42" i="45" s="1"/>
  <c r="AT151" i="4"/>
  <c r="C140" i="45"/>
  <c r="G140" i="45" s="1"/>
  <c r="AT169" i="4"/>
  <c r="C93" i="20"/>
  <c r="G93" i="20" s="1"/>
  <c r="AF160" i="4"/>
  <c r="AT199" i="4"/>
  <c r="AV199" i="4" s="1"/>
  <c r="AW199" i="4" s="1"/>
  <c r="AX199" i="4" s="1"/>
  <c r="AY199" i="4" s="1"/>
  <c r="C193" i="21"/>
  <c r="G193" i="21" s="1"/>
  <c r="AT194" i="4"/>
  <c r="C146" i="21"/>
  <c r="G146" i="21" s="1"/>
  <c r="G96" i="20"/>
  <c r="AT205" i="4"/>
  <c r="C199" i="21"/>
  <c r="G199" i="21" s="1"/>
  <c r="AT200" i="4"/>
  <c r="AV200" i="4" s="1"/>
  <c r="AW200" i="4" s="1"/>
  <c r="AX200" i="4" s="1"/>
  <c r="AY200" i="4" s="1"/>
  <c r="D194" i="21"/>
  <c r="G194" i="21" s="1"/>
  <c r="AT202" i="4"/>
  <c r="AV202" i="4" s="1"/>
  <c r="AW202" i="4" s="1"/>
  <c r="AX202" i="4" s="1"/>
  <c r="AY202" i="4" s="1"/>
  <c r="C196" i="21"/>
  <c r="G196" i="21" s="1"/>
  <c r="AT185" i="4"/>
  <c r="AV185" i="4" s="1"/>
  <c r="AW185" i="4" s="1"/>
  <c r="AX185" i="4" s="1"/>
  <c r="AY185" i="4" s="1"/>
  <c r="C90" i="21"/>
  <c r="G90" i="21" s="1"/>
  <c r="AT148" i="4"/>
  <c r="C137" i="45"/>
  <c r="G137" i="45" s="1"/>
  <c r="AF190" i="4"/>
  <c r="AF188" i="4"/>
  <c r="AF186" i="4"/>
  <c r="AV184" i="4"/>
  <c r="AW184" i="4" s="1"/>
  <c r="AX184" i="4" s="1"/>
  <c r="AY184" i="4" s="1"/>
  <c r="AF170" i="4"/>
  <c r="AT139" i="4"/>
  <c r="AV139" i="4" s="1"/>
  <c r="AW139" i="4" s="1"/>
  <c r="AX139" i="4" s="1"/>
  <c r="AY139" i="4" s="1"/>
  <c r="AF144" i="4"/>
  <c r="AT144" i="4"/>
  <c r="AT203" i="4"/>
  <c r="AT170" i="4"/>
  <c r="C94" i="20"/>
  <c r="G94" i="20" s="1"/>
  <c r="AT174" i="4"/>
  <c r="C98" i="20"/>
  <c r="G98" i="20" s="1"/>
  <c r="AT177" i="4"/>
  <c r="AT176" i="4"/>
  <c r="AT175" i="4"/>
  <c r="C99" i="20"/>
  <c r="G99" i="20" s="1"/>
  <c r="AT173" i="4"/>
  <c r="C97" i="20"/>
  <c r="G97" i="20" s="1"/>
  <c r="AT171" i="4"/>
  <c r="C95" i="20"/>
  <c r="G95" i="20" s="1"/>
  <c r="AF205" i="4"/>
  <c r="AF203" i="4"/>
  <c r="AF173" i="4"/>
  <c r="AV160" i="4"/>
  <c r="AW160" i="4" s="1"/>
  <c r="AX160" i="4" s="1"/>
  <c r="AY160" i="4" s="1"/>
  <c r="AF174" i="4"/>
  <c r="AV174" i="4" s="1"/>
  <c r="AW174" i="4" s="1"/>
  <c r="AX174" i="4" s="1"/>
  <c r="AY174" i="4" s="1"/>
  <c r="AV176" i="4"/>
  <c r="AW176" i="4" s="1"/>
  <c r="AX176" i="4" s="1"/>
  <c r="AY176" i="4" s="1"/>
  <c r="AT155" i="4"/>
  <c r="AV151" i="4"/>
  <c r="AW151" i="4" s="1"/>
  <c r="AX151" i="4" s="1"/>
  <c r="AY151" i="4" s="1"/>
  <c r="AT156" i="4"/>
  <c r="AF153" i="4"/>
  <c r="AT152" i="4"/>
  <c r="AV152" i="4" s="1"/>
  <c r="AW152" i="4" s="1"/>
  <c r="AX152" i="4" s="1"/>
  <c r="AY152" i="4" s="1"/>
  <c r="AT157" i="4"/>
  <c r="AV157" i="4" s="1"/>
  <c r="AW157" i="4" s="1"/>
  <c r="AX157" i="4" s="1"/>
  <c r="AY157" i="4" s="1"/>
  <c r="AT141" i="4"/>
  <c r="AV141" i="4" s="1"/>
  <c r="AW141" i="4" s="1"/>
  <c r="AX141" i="4" s="1"/>
  <c r="AY141" i="4" s="1"/>
  <c r="AT146" i="4"/>
  <c r="AV146" i="4" s="1"/>
  <c r="AW146" i="4" s="1"/>
  <c r="AX146" i="4" s="1"/>
  <c r="AY146" i="4" s="1"/>
  <c r="AE128" i="4"/>
  <c r="AD128" i="4"/>
  <c r="AT145" i="4"/>
  <c r="AF135" i="4"/>
  <c r="AR135" i="4"/>
  <c r="AF130" i="4"/>
  <c r="AF134" i="4"/>
  <c r="AS134" i="4"/>
  <c r="AV175" i="4" l="1"/>
  <c r="AW175" i="4" s="1"/>
  <c r="AX175" i="4" s="1"/>
  <c r="AY175" i="4" s="1"/>
  <c r="AV205" i="4"/>
  <c r="AW205" i="4" s="1"/>
  <c r="AX205" i="4" s="1"/>
  <c r="AY205" i="4" s="1"/>
  <c r="AV171" i="4"/>
  <c r="AW171" i="4" s="1"/>
  <c r="AX171" i="4" s="1"/>
  <c r="AY171" i="4" s="1"/>
  <c r="AV170" i="4"/>
  <c r="AW170" i="4" s="1"/>
  <c r="AX170" i="4" s="1"/>
  <c r="AY170" i="4" s="1"/>
  <c r="AV153" i="4"/>
  <c r="AW153" i="4" s="1"/>
  <c r="AX153" i="4" s="1"/>
  <c r="AY153" i="4" s="1"/>
  <c r="G41" i="44"/>
  <c r="AV142" i="4"/>
  <c r="AW142" i="4" s="1"/>
  <c r="AX142" i="4" s="1"/>
  <c r="AY142" i="4" s="1"/>
  <c r="G48" i="44"/>
  <c r="AV186" i="4"/>
  <c r="AW186" i="4" s="1"/>
  <c r="AX186" i="4" s="1"/>
  <c r="AY186" i="4" s="1"/>
  <c r="AT131" i="4"/>
  <c r="AV131" i="4" s="1"/>
  <c r="AW131" i="4" s="1"/>
  <c r="AX131" i="4" s="1"/>
  <c r="AY131" i="4" s="1"/>
  <c r="AT133" i="4"/>
  <c r="AV133" i="4" s="1"/>
  <c r="AW133" i="4" s="1"/>
  <c r="AX133" i="4" s="1"/>
  <c r="AY133" i="4" s="1"/>
  <c r="G44" i="44"/>
  <c r="AV169" i="4"/>
  <c r="AW169" i="4" s="1"/>
  <c r="AX169" i="4" s="1"/>
  <c r="AY169" i="4" s="1"/>
  <c r="AT126" i="4"/>
  <c r="AV126" i="4" s="1"/>
  <c r="AW126" i="4" s="1"/>
  <c r="AX126" i="4" s="1"/>
  <c r="AY126" i="4" s="1"/>
  <c r="AT132" i="4"/>
  <c r="AV132" i="4" s="1"/>
  <c r="AW132" i="4" s="1"/>
  <c r="AX132" i="4" s="1"/>
  <c r="AY132" i="4" s="1"/>
  <c r="D47" i="44"/>
  <c r="G47" i="44" s="1"/>
  <c r="AT127" i="4"/>
  <c r="AV127" i="4" s="1"/>
  <c r="AW127" i="4" s="1"/>
  <c r="AX127" i="4" s="1"/>
  <c r="AY127" i="4" s="1"/>
  <c r="AT134" i="4"/>
  <c r="AV134" i="4" s="1"/>
  <c r="AW134" i="4" s="1"/>
  <c r="AX134" i="4" s="1"/>
  <c r="AY134" i="4" s="1"/>
  <c r="D49" i="44"/>
  <c r="G49" i="44" s="1"/>
  <c r="AT135" i="4"/>
  <c r="AV135" i="4" s="1"/>
  <c r="AW135" i="4" s="1"/>
  <c r="AX135" i="4" s="1"/>
  <c r="AY135" i="4" s="1"/>
  <c r="C50" i="44"/>
  <c r="G50" i="44" s="1"/>
  <c r="AV203" i="4"/>
  <c r="AW203" i="4" s="1"/>
  <c r="AX203" i="4" s="1"/>
  <c r="AY203" i="4" s="1"/>
  <c r="AT130" i="4"/>
  <c r="AV130" i="4" s="1"/>
  <c r="AW130" i="4" s="1"/>
  <c r="AX130" i="4" s="1"/>
  <c r="AY130" i="4" s="1"/>
  <c r="D45" i="44"/>
  <c r="G45" i="44" s="1"/>
  <c r="AT128" i="4"/>
  <c r="D43" i="44"/>
  <c r="G43" i="44" s="1"/>
  <c r="AV173" i="4"/>
  <c r="AW173" i="4" s="1"/>
  <c r="AX173" i="4" s="1"/>
  <c r="AY173" i="4" s="1"/>
  <c r="AF128" i="4"/>
  <c r="AV128" i="4" l="1"/>
  <c r="AW128" i="4" s="1"/>
  <c r="AX128" i="4" s="1"/>
  <c r="AY128" i="4" s="1"/>
  <c r="BC130" i="4" l="1"/>
  <c r="AJ75" i="4"/>
  <c r="AJ76" i="4"/>
  <c r="AJ74" i="4"/>
  <c r="B91" i="35" l="1"/>
  <c r="C91" i="35"/>
  <c r="D91" i="35"/>
  <c r="B92" i="35"/>
  <c r="C92" i="35"/>
  <c r="D92" i="35"/>
  <c r="B93" i="35"/>
  <c r="C93" i="35"/>
  <c r="D93" i="35"/>
  <c r="D90" i="35"/>
  <c r="C90" i="35"/>
  <c r="B90" i="35"/>
  <c r="E90" i="35"/>
  <c r="E91" i="35"/>
  <c r="E92" i="35"/>
  <c r="E93" i="35"/>
  <c r="B87" i="35"/>
  <c r="C87" i="35"/>
  <c r="D87" i="35"/>
  <c r="E87" i="35"/>
  <c r="B88" i="35"/>
  <c r="C88" i="35"/>
  <c r="D88" i="35"/>
  <c r="E88" i="35"/>
  <c r="B89" i="35"/>
  <c r="C89" i="35"/>
  <c r="E89" i="35" s="1"/>
  <c r="D89" i="35"/>
  <c r="B86" i="35"/>
  <c r="B69" i="35"/>
  <c r="C69" i="35"/>
  <c r="D69" i="35"/>
  <c r="E69" i="35"/>
  <c r="B70" i="35"/>
  <c r="C70" i="35"/>
  <c r="D70" i="35"/>
  <c r="E70" i="35"/>
  <c r="B71" i="35"/>
  <c r="C71" i="35"/>
  <c r="D71" i="35"/>
  <c r="E71" i="35"/>
  <c r="B68" i="35"/>
  <c r="B45" i="35"/>
  <c r="E45" i="35"/>
  <c r="F45" i="35"/>
  <c r="B46" i="35"/>
  <c r="E46" i="35"/>
  <c r="F46" i="35"/>
  <c r="B47" i="35"/>
  <c r="E47" i="35"/>
  <c r="F47" i="35"/>
  <c r="F44" i="35"/>
  <c r="E44" i="35"/>
  <c r="B44" i="35"/>
  <c r="B41" i="35"/>
  <c r="E41" i="35"/>
  <c r="F41" i="35"/>
  <c r="B42" i="35"/>
  <c r="E42" i="35"/>
  <c r="F42" i="35"/>
  <c r="B43" i="35"/>
  <c r="E43" i="35"/>
  <c r="F43" i="35"/>
  <c r="B40" i="35"/>
  <c r="D89" i="34"/>
  <c r="B94" i="34"/>
  <c r="C94" i="34"/>
  <c r="D94" i="34"/>
  <c r="B95" i="34"/>
  <c r="C95" i="34"/>
  <c r="D95" i="34"/>
  <c r="B96" i="34"/>
  <c r="C96" i="34"/>
  <c r="D96" i="34"/>
  <c r="D93" i="34"/>
  <c r="C93" i="34"/>
  <c r="B93" i="34"/>
  <c r="E93" i="34"/>
  <c r="E94" i="34"/>
  <c r="E95" i="34"/>
  <c r="E96" i="34"/>
  <c r="B90" i="34"/>
  <c r="C90" i="34"/>
  <c r="D90" i="34"/>
  <c r="B91" i="34"/>
  <c r="C91" i="34"/>
  <c r="D91" i="34"/>
  <c r="B92" i="34"/>
  <c r="C92" i="34"/>
  <c r="D92" i="34"/>
  <c r="B89" i="34"/>
  <c r="B70" i="34"/>
  <c r="C70" i="34"/>
  <c r="D70" i="34"/>
  <c r="B71" i="34"/>
  <c r="C71" i="34"/>
  <c r="D71" i="34"/>
  <c r="B72" i="34"/>
  <c r="C72" i="34"/>
  <c r="D72" i="34"/>
  <c r="B69" i="34"/>
  <c r="B45" i="34"/>
  <c r="E45" i="34"/>
  <c r="F45" i="34"/>
  <c r="B46" i="34"/>
  <c r="E46" i="34"/>
  <c r="F46" i="34"/>
  <c r="B47" i="34"/>
  <c r="E47" i="34"/>
  <c r="F47" i="34"/>
  <c r="F44" i="34"/>
  <c r="E44" i="34"/>
  <c r="B44" i="34"/>
  <c r="B41" i="34"/>
  <c r="E41" i="34"/>
  <c r="F41" i="34"/>
  <c r="B42" i="34"/>
  <c r="E42" i="34"/>
  <c r="F42" i="34"/>
  <c r="B43" i="34"/>
  <c r="E43" i="34"/>
  <c r="F43" i="34"/>
  <c r="B40" i="34"/>
  <c r="B94" i="33"/>
  <c r="C94" i="33"/>
  <c r="D94" i="33"/>
  <c r="B95" i="33"/>
  <c r="C95" i="33"/>
  <c r="D95" i="33"/>
  <c r="B96" i="33"/>
  <c r="C96" i="33"/>
  <c r="D96" i="33"/>
  <c r="D93" i="33"/>
  <c r="C93" i="33"/>
  <c r="B93" i="33"/>
  <c r="E93" i="33"/>
  <c r="E94" i="33"/>
  <c r="E95" i="33"/>
  <c r="E96" i="33"/>
  <c r="B90" i="33"/>
  <c r="C90" i="33"/>
  <c r="D90" i="33"/>
  <c r="B91" i="33"/>
  <c r="C91" i="33"/>
  <c r="D91" i="33"/>
  <c r="B92" i="33"/>
  <c r="C92" i="33"/>
  <c r="D92" i="33"/>
  <c r="D89" i="33"/>
  <c r="C89" i="33"/>
  <c r="B89" i="33"/>
  <c r="B71" i="33"/>
  <c r="C71" i="33"/>
  <c r="D71" i="33"/>
  <c r="B72" i="33"/>
  <c r="C72" i="33"/>
  <c r="D72" i="33"/>
  <c r="B73" i="33"/>
  <c r="C73" i="33"/>
  <c r="D73" i="33"/>
  <c r="D70" i="33"/>
  <c r="C70" i="33"/>
  <c r="B70" i="33"/>
  <c r="B46" i="33"/>
  <c r="E46" i="33"/>
  <c r="F46" i="33"/>
  <c r="B47" i="33"/>
  <c r="E47" i="33"/>
  <c r="F47" i="33"/>
  <c r="B48" i="33"/>
  <c r="E48" i="33"/>
  <c r="F48" i="33"/>
  <c r="F45" i="33"/>
  <c r="E45" i="33"/>
  <c r="B45" i="33"/>
  <c r="B42" i="33"/>
  <c r="E42" i="33"/>
  <c r="F42" i="33"/>
  <c r="B43" i="33"/>
  <c r="E43" i="33"/>
  <c r="F43" i="33"/>
  <c r="B44" i="33"/>
  <c r="E44" i="33"/>
  <c r="F44" i="33"/>
  <c r="F41" i="33"/>
  <c r="E41" i="33"/>
  <c r="B41" i="33"/>
  <c r="AU276" i="4" l="1"/>
  <c r="AU277" i="4"/>
  <c r="AS277" i="4"/>
  <c r="D41" i="47" s="1"/>
  <c r="AJ276" i="4"/>
  <c r="AR276" i="4" s="1"/>
  <c r="C40" i="47" s="1"/>
  <c r="AS276" i="4" l="1"/>
  <c r="AR277" i="4"/>
  <c r="B44" i="23"/>
  <c r="E44" i="23"/>
  <c r="F44" i="23"/>
  <c r="B45" i="23"/>
  <c r="E45" i="23"/>
  <c r="F45" i="23"/>
  <c r="B46" i="23"/>
  <c r="E46" i="23"/>
  <c r="F46" i="23"/>
  <c r="B47" i="23"/>
  <c r="E47" i="23"/>
  <c r="F47" i="23"/>
  <c r="B48" i="23"/>
  <c r="E48" i="23"/>
  <c r="F48" i="23"/>
  <c r="B49" i="23"/>
  <c r="E49" i="23"/>
  <c r="F49" i="23"/>
  <c r="B50" i="23"/>
  <c r="E50" i="23"/>
  <c r="F50" i="23"/>
  <c r="B51" i="23"/>
  <c r="E51" i="23"/>
  <c r="F51" i="23"/>
  <c r="B52" i="23"/>
  <c r="E52" i="23"/>
  <c r="F52" i="23"/>
  <c r="B42" i="23"/>
  <c r="E42" i="23"/>
  <c r="F42" i="23"/>
  <c r="B43" i="23"/>
  <c r="E43" i="23"/>
  <c r="F43" i="23"/>
  <c r="B41" i="23"/>
  <c r="AQ233" i="4"/>
  <c r="B42" i="22"/>
  <c r="B43" i="22"/>
  <c r="B44" i="22"/>
  <c r="B45" i="22"/>
  <c r="B46" i="22"/>
  <c r="B47" i="22"/>
  <c r="B41" i="22"/>
  <c r="AT276" i="4" l="1"/>
  <c r="AV276" i="4" s="1"/>
  <c r="AW276" i="4" s="1"/>
  <c r="AX276" i="4" s="1"/>
  <c r="AY276" i="4" s="1"/>
  <c r="D40" i="47"/>
  <c r="G40" i="47" s="1"/>
  <c r="AT277" i="4"/>
  <c r="AV277" i="4" s="1"/>
  <c r="AW277" i="4" s="1"/>
  <c r="AX277" i="4" s="1"/>
  <c r="AY277" i="4" s="1"/>
  <c r="C41" i="47"/>
  <c r="G41" i="47" s="1"/>
  <c r="V240" i="4"/>
  <c r="W240" i="4" s="1"/>
  <c r="V241" i="4"/>
  <c r="W241" i="4" s="1"/>
  <c r="V242" i="4"/>
  <c r="W242" i="4" s="1"/>
  <c r="V243" i="4"/>
  <c r="W243" i="4" s="1"/>
  <c r="V239" i="4"/>
  <c r="W239" i="4" s="1"/>
  <c r="AD239" i="4" s="1"/>
  <c r="AU240" i="4"/>
  <c r="AU241" i="4"/>
  <c r="AU242" i="4"/>
  <c r="AU243" i="4"/>
  <c r="AU244" i="4"/>
  <c r="AR245" i="4"/>
  <c r="C47" i="23" s="1"/>
  <c r="AS245" i="4"/>
  <c r="AU245" i="4"/>
  <c r="AU246" i="4"/>
  <c r="AU247" i="4"/>
  <c r="AU248" i="4"/>
  <c r="AU249" i="4"/>
  <c r="AU250" i="4"/>
  <c r="AS239" i="4"/>
  <c r="AJ240" i="4"/>
  <c r="AK240" i="4" s="1"/>
  <c r="AR240" i="4" s="1"/>
  <c r="C42" i="23" s="1"/>
  <c r="AJ241" i="4"/>
  <c r="AK241" i="4" s="1"/>
  <c r="AJ242" i="4"/>
  <c r="AK242" i="4" s="1"/>
  <c r="AR242" i="4" s="1"/>
  <c r="C44" i="23" s="1"/>
  <c r="AJ243" i="4"/>
  <c r="AK243" i="4" s="1"/>
  <c r="AJ244" i="4"/>
  <c r="AK244" i="4" s="1"/>
  <c r="AR244" i="4" s="1"/>
  <c r="C46" i="23" s="1"/>
  <c r="AJ245" i="4"/>
  <c r="AJ246" i="4"/>
  <c r="AK246" i="4" s="1"/>
  <c r="AJ247" i="4"/>
  <c r="AK247" i="4" s="1"/>
  <c r="AJ248" i="4"/>
  <c r="AK248" i="4" s="1"/>
  <c r="AJ249" i="4"/>
  <c r="AK249" i="4" s="1"/>
  <c r="AJ250" i="4"/>
  <c r="AK250" i="4" s="1"/>
  <c r="AJ239" i="4"/>
  <c r="V238" i="4"/>
  <c r="W238" i="4" s="1"/>
  <c r="AD238" i="4" s="1"/>
  <c r="V237" i="4"/>
  <c r="V235" i="4"/>
  <c r="W235" i="4" s="1"/>
  <c r="AD235" i="4" s="1"/>
  <c r="V232" i="4"/>
  <c r="AS249" i="4" l="1"/>
  <c r="AR249" i="4"/>
  <c r="C51" i="23" s="1"/>
  <c r="AS247" i="4"/>
  <c r="AR247" i="4"/>
  <c r="C49" i="23" s="1"/>
  <c r="AS243" i="4"/>
  <c r="AR243" i="4"/>
  <c r="C45" i="23" s="1"/>
  <c r="AS241" i="4"/>
  <c r="AR241" i="4"/>
  <c r="C43" i="23" s="1"/>
  <c r="AR250" i="4"/>
  <c r="C52" i="23" s="1"/>
  <c r="AS250" i="4"/>
  <c r="AR248" i="4"/>
  <c r="C50" i="23" s="1"/>
  <c r="AS248" i="4"/>
  <c r="AR246" i="4"/>
  <c r="C48" i="23" s="1"/>
  <c r="AS246" i="4"/>
  <c r="AS244" i="4"/>
  <c r="AS242" i="4"/>
  <c r="AS240" i="4"/>
  <c r="AE242" i="4"/>
  <c r="AF242" i="4" s="1"/>
  <c r="AD242" i="4"/>
  <c r="AE240" i="4"/>
  <c r="AF240" i="4" s="1"/>
  <c r="AD240" i="4"/>
  <c r="AT245" i="4"/>
  <c r="AV245" i="4" s="1"/>
  <c r="AW245" i="4" s="1"/>
  <c r="AX245" i="4" s="1"/>
  <c r="AY245" i="4" s="1"/>
  <c r="D47" i="23"/>
  <c r="G47" i="23" s="1"/>
  <c r="AE243" i="4"/>
  <c r="AF243" i="4" s="1"/>
  <c r="AD243" i="4"/>
  <c r="AE241" i="4"/>
  <c r="AF241" i="4" s="1"/>
  <c r="AD241" i="4"/>
  <c r="AE238" i="4"/>
  <c r="AF238" i="4" s="1"/>
  <c r="AQ238" i="4"/>
  <c r="AQ237" i="4"/>
  <c r="AQ234" i="4"/>
  <c r="AQ235" i="4"/>
  <c r="AJ233" i="4"/>
  <c r="AK233" i="4" s="1"/>
  <c r="AJ234" i="4"/>
  <c r="AK234" i="4" s="1"/>
  <c r="AJ235" i="4"/>
  <c r="AK235" i="4" s="1"/>
  <c r="AJ236" i="4"/>
  <c r="AJ237" i="4"/>
  <c r="AK237" i="4" s="1"/>
  <c r="AJ238" i="4"/>
  <c r="AK238" i="4" s="1"/>
  <c r="AJ232" i="4"/>
  <c r="B123" i="21"/>
  <c r="D123" i="21"/>
  <c r="B124" i="21"/>
  <c r="D124" i="21"/>
  <c r="B125" i="21"/>
  <c r="D125" i="21"/>
  <c r="B126" i="21"/>
  <c r="D126" i="21"/>
  <c r="D122" i="21"/>
  <c r="B122" i="21"/>
  <c r="B93" i="21"/>
  <c r="E93" i="21"/>
  <c r="F93" i="21"/>
  <c r="B94" i="21"/>
  <c r="E94" i="21"/>
  <c r="F94" i="21"/>
  <c r="B95" i="21"/>
  <c r="E95" i="21"/>
  <c r="F95" i="21"/>
  <c r="B96" i="21"/>
  <c r="E96" i="21"/>
  <c r="F96" i="21"/>
  <c r="F92" i="21"/>
  <c r="E92" i="21"/>
  <c r="B92" i="21"/>
  <c r="B68" i="21"/>
  <c r="D68" i="21"/>
  <c r="B69" i="21"/>
  <c r="D69" i="21"/>
  <c r="B70" i="21"/>
  <c r="D70" i="21"/>
  <c r="B71" i="21"/>
  <c r="D71" i="21"/>
  <c r="B67" i="21"/>
  <c r="B42" i="21"/>
  <c r="E42" i="21"/>
  <c r="F42" i="21"/>
  <c r="B43" i="21"/>
  <c r="E43" i="21"/>
  <c r="F43" i="21"/>
  <c r="B44" i="21"/>
  <c r="E44" i="21"/>
  <c r="F44" i="21"/>
  <c r="B45" i="21"/>
  <c r="E45" i="21"/>
  <c r="F45" i="21"/>
  <c r="B41" i="21"/>
  <c r="B42" i="20"/>
  <c r="E42" i="20"/>
  <c r="F42" i="20"/>
  <c r="B43" i="20"/>
  <c r="E43" i="20"/>
  <c r="F43" i="20"/>
  <c r="B44" i="20"/>
  <c r="E44" i="20"/>
  <c r="F44" i="20"/>
  <c r="B45" i="20"/>
  <c r="E45" i="20"/>
  <c r="F45" i="20"/>
  <c r="B46" i="20"/>
  <c r="E46" i="20"/>
  <c r="F46" i="20"/>
  <c r="B47" i="20"/>
  <c r="E47" i="20"/>
  <c r="F47" i="20"/>
  <c r="B48" i="20"/>
  <c r="E48" i="20"/>
  <c r="F48" i="20"/>
  <c r="AU187" i="4"/>
  <c r="AU188" i="4"/>
  <c r="AM187" i="4"/>
  <c r="C122" i="21" s="1"/>
  <c r="E122" i="21" s="1"/>
  <c r="AM188" i="4"/>
  <c r="C123" i="21" s="1"/>
  <c r="E123" i="21" s="1"/>
  <c r="AM189" i="4"/>
  <c r="C124" i="21" s="1"/>
  <c r="E124" i="21" s="1"/>
  <c r="AM190" i="4"/>
  <c r="C125" i="21" s="1"/>
  <c r="E125" i="21" s="1"/>
  <c r="AM191" i="4"/>
  <c r="C126" i="21" s="1"/>
  <c r="E126" i="21" s="1"/>
  <c r="AM182" i="4"/>
  <c r="C71" i="21" s="1"/>
  <c r="E71" i="21" s="1"/>
  <c r="AJ187" i="4"/>
  <c r="AK187" i="4" s="1"/>
  <c r="AR187" i="4" s="1"/>
  <c r="AJ188" i="4"/>
  <c r="AK188" i="4" s="1"/>
  <c r="AJ189" i="4"/>
  <c r="AK189" i="4" s="1"/>
  <c r="AJ190" i="4"/>
  <c r="AK190" i="4" s="1"/>
  <c r="AJ191" i="4"/>
  <c r="AK191" i="4" s="1"/>
  <c r="V191" i="4"/>
  <c r="W191" i="4" s="1"/>
  <c r="AY179" i="4"/>
  <c r="AY180" i="4"/>
  <c r="AM181" i="4"/>
  <c r="C70" i="21" s="1"/>
  <c r="E70" i="21" s="1"/>
  <c r="AJ181" i="4"/>
  <c r="AK181" i="4" s="1"/>
  <c r="AM180" i="4"/>
  <c r="C69" i="21" s="1"/>
  <c r="E69" i="21" s="1"/>
  <c r="AJ180" i="4"/>
  <c r="AK180" i="4" s="1"/>
  <c r="AM179" i="4"/>
  <c r="C68" i="21" s="1"/>
  <c r="E68" i="21" s="1"/>
  <c r="AJ179" i="4"/>
  <c r="AK179" i="4" s="1"/>
  <c r="AR181" i="4" l="1"/>
  <c r="C44" i="21" s="1"/>
  <c r="AT242" i="4"/>
  <c r="AV242" i="4" s="1"/>
  <c r="AW242" i="4" s="1"/>
  <c r="AX242" i="4" s="1"/>
  <c r="AY242" i="4" s="1"/>
  <c r="D44" i="23"/>
  <c r="G44" i="23" s="1"/>
  <c r="AT246" i="4"/>
  <c r="AV246" i="4" s="1"/>
  <c r="AW246" i="4" s="1"/>
  <c r="AX246" i="4" s="1"/>
  <c r="AY246" i="4" s="1"/>
  <c r="D48" i="23"/>
  <c r="G48" i="23" s="1"/>
  <c r="AT248" i="4"/>
  <c r="D50" i="23"/>
  <c r="G50" i="23" s="1"/>
  <c r="AT250" i="4"/>
  <c r="AV250" i="4" s="1"/>
  <c r="AW250" i="4" s="1"/>
  <c r="AX250" i="4" s="1"/>
  <c r="AY250" i="4" s="1"/>
  <c r="D52" i="23"/>
  <c r="G52" i="23" s="1"/>
  <c r="AT240" i="4"/>
  <c r="AV240" i="4" s="1"/>
  <c r="AW240" i="4" s="1"/>
  <c r="AX240" i="4" s="1"/>
  <c r="AY240" i="4" s="1"/>
  <c r="D42" i="23"/>
  <c r="G42" i="23" s="1"/>
  <c r="AT244" i="4"/>
  <c r="AV244" i="4" s="1"/>
  <c r="AW244" i="4" s="1"/>
  <c r="AX244" i="4" s="1"/>
  <c r="AY244" i="4" s="1"/>
  <c r="D46" i="23"/>
  <c r="G46" i="23" s="1"/>
  <c r="AT241" i="4"/>
  <c r="AV241" i="4" s="1"/>
  <c r="AW241" i="4" s="1"/>
  <c r="AX241" i="4" s="1"/>
  <c r="AY241" i="4" s="1"/>
  <c r="D43" i="23"/>
  <c r="G43" i="23" s="1"/>
  <c r="AT243" i="4"/>
  <c r="AV243" i="4" s="1"/>
  <c r="AW243" i="4" s="1"/>
  <c r="AX243" i="4" s="1"/>
  <c r="AY243" i="4" s="1"/>
  <c r="D45" i="23"/>
  <c r="G45" i="23" s="1"/>
  <c r="AT247" i="4"/>
  <c r="D49" i="23"/>
  <c r="G49" i="23" s="1"/>
  <c r="AT249" i="4"/>
  <c r="D51" i="23"/>
  <c r="G51" i="23" s="1"/>
  <c r="AS188" i="4"/>
  <c r="D93" i="21" s="1"/>
  <c r="AR188" i="4"/>
  <c r="AS187" i="4"/>
  <c r="D92" i="21" s="1"/>
  <c r="AR179" i="4"/>
  <c r="C42" i="21" s="1"/>
  <c r="AR180" i="4"/>
  <c r="C43" i="21" s="1"/>
  <c r="AD191" i="4"/>
  <c r="C92" i="21"/>
  <c r="AE191" i="4"/>
  <c r="AF191" i="4" s="1"/>
  <c r="AS179" i="4"/>
  <c r="AS180" i="4"/>
  <c r="AS181" i="4"/>
  <c r="AU189" i="4"/>
  <c r="AS191" i="4"/>
  <c r="D96" i="21" s="1"/>
  <c r="AS190" i="4"/>
  <c r="D95" i="21" s="1"/>
  <c r="AR189" i="4"/>
  <c r="C94" i="21" s="1"/>
  <c r="AJ182" i="4"/>
  <c r="V178" i="4"/>
  <c r="B76" i="20"/>
  <c r="B75" i="20"/>
  <c r="B74" i="20"/>
  <c r="B73" i="20"/>
  <c r="B72" i="20"/>
  <c r="B71" i="20"/>
  <c r="B70" i="20"/>
  <c r="B69" i="20"/>
  <c r="D70" i="20"/>
  <c r="D71" i="20"/>
  <c r="D72" i="20"/>
  <c r="D73" i="20"/>
  <c r="D74" i="20"/>
  <c r="D75" i="20"/>
  <c r="D76" i="20"/>
  <c r="B41" i="20"/>
  <c r="AU159" i="4"/>
  <c r="AU162" i="4"/>
  <c r="AU163" i="4"/>
  <c r="AU164" i="4"/>
  <c r="AU165" i="4"/>
  <c r="AU166" i="4"/>
  <c r="AU167" i="4"/>
  <c r="C71" i="20"/>
  <c r="C72" i="20"/>
  <c r="C73" i="20"/>
  <c r="C74" i="20"/>
  <c r="C75" i="20"/>
  <c r="C76" i="20"/>
  <c r="E76" i="20" s="1"/>
  <c r="C70" i="20"/>
  <c r="AJ167" i="4"/>
  <c r="AK167" i="4" s="1"/>
  <c r="AJ162" i="4"/>
  <c r="AK162" i="4" s="1"/>
  <c r="AJ163" i="4"/>
  <c r="AK163" i="4" s="1"/>
  <c r="AK164" i="4"/>
  <c r="AJ165" i="4"/>
  <c r="AK165" i="4" s="1"/>
  <c r="AJ166" i="4"/>
  <c r="AK166" i="4" s="1"/>
  <c r="AJ159" i="4"/>
  <c r="AK159" i="4" s="1"/>
  <c r="V165" i="4"/>
  <c r="W165" i="4" s="1"/>
  <c r="V163" i="4"/>
  <c r="W163" i="4" s="1"/>
  <c r="V159" i="4"/>
  <c r="W159" i="4" s="1"/>
  <c r="F42" i="43"/>
  <c r="E42" i="43"/>
  <c r="F50" i="43"/>
  <c r="E50" i="43"/>
  <c r="B50" i="43"/>
  <c r="B42" i="43"/>
  <c r="B43" i="43"/>
  <c r="E43" i="43"/>
  <c r="F43" i="43"/>
  <c r="B44" i="43"/>
  <c r="E44" i="43"/>
  <c r="F44" i="43"/>
  <c r="B45" i="43"/>
  <c r="E45" i="43"/>
  <c r="F45" i="43"/>
  <c r="B46" i="43"/>
  <c r="E46" i="43"/>
  <c r="F46" i="43"/>
  <c r="B47" i="43"/>
  <c r="E47" i="43"/>
  <c r="F47" i="43"/>
  <c r="B48" i="43"/>
  <c r="E48" i="43"/>
  <c r="F48" i="43"/>
  <c r="B49" i="43"/>
  <c r="E49" i="43"/>
  <c r="F49" i="43"/>
  <c r="F41" i="43"/>
  <c r="E41" i="43"/>
  <c r="B41" i="43"/>
  <c r="C10" i="43"/>
  <c r="C9" i="43"/>
  <c r="C8" i="43"/>
  <c r="C7" i="43"/>
  <c r="AU102" i="4"/>
  <c r="AT102" i="4"/>
  <c r="AC102" i="4"/>
  <c r="V102" i="4"/>
  <c r="W102" i="4" s="1"/>
  <c r="AU101" i="4"/>
  <c r="AQ101" i="4"/>
  <c r="AJ101" i="4"/>
  <c r="AK101" i="4" s="1"/>
  <c r="AC101" i="4"/>
  <c r="V101" i="4"/>
  <c r="W101" i="4" s="1"/>
  <c r="AU100" i="4"/>
  <c r="AC100" i="4"/>
  <c r="V100" i="4"/>
  <c r="W100" i="4" s="1"/>
  <c r="AU99" i="4"/>
  <c r="AQ99" i="4"/>
  <c r="AJ99" i="4"/>
  <c r="AK99" i="4" s="1"/>
  <c r="AC99" i="4"/>
  <c r="V99" i="4"/>
  <c r="W99" i="4" s="1"/>
  <c r="AU98" i="4"/>
  <c r="AQ98" i="4"/>
  <c r="AJ98" i="4"/>
  <c r="AK98" i="4" s="1"/>
  <c r="AC98" i="4"/>
  <c r="V98" i="4"/>
  <c r="W98" i="4" s="1"/>
  <c r="AU97" i="4"/>
  <c r="AQ97" i="4"/>
  <c r="AJ97" i="4"/>
  <c r="AK97" i="4" s="1"/>
  <c r="AC97" i="4"/>
  <c r="V97" i="4"/>
  <c r="W97" i="4" s="1"/>
  <c r="AU96" i="4"/>
  <c r="AQ96" i="4"/>
  <c r="AJ96" i="4"/>
  <c r="AK96" i="4" s="1"/>
  <c r="AC96" i="4"/>
  <c r="V96" i="4"/>
  <c r="W96" i="4" s="1"/>
  <c r="AU95" i="4"/>
  <c r="AQ95" i="4"/>
  <c r="AJ95" i="4"/>
  <c r="AK95" i="4" s="1"/>
  <c r="AC95" i="4"/>
  <c r="V95" i="4"/>
  <c r="W95" i="4" s="1"/>
  <c r="AU94" i="4"/>
  <c r="AQ94" i="4"/>
  <c r="AJ94" i="4"/>
  <c r="AK94" i="4" s="1"/>
  <c r="AC94" i="4"/>
  <c r="V94" i="4"/>
  <c r="W94" i="4" s="1"/>
  <c r="AU93" i="4"/>
  <c r="AQ93" i="4"/>
  <c r="AJ93" i="4"/>
  <c r="AK93" i="4" s="1"/>
  <c r="AC93" i="4"/>
  <c r="V93" i="4"/>
  <c r="W93" i="4" s="1"/>
  <c r="AU92" i="4"/>
  <c r="AC92" i="4"/>
  <c r="V92" i="4"/>
  <c r="W92" i="4" s="1"/>
  <c r="AU91" i="4"/>
  <c r="AQ91" i="4"/>
  <c r="AJ91" i="4"/>
  <c r="AK91" i="4" s="1"/>
  <c r="AC91" i="4"/>
  <c r="V91" i="4"/>
  <c r="W91" i="4" s="1"/>
  <c r="BD90" i="4"/>
  <c r="AU90" i="4"/>
  <c r="AQ90" i="4"/>
  <c r="AJ90" i="4"/>
  <c r="AK90" i="4" s="1"/>
  <c r="B42" i="36"/>
  <c r="AQ78" i="4"/>
  <c r="AJ78" i="4"/>
  <c r="AK78" i="4" s="1"/>
  <c r="AU78" i="4"/>
  <c r="AC78" i="4"/>
  <c r="V78" i="4"/>
  <c r="W78" i="4" s="1"/>
  <c r="F50" i="36"/>
  <c r="E50" i="36"/>
  <c r="B50" i="36"/>
  <c r="E42" i="36"/>
  <c r="F42" i="36"/>
  <c r="B43" i="36"/>
  <c r="E43" i="36"/>
  <c r="F43" i="36"/>
  <c r="B44" i="36"/>
  <c r="E44" i="36"/>
  <c r="F44" i="36"/>
  <c r="B45" i="36"/>
  <c r="E45" i="36"/>
  <c r="F45" i="36"/>
  <c r="B46" i="36"/>
  <c r="E46" i="36"/>
  <c r="F46" i="36"/>
  <c r="B47" i="36"/>
  <c r="E47" i="36"/>
  <c r="F47" i="36"/>
  <c r="B48" i="36"/>
  <c r="E48" i="36"/>
  <c r="F48" i="36"/>
  <c r="B49" i="36"/>
  <c r="E49" i="36"/>
  <c r="F49" i="36"/>
  <c r="B41" i="36"/>
  <c r="AU87" i="4"/>
  <c r="AT89" i="4"/>
  <c r="AU88" i="4"/>
  <c r="AU79" i="4"/>
  <c r="AU80" i="4"/>
  <c r="AU81" i="4"/>
  <c r="AU82" i="4"/>
  <c r="AU83" i="4"/>
  <c r="AU84" i="4"/>
  <c r="AU85" i="4"/>
  <c r="AU86" i="4"/>
  <c r="AQ80" i="4"/>
  <c r="AQ81" i="4"/>
  <c r="AQ82" i="4"/>
  <c r="AQ83" i="4"/>
  <c r="AQ84" i="4"/>
  <c r="AQ85" i="4"/>
  <c r="AQ86" i="4"/>
  <c r="AQ88" i="4"/>
  <c r="AQ77" i="4"/>
  <c r="AJ80" i="4"/>
  <c r="AK80" i="4" s="1"/>
  <c r="AJ81" i="4"/>
  <c r="AK81" i="4" s="1"/>
  <c r="AJ82" i="4"/>
  <c r="AK82" i="4" s="1"/>
  <c r="AJ83" i="4"/>
  <c r="AK83" i="4" s="1"/>
  <c r="AJ84" i="4"/>
  <c r="AK84" i="4" s="1"/>
  <c r="AJ85" i="4"/>
  <c r="AK85" i="4" s="1"/>
  <c r="AJ86" i="4"/>
  <c r="AK86" i="4" s="1"/>
  <c r="AJ88" i="4"/>
  <c r="AK88" i="4" s="1"/>
  <c r="AJ178" i="4"/>
  <c r="AJ77" i="4"/>
  <c r="AK77" i="4" s="1"/>
  <c r="AS166" i="4" l="1"/>
  <c r="AR166" i="4"/>
  <c r="C47" i="20" s="1"/>
  <c r="AS164" i="4"/>
  <c r="AR164" i="4"/>
  <c r="C45" i="20" s="1"/>
  <c r="AS162" i="4"/>
  <c r="D43" i="20" s="1"/>
  <c r="AR162" i="4"/>
  <c r="C43" i="20" s="1"/>
  <c r="AR159" i="4"/>
  <c r="AS159" i="4"/>
  <c r="D42" i="20" s="1"/>
  <c r="AS165" i="4"/>
  <c r="AR165" i="4"/>
  <c r="C46" i="20" s="1"/>
  <c r="AR163" i="4"/>
  <c r="AS163" i="4"/>
  <c r="AR167" i="4"/>
  <c r="AS167" i="4"/>
  <c r="D48" i="20" s="1"/>
  <c r="AE159" i="4"/>
  <c r="AD159" i="4"/>
  <c r="AD165" i="4"/>
  <c r="AE165" i="4"/>
  <c r="AF165" i="4" s="1"/>
  <c r="AE163" i="4"/>
  <c r="AD163" i="4"/>
  <c r="AS189" i="4"/>
  <c r="D94" i="21" s="1"/>
  <c r="G94" i="21" s="1"/>
  <c r="AR99" i="4"/>
  <c r="C49" i="43" s="1"/>
  <c r="AT180" i="4"/>
  <c r="D43" i="21"/>
  <c r="G43" i="21" s="1"/>
  <c r="C93" i="21"/>
  <c r="G93" i="21" s="1"/>
  <c r="AT188" i="4"/>
  <c r="AV188" i="4" s="1"/>
  <c r="AW188" i="4" s="1"/>
  <c r="AX188" i="4" s="1"/>
  <c r="AY188" i="4" s="1"/>
  <c r="AR190" i="4"/>
  <c r="C95" i="21" s="1"/>
  <c r="G95" i="21" s="1"/>
  <c r="AT181" i="4"/>
  <c r="D44" i="21"/>
  <c r="G44" i="21" s="1"/>
  <c r="AT179" i="4"/>
  <c r="D42" i="21"/>
  <c r="G42" i="21" s="1"/>
  <c r="G92" i="21"/>
  <c r="AR191" i="4"/>
  <c r="C96" i="21" s="1"/>
  <c r="G96" i="21" s="1"/>
  <c r="AT187" i="4"/>
  <c r="AV187" i="4" s="1"/>
  <c r="AW187" i="4" s="1"/>
  <c r="AX187" i="4" s="1"/>
  <c r="AY187" i="4" s="1"/>
  <c r="AR78" i="4"/>
  <c r="AE92" i="4"/>
  <c r="AE94" i="4"/>
  <c r="AS94" i="4"/>
  <c r="D44" i="43" s="1"/>
  <c r="AE100" i="4"/>
  <c r="AE96" i="4"/>
  <c r="C42" i="20"/>
  <c r="D46" i="20"/>
  <c r="C44" i="20"/>
  <c r="D44" i="20"/>
  <c r="C48" i="20"/>
  <c r="D47" i="20"/>
  <c r="D45" i="20"/>
  <c r="AD78" i="4"/>
  <c r="AS78" i="4"/>
  <c r="AD91" i="4"/>
  <c r="AR93" i="4"/>
  <c r="C43" i="43" s="1"/>
  <c r="AR95" i="4"/>
  <c r="C45" i="43" s="1"/>
  <c r="AS96" i="4"/>
  <c r="D46" i="43" s="1"/>
  <c r="AE98" i="4"/>
  <c r="AS98" i="4"/>
  <c r="D48" i="43" s="1"/>
  <c r="AR97" i="4"/>
  <c r="C47" i="43" s="1"/>
  <c r="AD101" i="4"/>
  <c r="AE91" i="4"/>
  <c r="AF91" i="4" s="1"/>
  <c r="AD92" i="4"/>
  <c r="AF92" i="4" s="1"/>
  <c r="AV92" i="4" s="1"/>
  <c r="AW92" i="4" s="1"/>
  <c r="AX92" i="4" s="1"/>
  <c r="AY92" i="4" s="1"/>
  <c r="AS93" i="4"/>
  <c r="AR94" i="4"/>
  <c r="AS95" i="4"/>
  <c r="D45" i="43" s="1"/>
  <c r="AR96" i="4"/>
  <c r="AS97" i="4"/>
  <c r="D47" i="43" s="1"/>
  <c r="AR98" i="4"/>
  <c r="AS99" i="4"/>
  <c r="D49" i="43" s="1"/>
  <c r="AE101" i="4"/>
  <c r="AF101" i="4" s="1"/>
  <c r="AR90" i="4"/>
  <c r="C41" i="43" s="1"/>
  <c r="AS90" i="4"/>
  <c r="D41" i="43" s="1"/>
  <c r="AR91" i="4"/>
  <c r="C42" i="43" s="1"/>
  <c r="AS91" i="4"/>
  <c r="D42" i="43" s="1"/>
  <c r="AD93" i="4"/>
  <c r="AE93" i="4"/>
  <c r="AD94" i="4"/>
  <c r="AF94" i="4" s="1"/>
  <c r="AD95" i="4"/>
  <c r="AE95" i="4"/>
  <c r="AD96" i="4"/>
  <c r="AF96" i="4" s="1"/>
  <c r="AD97" i="4"/>
  <c r="AE97" i="4"/>
  <c r="AD98" i="4"/>
  <c r="AF98" i="4" s="1"/>
  <c r="AD99" i="4"/>
  <c r="AE99" i="4"/>
  <c r="AD100" i="4"/>
  <c r="AR101" i="4"/>
  <c r="C50" i="43" s="1"/>
  <c r="AS101" i="4"/>
  <c r="D50" i="43" s="1"/>
  <c r="AD102" i="4"/>
  <c r="AE102" i="4"/>
  <c r="AE78" i="4"/>
  <c r="AF78" i="4" s="1"/>
  <c r="AS77" i="4"/>
  <c r="AR77" i="4"/>
  <c r="AR88" i="4"/>
  <c r="AS88" i="4"/>
  <c r="AS85" i="4"/>
  <c r="AR85" i="4"/>
  <c r="AS83" i="4"/>
  <c r="AR83" i="4"/>
  <c r="AS81" i="4"/>
  <c r="AR81" i="4"/>
  <c r="AR86" i="4"/>
  <c r="AS86" i="4"/>
  <c r="AR84" i="4"/>
  <c r="AS84" i="4"/>
  <c r="AR82" i="4"/>
  <c r="AS82" i="4"/>
  <c r="AR80" i="4"/>
  <c r="AS80" i="4"/>
  <c r="AC80" i="4"/>
  <c r="AC81" i="4"/>
  <c r="AC82" i="4"/>
  <c r="AC83" i="4"/>
  <c r="AC84" i="4"/>
  <c r="AC85" i="4"/>
  <c r="AC86" i="4"/>
  <c r="AC87" i="4"/>
  <c r="AC88" i="4"/>
  <c r="AC89" i="4"/>
  <c r="AC79" i="4"/>
  <c r="V80" i="4"/>
  <c r="W80" i="4" s="1"/>
  <c r="V81" i="4"/>
  <c r="W81" i="4" s="1"/>
  <c r="V82" i="4"/>
  <c r="W82" i="4" s="1"/>
  <c r="V83" i="4"/>
  <c r="W83" i="4" s="1"/>
  <c r="V84" i="4"/>
  <c r="W84" i="4" s="1"/>
  <c r="V85" i="4"/>
  <c r="W85" i="4" s="1"/>
  <c r="V86" i="4"/>
  <c r="W86" i="4" s="1"/>
  <c r="V87" i="4"/>
  <c r="W87" i="4" s="1"/>
  <c r="V88" i="4"/>
  <c r="W88" i="4" s="1"/>
  <c r="V89" i="4"/>
  <c r="W89" i="4" s="1"/>
  <c r="V79" i="4"/>
  <c r="W79" i="4" s="1"/>
  <c r="B40" i="39"/>
  <c r="C92" i="32"/>
  <c r="E92" i="32" s="1"/>
  <c r="D92" i="32"/>
  <c r="C93" i="32"/>
  <c r="E93" i="32" s="1"/>
  <c r="D93" i="32"/>
  <c r="C94" i="32"/>
  <c r="D94" i="32"/>
  <c r="D91" i="32"/>
  <c r="C91" i="32"/>
  <c r="E91" i="32" s="1"/>
  <c r="B94" i="32"/>
  <c r="B93" i="32"/>
  <c r="B92" i="32"/>
  <c r="B91" i="32"/>
  <c r="E94" i="32"/>
  <c r="D88" i="32"/>
  <c r="D89" i="32"/>
  <c r="D90" i="32"/>
  <c r="C88" i="32"/>
  <c r="E88" i="32" s="1"/>
  <c r="C89" i="32"/>
  <c r="E89" i="32" s="1"/>
  <c r="C90" i="32"/>
  <c r="E90" i="32" s="1"/>
  <c r="B88" i="32"/>
  <c r="B89" i="32"/>
  <c r="B90" i="32"/>
  <c r="B87" i="32"/>
  <c r="D72" i="32"/>
  <c r="D71" i="32"/>
  <c r="D70" i="32"/>
  <c r="C72" i="32"/>
  <c r="E72" i="32" s="1"/>
  <c r="C71" i="32"/>
  <c r="E71" i="32" s="1"/>
  <c r="C70" i="32"/>
  <c r="E70" i="32" s="1"/>
  <c r="B70" i="32"/>
  <c r="B71" i="32"/>
  <c r="B72" i="32"/>
  <c r="B69" i="32"/>
  <c r="E46" i="32"/>
  <c r="F46" i="32"/>
  <c r="E47" i="32"/>
  <c r="F47" i="32"/>
  <c r="E48" i="32"/>
  <c r="F48" i="32"/>
  <c r="F45" i="32"/>
  <c r="E45" i="32"/>
  <c r="E42" i="32"/>
  <c r="F42" i="32"/>
  <c r="E43" i="32"/>
  <c r="F43" i="32"/>
  <c r="E44" i="32"/>
  <c r="F44" i="32"/>
  <c r="B48" i="32"/>
  <c r="B47" i="32"/>
  <c r="B46" i="32"/>
  <c r="B45" i="32"/>
  <c r="B44" i="32"/>
  <c r="B43" i="32"/>
  <c r="B42" i="32"/>
  <c r="B41" i="32"/>
  <c r="AU25" i="4"/>
  <c r="AU26" i="4"/>
  <c r="AU27" i="4"/>
  <c r="AU28" i="4"/>
  <c r="AU29" i="4"/>
  <c r="AU30" i="4"/>
  <c r="AU31" i="4"/>
  <c r="AU32" i="4"/>
  <c r="AU33" i="4"/>
  <c r="AU34" i="4"/>
  <c r="AU35" i="4"/>
  <c r="AU36" i="4"/>
  <c r="AU37" i="4"/>
  <c r="AU38" i="4"/>
  <c r="AU39" i="4"/>
  <c r="AU40" i="4"/>
  <c r="AU41" i="4"/>
  <c r="AR40" i="4"/>
  <c r="C46" i="35" s="1"/>
  <c r="AS40" i="4"/>
  <c r="D46" i="35" s="1"/>
  <c r="AR38" i="4"/>
  <c r="C44" i="35" s="1"/>
  <c r="AS38" i="4"/>
  <c r="D44" i="35" s="1"/>
  <c r="AR36" i="4"/>
  <c r="C46" i="34" s="1"/>
  <c r="AS36" i="4"/>
  <c r="D46" i="34" s="1"/>
  <c r="AR35" i="4"/>
  <c r="C45" i="34" s="1"/>
  <c r="AS35" i="4"/>
  <c r="D45" i="34" s="1"/>
  <c r="AR32" i="4"/>
  <c r="C47" i="33" s="1"/>
  <c r="AS32" i="4"/>
  <c r="AR31" i="4"/>
  <c r="C46" i="33" s="1"/>
  <c r="AS31" i="4"/>
  <c r="AR28" i="4"/>
  <c r="C47" i="32" s="1"/>
  <c r="AS28" i="4"/>
  <c r="AR27" i="4"/>
  <c r="C46" i="32" s="1"/>
  <c r="AS27" i="4"/>
  <c r="D46" i="32" s="1"/>
  <c r="AJ22" i="4"/>
  <c r="AJ23" i="4"/>
  <c r="AJ24" i="4"/>
  <c r="AJ25" i="4"/>
  <c r="AJ26" i="4"/>
  <c r="AJ27" i="4"/>
  <c r="AJ28" i="4"/>
  <c r="AJ29" i="4"/>
  <c r="AJ30" i="4"/>
  <c r="AJ31" i="4"/>
  <c r="AJ32" i="4"/>
  <c r="AJ33" i="4"/>
  <c r="AJ34" i="4"/>
  <c r="AJ35" i="4"/>
  <c r="AJ36" i="4"/>
  <c r="AJ37" i="4"/>
  <c r="AU23" i="4"/>
  <c r="AU24" i="4"/>
  <c r="AR24" i="4"/>
  <c r="C42" i="35" s="1"/>
  <c r="AS24" i="4"/>
  <c r="D42" i="35" s="1"/>
  <c r="AR23" i="4"/>
  <c r="C41" i="35" s="1"/>
  <c r="AS23" i="4"/>
  <c r="D41" i="35" s="1"/>
  <c r="AU19" i="4"/>
  <c r="AU20" i="4"/>
  <c r="AU21" i="4"/>
  <c r="AR19" i="4"/>
  <c r="C41" i="34" s="1"/>
  <c r="AS19" i="4"/>
  <c r="D41" i="34" s="1"/>
  <c r="AR20" i="4"/>
  <c r="C42" i="34" s="1"/>
  <c r="AS20" i="4"/>
  <c r="D42" i="34" s="1"/>
  <c r="AR21" i="4"/>
  <c r="C43" i="34" s="1"/>
  <c r="AS21" i="4"/>
  <c r="D43" i="34" s="1"/>
  <c r="AU13" i="4"/>
  <c r="AU14" i="4"/>
  <c r="AU15" i="4"/>
  <c r="AU16" i="4"/>
  <c r="AU11" i="4"/>
  <c r="AU12" i="4"/>
  <c r="AJ12" i="4"/>
  <c r="AR12" i="4" s="1"/>
  <c r="C43" i="32" s="1"/>
  <c r="AJ13" i="4"/>
  <c r="AS13" i="4" s="1"/>
  <c r="D44" i="32" s="1"/>
  <c r="AJ14" i="4"/>
  <c r="AR14" i="4" s="1"/>
  <c r="C41" i="33" s="1"/>
  <c r="AJ15" i="4"/>
  <c r="AR15" i="4" s="1"/>
  <c r="C42" i="33" s="1"/>
  <c r="AJ16" i="4"/>
  <c r="AJ17" i="4"/>
  <c r="AJ18" i="4"/>
  <c r="AJ19" i="4"/>
  <c r="AJ20" i="4"/>
  <c r="AJ21" i="4"/>
  <c r="AJ11" i="4"/>
  <c r="AS11" i="4" s="1"/>
  <c r="D42" i="32" s="1"/>
  <c r="AJ10" i="4"/>
  <c r="AS10" i="4" s="1"/>
  <c r="D41" i="32" s="1"/>
  <c r="V24" i="4"/>
  <c r="AE24" i="4" s="1"/>
  <c r="V23" i="4"/>
  <c r="AE23" i="4" s="1"/>
  <c r="V22" i="4"/>
  <c r="AE22" i="4" s="1"/>
  <c r="V21" i="4"/>
  <c r="AE21" i="4" s="1"/>
  <c r="V20" i="4"/>
  <c r="AE20" i="4" s="1"/>
  <c r="V19" i="4"/>
  <c r="AE19" i="4" s="1"/>
  <c r="V18" i="4"/>
  <c r="AE18" i="4" s="1"/>
  <c r="V17" i="4"/>
  <c r="AD17" i="4" s="1"/>
  <c r="V16" i="4"/>
  <c r="AD16" i="4" s="1"/>
  <c r="V15" i="4"/>
  <c r="AD15" i="4" s="1"/>
  <c r="V14" i="4"/>
  <c r="AD14" i="4" s="1"/>
  <c r="V13" i="4"/>
  <c r="AD13" i="4" s="1"/>
  <c r="V12" i="4"/>
  <c r="AD12" i="4" s="1"/>
  <c r="V11" i="4"/>
  <c r="AD11" i="4" s="1"/>
  <c r="V10" i="4"/>
  <c r="AD10" i="4" s="1"/>
  <c r="D42" i="36" l="1"/>
  <c r="D41" i="39"/>
  <c r="C42" i="36"/>
  <c r="C41" i="39"/>
  <c r="G41" i="35"/>
  <c r="G42" i="35"/>
  <c r="G45" i="34"/>
  <c r="G46" i="34"/>
  <c r="G44" i="35"/>
  <c r="G46" i="35"/>
  <c r="AF163" i="4"/>
  <c r="AF159" i="4"/>
  <c r="AF100" i="4"/>
  <c r="AV100" i="4" s="1"/>
  <c r="AW100" i="4" s="1"/>
  <c r="AX100" i="4" s="1"/>
  <c r="AY100" i="4" s="1"/>
  <c r="G48" i="20"/>
  <c r="G42" i="20"/>
  <c r="G43" i="20"/>
  <c r="G45" i="20"/>
  <c r="G47" i="20"/>
  <c r="G44" i="20"/>
  <c r="G46" i="20"/>
  <c r="G50" i="43"/>
  <c r="G42" i="43"/>
  <c r="G41" i="43"/>
  <c r="AT99" i="4"/>
  <c r="AT94" i="4"/>
  <c r="C44" i="43"/>
  <c r="G44" i="43" s="1"/>
  <c r="AT167" i="4"/>
  <c r="AY167" i="4" s="1"/>
  <c r="AT159" i="4"/>
  <c r="AT78" i="4"/>
  <c r="AV78" i="4" s="1"/>
  <c r="AW78" i="4" s="1"/>
  <c r="AT98" i="4"/>
  <c r="AV98" i="4" s="1"/>
  <c r="AW98" i="4" s="1"/>
  <c r="AX98" i="4" s="1"/>
  <c r="AY98" i="4" s="1"/>
  <c r="C48" i="43"/>
  <c r="G48" i="43" s="1"/>
  <c r="AT96" i="4"/>
  <c r="AV96" i="4" s="1"/>
  <c r="AW96" i="4" s="1"/>
  <c r="AX96" i="4" s="1"/>
  <c r="AY96" i="4" s="1"/>
  <c r="C46" i="43"/>
  <c r="G46" i="43" s="1"/>
  <c r="AT95" i="4"/>
  <c r="AT93" i="4"/>
  <c r="D43" i="43"/>
  <c r="G43" i="43" s="1"/>
  <c r="AT162" i="4"/>
  <c r="AT164" i="4"/>
  <c r="AT166" i="4"/>
  <c r="AT163" i="4"/>
  <c r="AV163" i="4" s="1"/>
  <c r="AW163" i="4" s="1"/>
  <c r="AX163" i="4" s="1"/>
  <c r="AY163" i="4" s="1"/>
  <c r="AT165" i="4"/>
  <c r="AV165" i="4" s="1"/>
  <c r="AW165" i="4" s="1"/>
  <c r="AX165" i="4" s="1"/>
  <c r="AY165" i="4" s="1"/>
  <c r="AD88" i="4"/>
  <c r="AT97" i="4"/>
  <c r="AF99" i="4"/>
  <c r="AF95" i="4"/>
  <c r="C43" i="36"/>
  <c r="C45" i="36"/>
  <c r="C47" i="36"/>
  <c r="C49" i="36"/>
  <c r="C44" i="36"/>
  <c r="C46" i="36"/>
  <c r="G45" i="43"/>
  <c r="C48" i="36"/>
  <c r="G47" i="43"/>
  <c r="D50" i="36"/>
  <c r="G49" i="43"/>
  <c r="AX78" i="4"/>
  <c r="AY78" i="4" s="1"/>
  <c r="AF102" i="4"/>
  <c r="AV102" i="4" s="1"/>
  <c r="AW102" i="4" s="1"/>
  <c r="AX102" i="4" s="1"/>
  <c r="AY102" i="4" s="1"/>
  <c r="AT101" i="4"/>
  <c r="AV101" i="4" s="1"/>
  <c r="AW101" i="4" s="1"/>
  <c r="AX101" i="4" s="1"/>
  <c r="AY101" i="4" s="1"/>
  <c r="AF97" i="4"/>
  <c r="AF93" i="4"/>
  <c r="AV93" i="4" s="1"/>
  <c r="AW93" i="4" s="1"/>
  <c r="AX93" i="4" s="1"/>
  <c r="AY93" i="4" s="1"/>
  <c r="AT91" i="4"/>
  <c r="AV91" i="4" s="1"/>
  <c r="AW91" i="4" s="1"/>
  <c r="AX91" i="4" s="1"/>
  <c r="AY91" i="4" s="1"/>
  <c r="AT90" i="4"/>
  <c r="AV90" i="4" s="1"/>
  <c r="AW90" i="4" s="1"/>
  <c r="AX90" i="4" s="1"/>
  <c r="AV94" i="4"/>
  <c r="AW94" i="4" s="1"/>
  <c r="AX94" i="4" s="1"/>
  <c r="AY94" i="4" s="1"/>
  <c r="AS12" i="4"/>
  <c r="D43" i="32" s="1"/>
  <c r="G43" i="32" s="1"/>
  <c r="AT80" i="4"/>
  <c r="D43" i="36"/>
  <c r="AT82" i="4"/>
  <c r="D45" i="36"/>
  <c r="AT84" i="4"/>
  <c r="D47" i="36"/>
  <c r="AT86" i="4"/>
  <c r="D49" i="36"/>
  <c r="AS14" i="4"/>
  <c r="AT14" i="4" s="1"/>
  <c r="D41" i="33" s="1"/>
  <c r="G42" i="36"/>
  <c r="AT81" i="4"/>
  <c r="D44" i="36"/>
  <c r="AT83" i="4"/>
  <c r="D46" i="36"/>
  <c r="AT85" i="4"/>
  <c r="D48" i="36"/>
  <c r="AT88" i="4"/>
  <c r="C50" i="36"/>
  <c r="AD87" i="4"/>
  <c r="AE87" i="4"/>
  <c r="AE85" i="4"/>
  <c r="AD85" i="4"/>
  <c r="AD83" i="4"/>
  <c r="AE83" i="4"/>
  <c r="AE81" i="4"/>
  <c r="AD81" i="4"/>
  <c r="AD79" i="4"/>
  <c r="AE79" i="4"/>
  <c r="AE86" i="4"/>
  <c r="AD86" i="4"/>
  <c r="AD84" i="4"/>
  <c r="AE84" i="4"/>
  <c r="AE82" i="4"/>
  <c r="AD82" i="4"/>
  <c r="AD80" i="4"/>
  <c r="AE80" i="4"/>
  <c r="AR10" i="4"/>
  <c r="C41" i="32" s="1"/>
  <c r="G41" i="32" s="1"/>
  <c r="AS15" i="4"/>
  <c r="AT15" i="4" s="1"/>
  <c r="D42" i="33" s="1"/>
  <c r="AR13" i="4"/>
  <c r="C44" i="32" s="1"/>
  <c r="G44" i="32" s="1"/>
  <c r="AR11" i="4"/>
  <c r="AT20" i="4"/>
  <c r="AT23" i="4"/>
  <c r="AT24" i="4"/>
  <c r="G46" i="32"/>
  <c r="AD18" i="4"/>
  <c r="AD19" i="4"/>
  <c r="AF19" i="4" s="1"/>
  <c r="AD20" i="4"/>
  <c r="AF20" i="4" s="1"/>
  <c r="AV20" i="4" s="1"/>
  <c r="AW20" i="4" s="1"/>
  <c r="AX20" i="4" s="1"/>
  <c r="AY20" i="4" s="1"/>
  <c r="AD21" i="4"/>
  <c r="AF21" i="4" s="1"/>
  <c r="AD22" i="4"/>
  <c r="AF22" i="4" s="1"/>
  <c r="AD23" i="4"/>
  <c r="AF23" i="4" s="1"/>
  <c r="AV23" i="4" s="1"/>
  <c r="AW23" i="4" s="1"/>
  <c r="AX23" i="4" s="1"/>
  <c r="AY23" i="4" s="1"/>
  <c r="AD24" i="4"/>
  <c r="AF24" i="4" s="1"/>
  <c r="AT21" i="4"/>
  <c r="AT27" i="4"/>
  <c r="AV27" i="4" s="1"/>
  <c r="AW27" i="4" s="1"/>
  <c r="AX27" i="4" s="1"/>
  <c r="AY27" i="4" s="1"/>
  <c r="AT28" i="4"/>
  <c r="AV28" i="4" s="1"/>
  <c r="AW28" i="4" s="1"/>
  <c r="AX28" i="4" s="1"/>
  <c r="AY28" i="4" s="1"/>
  <c r="AT31" i="4"/>
  <c r="AT32" i="4"/>
  <c r="AT35" i="4"/>
  <c r="AV35" i="4" s="1"/>
  <c r="AW35" i="4" s="1"/>
  <c r="AX35" i="4" s="1"/>
  <c r="AY35" i="4" s="1"/>
  <c r="AT36" i="4"/>
  <c r="AV36" i="4" s="1"/>
  <c r="AW36" i="4" s="1"/>
  <c r="AX36" i="4" s="1"/>
  <c r="AY36" i="4" s="1"/>
  <c r="AT38" i="4"/>
  <c r="AV38" i="4" s="1"/>
  <c r="AW38" i="4" s="1"/>
  <c r="AX38" i="4" s="1"/>
  <c r="AY38" i="4" s="1"/>
  <c r="AT40" i="4"/>
  <c r="AV40" i="4" s="1"/>
  <c r="AW40" i="4" s="1"/>
  <c r="AX40" i="4" s="1"/>
  <c r="AY40" i="4" s="1"/>
  <c r="D47" i="32"/>
  <c r="G47" i="32" s="1"/>
  <c r="AT19" i="4"/>
  <c r="AF18" i="4"/>
  <c r="AE10" i="4"/>
  <c r="AF10" i="4" s="1"/>
  <c r="AE11" i="4"/>
  <c r="AF11" i="4" s="1"/>
  <c r="AE12" i="4"/>
  <c r="AF12" i="4" s="1"/>
  <c r="AE13" i="4"/>
  <c r="AF13" i="4" s="1"/>
  <c r="AE14" i="4"/>
  <c r="AF14" i="4" s="1"/>
  <c r="AE15" i="4"/>
  <c r="AF15" i="4" s="1"/>
  <c r="AE16" i="4"/>
  <c r="AF16" i="4" s="1"/>
  <c r="AE17" i="4"/>
  <c r="AF17" i="4" s="1"/>
  <c r="AY90" i="4" l="1"/>
  <c r="AV24" i="4"/>
  <c r="AW24" i="4" s="1"/>
  <c r="AX24" i="4" s="1"/>
  <c r="AY24" i="4" s="1"/>
  <c r="AV32" i="4"/>
  <c r="AW32" i="4" s="1"/>
  <c r="AX32" i="4" s="1"/>
  <c r="AY32" i="4" s="1"/>
  <c r="D47" i="33"/>
  <c r="G47" i="33" s="1"/>
  <c r="AV31" i="4"/>
  <c r="AW31" i="4" s="1"/>
  <c r="AX31" i="4" s="1"/>
  <c r="AY31" i="4" s="1"/>
  <c r="D46" i="33"/>
  <c r="G46" i="33" s="1"/>
  <c r="G44" i="36"/>
  <c r="AV99" i="4"/>
  <c r="AW99" i="4" s="1"/>
  <c r="AX99" i="4" s="1"/>
  <c r="AY99" i="4" s="1"/>
  <c r="AV97" i="4"/>
  <c r="AW97" i="4" s="1"/>
  <c r="AX97" i="4" s="1"/>
  <c r="AY97" i="4" s="1"/>
  <c r="G43" i="36"/>
  <c r="AV159" i="4"/>
  <c r="AW159" i="4" s="1"/>
  <c r="AX159" i="4" s="1"/>
  <c r="AY159" i="4" s="1"/>
  <c r="G50" i="36"/>
  <c r="G48" i="36"/>
  <c r="G46" i="36"/>
  <c r="G49" i="36"/>
  <c r="G47" i="36"/>
  <c r="G45" i="36"/>
  <c r="AV95" i="4"/>
  <c r="AW95" i="4" s="1"/>
  <c r="AX95" i="4" s="1"/>
  <c r="AY95" i="4" s="1"/>
  <c r="AF82" i="4"/>
  <c r="AF86" i="4"/>
  <c r="AV86" i="4" s="1"/>
  <c r="AW86" i="4" s="1"/>
  <c r="AX86" i="4" s="1"/>
  <c r="AY86" i="4" s="1"/>
  <c r="AF79" i="4"/>
  <c r="AF83" i="4"/>
  <c r="AF87" i="4"/>
  <c r="AV87" i="4" s="1"/>
  <c r="AW87" i="4" s="1"/>
  <c r="AX87" i="4" s="1"/>
  <c r="AY87" i="4" s="1"/>
  <c r="AV14" i="4"/>
  <c r="AW14" i="4" s="1"/>
  <c r="AX14" i="4" s="1"/>
  <c r="AY14" i="4" s="1"/>
  <c r="AV82" i="4"/>
  <c r="AW82" i="4" s="1"/>
  <c r="AX82" i="4" s="1"/>
  <c r="AY82" i="4" s="1"/>
  <c r="AV83" i="4"/>
  <c r="AW83" i="4" s="1"/>
  <c r="AX83" i="4" s="1"/>
  <c r="AY83" i="4" s="1"/>
  <c r="AV79" i="4"/>
  <c r="AW79" i="4" s="1"/>
  <c r="AX79" i="4" s="1"/>
  <c r="AY79" i="4" s="1"/>
  <c r="AT12" i="4"/>
  <c r="AV12" i="4" s="1"/>
  <c r="AW12" i="4" s="1"/>
  <c r="AX12" i="4" s="1"/>
  <c r="AY12" i="4" s="1"/>
  <c r="C42" i="32"/>
  <c r="G42" i="32" s="1"/>
  <c r="AT11" i="4"/>
  <c r="AV15" i="4"/>
  <c r="AW15" i="4" s="1"/>
  <c r="AX15" i="4" s="1"/>
  <c r="AY15" i="4" s="1"/>
  <c r="AV11" i="4"/>
  <c r="AW11" i="4" s="1"/>
  <c r="AX11" i="4" s="1"/>
  <c r="AY11" i="4" s="1"/>
  <c r="AF80" i="4"/>
  <c r="AV80" i="4" s="1"/>
  <c r="AW80" i="4" s="1"/>
  <c r="AX80" i="4" s="1"/>
  <c r="AY80" i="4" s="1"/>
  <c r="AF84" i="4"/>
  <c r="AV84" i="4" s="1"/>
  <c r="AW84" i="4" s="1"/>
  <c r="AX84" i="4" s="1"/>
  <c r="AY84" i="4" s="1"/>
  <c r="AF81" i="4"/>
  <c r="AV81" i="4" s="1"/>
  <c r="AW81" i="4" s="1"/>
  <c r="AX81" i="4" s="1"/>
  <c r="AY81" i="4" s="1"/>
  <c r="AF85" i="4"/>
  <c r="AV85" i="4" s="1"/>
  <c r="AW85" i="4" s="1"/>
  <c r="AX85" i="4" s="1"/>
  <c r="AY85" i="4" s="1"/>
  <c r="AV21" i="4"/>
  <c r="AW21" i="4" s="1"/>
  <c r="AX21" i="4" s="1"/>
  <c r="AV19" i="4"/>
  <c r="AW19" i="4" s="1"/>
  <c r="AX19" i="4" s="1"/>
  <c r="AY19" i="4" s="1"/>
  <c r="C10" i="42"/>
  <c r="C9" i="42"/>
  <c r="C8" i="42"/>
  <c r="C7" i="42"/>
  <c r="B32" i="42"/>
  <c r="B33" i="42"/>
  <c r="B34" i="42"/>
  <c r="B35" i="42"/>
  <c r="B36" i="42"/>
  <c r="B37" i="42"/>
  <c r="B38" i="42"/>
  <c r="B39" i="42"/>
  <c r="B41" i="42"/>
  <c r="B31" i="42"/>
  <c r="C7" i="39"/>
  <c r="C10" i="23" l="1"/>
  <c r="C9" i="23"/>
  <c r="C8" i="23"/>
  <c r="C7" i="23"/>
  <c r="C10" i="22"/>
  <c r="C9" i="22"/>
  <c r="C8" i="22"/>
  <c r="C7" i="22"/>
  <c r="C10" i="21"/>
  <c r="C9" i="21"/>
  <c r="C8" i="21"/>
  <c r="C7" i="21"/>
  <c r="C69" i="20"/>
  <c r="D69" i="20"/>
  <c r="C10" i="20"/>
  <c r="C9" i="20"/>
  <c r="C8" i="20"/>
  <c r="C7" i="20"/>
  <c r="E69" i="20"/>
  <c r="C7" i="36"/>
  <c r="C10" i="36"/>
  <c r="C9" i="36"/>
  <c r="C8" i="36"/>
  <c r="C10" i="39"/>
  <c r="C9" i="39"/>
  <c r="C8" i="39"/>
  <c r="C69" i="32"/>
  <c r="E69" i="32" s="1"/>
  <c r="C69" i="34"/>
  <c r="D86" i="35"/>
  <c r="C86" i="35"/>
  <c r="E86" i="35" s="1"/>
  <c r="C68" i="35"/>
  <c r="E68" i="35" s="1"/>
  <c r="D68" i="35"/>
  <c r="F40" i="35"/>
  <c r="E40" i="35"/>
  <c r="C10" i="34"/>
  <c r="C9" i="34"/>
  <c r="C8" i="34"/>
  <c r="C7" i="34"/>
  <c r="C10" i="33" l="1"/>
  <c r="C9" i="33"/>
  <c r="C8" i="33"/>
  <c r="C7" i="33"/>
  <c r="C10" i="32"/>
  <c r="C9" i="32"/>
  <c r="C8" i="32"/>
  <c r="C7" i="32"/>
  <c r="E41" i="32"/>
  <c r="F41" i="32"/>
  <c r="D69" i="32"/>
  <c r="E32" i="42" l="1"/>
  <c r="F32" i="42"/>
  <c r="E33" i="42"/>
  <c r="F33" i="42"/>
  <c r="E34" i="42"/>
  <c r="F34" i="42"/>
  <c r="E35" i="42"/>
  <c r="F35" i="42"/>
  <c r="E36" i="42"/>
  <c r="F36" i="42"/>
  <c r="E37" i="42"/>
  <c r="F37" i="42"/>
  <c r="E38" i="42"/>
  <c r="F38" i="42"/>
  <c r="E39" i="42"/>
  <c r="F39" i="42"/>
  <c r="E41" i="42"/>
  <c r="F41" i="42"/>
  <c r="F31" i="42"/>
  <c r="E31" i="42"/>
  <c r="AU269" i="4"/>
  <c r="AU267" i="4"/>
  <c r="AU266" i="4"/>
  <c r="AU265" i="4"/>
  <c r="AU264" i="4"/>
  <c r="AU263" i="4"/>
  <c r="AU262" i="4"/>
  <c r="AU261" i="4"/>
  <c r="AU260" i="4"/>
  <c r="AU259" i="4"/>
  <c r="AR259" i="4" l="1"/>
  <c r="AS259" i="4"/>
  <c r="D31" i="42" s="1"/>
  <c r="AR267" i="4"/>
  <c r="C39" i="42" s="1"/>
  <c r="AS267" i="4"/>
  <c r="D39" i="42" s="1"/>
  <c r="AR265" i="4"/>
  <c r="C37" i="42" s="1"/>
  <c r="AS265" i="4"/>
  <c r="D37" i="42" s="1"/>
  <c r="AR263" i="4"/>
  <c r="C35" i="42" s="1"/>
  <c r="AS263" i="4"/>
  <c r="D35" i="42" s="1"/>
  <c r="AR261" i="4"/>
  <c r="AS261" i="4"/>
  <c r="D33" i="42" s="1"/>
  <c r="AR269" i="4"/>
  <c r="C41" i="42" s="1"/>
  <c r="AS269" i="4"/>
  <c r="D41" i="42" s="1"/>
  <c r="AR266" i="4"/>
  <c r="C38" i="42" s="1"/>
  <c r="AS266" i="4"/>
  <c r="D38" i="42" s="1"/>
  <c r="AR264" i="4"/>
  <c r="C36" i="42" s="1"/>
  <c r="AS264" i="4"/>
  <c r="D36" i="42" s="1"/>
  <c r="AR262" i="4"/>
  <c r="C34" i="42" s="1"/>
  <c r="AS262" i="4"/>
  <c r="D34" i="42" s="1"/>
  <c r="AR260" i="4"/>
  <c r="C32" i="42" s="1"/>
  <c r="AS260" i="4"/>
  <c r="D32" i="42" s="1"/>
  <c r="C31" i="42"/>
  <c r="C33" i="42"/>
  <c r="E45" i="22"/>
  <c r="F45" i="22"/>
  <c r="E46" i="22"/>
  <c r="F46" i="22"/>
  <c r="E47" i="22"/>
  <c r="F47" i="22"/>
  <c r="AU234" i="4"/>
  <c r="AU235" i="4"/>
  <c r="AU236" i="4"/>
  <c r="AU237" i="4"/>
  <c r="AU238" i="4"/>
  <c r="AU239" i="4"/>
  <c r="AR236" i="4"/>
  <c r="C45" i="22" s="1"/>
  <c r="AR237" i="4"/>
  <c r="C46" i="22" s="1"/>
  <c r="AR238" i="4"/>
  <c r="C47" i="22" s="1"/>
  <c r="AR232" i="4"/>
  <c r="W237" i="4"/>
  <c r="AE237" i="4" s="1"/>
  <c r="V234" i="4"/>
  <c r="W234" i="4" s="1"/>
  <c r="V233" i="4"/>
  <c r="W233" i="4" s="1"/>
  <c r="W232" i="4"/>
  <c r="E92" i="34"/>
  <c r="E91" i="34"/>
  <c r="E90" i="34"/>
  <c r="C89" i="34"/>
  <c r="E89" i="34" s="1"/>
  <c r="E72" i="34"/>
  <c r="E71" i="34"/>
  <c r="E70" i="34"/>
  <c r="D69" i="34"/>
  <c r="E69" i="34"/>
  <c r="E92" i="33"/>
  <c r="E91" i="33"/>
  <c r="E90" i="33"/>
  <c r="E89" i="33"/>
  <c r="E73" i="33"/>
  <c r="E71" i="33"/>
  <c r="E70" i="33"/>
  <c r="E72" i="33"/>
  <c r="AU22" i="4"/>
  <c r="AU17" i="4"/>
  <c r="AU18" i="4"/>
  <c r="AR33" i="4"/>
  <c r="C48" i="33" s="1"/>
  <c r="AS33" i="4"/>
  <c r="AR34" i="4"/>
  <c r="C44" i="34" s="1"/>
  <c r="AS34" i="4"/>
  <c r="D44" i="34" s="1"/>
  <c r="AR37" i="4"/>
  <c r="C47" i="34" s="1"/>
  <c r="AS37" i="4"/>
  <c r="D47" i="34" s="1"/>
  <c r="AR39" i="4"/>
  <c r="C45" i="35" s="1"/>
  <c r="AS39" i="4"/>
  <c r="D45" i="35" s="1"/>
  <c r="AR41" i="4"/>
  <c r="C47" i="35" s="1"/>
  <c r="AS41" i="4"/>
  <c r="D47" i="35" s="1"/>
  <c r="AR22" i="4"/>
  <c r="AS22" i="4"/>
  <c r="D40" i="35" s="1"/>
  <c r="AR25" i="4"/>
  <c r="C43" i="35" s="1"/>
  <c r="AS25" i="4"/>
  <c r="D43" i="35" s="1"/>
  <c r="AR26" i="4"/>
  <c r="C45" i="32" s="1"/>
  <c r="AS26" i="4"/>
  <c r="D45" i="32" s="1"/>
  <c r="AR29" i="4"/>
  <c r="C48" i="32" s="1"/>
  <c r="AS29" i="4"/>
  <c r="D48" i="32" s="1"/>
  <c r="AR30" i="4"/>
  <c r="C45" i="33" s="1"/>
  <c r="AS30" i="4"/>
  <c r="AR16" i="4"/>
  <c r="C43" i="33" s="1"/>
  <c r="AS16" i="4"/>
  <c r="AR17" i="4"/>
  <c r="C44" i="33" s="1"/>
  <c r="AS17" i="4"/>
  <c r="AR18" i="4"/>
  <c r="AS18" i="4"/>
  <c r="G43" i="35" l="1"/>
  <c r="G47" i="35"/>
  <c r="G45" i="35"/>
  <c r="G47" i="34"/>
  <c r="G44" i="34"/>
  <c r="AE232" i="4"/>
  <c r="AD232" i="4"/>
  <c r="G31" i="42"/>
  <c r="G32" i="42"/>
  <c r="G34" i="42"/>
  <c r="G36" i="42"/>
  <c r="G38" i="42"/>
  <c r="G37" i="42"/>
  <c r="G41" i="42"/>
  <c r="G33" i="42"/>
  <c r="AT262" i="4"/>
  <c r="AV262" i="4" s="1"/>
  <c r="AW262" i="4" s="1"/>
  <c r="AX262" i="4" s="1"/>
  <c r="AY262" i="4" s="1"/>
  <c r="AT266" i="4"/>
  <c r="AV266" i="4" s="1"/>
  <c r="AW266" i="4" s="1"/>
  <c r="AX266" i="4" s="1"/>
  <c r="AY266" i="4" s="1"/>
  <c r="G35" i="42"/>
  <c r="G39" i="42"/>
  <c r="G48" i="32"/>
  <c r="G45" i="32"/>
  <c r="AT269" i="4"/>
  <c r="AV269" i="4" s="1"/>
  <c r="AW269" i="4" s="1"/>
  <c r="AX269" i="4" s="1"/>
  <c r="AY269" i="4" s="1"/>
  <c r="AT264" i="4"/>
  <c r="AV264" i="4" s="1"/>
  <c r="AW264" i="4" s="1"/>
  <c r="AX264" i="4" s="1"/>
  <c r="AY264" i="4" s="1"/>
  <c r="AT260" i="4"/>
  <c r="AV260" i="4" s="1"/>
  <c r="AW260" i="4" s="1"/>
  <c r="AX260" i="4" s="1"/>
  <c r="AY260" i="4" s="1"/>
  <c r="AT261" i="4"/>
  <c r="AV261" i="4" s="1"/>
  <c r="AW261" i="4" s="1"/>
  <c r="AX261" i="4" s="1"/>
  <c r="AY261" i="4" s="1"/>
  <c r="AT263" i="4"/>
  <c r="AV263" i="4" s="1"/>
  <c r="AW263" i="4" s="1"/>
  <c r="AX263" i="4" s="1"/>
  <c r="AY263" i="4" s="1"/>
  <c r="AT265" i="4"/>
  <c r="AV265" i="4" s="1"/>
  <c r="AW265" i="4" s="1"/>
  <c r="AX265" i="4" s="1"/>
  <c r="AY265" i="4" s="1"/>
  <c r="AT267" i="4"/>
  <c r="AV267" i="4" s="1"/>
  <c r="AW267" i="4" s="1"/>
  <c r="AX267" i="4" s="1"/>
  <c r="AY267" i="4" s="1"/>
  <c r="AT259" i="4"/>
  <c r="AV259" i="4" s="1"/>
  <c r="AW259" i="4" s="1"/>
  <c r="AX259" i="4" s="1"/>
  <c r="AY259" i="4" s="1"/>
  <c r="AT25" i="4"/>
  <c r="AV25" i="4" s="1"/>
  <c r="AW25" i="4" s="1"/>
  <c r="AX25" i="4" s="1"/>
  <c r="AY25" i="4" s="1"/>
  <c r="C40" i="35"/>
  <c r="G40" i="35" s="1"/>
  <c r="AT22" i="4"/>
  <c r="G41" i="34"/>
  <c r="G43" i="34"/>
  <c r="G42" i="34"/>
  <c r="AV249" i="4"/>
  <c r="AW249" i="4" s="1"/>
  <c r="AX249" i="4" s="1"/>
  <c r="AY249" i="4" s="1"/>
  <c r="AD237" i="4"/>
  <c r="AS237" i="4"/>
  <c r="AR239" i="4"/>
  <c r="AT41" i="4"/>
  <c r="AV41" i="4" s="1"/>
  <c r="AW41" i="4" s="1"/>
  <c r="AX41" i="4" s="1"/>
  <c r="AY41" i="4" s="1"/>
  <c r="AS238" i="4"/>
  <c r="AS236" i="4"/>
  <c r="AT39" i="4"/>
  <c r="AV39" i="4" s="1"/>
  <c r="AW39" i="4" s="1"/>
  <c r="AX39" i="4" s="1"/>
  <c r="AY39" i="4" s="1"/>
  <c r="AT34" i="4"/>
  <c r="AV34" i="4" s="1"/>
  <c r="AW34" i="4" s="1"/>
  <c r="AX34" i="4" s="1"/>
  <c r="AT33" i="4"/>
  <c r="AV33" i="4" l="1"/>
  <c r="AW33" i="4" s="1"/>
  <c r="AX33" i="4" s="1"/>
  <c r="AY33" i="4" s="1"/>
  <c r="D48" i="33"/>
  <c r="G48" i="33" s="1"/>
  <c r="AY34" i="4"/>
  <c r="AT236" i="4"/>
  <c r="AV236" i="4" s="1"/>
  <c r="AW236" i="4" s="1"/>
  <c r="AX236" i="4" s="1"/>
  <c r="AY236" i="4" s="1"/>
  <c r="D45" i="22"/>
  <c r="G45" i="22" s="1"/>
  <c r="AT237" i="4"/>
  <c r="D46" i="22"/>
  <c r="G46" i="22" s="1"/>
  <c r="AT238" i="4"/>
  <c r="D47" i="22"/>
  <c r="G47" i="22" s="1"/>
  <c r="AV248" i="4"/>
  <c r="AW248" i="4" s="1"/>
  <c r="AX248" i="4" s="1"/>
  <c r="AY248" i="4" s="1"/>
  <c r="AV247" i="4"/>
  <c r="AW247" i="4" s="1"/>
  <c r="AX247" i="4" s="1"/>
  <c r="AY247" i="4" s="1"/>
  <c r="AF237" i="4"/>
  <c r="AV22" i="4"/>
  <c r="AT37" i="4"/>
  <c r="AV37" i="4" s="1"/>
  <c r="AW37" i="4" s="1"/>
  <c r="AX37" i="4" s="1"/>
  <c r="AY37" i="4" s="1"/>
  <c r="AT30" i="4"/>
  <c r="AT29" i="4"/>
  <c r="AV29" i="4" s="1"/>
  <c r="AW29" i="4" s="1"/>
  <c r="AX29" i="4" s="1"/>
  <c r="AY29" i="4" s="1"/>
  <c r="AT26" i="4"/>
  <c r="AV26" i="4" s="1"/>
  <c r="AW26" i="4" s="1"/>
  <c r="AX26" i="4" s="1"/>
  <c r="AY26" i="4" s="1"/>
  <c r="AE158" i="4"/>
  <c r="AD158" i="4"/>
  <c r="AV30" i="4" l="1"/>
  <c r="AW30" i="4" s="1"/>
  <c r="AX30" i="4" s="1"/>
  <c r="AY30" i="4" s="1"/>
  <c r="D45" i="33"/>
  <c r="G45" i="33" s="1"/>
  <c r="AW22" i="4"/>
  <c r="AX22" i="4" s="1"/>
  <c r="AY22" i="4" s="1"/>
  <c r="AV238" i="4"/>
  <c r="AW238" i="4" s="1"/>
  <c r="AX238" i="4" s="1"/>
  <c r="AY238" i="4" s="1"/>
  <c r="AV237" i="4"/>
  <c r="AW237" i="4" s="1"/>
  <c r="AX237" i="4" s="1"/>
  <c r="AY237" i="4" s="1"/>
  <c r="AQ252" i="4"/>
  <c r="AQ253" i="4"/>
  <c r="AQ254" i="4"/>
  <c r="AQ255" i="4"/>
  <c r="AQ256" i="4"/>
  <c r="AQ257" i="4"/>
  <c r="AQ258" i="4"/>
  <c r="AQ251" i="4"/>
  <c r="AI258" i="4"/>
  <c r="AJ258" i="4" s="1"/>
  <c r="AI257" i="4"/>
  <c r="AJ257" i="4" s="1"/>
  <c r="AI256" i="4"/>
  <c r="AJ256" i="4" s="1"/>
  <c r="AI255" i="4"/>
  <c r="AJ255" i="4" s="1"/>
  <c r="AI254" i="4"/>
  <c r="AJ254" i="4" s="1"/>
  <c r="AI253" i="4"/>
  <c r="AJ253" i="4" s="1"/>
  <c r="AI252" i="4"/>
  <c r="AJ252" i="4" s="1"/>
  <c r="AI251" i="4"/>
  <c r="AJ251" i="4" s="1"/>
  <c r="AU255" i="4"/>
  <c r="AU254" i="4"/>
  <c r="AU253" i="4"/>
  <c r="AU252" i="4"/>
  <c r="AU251" i="4"/>
  <c r="AC258" i="4"/>
  <c r="AC256" i="4"/>
  <c r="AC254" i="4"/>
  <c r="AC251" i="4"/>
  <c r="V258" i="4"/>
  <c r="W258" i="4" s="1"/>
  <c r="V256" i="4"/>
  <c r="W256" i="4" s="1"/>
  <c r="V254" i="4"/>
  <c r="W254" i="4" s="1"/>
  <c r="V251" i="4"/>
  <c r="W251" i="4" s="1"/>
  <c r="AU258" i="4"/>
  <c r="AU257" i="4"/>
  <c r="BD251" i="4"/>
  <c r="AU256" i="4"/>
  <c r="E75" i="20"/>
  <c r="E70" i="20"/>
  <c r="E71" i="20"/>
  <c r="E72" i="20"/>
  <c r="E73" i="20"/>
  <c r="E74" i="20"/>
  <c r="AR233" i="4"/>
  <c r="AR234" i="4"/>
  <c r="AR235" i="4"/>
  <c r="AQ75" i="4"/>
  <c r="AQ76" i="4"/>
  <c r="AQ74" i="4"/>
  <c r="AK75" i="4"/>
  <c r="AK76" i="4"/>
  <c r="AC75" i="4"/>
  <c r="AC76" i="4"/>
  <c r="AC74" i="4"/>
  <c r="V76" i="4"/>
  <c r="V164" i="4"/>
  <c r="W164" i="4" s="1"/>
  <c r="V162" i="4"/>
  <c r="W162" i="4" s="1"/>
  <c r="V158" i="4"/>
  <c r="W182" i="4"/>
  <c r="AE164" i="4" l="1"/>
  <c r="AD164" i="4"/>
  <c r="AD162" i="4"/>
  <c r="AE162" i="4"/>
  <c r="AD178" i="4"/>
  <c r="AS74" i="4"/>
  <c r="AE251" i="4"/>
  <c r="AD251" i="4"/>
  <c r="AE256" i="4"/>
  <c r="AD256" i="4"/>
  <c r="AK252" i="4"/>
  <c r="AS252" i="4" s="1"/>
  <c r="AR252" i="4"/>
  <c r="AK254" i="4"/>
  <c r="AS254" i="4" s="1"/>
  <c r="AR254" i="4"/>
  <c r="AK256" i="4"/>
  <c r="AS256" i="4" s="1"/>
  <c r="AR256" i="4"/>
  <c r="AK258" i="4"/>
  <c r="AS258" i="4" s="1"/>
  <c r="AR258" i="4"/>
  <c r="AD254" i="4"/>
  <c r="AE254" i="4"/>
  <c r="AD258" i="4"/>
  <c r="AE258" i="4"/>
  <c r="AR251" i="4"/>
  <c r="AK251" i="4"/>
  <c r="AS251" i="4" s="1"/>
  <c r="AR253" i="4"/>
  <c r="AK253" i="4"/>
  <c r="AS253" i="4" s="1"/>
  <c r="AR255" i="4"/>
  <c r="AK255" i="4"/>
  <c r="AS255" i="4" s="1"/>
  <c r="AR257" i="4"/>
  <c r="AK257" i="4"/>
  <c r="AS257" i="4" s="1"/>
  <c r="AD76" i="4"/>
  <c r="AE76" i="4"/>
  <c r="AS75" i="4"/>
  <c r="V74" i="4"/>
  <c r="V75" i="4"/>
  <c r="W76" i="4"/>
  <c r="AK74" i="4"/>
  <c r="AS76" i="4"/>
  <c r="AR74" i="4"/>
  <c r="AR75" i="4"/>
  <c r="AR76" i="4"/>
  <c r="AU190" i="4"/>
  <c r="AU191" i="4"/>
  <c r="AF164" i="4" l="1"/>
  <c r="AF162" i="4"/>
  <c r="AV162" i="4" s="1"/>
  <c r="AW162" i="4" s="1"/>
  <c r="AX162" i="4" s="1"/>
  <c r="AY162" i="4" s="1"/>
  <c r="AT256" i="4"/>
  <c r="AT257" i="4"/>
  <c r="AV257" i="4" s="1"/>
  <c r="AW257" i="4" s="1"/>
  <c r="AX257" i="4" s="1"/>
  <c r="AY257" i="4" s="1"/>
  <c r="AF251" i="4"/>
  <c r="AD75" i="4"/>
  <c r="AE75" i="4"/>
  <c r="W75" i="4"/>
  <c r="AT258" i="4"/>
  <c r="AE74" i="4"/>
  <c r="AD74" i="4"/>
  <c r="W74" i="4"/>
  <c r="AT255" i="4"/>
  <c r="AV255" i="4" s="1"/>
  <c r="AW255" i="4" s="1"/>
  <c r="AX255" i="4" s="1"/>
  <c r="AY255" i="4" s="1"/>
  <c r="AT253" i="4"/>
  <c r="AV253" i="4" s="1"/>
  <c r="AW253" i="4" s="1"/>
  <c r="AX253" i="4" s="1"/>
  <c r="AY253" i="4" s="1"/>
  <c r="AT251" i="4"/>
  <c r="AF258" i="4"/>
  <c r="AF254" i="4"/>
  <c r="AT254" i="4"/>
  <c r="AV254" i="4" s="1"/>
  <c r="AW254" i="4" s="1"/>
  <c r="AX254" i="4" s="1"/>
  <c r="AY254" i="4" s="1"/>
  <c r="AT252" i="4"/>
  <c r="AV252" i="4" s="1"/>
  <c r="AW252" i="4" s="1"/>
  <c r="AX252" i="4" s="1"/>
  <c r="AY252" i="4" s="1"/>
  <c r="AF256" i="4"/>
  <c r="AV256" i="4" l="1"/>
  <c r="AW256" i="4" s="1"/>
  <c r="AX256" i="4" s="1"/>
  <c r="AY256" i="4" s="1"/>
  <c r="AV251" i="4"/>
  <c r="AW251" i="4" s="1"/>
  <c r="AX251" i="4" s="1"/>
  <c r="AY251" i="4" s="1"/>
  <c r="AV258" i="4"/>
  <c r="AW258" i="4" s="1"/>
  <c r="AX258" i="4" s="1"/>
  <c r="AY258" i="4" s="1"/>
  <c r="AT190" i="4"/>
  <c r="AV190" i="4" s="1"/>
  <c r="AW190" i="4" s="1"/>
  <c r="AX190" i="4" s="1"/>
  <c r="AY190" i="4" s="1"/>
  <c r="AT191" i="4"/>
  <c r="AV191" i="4" s="1"/>
  <c r="AW191" i="4" s="1"/>
  <c r="AX191" i="4" s="1"/>
  <c r="AY191" i="4" s="1"/>
  <c r="AK182" i="4" l="1"/>
  <c r="D67" i="21"/>
  <c r="C67" i="21"/>
  <c r="E67" i="21" s="1"/>
  <c r="D87" i="32"/>
  <c r="C87" i="32"/>
  <c r="E87" i="32" s="1"/>
  <c r="AU233" i="4" l="1"/>
  <c r="AU232" i="4"/>
  <c r="AU182" i="4"/>
  <c r="AU181" i="4"/>
  <c r="AU178" i="4"/>
  <c r="AU158" i="4"/>
  <c r="AU89" i="4"/>
  <c r="AU77" i="4"/>
  <c r="AU76" i="4"/>
  <c r="AU75" i="4"/>
  <c r="AU74" i="4"/>
  <c r="AU10" i="4"/>
  <c r="AS235" i="4"/>
  <c r="AS234" i="4"/>
  <c r="AS233" i="4"/>
  <c r="AS232" i="4"/>
  <c r="C40" i="39"/>
  <c r="AE239" i="4"/>
  <c r="AF239" i="4" s="1"/>
  <c r="AE235" i="4"/>
  <c r="AE234" i="4"/>
  <c r="AD234" i="4"/>
  <c r="AE233" i="4"/>
  <c r="AD233" i="4"/>
  <c r="AE182" i="4"/>
  <c r="AD182" i="4"/>
  <c r="AE178" i="4"/>
  <c r="AE89" i="4"/>
  <c r="AD89" i="4"/>
  <c r="AE88" i="4"/>
  <c r="AS182" i="4" l="1"/>
  <c r="D45" i="21" s="1"/>
  <c r="AR182" i="4"/>
  <c r="C45" i="21" s="1"/>
  <c r="AT10" i="4"/>
  <c r="AT13" i="4"/>
  <c r="AT233" i="4"/>
  <c r="AT234" i="4"/>
  <c r="AT235" i="4"/>
  <c r="AT16" i="4"/>
  <c r="D43" i="33" s="1"/>
  <c r="G43" i="33" s="1"/>
  <c r="AT17" i="4"/>
  <c r="D44" i="33" s="1"/>
  <c r="G44" i="33" s="1"/>
  <c r="AT239" i="4"/>
  <c r="AV239" i="4" s="1"/>
  <c r="AW239" i="4" s="1"/>
  <c r="AX239" i="4" s="1"/>
  <c r="AY239" i="4" s="1"/>
  <c r="AT178" i="4"/>
  <c r="AT158" i="4"/>
  <c r="F40" i="39"/>
  <c r="E40" i="39"/>
  <c r="G45" i="21" l="1"/>
  <c r="G32" i="41"/>
  <c r="D40" i="39"/>
  <c r="AT189" i="4"/>
  <c r="AV189" i="4" s="1"/>
  <c r="AW189" i="4" s="1"/>
  <c r="AX189" i="4" s="1"/>
  <c r="AY189" i="4" s="1"/>
  <c r="AT182" i="4"/>
  <c r="AT75" i="4"/>
  <c r="AT74" i="4"/>
  <c r="AF76" i="4"/>
  <c r="AF74" i="4"/>
  <c r="AT76" i="4"/>
  <c r="AF75" i="4"/>
  <c r="AV76" i="4" l="1"/>
  <c r="AW76" i="4" s="1"/>
  <c r="AX76" i="4" s="1"/>
  <c r="AY76" i="4" s="1"/>
  <c r="AV75" i="4"/>
  <c r="AW75" i="4" s="1"/>
  <c r="AX75" i="4" s="1"/>
  <c r="AY75" i="4" s="1"/>
  <c r="AV74" i="4"/>
  <c r="AW74" i="4" s="1"/>
  <c r="AX74" i="4" s="1"/>
  <c r="AV181" i="4"/>
  <c r="AV164" i="4"/>
  <c r="AW164" i="4" s="1"/>
  <c r="AX164" i="4" s="1"/>
  <c r="AY164" i="4" s="1"/>
  <c r="AY74" i="4" l="1"/>
  <c r="AW181" i="4"/>
  <c r="AX181" i="4" s="1"/>
  <c r="AY181" i="4" s="1"/>
  <c r="F41" i="36"/>
  <c r="E41" i="36"/>
  <c r="F40" i="34"/>
  <c r="E40" i="34"/>
  <c r="D40" i="34" l="1"/>
  <c r="C40" i="34"/>
  <c r="G40" i="34" l="1"/>
  <c r="D41" i="36"/>
  <c r="C41" i="36"/>
  <c r="G40" i="39"/>
  <c r="AT18" i="4"/>
  <c r="AF88" i="4"/>
  <c r="AV88" i="4" s="1"/>
  <c r="AW88" i="4" s="1"/>
  <c r="AX88" i="4" s="1"/>
  <c r="AY88" i="4" s="1"/>
  <c r="AY21" i="4"/>
  <c r="AT77" i="4"/>
  <c r="AF89" i="4"/>
  <c r="AV89" i="4" s="1"/>
  <c r="G42" i="39" l="1"/>
  <c r="G41" i="36"/>
  <c r="AV77" i="4"/>
  <c r="G41" i="39"/>
  <c r="AV18" i="4"/>
  <c r="AW18" i="4" s="1"/>
  <c r="AX18" i="4" s="1"/>
  <c r="AY18" i="4" s="1"/>
  <c r="AV16" i="4"/>
  <c r="AW16" i="4" s="1"/>
  <c r="AX16" i="4" s="1"/>
  <c r="AY16" i="4" s="1"/>
  <c r="AV17" i="4"/>
  <c r="AW17" i="4" s="1"/>
  <c r="AX17" i="4" s="1"/>
  <c r="AY17" i="4" s="1"/>
  <c r="AV13" i="4"/>
  <c r="AW13" i="4" s="1"/>
  <c r="AX13" i="4" s="1"/>
  <c r="AY13" i="4" s="1"/>
  <c r="AW77" i="4"/>
  <c r="AX77" i="4" s="1"/>
  <c r="AV10" i="4"/>
  <c r="AW10" i="4" s="1"/>
  <c r="AX10" i="4" s="1"/>
  <c r="G41" i="33"/>
  <c r="AW89" i="4"/>
  <c r="AX89" i="4" s="1"/>
  <c r="AY89" i="4" s="1"/>
  <c r="G42" i="33"/>
  <c r="E41" i="22"/>
  <c r="E42" i="22"/>
  <c r="E43" i="22"/>
  <c r="E44" i="22"/>
  <c r="F44" i="22"/>
  <c r="F43" i="22"/>
  <c r="F42" i="22"/>
  <c r="AY77" i="4" l="1"/>
  <c r="BC75" i="4"/>
  <c r="BC10" i="4"/>
  <c r="AY10" i="4"/>
  <c r="F41" i="21"/>
  <c r="E41" i="21"/>
  <c r="D41" i="20"/>
  <c r="D41" i="21"/>
  <c r="D41" i="22"/>
  <c r="D42" i="22"/>
  <c r="D43" i="22"/>
  <c r="D44" i="22"/>
  <c r="D41" i="23"/>
  <c r="AF158" i="4" l="1"/>
  <c r="AF235" i="4"/>
  <c r="AV235" i="4" s="1"/>
  <c r="AW235" i="4" s="1"/>
  <c r="AX235" i="4" s="1"/>
  <c r="AY235" i="4" s="1"/>
  <c r="AF233" i="4"/>
  <c r="C41" i="23"/>
  <c r="G41" i="23" s="1"/>
  <c r="C42" i="22"/>
  <c r="G42" i="22" s="1"/>
  <c r="AF234" i="4"/>
  <c r="AV234" i="4" s="1"/>
  <c r="AW234" i="4" s="1"/>
  <c r="AX234" i="4" s="1"/>
  <c r="AY234" i="4" s="1"/>
  <c r="AF178" i="4"/>
  <c r="AF232" i="4"/>
  <c r="C43" i="22"/>
  <c r="G43" i="22" s="1"/>
  <c r="AV166" i="4"/>
  <c r="AW166" i="4" s="1"/>
  <c r="AX166" i="4" s="1"/>
  <c r="AY166" i="4" s="1"/>
  <c r="AF182" i="4"/>
  <c r="C44" i="22"/>
  <c r="G44" i="22" s="1"/>
  <c r="AT232" i="4"/>
  <c r="C41" i="22"/>
  <c r="G41" i="22" s="1"/>
  <c r="C41" i="21"/>
  <c r="G41" i="21" s="1"/>
  <c r="C41" i="20"/>
  <c r="G41" i="20" s="1"/>
  <c r="AV233" i="4" l="1"/>
  <c r="AV158" i="4"/>
  <c r="AV182" i="4"/>
  <c r="AV178" i="4"/>
  <c r="AV232" i="4"/>
  <c r="AW158" i="4" l="1"/>
  <c r="AX158" i="4" s="1"/>
  <c r="AW182" i="4"/>
  <c r="AX182" i="4" s="1"/>
  <c r="AY182" i="4" s="1"/>
  <c r="AW178" i="4"/>
  <c r="AX178" i="4" s="1"/>
  <c r="AY178" i="4" s="1"/>
  <c r="AW232" i="4"/>
  <c r="AX232" i="4" s="1"/>
  <c r="AW233" i="4"/>
  <c r="AX233" i="4" s="1"/>
  <c r="AY233" i="4" s="1"/>
  <c r="BC125" i="4" l="1"/>
  <c r="BC115" i="4"/>
  <c r="BC88" i="4"/>
  <c r="BC101" i="4"/>
  <c r="BC251" i="4"/>
  <c r="BC235" i="4"/>
  <c r="AY232" i="4"/>
  <c r="BC158" i="4"/>
  <c r="AY158" i="4"/>
  <c r="F41" i="23"/>
  <c r="E41" i="23"/>
  <c r="F41" i="22"/>
  <c r="F41" i="20"/>
  <c r="E41" i="20"/>
  <c r="BC278" i="4" l="1"/>
  <c r="BD74" i="4" s="1"/>
  <c r="BD232" i="4" l="1"/>
  <c r="BD77" i="4" l="1"/>
  <c r="BD10" i="4"/>
  <c r="BD158" i="4"/>
</calcChain>
</file>

<file path=xl/sharedStrings.xml><?xml version="1.0" encoding="utf-8"?>
<sst xmlns="http://schemas.openxmlformats.org/spreadsheetml/2006/main" count="3409" uniqueCount="250">
  <si>
    <t>MARCA</t>
  </si>
  <si>
    <t xml:space="preserve">MODELO </t>
  </si>
  <si>
    <t>MAGNITUD</t>
  </si>
  <si>
    <t>ESTACION</t>
  </si>
  <si>
    <t>SERIE</t>
  </si>
  <si>
    <t xml:space="preserve">RESOLUCION </t>
  </si>
  <si>
    <t>DIOXIDO CO2</t>
  </si>
  <si>
    <t>HIDROCARBUROS HC</t>
  </si>
  <si>
    <t>OXIGENO O2</t>
  </si>
  <si>
    <t>GASES</t>
  </si>
  <si>
    <t>REVOLUCIONES POR MINUTO</t>
  </si>
  <si>
    <t>LUXOMETRO</t>
  </si>
  <si>
    <t>INTENSIDAD</t>
  </si>
  <si>
    <t>INCLINACION</t>
  </si>
  <si>
    <t>1 PPM</t>
  </si>
  <si>
    <t>10 rpm</t>
  </si>
  <si>
    <t>1 N</t>
  </si>
  <si>
    <t>0,1 Klux</t>
  </si>
  <si>
    <t>0,5 a 3, 5</t>
  </si>
  <si>
    <t>±ppm</t>
  </si>
  <si>
    <t>±%</t>
  </si>
  <si>
    <t xml:space="preserve">EXACTITUD SEGÚN NTC </t>
  </si>
  <si>
    <t>10 a 9999</t>
  </si>
  <si>
    <t>rpm</t>
  </si>
  <si>
    <t>T2 - T1</t>
  </si>
  <si>
    <t>FECHA (T2)</t>
  </si>
  <si>
    <t xml:space="preserve">DERIVA </t>
  </si>
  <si>
    <t>RANGO DE MEDICION EQUIPO</t>
  </si>
  <si>
    <t>E = e + U (Donde e es el error y U es la Incert Exp)</t>
  </si>
  <si>
    <t>E = e - U (Donde e es el error y U es la Incert Exp)</t>
  </si>
  <si>
    <t>DESCRIPCION INSTRUMENTO</t>
  </si>
  <si>
    <t>Valor maximo entre E+ y E -</t>
  </si>
  <si>
    <t>METODO DE AJUSTE AUTOMATICO</t>
  </si>
  <si>
    <t>METODO CARTAS DE CONTROL</t>
  </si>
  <si>
    <t>√</t>
  </si>
  <si>
    <t>3 COMPROBACIONES ENTRE CALIBRACIONES</t>
  </si>
  <si>
    <t>Vt1 Valor maximo entre E+ y E-</t>
  </si>
  <si>
    <t>INT. CALIBRACION CON CONDICION</t>
  </si>
  <si>
    <t xml:space="preserve">CONFORMIDAD DE ACUERDO A NTC: 5385:2011
</t>
  </si>
  <si>
    <t>INTERVALO DE CALIBRACION [%]</t>
  </si>
  <si>
    <t>MIN</t>
  </si>
  <si>
    <t>FORMULACION CALIBRACION</t>
  </si>
  <si>
    <t>FORMULACION VERIFICACION</t>
  </si>
  <si>
    <t>INTERVALO DETIEMPO EN CALIBRACION VALOR NUMERICO EN AÑOS</t>
  </si>
  <si>
    <r>
      <rPr>
        <b/>
        <sz val="11"/>
        <color theme="1"/>
        <rFont val="Calibri"/>
        <family val="2"/>
      </rPr>
      <t>±</t>
    </r>
    <r>
      <rPr>
        <b/>
        <sz val="11"/>
        <color theme="1"/>
        <rFont val="Calibri"/>
        <family val="2"/>
        <scheme val="minor"/>
      </rPr>
      <t>%</t>
    </r>
  </si>
  <si>
    <t xml:space="preserve">0,00 a 15,00 </t>
  </si>
  <si>
    <t>0,0 a 19,9</t>
  </si>
  <si>
    <r>
      <rPr>
        <sz val="11"/>
        <color theme="1"/>
        <rFont val="Calibri"/>
        <family val="2"/>
      </rPr>
      <t>±</t>
    </r>
    <r>
      <rPr>
        <sz val="11"/>
        <color theme="1"/>
        <rFont val="Calibri"/>
        <family val="2"/>
        <scheme val="minor"/>
      </rPr>
      <t>ppm</t>
    </r>
  </si>
  <si>
    <t>0,00 a 25,00</t>
  </si>
  <si>
    <t>0 a 20000</t>
  </si>
  <si>
    <t>BRAIN BEE</t>
  </si>
  <si>
    <t>FECHA (T1)</t>
  </si>
  <si>
    <t>PUNTOS DE CALIBRACION</t>
  </si>
  <si>
    <t>DESVIACION Vt2 - Vt1</t>
  </si>
  <si>
    <t xml:space="preserve">FRENOMETRO </t>
  </si>
  <si>
    <t xml:space="preserve"> MGT 300 EVO</t>
  </si>
  <si>
    <t>2 COMPROBACIONES ENTRE CALIBRACIONES</t>
  </si>
  <si>
    <t>INTERVALO DE TIEMPO DE COMPROBACIONES VALOR NUMERICO EN AÑOS</t>
  </si>
  <si>
    <t>TEMPERATURA</t>
  </si>
  <si>
    <t>1 Grado</t>
  </si>
  <si>
    <t>20 a 100</t>
  </si>
  <si>
    <t>1. SE TOMAN LAS INCERTIDUMBRES MAS ALTAS PARA PODER ASEGURAR LA ESCALA COMPLETA</t>
  </si>
  <si>
    <t>2. ESTADISTICAMENTE DE ACUERDO A LA DERIVA DE LOS EQUIPOS SE PUEDEN CALIBRAR CADA 2 AÑOS</t>
  </si>
  <si>
    <t>4. CABE ANOTAR QUE LOS EQUIPOS SUCEPTIBLES DE REPARACIONES Y AJUSTES NO APLICA ESTE METODO PUES DEBEN SER CALIBRADOS INMEDIATAMENTE.</t>
  </si>
  <si>
    <t>3. ESTADISTICAMENTE DE ACUERDO AL PRCEDIMIENTO DE SELECCIONAR EL INTERVALO MINIMO DE TODA LA TOMA DE DATOS SE PUEDE HACER VERIFICACIONES CADA NUEVE MESES.</t>
  </si>
  <si>
    <t xml:space="preserve">PRECISION SEGÚN NTC </t>
  </si>
  <si>
    <t>RUIDO SEGÚN NTC 5365 / 5.2.7.1.</t>
  </si>
  <si>
    <t>REPETIBILIDAD SEGÚN NTC NTC 4983 / 5.2.7.1.</t>
  </si>
  <si>
    <t>-</t>
  </si>
  <si>
    <t>NUMERO CERTIFICADO DE CAL 1</t>
  </si>
  <si>
    <t>PROMEDIOS DE INDICACION DEL INSTRUMENTO (Vt2)</t>
  </si>
  <si>
    <t xml:space="preserve">ERRORES DE CALIBRACION </t>
  </si>
  <si>
    <t xml:space="preserve">ERRORES % </t>
  </si>
  <si>
    <t xml:space="preserve">PRECISION </t>
  </si>
  <si>
    <t xml:space="preserve">PRECISION % </t>
  </si>
  <si>
    <t xml:space="preserve">RUIDO </t>
  </si>
  <si>
    <t xml:space="preserve">REPETIBILIDAD </t>
  </si>
  <si>
    <t xml:space="preserve">INCERTIDUMBRE DE CALIBRACION </t>
  </si>
  <si>
    <t xml:space="preserve">% INCERTIDUMBRE DE CALIBRACION </t>
  </si>
  <si>
    <t>NUMERO CERTIFICADO DE CAL 2</t>
  </si>
  <si>
    <t>PROMEDIOS DE INDICACION DEL INSTRUMENTO (Vt1)</t>
  </si>
  <si>
    <r>
      <rPr>
        <sz val="11"/>
        <color theme="1"/>
        <rFont val="Calibri"/>
        <family val="2"/>
      </rPr>
      <t>°</t>
    </r>
    <r>
      <rPr>
        <sz val="8.8000000000000007"/>
        <color theme="1"/>
        <rFont val="Calibri"/>
        <family val="2"/>
      </rPr>
      <t xml:space="preserve"> C</t>
    </r>
  </si>
  <si>
    <t>CONFIRMACION METROLOGICA RESPECTO AL RUIDO</t>
  </si>
  <si>
    <t>RUIDO CAL 2</t>
  </si>
  <si>
    <t>Ruido NTC 4983 Numeral 5.2.7.1 (+) [%]</t>
  </si>
  <si>
    <t xml:space="preserve">CONFORMIDAD DE ACUERDO A NTC 4983 Numeral 5.2.7.
</t>
  </si>
  <si>
    <t>CONFIRMACION METROLOGICA RESPECTO A LA REPETIBILIDAD</t>
  </si>
  <si>
    <t>REPETIBILIDAD  CAL 2</t>
  </si>
  <si>
    <t>PRECISION CAL 2</t>
  </si>
  <si>
    <t xml:space="preserve">CONFORMIDAD DE ACUERDO A NTC 5385
</t>
  </si>
  <si>
    <t>Precision NTC 5385</t>
  </si>
  <si>
    <t>ERROR + U EXPANDIDA CAL 2 [%]</t>
  </si>
  <si>
    <t>ERROR - U EXPANDIDA CAL 2 [%]</t>
  </si>
  <si>
    <t>Exactitud NTC 5365 Numeral 5.2.7.1 (+) [%]</t>
  </si>
  <si>
    <t>Exactitud NTC 5365 Numeral 5.2.7.1 (-) [%]</t>
  </si>
  <si>
    <t xml:space="preserve">CONFORMIDAD DE ACUERDO A NTC 5365 Numeral 5.2.7.
</t>
  </si>
  <si>
    <t>INTERVALO DE CALIBRACION [mm]</t>
  </si>
  <si>
    <t>ERROR + U EXPANDIDA CAL 2 [mm]</t>
  </si>
  <si>
    <t>ERROR - U EXPANDIDA CAL 2 [mm]</t>
  </si>
  <si>
    <t>EXACTITUD DE ACUERDO A NTC: 5385:2011 (+) [mm]</t>
  </si>
  <si>
    <t>EXACTITUD DE ACUERDO A NTC: 5385:2011 (-) [mm]</t>
  </si>
  <si>
    <t>EXACTITUD DE ACUERDO A NTC: 5385:2011 (+) [%]</t>
  </si>
  <si>
    <t>EXACTITUD DE ACUERDO A NTC: 5385:2011 (-) [%]</t>
  </si>
  <si>
    <t>VAMAG</t>
  </si>
  <si>
    <t>1 kg</t>
  </si>
  <si>
    <t>FECHA CAL # 2 (2021)</t>
  </si>
  <si>
    <t>CAL 1 (2020)</t>
  </si>
  <si>
    <t>ERROR + U EXPANDIDA CAL 2 [%] 2021</t>
  </si>
  <si>
    <t>ERROR - U EXPANDIDA CAL 2 [%] 2021</t>
  </si>
  <si>
    <t>PRECISION CAL 2 2021</t>
  </si>
  <si>
    <t>VALOR APLICADO</t>
  </si>
  <si>
    <t>REVOLUCIONES POR MINUTO 2 TIEMPOS</t>
  </si>
  <si>
    <t>TECNIMAQ</t>
  </si>
  <si>
    <t>INTERFAZ RPM 2T/4T</t>
  </si>
  <si>
    <t>TMI-RPM0063</t>
  </si>
  <si>
    <t>ACTIA</t>
  </si>
  <si>
    <t>AT505</t>
  </si>
  <si>
    <t>Repetibilidad NTC 4983 Numeral 5.2.7.1 (+) [%]</t>
  </si>
  <si>
    <t>TMI-LUX</t>
  </si>
  <si>
    <t xml:space="preserve">2,5 a 100 </t>
  </si>
  <si>
    <t>PROFUNDIMENTRO</t>
  </si>
  <si>
    <t>0.01 mm</t>
  </si>
  <si>
    <t>0 a 25 mm</t>
  </si>
  <si>
    <t>mm</t>
  </si>
  <si>
    <t>LONGITUD</t>
  </si>
  <si>
    <t>CUMPLIMIENTO DE LOS REQUISITOS COMUNES PARA LOS INFORMES (ENSAYO, CALIBRACION O MUESTREO)
 (NTC ISO IEC 17025:2017)</t>
  </si>
  <si>
    <t>No.</t>
  </si>
  <si>
    <t>Descripción</t>
  </si>
  <si>
    <t>Cumple</t>
  </si>
  <si>
    <t>Observaciones</t>
  </si>
  <si>
    <t>Un titulo (por ejemplo, "informe de ensayo", "Certificado de calibración" o "Informe de muestreo")</t>
  </si>
  <si>
    <t>Si</t>
  </si>
  <si>
    <t>El nombre y la dirección del laboratorio.</t>
  </si>
  <si>
    <t>El lugar en que se realizan las actividades del laboratorio, incluso cuando se realizan en las instalaciones del cliente o en sitios alejados de las instalaciones permanentes del laboratorio, o en instalaciones temporales o móviles asociadas.</t>
  </si>
  <si>
    <t>Identificación única de que todos sus componentes se reconocen como una parte de un informe completo y una clara identificación del final.</t>
  </si>
  <si>
    <t>El nombre y la información de contacto del cliente.</t>
  </si>
  <si>
    <t>Una descripción, una identificación inequívoca y, cuando sea necesario la condición del ítem.</t>
  </si>
  <si>
    <t>Fecha de recepción de los ítems de calibración o ensayo, y la fecha del muestreo, cuando este sea critico para la validez y aplicación de los resultados.</t>
  </si>
  <si>
    <t>Fecha de ejecución de la actividad del laboratorio.</t>
  </si>
  <si>
    <t>Fecha de emisión del informe.</t>
  </si>
  <si>
    <t>Referencia al plan y método de muestreo usados por el laboratorio u otros organismos, cuando sean pertinentes para la validez o aplicación de los resultados.</t>
  </si>
  <si>
    <t>Declaración acerca de que los resultados se relacionan solamente con los ítems sometidos a ensayos, calibración o muestreo.</t>
  </si>
  <si>
    <t>Resultados con las unidades de medición, cuando sea apropiado.</t>
  </si>
  <si>
    <t>Las adiciones, desviaciones o exclusiones del método.</t>
  </si>
  <si>
    <t>Identificación de las personas que autorizan el informe.</t>
  </si>
  <si>
    <t>Identificación clara cuando los resultados provengan de proveedores externos.
NOTA: La inclusión de una declaración que especifique que sin la aprobación del laboratorio no se puede reproducir el informe, excepto cuando se reproduce en su totalidad, puede proporcionar seguridad de que partes de un informe no se sacan de contexto</t>
  </si>
  <si>
    <t>Cumplimiento de los requisitos especificos certificados de calibracion (NTC ISO IEC 17025:2017)</t>
  </si>
  <si>
    <t>La incertidumbre de medición del resultado de medición presentado en la misma unida del mesurado o en termino relativo a dicha unidad (ej.: porcentaje)
NOTA: De acuerdo con la Guía ISO /IEC99, un resultado de medición se expresa generalmente como un valor de una magnitud única medida, incluyendo la unidad de medición y una incertidumbre de medición.</t>
  </si>
  <si>
    <t>SI</t>
  </si>
  <si>
    <t xml:space="preserve">Condiciones (por ejemplo, ambientales) en las que se hicieron las calibraciones, que influyen  en los resultados de medición </t>
  </si>
  <si>
    <t>Declaración que identifique como las mediciones son trazables metrológicamente.</t>
  </si>
  <si>
    <t xml:space="preserve">Resultados antes y después de cualquier ajuste o reparación, si están disponibles </t>
  </si>
  <si>
    <t>N/A</t>
  </si>
  <si>
    <t>Cuando sea pertinente, una declaración de conformidad con los requisitos o especificaciones</t>
  </si>
  <si>
    <t>Cuando sea apropiado, opiniones e interpretaciones.</t>
  </si>
  <si>
    <t>EQUIPO:</t>
  </si>
  <si>
    <t>MARCA:</t>
  </si>
  <si>
    <t>MODELO:</t>
  </si>
  <si>
    <t>SERIE:</t>
  </si>
  <si>
    <t>1785-20c</t>
  </si>
  <si>
    <t>MONOXIDO CO</t>
  </si>
  <si>
    <t>SENSOR DE VIBRACION</t>
  </si>
  <si>
    <t>INTERVALO DE CALIBRACION [N]</t>
  </si>
  <si>
    <t>SONOMETRO</t>
  </si>
  <si>
    <t xml:space="preserve">DECIBELES </t>
  </si>
  <si>
    <t>EXTECH INSTRUMENTS</t>
  </si>
  <si>
    <t>0.1 dB</t>
  </si>
  <si>
    <t>dB</t>
  </si>
  <si>
    <t>V-22484</t>
  </si>
  <si>
    <t>1807-20C</t>
  </si>
  <si>
    <t xml:space="preserve">ALINEADOR AL PASO </t>
  </si>
  <si>
    <t>LONGITUD DIVERGENTE</t>
  </si>
  <si>
    <t>TRZ</t>
  </si>
  <si>
    <t>0,1 m/Km</t>
  </si>
  <si>
    <t>±12 m/Km</t>
  </si>
  <si>
    <t>±m/Km</t>
  </si>
  <si>
    <t>ALINEADOR AL PASO LIVIANO</t>
  </si>
  <si>
    <t>.-</t>
  </si>
  <si>
    <t>LONGITUD CONVERGENTE</t>
  </si>
  <si>
    <t>INTERVALO DE CALIBRACION [m/km]</t>
  </si>
  <si>
    <t>ERROR + U EXPANDIDA CAL 2 [m/km]</t>
  </si>
  <si>
    <t>ERROR - U EXPANDIDA CAL 2 [m/km]</t>
  </si>
  <si>
    <t>Exactitud NTC 5365 Numeral 5.2.7.1 (+) [m/km]</t>
  </si>
  <si>
    <t>Exactitud NTC 5365 Numeral 5.2.7.1 (-) [m/km]</t>
  </si>
  <si>
    <t xml:space="preserve">ANALIZADOR DE SUSPENSION </t>
  </si>
  <si>
    <t>0 a 1000 Kg</t>
  </si>
  <si>
    <t>0-30000   N</t>
  </si>
  <si>
    <t>FRENOMETRO MIXTO</t>
  </si>
  <si>
    <t>PESO   LADO  DERECHO</t>
  </si>
  <si>
    <t>PESO  LADO IZQUIERDO</t>
  </si>
  <si>
    <t>LADO DERECHO</t>
  </si>
  <si>
    <t>CONFIRMACION METROLOGICA RESPECTO A PRECISION LADO DERECHO</t>
  </si>
  <si>
    <t>LADO IZQUIERDO</t>
  </si>
  <si>
    <t>CONFIRMACION METROLOGICA RESPECTO A PRECISION LADO IZQUIERDO</t>
  </si>
  <si>
    <t>FUERZA  LADO DERECHO</t>
  </si>
  <si>
    <t>FUERZA  LADO IZQUIERDO</t>
  </si>
  <si>
    <t xml:space="preserve">PESO  LADO DERECHO </t>
  </si>
  <si>
    <t>RBT/C2VFW</t>
  </si>
  <si>
    <t xml:space="preserve">LADO DERECHO </t>
  </si>
  <si>
    <t>OPACIDAD</t>
  </si>
  <si>
    <t>% OPACIDAD</t>
  </si>
  <si>
    <t>SENSORS</t>
  </si>
  <si>
    <t>LCS 2400</t>
  </si>
  <si>
    <t>0 a 100</t>
  </si>
  <si>
    <t>1812-20C</t>
  </si>
  <si>
    <t>1815-20C</t>
  </si>
  <si>
    <t>.</t>
  </si>
  <si>
    <t>022/18</t>
  </si>
  <si>
    <t>ANALIZADOR DE GASES 2</t>
  </si>
  <si>
    <t>021/18</t>
  </si>
  <si>
    <t>ANALIZADOR DE GASES 1</t>
  </si>
  <si>
    <t>1797-20C</t>
  </si>
  <si>
    <t>1795-20C</t>
  </si>
  <si>
    <t xml:space="preserve">REVOLUCIONES POR MINUTO  </t>
  </si>
  <si>
    <t>REVOLUCIONES POR MINUTO  (VIBRACION) 1</t>
  </si>
  <si>
    <t>REVOLUCIONES POR MINUTO (BATERIA) 1</t>
  </si>
  <si>
    <t>TEMPERATURA 1</t>
  </si>
  <si>
    <t>TEMPERATURA 2</t>
  </si>
  <si>
    <t>C</t>
  </si>
  <si>
    <t>REVOLUCIONES POR MINUTO  (VIBRACION) 2</t>
  </si>
  <si>
    <t>REVOLUCIONES POR MINUTO (BATERIA) 2</t>
  </si>
  <si>
    <t>TRZM-024</t>
  </si>
  <si>
    <t>1801-20C</t>
  </si>
  <si>
    <t>MODULO STL</t>
  </si>
  <si>
    <t>18062320</t>
  </si>
  <si>
    <t>1805-20C</t>
  </si>
  <si>
    <t>1802-20C</t>
  </si>
  <si>
    <t>FRENOMETRO LIVIANOS</t>
  </si>
  <si>
    <t>RBT 3500XSQF</t>
  </si>
  <si>
    <t>0-6000   N</t>
  </si>
  <si>
    <t>0 a 6000 Kg</t>
  </si>
  <si>
    <t>1804-20C</t>
  </si>
  <si>
    <t>C17137643</t>
  </si>
  <si>
    <t>TMI-LUX-0049</t>
  </si>
  <si>
    <t>LML-1158-21</t>
  </si>
  <si>
    <t>TIC-056</t>
  </si>
  <si>
    <t>028.2/1000</t>
  </si>
  <si>
    <t xml:space="preserve"> DIGITAL TREAD DEPTH GAUGE</t>
  </si>
  <si>
    <t>TERMOHIGROMETRO I</t>
  </si>
  <si>
    <t>TEMPERATURA AMBIENTE</t>
  </si>
  <si>
    <t>MAXDETEC V 1.0</t>
  </si>
  <si>
    <t>0,1 C</t>
  </si>
  <si>
    <t>±C</t>
  </si>
  <si>
    <t>TERMOHIGROMETRO</t>
  </si>
  <si>
    <t>HUMEDAD AMBIENTE</t>
  </si>
  <si>
    <t>1 a 100 %</t>
  </si>
  <si>
    <t>%</t>
  </si>
  <si>
    <t>TMI-THM0267</t>
  </si>
  <si>
    <t>ALH-630-21</t>
  </si>
  <si>
    <t>ALT-1281-21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</si>
</sst>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
    <numFmt numFmtId="166" formatCode="0.0"/>
    <numFmt numFmtId="167" formatCode="yyyy\-mm\-dd;@"/>
    <numFmt numFmtId="168" formatCode="0.0000"/>
  </numFmts>
  <fonts count="28" x14ac:knownFonts="1">
    <font>
      <sz val="11"/>
      <color theme="1"/>
      <name val="Calibri"/>
      <family val="2"/>
      <scheme val="minor"/>
    </font>
    <font>
      <sz val="11"/>
      <color theme="1"/>
      <name val="Arial"/>
      <family val="2"/>
    </font>
    <font>
      <b/>
      <sz val="11"/>
      <color theme="1"/>
      <name val="Arial"/>
      <family val="2"/>
    </font>
    <font>
      <sz val="8"/>
      <color theme="1"/>
      <name val="Calibri"/>
      <family val="2"/>
      <scheme val="minor"/>
    </font>
    <font>
      <sz val="11"/>
      <color theme="1"/>
      <name val="Calibri"/>
      <family val="2"/>
    </font>
    <font>
      <sz val="11"/>
      <name val="Calibri"/>
      <family val="2"/>
      <scheme val="minor"/>
    </font>
    <font>
      <b/>
      <sz val="11"/>
      <color theme="1"/>
      <name val="Calibri"/>
      <family val="2"/>
      <scheme val="minor"/>
    </font>
    <font>
      <b/>
      <i/>
      <u/>
      <sz val="11"/>
      <color theme="1"/>
      <name val="Calibri"/>
      <family val="2"/>
      <scheme val="minor"/>
    </font>
    <font>
      <b/>
      <u/>
      <sz val="11"/>
      <color theme="1"/>
      <name val="Calibri"/>
      <family val="2"/>
      <scheme val="minor"/>
    </font>
    <font>
      <b/>
      <sz val="11"/>
      <color theme="1"/>
      <name val="Calibri"/>
      <family val="2"/>
    </font>
    <font>
      <b/>
      <sz val="8"/>
      <color theme="1"/>
      <name val="Arial"/>
      <family val="2"/>
    </font>
    <font>
      <b/>
      <sz val="9"/>
      <color theme="1"/>
      <name val="Arial"/>
      <family val="2"/>
    </font>
    <font>
      <b/>
      <sz val="11"/>
      <color rgb="FFFF0000"/>
      <name val="Calibri"/>
      <family val="2"/>
      <scheme val="minor"/>
    </font>
    <font>
      <sz val="8.8000000000000007"/>
      <color theme="1"/>
      <name val="Calibri"/>
      <family val="2"/>
    </font>
    <font>
      <sz val="11"/>
      <name val="Calibri"/>
      <family val="2"/>
    </font>
    <font>
      <sz val="8"/>
      <name val="Calibri"/>
      <family val="2"/>
      <scheme val="minor"/>
    </font>
    <font>
      <b/>
      <sz val="8"/>
      <color theme="1"/>
      <name val="Calibri"/>
      <family val="2"/>
      <scheme val="minor"/>
    </font>
    <font>
      <b/>
      <sz val="18"/>
      <color theme="1"/>
      <name val="Arial"/>
      <family val="2"/>
    </font>
    <font>
      <sz val="9"/>
      <color theme="1"/>
      <name val="Arial"/>
      <family val="2"/>
    </font>
    <font>
      <sz val="8"/>
      <color theme="1"/>
      <name val="Arial"/>
      <family val="2"/>
    </font>
    <font>
      <sz val="8"/>
      <name val="Arial"/>
      <family val="2"/>
    </font>
    <font>
      <sz val="11"/>
      <color rgb="FFFF0000"/>
      <name val="Arial"/>
      <family val="2"/>
    </font>
    <font>
      <sz val="12"/>
      <color theme="1"/>
      <name val="Arial"/>
      <family val="2"/>
    </font>
    <font>
      <sz val="11"/>
      <color rgb="FFFF0000"/>
      <name val="Calibri"/>
      <family val="2"/>
      <scheme val="minor"/>
    </font>
    <font>
      <b/>
      <sz val="11"/>
      <color rgb="FFFF0000"/>
      <name val="Calibri"/>
      <family val="2"/>
    </font>
    <font>
      <sz val="11"/>
      <color rgb="FFFF0000"/>
      <name val="Calibri"/>
      <family val="2"/>
    </font>
    <font>
      <b/>
      <u/>
      <sz val="11"/>
      <name val="Calibri"/>
      <family val="2"/>
      <scheme val="minor"/>
    </font>
    <font>
      <b/>
      <i/>
      <u/>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auto="1"/>
      </left>
      <right style="hair">
        <color auto="1"/>
      </right>
      <top style="medium">
        <color auto="1"/>
      </top>
      <bottom style="hair">
        <color auto="1"/>
      </bottom>
      <diagonal/>
    </border>
    <border>
      <left style="hair">
        <color indexed="64"/>
      </left>
      <right style="hair">
        <color indexed="64"/>
      </right>
      <top/>
      <bottom style="hair">
        <color indexed="64"/>
      </bottom>
      <diagonal/>
    </border>
    <border>
      <left/>
      <right/>
      <top style="hair">
        <color auto="1"/>
      </top>
      <bottom style="medium">
        <color auto="1"/>
      </bottom>
      <diagonal/>
    </border>
    <border>
      <left style="hair">
        <color indexed="64"/>
      </left>
      <right style="hair">
        <color indexed="64"/>
      </right>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auto="1"/>
      </left>
      <right style="hair">
        <color indexed="64"/>
      </right>
      <top style="medium">
        <color auto="1"/>
      </top>
      <bottom/>
      <diagonal/>
    </border>
    <border>
      <left style="hair">
        <color auto="1"/>
      </left>
      <right style="hair">
        <color indexed="64"/>
      </right>
      <top/>
      <bottom style="medium">
        <color indexed="64"/>
      </bottom>
      <diagonal/>
    </border>
    <border>
      <left/>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style="hair">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hair">
        <color auto="1"/>
      </left>
      <right/>
      <top style="medium">
        <color auto="1"/>
      </top>
      <bottom style="hair">
        <color auto="1"/>
      </bottom>
      <diagonal/>
    </border>
    <border>
      <left style="hair">
        <color indexed="64"/>
      </left>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style="hair">
        <color indexed="64"/>
      </top>
      <bottom/>
      <diagonal/>
    </border>
    <border>
      <left/>
      <right/>
      <top style="hair">
        <color indexed="64"/>
      </top>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1">
    <xf numFmtId="0" fontId="0" fillId="0" borderId="0"/>
  </cellStyleXfs>
  <cellXfs count="850">
    <xf numFmtId="0" fontId="0" fillId="0" borderId="0" xfId="0"/>
    <xf numFmtId="0" fontId="1" fillId="0" borderId="0" xfId="0" applyFont="1"/>
    <xf numFmtId="0" fontId="2"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164" fontId="1" fillId="2" borderId="3" xfId="0" applyNumberFormat="1" applyFont="1" applyFill="1" applyBorder="1" applyAlignment="1">
      <alignment horizontal="center"/>
    </xf>
    <xf numFmtId="0" fontId="3" fillId="0" borderId="3" xfId="0" applyFont="1" applyBorder="1" applyAlignment="1">
      <alignment horizontal="center" vertical="center" wrapText="1"/>
    </xf>
    <xf numFmtId="2" fontId="1" fillId="0" borderId="3" xfId="0" applyNumberFormat="1" applyFont="1" applyBorder="1" applyAlignment="1">
      <alignment horizontal="center"/>
    </xf>
    <xf numFmtId="2" fontId="1" fillId="2" borderId="3" xfId="0" applyNumberFormat="1" applyFont="1" applyFill="1" applyBorder="1" applyAlignment="1">
      <alignment horizont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2" fillId="5"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0" xfId="0" applyFont="1"/>
    <xf numFmtId="0" fontId="6" fillId="0" borderId="5" xfId="0" applyFont="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wrapText="1"/>
    </xf>
    <xf numFmtId="166" fontId="1" fillId="0" borderId="3" xfId="0" applyNumberFormat="1" applyFont="1" applyBorder="1" applyAlignment="1">
      <alignment horizontal="center" vertical="center" wrapText="1"/>
    </xf>
    <xf numFmtId="0" fontId="10" fillId="3" borderId="3" xfId="0" applyFont="1" applyFill="1" applyBorder="1" applyAlignment="1">
      <alignment horizontal="center" vertical="center" wrapText="1"/>
    </xf>
    <xf numFmtId="0" fontId="11" fillId="3" borderId="3" xfId="0" applyFont="1" applyFill="1" applyBorder="1" applyAlignment="1">
      <alignment horizontal="center" vertical="center" wrapText="1"/>
    </xf>
    <xf numFmtId="166" fontId="6" fillId="0" borderId="3" xfId="0" applyNumberFormat="1" applyFont="1" applyBorder="1" applyAlignment="1">
      <alignment horizontal="center" vertical="center"/>
    </xf>
    <xf numFmtId="166" fontId="0" fillId="0" borderId="0" xfId="0" applyNumberFormat="1"/>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8" borderId="7"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0" fillId="11" borderId="15" xfId="0" applyFill="1" applyBorder="1" applyAlignment="1">
      <alignment horizontal="center" vertical="center"/>
    </xf>
    <xf numFmtId="167" fontId="0" fillId="5" borderId="15" xfId="0" applyNumberFormat="1" applyFill="1" applyBorder="1" applyAlignment="1">
      <alignment horizontal="center" vertical="center"/>
    </xf>
    <xf numFmtId="164" fontId="0" fillId="5" borderId="15" xfId="0" applyNumberFormat="1" applyFont="1" applyFill="1" applyBorder="1" applyAlignment="1">
      <alignment horizontal="center"/>
    </xf>
    <xf numFmtId="164" fontId="0" fillId="0" borderId="15" xfId="0" applyNumberFormat="1" applyBorder="1" applyAlignment="1">
      <alignment horizontal="center"/>
    </xf>
    <xf numFmtId="167" fontId="0" fillId="4" borderId="15" xfId="0" applyNumberFormat="1" applyFill="1" applyBorder="1" applyAlignment="1">
      <alignment horizontal="center" vertical="center"/>
    </xf>
    <xf numFmtId="164" fontId="0" fillId="4" borderId="15" xfId="0" applyNumberFormat="1" applyFont="1" applyFill="1" applyBorder="1" applyAlignment="1">
      <alignment horizontal="center"/>
    </xf>
    <xf numFmtId="2" fontId="3" fillId="6" borderId="15" xfId="0" applyNumberFormat="1" applyFont="1" applyFill="1" applyBorder="1" applyAlignment="1">
      <alignment horizontal="center" vertical="center"/>
    </xf>
    <xf numFmtId="2" fontId="0" fillId="6" borderId="15" xfId="0" applyNumberFormat="1" applyFill="1" applyBorder="1" applyAlignment="1">
      <alignment horizontal="center"/>
    </xf>
    <xf numFmtId="164" fontId="0" fillId="6" borderId="15" xfId="0" applyNumberFormat="1" applyFont="1" applyFill="1" applyBorder="1" applyAlignment="1">
      <alignment horizontal="center"/>
    </xf>
    <xf numFmtId="166" fontId="0" fillId="6" borderId="15" xfId="0" applyNumberFormat="1" applyFill="1" applyBorder="1" applyAlignment="1">
      <alignment horizontal="center" vertical="center"/>
    </xf>
    <xf numFmtId="0" fontId="0" fillId="11" borderId="18" xfId="0" applyFill="1" applyBorder="1" applyAlignment="1">
      <alignment horizontal="center" vertical="center"/>
    </xf>
    <xf numFmtId="164" fontId="0" fillId="5" borderId="18" xfId="0" applyNumberFormat="1" applyFont="1" applyFill="1" applyBorder="1" applyAlignment="1">
      <alignment horizontal="center"/>
    </xf>
    <xf numFmtId="164" fontId="0" fillId="0" borderId="18" xfId="0" applyNumberFormat="1" applyBorder="1" applyAlignment="1">
      <alignment horizontal="center"/>
    </xf>
    <xf numFmtId="164" fontId="0" fillId="4" borderId="18" xfId="0" applyNumberFormat="1" applyFont="1" applyFill="1" applyBorder="1" applyAlignment="1">
      <alignment horizontal="center"/>
    </xf>
    <xf numFmtId="2" fontId="3" fillId="6" borderId="18" xfId="0" applyNumberFormat="1" applyFont="1" applyFill="1" applyBorder="1" applyAlignment="1">
      <alignment horizontal="center" vertical="center"/>
    </xf>
    <xf numFmtId="2" fontId="0" fillId="6" borderId="18" xfId="0" applyNumberFormat="1" applyFill="1" applyBorder="1" applyAlignment="1">
      <alignment horizontal="center"/>
    </xf>
    <xf numFmtId="166" fontId="0" fillId="6" borderId="18" xfId="0" applyNumberFormat="1" applyFill="1" applyBorder="1" applyAlignment="1">
      <alignment horizontal="center" vertical="center"/>
    </xf>
    <xf numFmtId="2" fontId="1" fillId="0" borderId="3" xfId="0" applyNumberFormat="1" applyFont="1" applyBorder="1" applyAlignment="1">
      <alignment horizontal="center" vertical="center" wrapText="1"/>
    </xf>
    <xf numFmtId="0" fontId="9" fillId="9" borderId="20" xfId="0" applyFont="1" applyFill="1" applyBorder="1" applyAlignment="1">
      <alignment horizontal="center" vertical="center"/>
    </xf>
    <xf numFmtId="0" fontId="9" fillId="12" borderId="20" xfId="0" applyFont="1" applyFill="1" applyBorder="1" applyAlignment="1">
      <alignment horizontal="center" vertical="center"/>
    </xf>
    <xf numFmtId="0" fontId="0" fillId="11" borderId="20" xfId="0" applyFill="1" applyBorder="1" applyAlignment="1">
      <alignment horizontal="center" vertical="center"/>
    </xf>
    <xf numFmtId="167" fontId="0" fillId="5" borderId="20" xfId="0" applyNumberFormat="1" applyFill="1" applyBorder="1" applyAlignment="1">
      <alignment horizontal="center" vertical="center"/>
    </xf>
    <xf numFmtId="164" fontId="0" fillId="0" borderId="20" xfId="0" applyNumberFormat="1" applyBorder="1" applyAlignment="1">
      <alignment horizontal="center"/>
    </xf>
    <xf numFmtId="167" fontId="0" fillId="4" borderId="20" xfId="0" applyNumberFormat="1" applyFill="1" applyBorder="1" applyAlignment="1">
      <alignment horizontal="center" vertical="center"/>
    </xf>
    <xf numFmtId="164" fontId="0" fillId="4" borderId="20" xfId="0" applyNumberFormat="1" applyFont="1" applyFill="1" applyBorder="1" applyAlignment="1">
      <alignment horizontal="center"/>
    </xf>
    <xf numFmtId="2" fontId="3" fillId="6" borderId="20" xfId="0" applyNumberFormat="1" applyFont="1" applyFill="1" applyBorder="1" applyAlignment="1">
      <alignment horizontal="center" vertical="center"/>
    </xf>
    <xf numFmtId="2" fontId="0" fillId="6" borderId="20" xfId="0" applyNumberFormat="1" applyFill="1" applyBorder="1" applyAlignment="1">
      <alignment horizontal="center"/>
    </xf>
    <xf numFmtId="164" fontId="0" fillId="6" borderId="20" xfId="0" applyNumberFormat="1" applyFont="1" applyFill="1" applyBorder="1" applyAlignment="1">
      <alignment horizontal="center"/>
    </xf>
    <xf numFmtId="166" fontId="0" fillId="6" borderId="20" xfId="0" applyNumberFormat="1" applyFill="1" applyBorder="1" applyAlignment="1">
      <alignment horizontal="center" vertical="center"/>
    </xf>
    <xf numFmtId="0" fontId="3" fillId="6" borderId="20" xfId="0" applyNumberFormat="1" applyFont="1" applyFill="1" applyBorder="1" applyAlignment="1" applyProtection="1">
      <alignment horizontal="center" vertical="center" wrapText="1"/>
    </xf>
    <xf numFmtId="166" fontId="0" fillId="0" borderId="20" xfId="0" applyNumberFormat="1" applyBorder="1" applyAlignment="1"/>
    <xf numFmtId="0" fontId="0" fillId="0" borderId="20" xfId="0" applyBorder="1"/>
    <xf numFmtId="0" fontId="9" fillId="9" borderId="15" xfId="0" applyFont="1" applyFill="1" applyBorder="1" applyAlignment="1">
      <alignment horizontal="center" vertical="center"/>
    </xf>
    <xf numFmtId="0" fontId="9" fillId="7" borderId="15" xfId="0" applyFont="1" applyFill="1" applyBorder="1" applyAlignment="1">
      <alignment horizontal="center" vertical="center"/>
    </xf>
    <xf numFmtId="0" fontId="9" fillId="12" borderId="15" xfId="0" applyFont="1" applyFill="1" applyBorder="1" applyAlignment="1">
      <alignment horizontal="center" vertical="center"/>
    </xf>
    <xf numFmtId="0" fontId="3" fillId="6" borderId="15" xfId="0" applyNumberFormat="1" applyFont="1" applyFill="1" applyBorder="1" applyAlignment="1" applyProtection="1">
      <alignment horizontal="center" vertical="center" wrapText="1"/>
    </xf>
    <xf numFmtId="0" fontId="0" fillId="0" borderId="15" xfId="0" applyBorder="1"/>
    <xf numFmtId="0" fontId="0" fillId="0" borderId="15" xfId="0" applyBorder="1" applyAlignment="1"/>
    <xf numFmtId="0" fontId="0" fillId="0" borderId="22" xfId="0" applyBorder="1"/>
    <xf numFmtId="2" fontId="6" fillId="9" borderId="20" xfId="0" applyNumberFormat="1" applyFont="1" applyFill="1" applyBorder="1" applyAlignment="1">
      <alignment horizontal="center" vertical="center"/>
    </xf>
    <xf numFmtId="10" fontId="6" fillId="9" borderId="20" xfId="0" applyNumberFormat="1" applyFont="1" applyFill="1" applyBorder="1" applyAlignment="1">
      <alignment horizontal="center" vertical="center"/>
    </xf>
    <xf numFmtId="2" fontId="6" fillId="6" borderId="20" xfId="0" applyNumberFormat="1" applyFont="1" applyFill="1" applyBorder="1" applyAlignment="1">
      <alignment horizontal="center" vertical="center"/>
    </xf>
    <xf numFmtId="10" fontId="6" fillId="6" borderId="20" xfId="0" applyNumberFormat="1" applyFont="1" applyFill="1" applyBorder="1" applyAlignment="1">
      <alignment horizontal="center" vertical="center"/>
    </xf>
    <xf numFmtId="2" fontId="6" fillId="10" borderId="20" xfId="0" applyNumberFormat="1" applyFont="1" applyFill="1" applyBorder="1" applyAlignment="1">
      <alignment horizontal="center" vertical="center"/>
    </xf>
    <xf numFmtId="10" fontId="6" fillId="10" borderId="20" xfId="0" applyNumberFormat="1" applyFont="1" applyFill="1" applyBorder="1" applyAlignment="1">
      <alignment horizontal="center" vertical="center"/>
    </xf>
    <xf numFmtId="0" fontId="4" fillId="11" borderId="20" xfId="0" applyFont="1" applyFill="1" applyBorder="1" applyAlignment="1">
      <alignment horizontal="center" vertical="center"/>
    </xf>
    <xf numFmtId="164" fontId="0" fillId="5" borderId="20" xfId="0" applyNumberFormat="1" applyFill="1" applyBorder="1" applyAlignment="1">
      <alignment horizontal="center" vertical="center"/>
    </xf>
    <xf numFmtId="164" fontId="0" fillId="4" borderId="20" xfId="0" applyNumberFormat="1" applyFill="1" applyBorder="1" applyAlignment="1">
      <alignment horizontal="center"/>
    </xf>
    <xf numFmtId="164" fontId="0" fillId="6" borderId="20" xfId="0" applyNumberFormat="1" applyFill="1" applyBorder="1" applyAlignment="1">
      <alignment horizontal="center"/>
    </xf>
    <xf numFmtId="2" fontId="6" fillId="9" borderId="15" xfId="0" applyNumberFormat="1" applyFont="1" applyFill="1" applyBorder="1" applyAlignment="1">
      <alignment horizontal="center" vertical="center"/>
    </xf>
    <xf numFmtId="10" fontId="6" fillId="9" borderId="15" xfId="0" applyNumberFormat="1" applyFont="1" applyFill="1" applyBorder="1" applyAlignment="1">
      <alignment horizontal="center" vertical="center"/>
    </xf>
    <xf numFmtId="2" fontId="6" fillId="6" borderId="15" xfId="0" applyNumberFormat="1" applyFont="1" applyFill="1" applyBorder="1" applyAlignment="1">
      <alignment horizontal="center" vertical="center"/>
    </xf>
    <xf numFmtId="10" fontId="6" fillId="6" borderId="15" xfId="0" applyNumberFormat="1" applyFont="1" applyFill="1" applyBorder="1" applyAlignment="1">
      <alignment horizontal="center" vertical="center"/>
    </xf>
    <xf numFmtId="2" fontId="6" fillId="10" borderId="15" xfId="0" applyNumberFormat="1" applyFont="1" applyFill="1" applyBorder="1" applyAlignment="1">
      <alignment horizontal="center" vertical="center"/>
    </xf>
    <xf numFmtId="10" fontId="6" fillId="10" borderId="15" xfId="0" applyNumberFormat="1" applyFont="1" applyFill="1" applyBorder="1" applyAlignment="1">
      <alignment horizontal="center" vertical="center"/>
    </xf>
    <xf numFmtId="0" fontId="4" fillId="11" borderId="15" xfId="0" applyFont="1" applyFill="1" applyBorder="1" applyAlignment="1">
      <alignment horizontal="center" vertical="center"/>
    </xf>
    <xf numFmtId="164" fontId="0" fillId="5" borderId="15" xfId="0" applyNumberFormat="1" applyFill="1" applyBorder="1" applyAlignment="1">
      <alignment horizontal="center" vertical="center"/>
    </xf>
    <xf numFmtId="164" fontId="0" fillId="4" borderId="15" xfId="0" applyNumberFormat="1" applyFill="1" applyBorder="1" applyAlignment="1">
      <alignment horizontal="center"/>
    </xf>
    <xf numFmtId="164" fontId="0" fillId="6" borderId="15" xfId="0" applyNumberFormat="1" applyFill="1" applyBorder="1" applyAlignment="1">
      <alignment horizontal="center"/>
    </xf>
    <xf numFmtId="164" fontId="0" fillId="5" borderId="15" xfId="0" applyNumberFormat="1" applyFill="1" applyBorder="1" applyAlignment="1">
      <alignment horizontal="center"/>
    </xf>
    <xf numFmtId="0" fontId="6" fillId="9" borderId="15" xfId="0" applyFont="1" applyFill="1" applyBorder="1" applyAlignment="1">
      <alignment horizontal="center" vertical="center"/>
    </xf>
    <xf numFmtId="0" fontId="0" fillId="9" borderId="15" xfId="0" applyFont="1" applyFill="1" applyBorder="1" applyAlignment="1">
      <alignment horizontal="center" vertical="center"/>
    </xf>
    <xf numFmtId="0" fontId="6" fillId="6" borderId="15" xfId="0" applyFont="1" applyFill="1" applyBorder="1" applyAlignment="1">
      <alignment horizontal="center" vertical="center"/>
    </xf>
    <xf numFmtId="0" fontId="0" fillId="6" borderId="15" xfId="0" applyFont="1" applyFill="1" applyBorder="1" applyAlignment="1">
      <alignment horizontal="center" vertical="center"/>
    </xf>
    <xf numFmtId="0" fontId="6" fillId="10" borderId="15" xfId="0" applyFont="1" applyFill="1" applyBorder="1" applyAlignment="1">
      <alignment horizontal="center" vertical="center"/>
    </xf>
    <xf numFmtId="0" fontId="0" fillId="10" borderId="15" xfId="0" applyFont="1" applyFill="1" applyBorder="1" applyAlignment="1">
      <alignment horizontal="center" vertical="center"/>
    </xf>
    <xf numFmtId="0" fontId="4" fillId="9" borderId="15" xfId="0" applyFont="1" applyFill="1" applyBorder="1" applyAlignment="1">
      <alignment horizontal="center" vertical="center"/>
    </xf>
    <xf numFmtId="0" fontId="9" fillId="6" borderId="15" xfId="0" applyFont="1" applyFill="1" applyBorder="1" applyAlignment="1">
      <alignment horizontal="center" vertical="center"/>
    </xf>
    <xf numFmtId="0" fontId="4" fillId="6" borderId="15" xfId="0" applyFont="1" applyFill="1" applyBorder="1" applyAlignment="1">
      <alignment horizontal="center" vertical="center"/>
    </xf>
    <xf numFmtId="0" fontId="9" fillId="10" borderId="15" xfId="0" applyFont="1" applyFill="1" applyBorder="1" applyAlignment="1">
      <alignment horizontal="center" vertical="center"/>
    </xf>
    <xf numFmtId="0" fontId="4" fillId="10"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12" borderId="18" xfId="0" applyFont="1" applyFill="1" applyBorder="1" applyAlignment="1">
      <alignment horizontal="center" vertical="center"/>
    </xf>
    <xf numFmtId="0" fontId="4" fillId="11" borderId="18" xfId="0" applyFont="1" applyFill="1" applyBorder="1" applyAlignment="1">
      <alignment horizontal="center" vertical="center"/>
    </xf>
    <xf numFmtId="167" fontId="0" fillId="5" borderId="18" xfId="0" applyNumberFormat="1" applyFill="1" applyBorder="1" applyAlignment="1">
      <alignment horizontal="center" vertical="center"/>
    </xf>
    <xf numFmtId="164" fontId="0" fillId="5" borderId="18" xfId="0" applyNumberFormat="1" applyFill="1" applyBorder="1" applyAlignment="1">
      <alignment horizontal="center"/>
    </xf>
    <xf numFmtId="164" fontId="0" fillId="5" borderId="18" xfId="0" applyNumberFormat="1" applyFill="1" applyBorder="1" applyAlignment="1">
      <alignment horizontal="center" vertical="center"/>
    </xf>
    <xf numFmtId="167" fontId="0" fillId="4" borderId="18" xfId="0" applyNumberFormat="1" applyFill="1" applyBorder="1" applyAlignment="1">
      <alignment horizontal="center" vertical="center"/>
    </xf>
    <xf numFmtId="164" fontId="0" fillId="4" borderId="18" xfId="0" applyNumberFormat="1" applyFill="1" applyBorder="1" applyAlignment="1">
      <alignment horizontal="center"/>
    </xf>
    <xf numFmtId="164" fontId="0" fillId="6" borderId="18" xfId="0" applyNumberFormat="1" applyFill="1" applyBorder="1" applyAlignment="1">
      <alignment horizontal="center"/>
    </xf>
    <xf numFmtId="0" fontId="0" fillId="5" borderId="15" xfId="0" applyFill="1" applyBorder="1" applyAlignment="1">
      <alignment horizontal="center" vertical="center"/>
    </xf>
    <xf numFmtId="166" fontId="6" fillId="0" borderId="25" xfId="0" applyNumberFormat="1" applyFont="1" applyBorder="1" applyAlignment="1">
      <alignment horizontal="center" vertical="center"/>
    </xf>
    <xf numFmtId="166" fontId="0" fillId="0" borderId="15" xfId="0" applyNumberFormat="1" applyBorder="1" applyAlignment="1">
      <alignment horizontal="center"/>
    </xf>
    <xf numFmtId="0" fontId="3" fillId="6" borderId="18" xfId="0" applyNumberFormat="1" applyFont="1" applyFill="1" applyBorder="1" applyAlignment="1" applyProtection="1">
      <alignment horizontal="center" vertical="center" wrapText="1"/>
    </xf>
    <xf numFmtId="0" fontId="0" fillId="0" borderId="18" xfId="0" applyBorder="1" applyAlignment="1"/>
    <xf numFmtId="166" fontId="6" fillId="0" borderId="16" xfId="0" applyNumberFormat="1" applyFont="1" applyBorder="1" applyAlignment="1">
      <alignment horizontal="center" vertical="center"/>
    </xf>
    <xf numFmtId="166" fontId="6" fillId="0" borderId="19" xfId="0" applyNumberFormat="1" applyFont="1" applyBorder="1" applyAlignment="1">
      <alignment horizontal="center" vertical="center"/>
    </xf>
    <xf numFmtId="166" fontId="0" fillId="0" borderId="20" xfId="0" applyNumberFormat="1" applyBorder="1" applyAlignment="1">
      <alignment horizontal="center"/>
    </xf>
    <xf numFmtId="0" fontId="0" fillId="0" borderId="18" xfId="0" applyBorder="1" applyAlignment="1">
      <alignment horizontal="center"/>
    </xf>
    <xf numFmtId="1" fontId="6" fillId="8" borderId="15" xfId="0" applyNumberFormat="1" applyFont="1" applyFill="1" applyBorder="1" applyAlignment="1">
      <alignment horizontal="center" vertical="center" wrapText="1"/>
    </xf>
    <xf numFmtId="0" fontId="9" fillId="9" borderId="20" xfId="0" applyFont="1" applyFill="1" applyBorder="1" applyAlignment="1">
      <alignment horizontal="center" vertical="center"/>
    </xf>
    <xf numFmtId="0" fontId="9" fillId="12" borderId="20" xfId="0" applyFont="1" applyFill="1" applyBorder="1" applyAlignment="1">
      <alignment horizontal="center" vertical="center"/>
    </xf>
    <xf numFmtId="1" fontId="0" fillId="0" borderId="20" xfId="0" applyNumberFormat="1" applyBorder="1" applyAlignment="1">
      <alignment horizontal="center" vertical="center"/>
    </xf>
    <xf numFmtId="0" fontId="9" fillId="9" borderId="15" xfId="0" applyFont="1" applyFill="1" applyBorder="1" applyAlignment="1">
      <alignment horizontal="center" vertical="center"/>
    </xf>
    <xf numFmtId="0" fontId="9" fillId="12" borderId="15" xfId="0" applyFont="1" applyFill="1" applyBorder="1" applyAlignment="1">
      <alignment horizontal="center" vertical="center"/>
    </xf>
    <xf numFmtId="1" fontId="0" fillId="0" borderId="15" xfId="0" applyNumberFormat="1" applyBorder="1" applyAlignment="1">
      <alignment horizontal="center" vertical="center"/>
    </xf>
    <xf numFmtId="164" fontId="0" fillId="5" borderId="20" xfId="0" applyNumberFormat="1" applyFill="1" applyBorder="1" applyAlignment="1">
      <alignment horizontal="center"/>
    </xf>
    <xf numFmtId="164" fontId="5" fillId="4" borderId="20" xfId="0" applyNumberFormat="1" applyFont="1" applyFill="1" applyBorder="1" applyAlignment="1">
      <alignment horizontal="center"/>
    </xf>
    <xf numFmtId="164" fontId="5" fillId="4" borderId="15" xfId="0" applyNumberFormat="1" applyFont="1" applyFill="1" applyBorder="1" applyAlignment="1">
      <alignment horizontal="center"/>
    </xf>
    <xf numFmtId="164" fontId="5" fillId="4" borderId="18" xfId="0" applyNumberFormat="1" applyFont="1" applyFill="1" applyBorder="1" applyAlignment="1">
      <alignment horizontal="center"/>
    </xf>
    <xf numFmtId="1" fontId="0" fillId="0" borderId="18" xfId="0" applyNumberFormat="1" applyBorder="1" applyAlignment="1">
      <alignment horizontal="center" vertical="center"/>
    </xf>
    <xf numFmtId="0" fontId="14" fillId="9" borderId="20" xfId="0" applyFont="1" applyFill="1" applyBorder="1" applyAlignment="1">
      <alignment horizontal="center" vertical="center"/>
    </xf>
    <xf numFmtId="0" fontId="14" fillId="12" borderId="20" xfId="0" applyFont="1" applyFill="1" applyBorder="1" applyAlignment="1">
      <alignment horizontal="center" vertical="center"/>
    </xf>
    <xf numFmtId="0" fontId="5" fillId="11" borderId="20" xfId="0" applyFont="1" applyFill="1" applyBorder="1" applyAlignment="1">
      <alignment horizontal="center" vertical="center"/>
    </xf>
    <xf numFmtId="0" fontId="14" fillId="11" borderId="20" xfId="0" applyFont="1" applyFill="1" applyBorder="1" applyAlignment="1">
      <alignment horizontal="center" vertical="center"/>
    </xf>
    <xf numFmtId="167" fontId="5" fillId="5" borderId="20" xfId="0" applyNumberFormat="1" applyFont="1" applyFill="1" applyBorder="1" applyAlignment="1">
      <alignment horizontal="center" vertical="center"/>
    </xf>
    <xf numFmtId="164" fontId="5" fillId="5" borderId="20" xfId="0" applyNumberFormat="1" applyFont="1" applyFill="1" applyBorder="1" applyAlignment="1">
      <alignment horizontal="center"/>
    </xf>
    <xf numFmtId="164" fontId="5" fillId="0" borderId="20" xfId="0" applyNumberFormat="1" applyFont="1" applyBorder="1" applyAlignment="1">
      <alignment horizontal="center"/>
    </xf>
    <xf numFmtId="167" fontId="5" fillId="4" borderId="20" xfId="0" applyNumberFormat="1" applyFont="1" applyFill="1" applyBorder="1" applyAlignment="1">
      <alignment horizontal="center" vertical="center"/>
    </xf>
    <xf numFmtId="2" fontId="15" fillId="6" borderId="20" xfId="0" applyNumberFormat="1" applyFont="1" applyFill="1" applyBorder="1" applyAlignment="1">
      <alignment horizontal="center" vertical="center"/>
    </xf>
    <xf numFmtId="2" fontId="5" fillId="6" borderId="20" xfId="0" applyNumberFormat="1" applyFont="1" applyFill="1" applyBorder="1" applyAlignment="1">
      <alignment horizontal="center"/>
    </xf>
    <xf numFmtId="164" fontId="5" fillId="6" borderId="20" xfId="0" applyNumberFormat="1" applyFont="1" applyFill="1" applyBorder="1" applyAlignment="1">
      <alignment horizontal="center"/>
    </xf>
    <xf numFmtId="166" fontId="5" fillId="6" borderId="20" xfId="0" applyNumberFormat="1" applyFont="1" applyFill="1" applyBorder="1" applyAlignment="1">
      <alignment horizontal="center" vertical="center"/>
    </xf>
    <xf numFmtId="0" fontId="15" fillId="6" borderId="20" xfId="0" applyNumberFormat="1" applyFont="1" applyFill="1" applyBorder="1" applyAlignment="1" applyProtection="1">
      <alignment horizontal="center" vertical="center" wrapText="1"/>
    </xf>
    <xf numFmtId="166" fontId="5" fillId="0" borderId="20" xfId="0" applyNumberFormat="1" applyFont="1" applyBorder="1" applyAlignment="1">
      <alignment horizontal="center"/>
    </xf>
    <xf numFmtId="0" fontId="14" fillId="9" borderId="15" xfId="0" applyFont="1" applyFill="1" applyBorder="1" applyAlignment="1">
      <alignment horizontal="center" vertical="center"/>
    </xf>
    <xf numFmtId="0" fontId="14" fillId="12" borderId="15" xfId="0" applyFont="1" applyFill="1" applyBorder="1" applyAlignment="1">
      <alignment horizontal="center" vertical="center"/>
    </xf>
    <xf numFmtId="0" fontId="5" fillId="11" borderId="15" xfId="0" applyFont="1" applyFill="1" applyBorder="1" applyAlignment="1">
      <alignment horizontal="center" vertical="center"/>
    </xf>
    <xf numFmtId="0" fontId="14" fillId="11" borderId="15" xfId="0" applyFont="1" applyFill="1" applyBorder="1" applyAlignment="1">
      <alignment horizontal="center" vertical="center"/>
    </xf>
    <xf numFmtId="167" fontId="5" fillId="5" borderId="15" xfId="0" applyNumberFormat="1" applyFont="1" applyFill="1" applyBorder="1" applyAlignment="1">
      <alignment horizontal="center" vertical="center"/>
    </xf>
    <xf numFmtId="164" fontId="5" fillId="5" borderId="15" xfId="0" applyNumberFormat="1" applyFont="1" applyFill="1" applyBorder="1" applyAlignment="1">
      <alignment horizontal="center"/>
    </xf>
    <xf numFmtId="164" fontId="5" fillId="0" borderId="15" xfId="0" applyNumberFormat="1" applyFont="1" applyBorder="1" applyAlignment="1">
      <alignment horizontal="center"/>
    </xf>
    <xf numFmtId="167" fontId="5" fillId="4" borderId="15" xfId="0" applyNumberFormat="1" applyFont="1" applyFill="1" applyBorder="1" applyAlignment="1">
      <alignment horizontal="center" vertical="center"/>
    </xf>
    <xf numFmtId="2" fontId="15" fillId="6" borderId="15" xfId="0" applyNumberFormat="1" applyFont="1" applyFill="1" applyBorder="1" applyAlignment="1">
      <alignment horizontal="center" vertical="center"/>
    </xf>
    <xf numFmtId="2" fontId="5" fillId="6" borderId="15" xfId="0" applyNumberFormat="1" applyFont="1" applyFill="1" applyBorder="1" applyAlignment="1">
      <alignment horizontal="center"/>
    </xf>
    <xf numFmtId="164" fontId="5" fillId="6" borderId="15" xfId="0" applyNumberFormat="1" applyFont="1" applyFill="1" applyBorder="1" applyAlignment="1">
      <alignment horizontal="center"/>
    </xf>
    <xf numFmtId="166" fontId="5" fillId="6" borderId="15" xfId="0" applyNumberFormat="1" applyFont="1" applyFill="1" applyBorder="1" applyAlignment="1">
      <alignment horizontal="center" vertical="center"/>
    </xf>
    <xf numFmtId="0" fontId="15" fillId="6" borderId="15" xfId="0" applyNumberFormat="1" applyFont="1" applyFill="1" applyBorder="1" applyAlignment="1" applyProtection="1">
      <alignment horizontal="center" vertical="center" wrapText="1"/>
    </xf>
    <xf numFmtId="166" fontId="5" fillId="0" borderId="15" xfId="0" applyNumberFormat="1" applyFont="1" applyBorder="1" applyAlignment="1">
      <alignment horizontal="center"/>
    </xf>
    <xf numFmtId="166" fontId="0" fillId="11" borderId="20" xfId="0" applyNumberFormat="1" applyFill="1" applyBorder="1" applyAlignment="1">
      <alignment horizontal="center" vertical="center"/>
    </xf>
    <xf numFmtId="164" fontId="0" fillId="9" borderId="20" xfId="0" applyNumberFormat="1" applyFont="1" applyFill="1" applyBorder="1" applyAlignment="1">
      <alignment horizontal="center"/>
    </xf>
    <xf numFmtId="166" fontId="0" fillId="11" borderId="15" xfId="0" applyNumberFormat="1" applyFill="1" applyBorder="1" applyAlignment="1">
      <alignment horizontal="center" vertical="center"/>
    </xf>
    <xf numFmtId="164" fontId="0" fillId="9" borderId="15" xfId="0" applyNumberFormat="1" applyFont="1" applyFill="1" applyBorder="1" applyAlignment="1">
      <alignment horizontal="center"/>
    </xf>
    <xf numFmtId="164" fontId="0" fillId="9" borderId="15" xfId="0" applyNumberFormat="1" applyFill="1" applyBorder="1" applyAlignment="1">
      <alignment horizontal="center"/>
    </xf>
    <xf numFmtId="164" fontId="0" fillId="9" borderId="18" xfId="0" applyNumberFormat="1" applyFill="1" applyBorder="1" applyAlignment="1">
      <alignment horizontal="center"/>
    </xf>
    <xf numFmtId="166" fontId="0" fillId="0" borderId="20"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18" xfId="0" applyNumberFormat="1" applyBorder="1" applyAlignment="1">
      <alignment horizontal="center" vertical="center"/>
    </xf>
    <xf numFmtId="1" fontId="0" fillId="11" borderId="20" xfId="0" applyNumberFormat="1" applyFill="1" applyBorder="1" applyAlignment="1">
      <alignment horizontal="center" vertical="center"/>
    </xf>
    <xf numFmtId="1" fontId="0" fillId="11" borderId="15" xfId="0" applyNumberFormat="1" applyFill="1" applyBorder="1" applyAlignment="1">
      <alignment horizontal="center" vertical="center"/>
    </xf>
    <xf numFmtId="166" fontId="0" fillId="11" borderId="18" xfId="0" applyNumberFormat="1" applyFill="1" applyBorder="1" applyAlignment="1">
      <alignment horizontal="center" vertical="center"/>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164" fontId="0" fillId="9" borderId="20" xfId="0" applyNumberFormat="1" applyFill="1" applyBorder="1" applyAlignment="1">
      <alignment horizontal="center"/>
    </xf>
    <xf numFmtId="0" fontId="16" fillId="0" borderId="7" xfId="0" applyFont="1" applyBorder="1" applyAlignment="1">
      <alignment horizontal="center" vertical="center"/>
    </xf>
    <xf numFmtId="0" fontId="0" fillId="0" borderId="32" xfId="0" applyBorder="1" applyAlignment="1"/>
    <xf numFmtId="0" fontId="17" fillId="0" borderId="0" xfId="0" applyFont="1" applyAlignment="1">
      <alignment horizontal="right" vertical="center" wrapText="1"/>
    </xf>
    <xf numFmtId="0" fontId="18" fillId="0" borderId="0" xfId="0" applyFont="1"/>
    <xf numFmtId="0" fontId="19" fillId="0" borderId="15" xfId="0" applyFont="1" applyBorder="1" applyAlignment="1">
      <alignment horizontal="center" vertical="center"/>
    </xf>
    <xf numFmtId="0" fontId="19" fillId="0" borderId="15" xfId="0" applyFont="1" applyBorder="1" applyAlignment="1">
      <alignment horizontal="center" vertical="center"/>
    </xf>
    <xf numFmtId="0" fontId="20" fillId="0" borderId="15" xfId="0" applyFont="1" applyBorder="1" applyAlignment="1">
      <alignment horizontal="center" vertical="center"/>
    </xf>
    <xf numFmtId="0" fontId="21" fillId="0" borderId="0" xfId="0" applyFont="1"/>
    <xf numFmtId="0" fontId="19" fillId="0" borderId="0" xfId="0" applyFont="1" applyFill="1" applyBorder="1" applyAlignment="1">
      <alignment horizontal="center" vertical="center" wrapText="1"/>
    </xf>
    <xf numFmtId="0" fontId="19" fillId="0" borderId="0" xfId="0" applyFont="1" applyFill="1" applyBorder="1" applyAlignment="1">
      <alignment horizontal="justify" vertical="center" wrapText="1"/>
    </xf>
    <xf numFmtId="0" fontId="19" fillId="0" borderId="0" xfId="0" applyFont="1" applyFill="1" applyBorder="1" applyAlignment="1">
      <alignment horizontal="center" vertical="center"/>
    </xf>
    <xf numFmtId="0" fontId="1" fillId="0" borderId="0" xfId="0" applyFont="1" applyFill="1" applyBorder="1"/>
    <xf numFmtId="0" fontId="19" fillId="0" borderId="15"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5" xfId="0" applyFont="1" applyFill="1" applyBorder="1" applyAlignment="1">
      <alignment horizontal="center" vertical="center"/>
    </xf>
    <xf numFmtId="0" fontId="17" fillId="0" borderId="0" xfId="0" applyFont="1" applyBorder="1" applyAlignment="1">
      <alignment horizontal="right" vertical="center" wrapText="1"/>
    </xf>
    <xf numFmtId="0" fontId="0" fillId="0" borderId="0" xfId="0" applyBorder="1"/>
    <xf numFmtId="0" fontId="10" fillId="2" borderId="0" xfId="0" applyFont="1" applyFill="1" applyBorder="1" applyAlignment="1">
      <alignment vertical="center" wrapText="1"/>
    </xf>
    <xf numFmtId="0" fontId="18" fillId="2" borderId="0" xfId="0" applyFont="1" applyFill="1" applyBorder="1"/>
    <xf numFmtId="0" fontId="1" fillId="0" borderId="0" xfId="0" applyFont="1" applyBorder="1"/>
    <xf numFmtId="0" fontId="10" fillId="2" borderId="14" xfId="0" applyFont="1" applyFill="1" applyBorder="1" applyAlignment="1">
      <alignment horizontal="center" vertical="center"/>
    </xf>
    <xf numFmtId="0" fontId="19" fillId="0" borderId="14" xfId="0" applyFont="1" applyBorder="1" applyAlignment="1">
      <alignment horizontal="center" vertical="center" wrapText="1"/>
    </xf>
    <xf numFmtId="0" fontId="20" fillId="0" borderId="14"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xf>
    <xf numFmtId="0" fontId="19" fillId="0" borderId="18" xfId="0" applyFont="1" applyBorder="1" applyAlignment="1">
      <alignment horizontal="center" vertical="center"/>
    </xf>
    <xf numFmtId="0" fontId="0" fillId="0" borderId="0" xfId="0" applyAlignment="1">
      <alignment horizontal="center"/>
    </xf>
    <xf numFmtId="0" fontId="17" fillId="0" borderId="0" xfId="0" applyFont="1" applyAlignment="1">
      <alignment horizontal="center" vertical="center" wrapText="1"/>
    </xf>
    <xf numFmtId="0" fontId="19" fillId="0" borderId="14"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18" xfId="0" applyFont="1" applyFill="1" applyBorder="1" applyAlignment="1">
      <alignment horizontal="center" vertical="center"/>
    </xf>
    <xf numFmtId="0" fontId="1" fillId="2" borderId="0" xfId="0" applyFont="1" applyFill="1"/>
    <xf numFmtId="0" fontId="11" fillId="2" borderId="14" xfId="0" applyFont="1" applyFill="1" applyBorder="1" applyAlignment="1">
      <alignment horizontal="center"/>
    </xf>
    <xf numFmtId="0" fontId="11" fillId="2" borderId="15" xfId="0" applyFont="1" applyFill="1" applyBorder="1" applyAlignment="1">
      <alignment horizontal="center"/>
    </xf>
    <xf numFmtId="0" fontId="11" fillId="2" borderId="12" xfId="0" applyFont="1" applyFill="1" applyBorder="1" applyAlignment="1">
      <alignment vertical="center" wrapText="1"/>
    </xf>
    <xf numFmtId="0" fontId="11" fillId="2" borderId="0" xfId="0" applyFont="1" applyFill="1" applyBorder="1" applyAlignment="1">
      <alignment vertical="center" wrapText="1"/>
    </xf>
    <xf numFmtId="0" fontId="1" fillId="2" borderId="12" xfId="0" applyFont="1" applyFill="1" applyBorder="1"/>
    <xf numFmtId="0" fontId="1" fillId="2" borderId="0" xfId="0" applyFont="1" applyFill="1" applyBorder="1"/>
    <xf numFmtId="0" fontId="1" fillId="0" borderId="12" xfId="0" applyFont="1" applyBorder="1"/>
    <xf numFmtId="0" fontId="22" fillId="0" borderId="1" xfId="0" applyFont="1" applyBorder="1" applyAlignment="1">
      <alignment horizontal="left" vertical="center" wrapText="1"/>
    </xf>
    <xf numFmtId="0" fontId="17" fillId="0" borderId="0" xfId="0" applyFont="1" applyAlignment="1">
      <alignment horizontal="right" vertical="center" wrapText="1"/>
    </xf>
    <xf numFmtId="0" fontId="19" fillId="0" borderId="18" xfId="0" applyFont="1" applyBorder="1" applyAlignment="1">
      <alignment horizontal="center" vertical="center"/>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 fillId="0" borderId="3" xfId="0" applyFont="1" applyFill="1" applyBorder="1" applyAlignment="1">
      <alignment horizontal="center" vertical="center" wrapText="1"/>
    </xf>
    <xf numFmtId="164" fontId="1" fillId="0" borderId="3" xfId="0" applyNumberFormat="1" applyFont="1" applyFill="1" applyBorder="1" applyAlignment="1">
      <alignment horizontal="center"/>
    </xf>
    <xf numFmtId="2" fontId="1" fillId="0" borderId="3" xfId="0" applyNumberFormat="1" applyFont="1" applyFill="1" applyBorder="1" applyAlignment="1">
      <alignment horizontal="center"/>
    </xf>
    <xf numFmtId="0" fontId="3" fillId="0" borderId="3" xfId="0" applyFont="1" applyFill="1" applyBorder="1" applyAlignment="1">
      <alignment horizontal="center" vertical="center" wrapText="1"/>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2" fontId="6" fillId="9" borderId="21" xfId="0" applyNumberFormat="1" applyFont="1" applyFill="1" applyBorder="1" applyAlignment="1">
      <alignment horizontal="center" vertical="center"/>
    </xf>
    <xf numFmtId="2" fontId="6" fillId="6" borderId="21" xfId="0" applyNumberFormat="1" applyFont="1" applyFill="1" applyBorder="1" applyAlignment="1">
      <alignment horizontal="center" vertical="center"/>
    </xf>
    <xf numFmtId="2" fontId="6" fillId="10" borderId="21" xfId="0" applyNumberFormat="1" applyFont="1" applyFill="1" applyBorder="1" applyAlignment="1">
      <alignment horizontal="center" vertical="center"/>
    </xf>
    <xf numFmtId="0" fontId="0" fillId="11" borderId="21" xfId="0" applyFill="1" applyBorder="1" applyAlignment="1">
      <alignment horizontal="center" vertical="center"/>
    </xf>
    <xf numFmtId="0" fontId="4" fillId="11" borderId="21" xfId="0" applyFont="1" applyFill="1" applyBorder="1" applyAlignment="1">
      <alignment horizontal="center" vertical="center"/>
    </xf>
    <xf numFmtId="167" fontId="0" fillId="5" borderId="21" xfId="0" applyNumberFormat="1" applyFill="1" applyBorder="1" applyAlignment="1">
      <alignment horizontal="center" vertical="center"/>
    </xf>
    <xf numFmtId="164" fontId="0" fillId="5" borderId="21" xfId="0" applyNumberFormat="1" applyFill="1" applyBorder="1" applyAlignment="1">
      <alignment horizontal="center" vertical="center"/>
    </xf>
    <xf numFmtId="164" fontId="0" fillId="0" borderId="21" xfId="0" applyNumberFormat="1" applyBorder="1" applyAlignment="1">
      <alignment horizontal="center"/>
    </xf>
    <xf numFmtId="167" fontId="0" fillId="4" borderId="21" xfId="0" applyNumberFormat="1" applyFill="1" applyBorder="1" applyAlignment="1">
      <alignment horizontal="center" vertical="center"/>
    </xf>
    <xf numFmtId="164" fontId="0" fillId="4" borderId="21" xfId="0" applyNumberFormat="1" applyFill="1" applyBorder="1" applyAlignment="1">
      <alignment horizontal="center"/>
    </xf>
    <xf numFmtId="2" fontId="3" fillId="6" borderId="21" xfId="0" applyNumberFormat="1" applyFont="1" applyFill="1" applyBorder="1" applyAlignment="1">
      <alignment horizontal="center" vertical="center"/>
    </xf>
    <xf numFmtId="2" fontId="0" fillId="6" borderId="21" xfId="0" applyNumberFormat="1" applyFill="1" applyBorder="1" applyAlignment="1">
      <alignment horizontal="center"/>
    </xf>
    <xf numFmtId="164" fontId="0" fillId="6" borderId="21" xfId="0" applyNumberFormat="1" applyFill="1" applyBorder="1" applyAlignment="1">
      <alignment horizontal="center"/>
    </xf>
    <xf numFmtId="166" fontId="0" fillId="6" borderId="21" xfId="0" applyNumberFormat="1" applyFill="1" applyBorder="1" applyAlignment="1">
      <alignment horizontal="center" vertical="center"/>
    </xf>
    <xf numFmtId="167" fontId="0" fillId="5" borderId="26" xfId="0" applyNumberFormat="1" applyFill="1" applyBorder="1" applyAlignment="1">
      <alignment horizontal="center" vertical="center"/>
    </xf>
    <xf numFmtId="164" fontId="0" fillId="5" borderId="26" xfId="0" applyNumberFormat="1" applyFill="1" applyBorder="1" applyAlignment="1">
      <alignment horizontal="center"/>
    </xf>
    <xf numFmtId="164" fontId="0" fillId="5" borderId="26" xfId="0" applyNumberFormat="1" applyFill="1" applyBorder="1" applyAlignment="1">
      <alignment horizontal="center" vertical="center"/>
    </xf>
    <xf numFmtId="164" fontId="0" fillId="0" borderId="26" xfId="0" applyNumberFormat="1" applyBorder="1" applyAlignment="1">
      <alignment horizontal="center"/>
    </xf>
    <xf numFmtId="167" fontId="0" fillId="4" borderId="26" xfId="0" applyNumberFormat="1" applyFill="1" applyBorder="1" applyAlignment="1">
      <alignment horizontal="center" vertical="center"/>
    </xf>
    <xf numFmtId="164" fontId="0" fillId="4" borderId="26" xfId="0" applyNumberFormat="1" applyFill="1" applyBorder="1" applyAlignment="1">
      <alignment horizontal="center"/>
    </xf>
    <xf numFmtId="2" fontId="12" fillId="2" borderId="20" xfId="0" applyNumberFormat="1" applyFont="1" applyFill="1" applyBorder="1" applyAlignment="1">
      <alignment horizontal="center" vertical="center"/>
    </xf>
    <xf numFmtId="2" fontId="12" fillId="2" borderId="21" xfId="0" applyNumberFormat="1" applyFont="1" applyFill="1" applyBorder="1" applyAlignment="1">
      <alignment horizontal="center" vertical="center"/>
    </xf>
    <xf numFmtId="10" fontId="12" fillId="2" borderId="21" xfId="0" applyNumberFormat="1" applyFont="1" applyFill="1" applyBorder="1" applyAlignment="1">
      <alignment horizontal="center" vertical="center"/>
    </xf>
    <xf numFmtId="2" fontId="12" fillId="2" borderId="15" xfId="0" applyNumberFormat="1" applyFont="1" applyFill="1" applyBorder="1" applyAlignment="1">
      <alignment horizontal="center" vertical="center"/>
    </xf>
    <xf numFmtId="10" fontId="12" fillId="2" borderId="15" xfId="0" applyNumberFormat="1" applyFont="1" applyFill="1" applyBorder="1" applyAlignment="1">
      <alignment horizontal="center" vertical="center"/>
    </xf>
    <xf numFmtId="0" fontId="12" fillId="2" borderId="15" xfId="0" applyFont="1" applyFill="1" applyBorder="1" applyAlignment="1">
      <alignment horizontal="center" vertical="center"/>
    </xf>
    <xf numFmtId="0" fontId="23" fillId="2" borderId="15" xfId="0" applyFont="1" applyFill="1" applyBorder="1" applyAlignment="1">
      <alignment horizontal="center" vertical="center"/>
    </xf>
    <xf numFmtId="0" fontId="24" fillId="2" borderId="15"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26" xfId="0" applyFont="1" applyFill="1" applyBorder="1" applyAlignment="1">
      <alignment horizontal="center" vertical="center"/>
    </xf>
    <xf numFmtId="0" fontId="24" fillId="2" borderId="18" xfId="0" applyFont="1" applyFill="1" applyBorder="1" applyAlignment="1">
      <alignment horizontal="center" vertical="center"/>
    </xf>
    <xf numFmtId="0" fontId="25" fillId="2" borderId="20" xfId="0" applyFont="1" applyFill="1" applyBorder="1" applyAlignment="1">
      <alignment horizontal="center" vertical="center"/>
    </xf>
    <xf numFmtId="0" fontId="25" fillId="2" borderId="15" xfId="0" applyFont="1" applyFill="1" applyBorder="1" applyAlignment="1">
      <alignment horizontal="center" vertical="center"/>
    </xf>
    <xf numFmtId="10" fontId="24" fillId="2" borderId="20" xfId="0" applyNumberFormat="1" applyFont="1" applyFill="1" applyBorder="1" applyAlignment="1">
      <alignment horizontal="center" vertical="center"/>
    </xf>
    <xf numFmtId="10" fontId="24" fillId="2" borderId="15" xfId="0" applyNumberFormat="1" applyFont="1" applyFill="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3" fillId="6" borderId="21" xfId="0" applyNumberFormat="1" applyFont="1" applyFill="1" applyBorder="1" applyAlignment="1" applyProtection="1">
      <alignment horizontal="center" vertical="center" wrapText="1"/>
    </xf>
    <xf numFmtId="0" fontId="14" fillId="9" borderId="26" xfId="0" applyFont="1" applyFill="1" applyBorder="1" applyAlignment="1">
      <alignment horizontal="center" vertical="center"/>
    </xf>
    <xf numFmtId="0" fontId="14" fillId="12" borderId="26" xfId="0" applyFont="1" applyFill="1" applyBorder="1" applyAlignment="1">
      <alignment horizontal="center" vertical="center"/>
    </xf>
    <xf numFmtId="0" fontId="5" fillId="11" borderId="26" xfId="0" applyFont="1" applyFill="1" applyBorder="1" applyAlignment="1">
      <alignment horizontal="center" vertical="center"/>
    </xf>
    <xf numFmtId="0" fontId="14" fillId="11" borderId="26" xfId="0" applyFont="1" applyFill="1" applyBorder="1" applyAlignment="1">
      <alignment horizontal="center" vertical="center"/>
    </xf>
    <xf numFmtId="167" fontId="5" fillId="5" borderId="26" xfId="0" applyNumberFormat="1" applyFont="1" applyFill="1" applyBorder="1" applyAlignment="1">
      <alignment horizontal="center" vertical="center"/>
    </xf>
    <xf numFmtId="164" fontId="5" fillId="5" borderId="26" xfId="0" applyNumberFormat="1" applyFont="1" applyFill="1" applyBorder="1" applyAlignment="1">
      <alignment horizontal="center"/>
    </xf>
    <xf numFmtId="164" fontId="5" fillId="0" borderId="26" xfId="0" applyNumberFormat="1" applyFont="1" applyBorder="1" applyAlignment="1">
      <alignment horizontal="center"/>
    </xf>
    <xf numFmtId="167" fontId="5" fillId="4" borderId="26" xfId="0" applyNumberFormat="1" applyFont="1" applyFill="1" applyBorder="1" applyAlignment="1">
      <alignment horizontal="center" vertical="center"/>
    </xf>
    <xf numFmtId="164" fontId="5" fillId="4" borderId="26" xfId="0" applyNumberFormat="1" applyFont="1" applyFill="1" applyBorder="1" applyAlignment="1">
      <alignment horizontal="center"/>
    </xf>
    <xf numFmtId="2" fontId="15" fillId="6" borderId="26" xfId="0" applyNumberFormat="1" applyFont="1" applyFill="1" applyBorder="1" applyAlignment="1">
      <alignment horizontal="center" vertical="center"/>
    </xf>
    <xf numFmtId="2" fontId="5" fillId="6" borderId="26" xfId="0" applyNumberFormat="1" applyFont="1" applyFill="1" applyBorder="1" applyAlignment="1">
      <alignment horizontal="center"/>
    </xf>
    <xf numFmtId="164" fontId="5" fillId="6" borderId="26" xfId="0" applyNumberFormat="1" applyFont="1" applyFill="1" applyBorder="1" applyAlignment="1">
      <alignment horizontal="center"/>
    </xf>
    <xf numFmtId="166" fontId="5" fillId="6" borderId="26" xfId="0" applyNumberFormat="1" applyFont="1" applyFill="1" applyBorder="1" applyAlignment="1">
      <alignment horizontal="center" vertical="center"/>
    </xf>
    <xf numFmtId="0" fontId="15" fillId="6" borderId="26" xfId="0" applyNumberFormat="1" applyFont="1" applyFill="1" applyBorder="1" applyAlignment="1" applyProtection="1">
      <alignment horizontal="center" vertical="center" wrapText="1"/>
    </xf>
    <xf numFmtId="0" fontId="5" fillId="0" borderId="26" xfId="0" applyFont="1" applyBorder="1" applyAlignment="1">
      <alignment horizontal="center"/>
    </xf>
    <xf numFmtId="0" fontId="0" fillId="0" borderId="21" xfId="0" applyBorder="1"/>
    <xf numFmtId="0" fontId="9" fillId="9" borderId="21" xfId="0" applyFont="1" applyFill="1" applyBorder="1" applyAlignment="1">
      <alignment horizontal="center" vertical="center"/>
    </xf>
    <xf numFmtId="0" fontId="9" fillId="7" borderId="21" xfId="0" applyFont="1" applyFill="1" applyBorder="1" applyAlignment="1">
      <alignment horizontal="center" vertical="center"/>
    </xf>
    <xf numFmtId="0" fontId="9" fillId="12" borderId="21" xfId="0" applyFont="1" applyFill="1" applyBorder="1" applyAlignment="1">
      <alignment horizontal="center" vertical="center"/>
    </xf>
    <xf numFmtId="164" fontId="0" fillId="5" borderId="21" xfId="0" applyNumberFormat="1" applyFont="1" applyFill="1" applyBorder="1" applyAlignment="1">
      <alignment horizontal="center"/>
    </xf>
    <xf numFmtId="164" fontId="0" fillId="4" borderId="21" xfId="0" applyNumberFormat="1" applyFont="1" applyFill="1" applyBorder="1" applyAlignment="1">
      <alignment horizontal="center"/>
    </xf>
    <xf numFmtId="164" fontId="0" fillId="6" borderId="21" xfId="0" applyNumberFormat="1" applyFont="1" applyFill="1" applyBorder="1" applyAlignment="1">
      <alignment horizontal="center"/>
    </xf>
    <xf numFmtId="0" fontId="24" fillId="2" borderId="20"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15" xfId="0" applyFont="1" applyFill="1" applyBorder="1" applyAlignment="1">
      <alignment horizontal="center" vertical="center"/>
    </xf>
    <xf numFmtId="0" fontId="24" fillId="2" borderId="18" xfId="0" applyFont="1" applyFill="1" applyBorder="1" applyAlignment="1">
      <alignment horizontal="center" vertical="center"/>
    </xf>
    <xf numFmtId="0" fontId="0" fillId="0" borderId="18" xfId="0" applyBorder="1"/>
    <xf numFmtId="0" fontId="9" fillId="9" borderId="15" xfId="0" applyFont="1" applyFill="1" applyBorder="1" applyAlignment="1">
      <alignment horizontal="center" vertical="center"/>
    </xf>
    <xf numFmtId="0" fontId="9" fillId="12" borderId="15" xfId="0" applyFont="1" applyFill="1" applyBorder="1" applyAlignment="1">
      <alignment horizontal="center" vertical="center"/>
    </xf>
    <xf numFmtId="0" fontId="24" fillId="2" borderId="21" xfId="0" applyFont="1" applyFill="1" applyBorder="1" applyAlignment="1">
      <alignment horizontal="center" vertical="center"/>
    </xf>
    <xf numFmtId="164" fontId="0" fillId="5" borderId="21" xfId="0" applyNumberFormat="1" applyFill="1" applyBorder="1" applyAlignment="1">
      <alignment horizontal="center"/>
    </xf>
    <xf numFmtId="166" fontId="0" fillId="0" borderId="21" xfId="0" applyNumberFormat="1" applyBorder="1" applyAlignment="1">
      <alignment horizontal="center"/>
    </xf>
    <xf numFmtId="1" fontId="9" fillId="9" borderId="20" xfId="0" applyNumberFormat="1" applyFont="1" applyFill="1" applyBorder="1" applyAlignment="1">
      <alignment horizontal="center" vertical="center"/>
    </xf>
    <xf numFmtId="1" fontId="9" fillId="9" borderId="21" xfId="0" applyNumberFormat="1" applyFont="1" applyFill="1" applyBorder="1" applyAlignment="1">
      <alignment horizontal="center" vertical="center"/>
    </xf>
    <xf numFmtId="1" fontId="0" fillId="6" borderId="21" xfId="0" applyNumberFormat="1" applyFill="1" applyBorder="1" applyAlignment="1">
      <alignment horizontal="center" vertical="center"/>
    </xf>
    <xf numFmtId="0" fontId="6" fillId="0" borderId="11" xfId="0" applyFont="1" applyBorder="1" applyAlignment="1">
      <alignment horizontal="center" vertical="center" wrapText="1"/>
    </xf>
    <xf numFmtId="0" fontId="6" fillId="0" borderId="6" xfId="0" applyFont="1" applyBorder="1" applyAlignment="1">
      <alignment horizontal="center" vertical="center" wrapText="1"/>
    </xf>
    <xf numFmtId="0" fontId="0" fillId="0" borderId="9" xfId="0" applyBorder="1"/>
    <xf numFmtId="0" fontId="19" fillId="2" borderId="0" xfId="0" applyFont="1" applyFill="1" applyBorder="1" applyAlignment="1">
      <alignment horizontal="left" vertical="center"/>
    </xf>
    <xf numFmtId="0" fontId="9" fillId="12" borderId="15" xfId="0" applyFont="1" applyFill="1" applyBorder="1" applyAlignment="1">
      <alignment horizontal="center" vertical="center"/>
    </xf>
    <xf numFmtId="0" fontId="9" fillId="9" borderId="15" xfId="0" applyFont="1" applyFill="1" applyBorder="1" applyAlignment="1">
      <alignment horizontal="center" vertical="center"/>
    </xf>
    <xf numFmtId="2" fontId="0" fillId="5" borderId="15" xfId="0" applyNumberFormat="1" applyFont="1" applyFill="1" applyBorder="1" applyAlignment="1">
      <alignment horizontal="center"/>
    </xf>
    <xf numFmtId="1" fontId="1" fillId="0" borderId="3" xfId="0" applyNumberFormat="1" applyFont="1" applyBorder="1" applyAlignment="1">
      <alignment horizontal="center" vertical="center" wrapText="1"/>
    </xf>
    <xf numFmtId="0" fontId="9" fillId="9" borderId="15" xfId="0" applyFont="1" applyFill="1" applyBorder="1" applyAlignment="1">
      <alignment horizontal="center" vertical="center"/>
    </xf>
    <xf numFmtId="0" fontId="9" fillId="9" borderId="32" xfId="0" applyFont="1" applyFill="1" applyBorder="1" applyAlignment="1">
      <alignment horizontal="center" vertical="center"/>
    </xf>
    <xf numFmtId="0" fontId="9" fillId="12" borderId="32" xfId="0" applyFont="1" applyFill="1" applyBorder="1" applyAlignment="1">
      <alignment horizontal="center" vertical="center"/>
    </xf>
    <xf numFmtId="0" fontId="0" fillId="11" borderId="32" xfId="0" applyFill="1" applyBorder="1" applyAlignment="1">
      <alignment horizontal="center" vertical="center"/>
    </xf>
    <xf numFmtId="0" fontId="4" fillId="11" borderId="32" xfId="0" applyFont="1" applyFill="1" applyBorder="1" applyAlignment="1">
      <alignment horizontal="center" vertical="center"/>
    </xf>
    <xf numFmtId="167"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164" fontId="0" fillId="5" borderId="32" xfId="0" applyNumberFormat="1" applyFill="1" applyBorder="1" applyAlignment="1">
      <alignment horizontal="center"/>
    </xf>
    <xf numFmtId="164" fontId="0" fillId="0" borderId="32" xfId="0" applyNumberFormat="1" applyBorder="1" applyAlignment="1">
      <alignment horizontal="center"/>
    </xf>
    <xf numFmtId="167" fontId="0" fillId="4" borderId="32" xfId="0" applyNumberFormat="1" applyFill="1" applyBorder="1" applyAlignment="1">
      <alignment horizontal="center" vertical="center"/>
    </xf>
    <xf numFmtId="164" fontId="0" fillId="4" borderId="32" xfId="0" applyNumberFormat="1" applyFill="1" applyBorder="1" applyAlignment="1">
      <alignment horizontal="center"/>
    </xf>
    <xf numFmtId="164" fontId="5" fillId="4" borderId="32" xfId="0" applyNumberFormat="1" applyFont="1" applyFill="1" applyBorder="1" applyAlignment="1">
      <alignment horizontal="center"/>
    </xf>
    <xf numFmtId="0" fontId="8" fillId="0" borderId="32" xfId="0" applyFont="1" applyBorder="1" applyAlignment="1">
      <alignment horizontal="center" vertical="center" wrapText="1"/>
    </xf>
    <xf numFmtId="1" fontId="6" fillId="8" borderId="32" xfId="0" applyNumberFormat="1" applyFont="1" applyFill="1" applyBorder="1" applyAlignment="1">
      <alignment horizontal="center" vertical="center" wrapText="1"/>
    </xf>
    <xf numFmtId="1" fontId="0" fillId="0" borderId="32" xfId="0" applyNumberFormat="1" applyBorder="1" applyAlignment="1">
      <alignment horizontal="center" vertical="center"/>
    </xf>
    <xf numFmtId="0" fontId="0" fillId="0" borderId="32" xfId="0" applyBorder="1" applyAlignment="1">
      <alignment horizontal="center"/>
    </xf>
    <xf numFmtId="166" fontId="6" fillId="0" borderId="41" xfId="0" applyNumberFormat="1" applyFont="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15" xfId="0" applyFont="1" applyFill="1" applyBorder="1" applyAlignment="1">
      <alignment horizontal="center" vertical="center"/>
    </xf>
    <xf numFmtId="0" fontId="9" fillId="12" borderId="21" xfId="0" applyFont="1" applyFill="1" applyBorder="1" applyAlignment="1">
      <alignment horizontal="center" vertical="center"/>
    </xf>
    <xf numFmtId="164" fontId="5" fillId="4" borderId="43" xfId="0" applyNumberFormat="1" applyFont="1" applyFill="1" applyBorder="1" applyAlignment="1">
      <alignment horizontal="center"/>
    </xf>
    <xf numFmtId="164" fontId="5" fillId="4" borderId="33" xfId="0" applyNumberFormat="1" applyFont="1" applyFill="1" applyBorder="1" applyAlignment="1">
      <alignment horizontal="center"/>
    </xf>
    <xf numFmtId="164" fontId="5" fillId="4" borderId="44" xfId="0" applyNumberFormat="1" applyFont="1" applyFill="1" applyBorder="1" applyAlignment="1">
      <alignment horizontal="center"/>
    </xf>
    <xf numFmtId="164" fontId="5" fillId="4" borderId="37" xfId="0" applyNumberFormat="1" applyFont="1" applyFill="1" applyBorder="1" applyAlignment="1">
      <alignment horizontal="center"/>
    </xf>
    <xf numFmtId="164" fontId="5" fillId="4" borderId="35" xfId="0" applyNumberFormat="1" applyFont="1" applyFill="1" applyBorder="1" applyAlignment="1">
      <alignment horizontal="center"/>
    </xf>
    <xf numFmtId="164" fontId="5" fillId="4" borderId="39" xfId="0" applyNumberFormat="1" applyFont="1" applyFill="1" applyBorder="1" applyAlignment="1">
      <alignment horizontal="center"/>
    </xf>
    <xf numFmtId="164" fontId="5" fillId="4" borderId="21" xfId="0" applyNumberFormat="1" applyFont="1" applyFill="1" applyBorder="1" applyAlignment="1">
      <alignment horizontal="center"/>
    </xf>
    <xf numFmtId="0" fontId="9" fillId="7" borderId="20" xfId="0" applyFont="1" applyFill="1" applyBorder="1" applyAlignment="1">
      <alignment horizontal="center" vertical="center"/>
    </xf>
    <xf numFmtId="164" fontId="0" fillId="5" borderId="20" xfId="0" applyNumberFormat="1" applyFont="1" applyFill="1" applyBorder="1" applyAlignment="1">
      <alignment horizontal="center"/>
    </xf>
    <xf numFmtId="164" fontId="0" fillId="0" borderId="20" xfId="0" applyNumberFormat="1" applyFont="1" applyBorder="1" applyAlignment="1">
      <alignment horizontal="center"/>
    </xf>
    <xf numFmtId="166" fontId="0" fillId="14" borderId="20" xfId="0" applyNumberFormat="1" applyFill="1" applyBorder="1" applyAlignment="1"/>
    <xf numFmtId="164" fontId="0" fillId="0" borderId="15" xfId="0" applyNumberFormat="1" applyFont="1" applyBorder="1" applyAlignment="1">
      <alignment horizontal="center"/>
    </xf>
    <xf numFmtId="0" fontId="0" fillId="14" borderId="15" xfId="0" applyFill="1" applyBorder="1" applyAlignment="1"/>
    <xf numFmtId="166" fontId="0" fillId="14" borderId="15" xfId="0" applyNumberFormat="1" applyFill="1" applyBorder="1" applyAlignment="1">
      <alignment horizontal="center"/>
    </xf>
    <xf numFmtId="164" fontId="0" fillId="0" borderId="18" xfId="0" applyNumberFormat="1" applyFont="1" applyBorder="1" applyAlignment="1">
      <alignment horizontal="center"/>
    </xf>
    <xf numFmtId="164" fontId="0" fillId="6" borderId="18" xfId="0" applyNumberFormat="1" applyFont="1" applyFill="1" applyBorder="1" applyAlignment="1">
      <alignment horizontal="center"/>
    </xf>
    <xf numFmtId="0" fontId="0" fillId="14" borderId="18" xfId="0" applyFill="1" applyBorder="1" applyAlignment="1"/>
    <xf numFmtId="164" fontId="0" fillId="0" borderId="21" xfId="0" applyNumberFormat="1" applyFont="1" applyBorder="1" applyAlignment="1">
      <alignment horizontal="center"/>
    </xf>
    <xf numFmtId="166" fontId="0" fillId="14" borderId="21" xfId="0" applyNumberFormat="1" applyFill="1" applyBorder="1" applyAlignment="1"/>
    <xf numFmtId="164" fontId="0" fillId="4" borderId="43" xfId="0" applyNumberFormat="1" applyFont="1" applyFill="1" applyBorder="1" applyAlignment="1">
      <alignment horizontal="center"/>
    </xf>
    <xf numFmtId="164" fontId="0" fillId="4" borderId="47" xfId="0" applyNumberFormat="1" applyFont="1" applyFill="1" applyBorder="1" applyAlignment="1">
      <alignment horizontal="center"/>
    </xf>
    <xf numFmtId="164" fontId="0" fillId="4" borderId="33" xfId="0" applyNumberFormat="1" applyFont="1" applyFill="1" applyBorder="1" applyAlignment="1">
      <alignment horizontal="center"/>
    </xf>
    <xf numFmtId="1" fontId="0" fillId="0" borderId="21" xfId="0" applyNumberFormat="1" applyBorder="1" applyAlignment="1">
      <alignment horizontal="center" vertical="center"/>
    </xf>
    <xf numFmtId="1" fontId="0" fillId="0" borderId="15" xfId="0" applyNumberFormat="1" applyBorder="1" applyAlignment="1">
      <alignment horizontal="center" vertical="center"/>
    </xf>
    <xf numFmtId="166" fontId="6" fillId="0" borderId="46" xfId="0" applyNumberFormat="1" applyFont="1" applyBorder="1" applyAlignment="1">
      <alignment horizontal="center" vertical="center"/>
    </xf>
    <xf numFmtId="166" fontId="6" fillId="0" borderId="16" xfId="0" applyNumberFormat="1" applyFont="1" applyBorder="1" applyAlignment="1">
      <alignment horizontal="center" vertical="center"/>
    </xf>
    <xf numFmtId="0" fontId="8" fillId="0" borderId="23" xfId="0" applyFont="1" applyBorder="1" applyAlignment="1">
      <alignment horizontal="center" vertical="center" wrapText="1"/>
    </xf>
    <xf numFmtId="0" fontId="9" fillId="12" borderId="15" xfId="0" applyFont="1" applyFill="1" applyBorder="1" applyAlignment="1">
      <alignment horizontal="center" vertical="center"/>
    </xf>
    <xf numFmtId="0" fontId="9" fillId="12" borderId="23" xfId="0" applyFont="1" applyFill="1" applyBorder="1" applyAlignment="1">
      <alignment horizontal="center" vertical="center"/>
    </xf>
    <xf numFmtId="1" fontId="6" fillId="8" borderId="21" xfId="0" applyNumberFormat="1" applyFont="1" applyFill="1" applyBorder="1" applyAlignment="1">
      <alignment horizontal="center" vertical="center" wrapText="1"/>
    </xf>
    <xf numFmtId="1" fontId="6" fillId="8" borderId="15" xfId="0" applyNumberFormat="1" applyFont="1" applyFill="1" applyBorder="1" applyAlignment="1">
      <alignment horizontal="center" vertical="center" wrapText="1"/>
    </xf>
    <xf numFmtId="0" fontId="9" fillId="9" borderId="21" xfId="0" applyFont="1" applyFill="1" applyBorder="1" applyAlignment="1">
      <alignment horizontal="center" vertical="center"/>
    </xf>
    <xf numFmtId="0" fontId="9" fillId="9" borderId="15" xfId="0" applyFont="1" applyFill="1" applyBorder="1" applyAlignment="1">
      <alignment horizontal="center" vertical="center"/>
    </xf>
    <xf numFmtId="0" fontId="7" fillId="0" borderId="15" xfId="0" applyFont="1" applyBorder="1" applyAlignment="1">
      <alignment horizontal="center" vertical="center" wrapText="1"/>
    </xf>
    <xf numFmtId="166" fontId="6" fillId="0" borderId="28" xfId="0" applyNumberFormat="1" applyFont="1" applyBorder="1" applyAlignment="1">
      <alignment horizontal="center" vertical="center"/>
    </xf>
    <xf numFmtId="0" fontId="9" fillId="12" borderId="21" xfId="0" applyFont="1" applyFill="1" applyBorder="1" applyAlignment="1">
      <alignment horizontal="center" vertical="center"/>
    </xf>
    <xf numFmtId="0" fontId="5" fillId="2" borderId="23" xfId="0" applyFont="1" applyFill="1" applyBorder="1" applyAlignment="1">
      <alignment horizontal="center" vertical="center" wrapText="1"/>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4" fillId="7" borderId="23" xfId="0" applyFont="1" applyFill="1" applyBorder="1" applyAlignment="1">
      <alignment horizontal="center" vertical="center"/>
    </xf>
    <xf numFmtId="0" fontId="4" fillId="12" borderId="23" xfId="0" applyFont="1" applyFill="1" applyBorder="1" applyAlignment="1">
      <alignment horizontal="center" vertical="center"/>
    </xf>
    <xf numFmtId="1" fontId="6" fillId="13" borderId="23" xfId="0" applyNumberFormat="1" applyFont="1" applyFill="1" applyBorder="1" applyAlignment="1">
      <alignment horizontal="center" vertical="center" wrapText="1"/>
    </xf>
    <xf numFmtId="1" fontId="0" fillId="0" borderId="23" xfId="0" applyNumberFormat="1" applyBorder="1" applyAlignment="1">
      <alignment horizontal="center" vertical="center"/>
    </xf>
    <xf numFmtId="0" fontId="0" fillId="14" borderId="23" xfId="0" applyFill="1" applyBorder="1" applyAlignment="1"/>
    <xf numFmtId="166" fontId="0" fillId="5" borderId="20" xfId="0" applyNumberFormat="1" applyFont="1" applyFill="1" applyBorder="1" applyAlignment="1">
      <alignment horizontal="center"/>
    </xf>
    <xf numFmtId="0" fontId="0" fillId="0" borderId="21" xfId="0" applyBorder="1" applyAlignment="1"/>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9" fillId="9" borderId="15" xfId="0" applyFont="1" applyFill="1" applyBorder="1" applyAlignment="1">
      <alignment horizontal="center" vertical="center"/>
    </xf>
    <xf numFmtId="0" fontId="24" fillId="2" borderId="15" xfId="0" applyFont="1" applyFill="1" applyBorder="1" applyAlignment="1">
      <alignment horizontal="center" vertical="center"/>
    </xf>
    <xf numFmtId="0" fontId="25" fillId="2" borderId="15" xfId="0" applyFont="1" applyFill="1" applyBorder="1" applyAlignment="1">
      <alignment horizontal="center" vertical="center"/>
    </xf>
    <xf numFmtId="0" fontId="4" fillId="9" borderId="15" xfId="0" applyFont="1" applyFill="1" applyBorder="1" applyAlignment="1">
      <alignment horizontal="center" vertical="center"/>
    </xf>
    <xf numFmtId="0" fontId="9" fillId="9" borderId="26" xfId="0" applyFont="1" applyFill="1" applyBorder="1" applyAlignment="1">
      <alignment horizontal="center" vertical="center"/>
    </xf>
    <xf numFmtId="0" fontId="9" fillId="12" borderId="26" xfId="0" applyFont="1" applyFill="1" applyBorder="1" applyAlignment="1">
      <alignment horizontal="center" vertical="center"/>
    </xf>
    <xf numFmtId="0" fontId="0" fillId="11" borderId="26" xfId="0" applyFill="1" applyBorder="1" applyAlignment="1">
      <alignment horizontal="center" vertical="center"/>
    </xf>
    <xf numFmtId="164" fontId="0" fillId="4" borderId="26" xfId="0" applyNumberFormat="1" applyFont="1" applyFill="1" applyBorder="1" applyAlignment="1">
      <alignment horizontal="center"/>
    </xf>
    <xf numFmtId="1" fontId="0" fillId="0" borderId="26" xfId="0" applyNumberFormat="1" applyBorder="1" applyAlignment="1">
      <alignment horizontal="center" vertical="center"/>
    </xf>
    <xf numFmtId="166" fontId="0" fillId="0" borderId="26" xfId="0" applyNumberFormat="1" applyBorder="1" applyAlignment="1">
      <alignment horizontal="center" vertical="center"/>
    </xf>
    <xf numFmtId="166" fontId="6" fillId="0" borderId="51" xfId="0" applyNumberFormat="1" applyFont="1" applyBorder="1" applyAlignment="1">
      <alignment horizontal="center" vertical="center"/>
    </xf>
    <xf numFmtId="0" fontId="17" fillId="0" borderId="0" xfId="0" applyFont="1" applyAlignment="1">
      <alignment horizontal="right" vertical="center" wrapText="1"/>
    </xf>
    <xf numFmtId="0" fontId="9" fillId="9" borderId="15" xfId="0" applyFont="1" applyFill="1" applyBorder="1" applyAlignment="1">
      <alignment horizontal="center" vertical="center"/>
    </xf>
    <xf numFmtId="0" fontId="14" fillId="12" borderId="20" xfId="0" applyFont="1" applyFill="1" applyBorder="1" applyAlignment="1">
      <alignment horizontal="center" vertical="center"/>
    </xf>
    <xf numFmtId="0" fontId="14" fillId="12" borderId="15" xfId="0" applyFont="1" applyFill="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21"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21" xfId="0" applyFont="1" applyFill="1" applyBorder="1" applyAlignment="1">
      <alignment horizontal="center" vertical="center"/>
    </xf>
    <xf numFmtId="0" fontId="24" fillId="2" borderId="15" xfId="0" applyFont="1" applyFill="1" applyBorder="1" applyAlignment="1">
      <alignment horizontal="center" vertical="center"/>
    </xf>
    <xf numFmtId="0" fontId="14" fillId="9" borderId="20" xfId="0" applyFont="1" applyFill="1" applyBorder="1" applyAlignment="1">
      <alignment horizontal="center" vertical="center"/>
    </xf>
    <xf numFmtId="0" fontId="14" fillId="9" borderId="15" xfId="0" applyFont="1" applyFill="1" applyBorder="1" applyAlignment="1">
      <alignment horizontal="center" vertical="center"/>
    </xf>
    <xf numFmtId="0" fontId="25" fillId="2" borderId="20" xfId="0" applyFont="1" applyFill="1" applyBorder="1" applyAlignment="1">
      <alignment horizontal="center" vertical="center"/>
    </xf>
    <xf numFmtId="0" fontId="25" fillId="2" borderId="15" xfId="0" applyFont="1" applyFill="1" applyBorder="1" applyAlignment="1">
      <alignment horizontal="center" vertical="center"/>
    </xf>
    <xf numFmtId="0" fontId="11" fillId="2" borderId="15" xfId="0" applyFont="1" applyFill="1" applyBorder="1" applyAlignment="1">
      <alignment horizontal="center"/>
    </xf>
    <xf numFmtId="0" fontId="19" fillId="0" borderId="15" xfId="0" applyFont="1" applyBorder="1" applyAlignment="1">
      <alignment horizontal="center" vertical="center"/>
    </xf>
    <xf numFmtId="0" fontId="19" fillId="0" borderId="18" xfId="0" applyFont="1" applyBorder="1" applyAlignment="1">
      <alignment horizontal="center" vertical="center"/>
    </xf>
    <xf numFmtId="0" fontId="10" fillId="2" borderId="15" xfId="0" applyFont="1" applyFill="1" applyBorder="1" applyAlignment="1">
      <alignment horizontal="center" vertical="center"/>
    </xf>
    <xf numFmtId="0" fontId="7" fillId="0" borderId="23" xfId="0" applyFont="1" applyBorder="1" applyAlignment="1">
      <alignment horizontal="center" vertical="center" wrapText="1"/>
    </xf>
    <xf numFmtId="0" fontId="9" fillId="7" borderId="23" xfId="0" applyFont="1" applyFill="1" applyBorder="1" applyAlignment="1">
      <alignment horizontal="center" vertical="center"/>
    </xf>
    <xf numFmtId="0" fontId="9" fillId="9" borderId="23" xfId="0" applyFont="1" applyFill="1" applyBorder="1" applyAlignment="1">
      <alignment horizontal="center" vertical="center"/>
    </xf>
    <xf numFmtId="1" fontId="0" fillId="0" borderId="21" xfId="0" applyNumberFormat="1" applyBorder="1" applyAlignment="1">
      <alignment horizontal="center" vertical="center"/>
    </xf>
    <xf numFmtId="166" fontId="6" fillId="0" borderId="46" xfId="0" applyNumberFormat="1" applyFont="1" applyBorder="1" applyAlignment="1">
      <alignment horizontal="center" vertical="center"/>
    </xf>
    <xf numFmtId="0" fontId="9" fillId="12" borderId="15" xfId="0" applyFont="1" applyFill="1" applyBorder="1" applyAlignment="1">
      <alignment horizontal="center" vertical="center"/>
    </xf>
    <xf numFmtId="0" fontId="9" fillId="12" borderId="23" xfId="0" applyFont="1" applyFill="1" applyBorder="1" applyAlignment="1">
      <alignment horizontal="center" vertical="center"/>
    </xf>
    <xf numFmtId="0" fontId="9" fillId="9" borderId="21" xfId="0" applyFont="1" applyFill="1" applyBorder="1" applyAlignment="1">
      <alignment horizontal="center" vertical="center"/>
    </xf>
    <xf numFmtId="0" fontId="9" fillId="9" borderId="15" xfId="0" applyFont="1" applyFill="1" applyBorder="1" applyAlignment="1">
      <alignment horizontal="center" vertical="center"/>
    </xf>
    <xf numFmtId="1" fontId="6" fillId="8"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0" fillId="0" borderId="52" xfId="0" applyBorder="1"/>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9" borderId="26"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2" fontId="0" fillId="11" borderId="15" xfId="0" applyNumberFormat="1" applyFill="1" applyBorder="1" applyAlignment="1">
      <alignment horizontal="center" vertical="center"/>
    </xf>
    <xf numFmtId="166" fontId="0" fillId="14" borderId="53" xfId="0" applyNumberFormat="1" applyFill="1" applyBorder="1" applyAlignment="1"/>
    <xf numFmtId="166" fontId="0" fillId="14" borderId="53" xfId="0" applyNumberFormat="1" applyFill="1" applyBorder="1" applyAlignment="1">
      <alignment horizontal="center"/>
    </xf>
    <xf numFmtId="0" fontId="0" fillId="14" borderId="55" xfId="0" applyFill="1" applyBorder="1" applyAlignment="1"/>
    <xf numFmtId="2" fontId="3" fillId="6" borderId="26" xfId="0" applyNumberFormat="1" applyFont="1" applyFill="1" applyBorder="1" applyAlignment="1">
      <alignment horizontal="center" vertical="center"/>
    </xf>
    <xf numFmtId="2" fontId="0" fillId="6" borderId="26" xfId="0" applyNumberFormat="1" applyFill="1" applyBorder="1" applyAlignment="1">
      <alignment horizontal="center"/>
    </xf>
    <xf numFmtId="164" fontId="0" fillId="6" borderId="26" xfId="0" applyNumberFormat="1" applyFill="1" applyBorder="1" applyAlignment="1">
      <alignment horizontal="center"/>
    </xf>
    <xf numFmtId="166" fontId="0" fillId="6" borderId="26" xfId="0" applyNumberFormat="1" applyFill="1" applyBorder="1" applyAlignment="1">
      <alignment horizontal="center" vertical="center"/>
    </xf>
    <xf numFmtId="0" fontId="3" fillId="6" borderId="26" xfId="0" applyNumberFormat="1" applyFont="1" applyFill="1" applyBorder="1" applyAlignment="1" applyProtection="1">
      <alignment horizontal="center" vertical="center" wrapText="1"/>
    </xf>
    <xf numFmtId="0" fontId="3" fillId="6" borderId="25" xfId="0" applyNumberFormat="1" applyFont="1" applyFill="1" applyBorder="1" applyAlignment="1" applyProtection="1">
      <alignment horizontal="center" vertical="center" wrapText="1"/>
    </xf>
    <xf numFmtId="0" fontId="3" fillId="6" borderId="16" xfId="0" applyNumberFormat="1" applyFont="1" applyFill="1" applyBorder="1" applyAlignment="1" applyProtection="1">
      <alignment horizontal="center" vertical="center" wrapText="1"/>
    </xf>
    <xf numFmtId="0" fontId="3" fillId="6" borderId="19" xfId="0" applyNumberFormat="1" applyFont="1" applyFill="1" applyBorder="1" applyAlignment="1" applyProtection="1">
      <alignment horizontal="center" vertical="center" wrapText="1"/>
    </xf>
    <xf numFmtId="164" fontId="0" fillId="9" borderId="26" xfId="0" applyNumberFormat="1" applyFill="1" applyBorder="1" applyAlignment="1">
      <alignment horizontal="center"/>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5" xfId="0" applyFont="1" applyBorder="1" applyAlignment="1">
      <alignment horizontal="center" vertical="center" wrapText="1"/>
    </xf>
    <xf numFmtId="1" fontId="6" fillId="8" borderId="20" xfId="0" applyNumberFormat="1" applyFont="1" applyFill="1" applyBorder="1" applyAlignment="1">
      <alignment horizontal="center" vertical="center" wrapText="1"/>
    </xf>
    <xf numFmtId="1" fontId="6" fillId="8" borderId="21" xfId="0" applyNumberFormat="1" applyFont="1" applyFill="1" applyBorder="1" applyAlignment="1">
      <alignment horizontal="center" vertical="center" wrapText="1"/>
    </xf>
    <xf numFmtId="1" fontId="6" fillId="8" borderId="15" xfId="0" applyNumberFormat="1" applyFont="1" applyFill="1" applyBorder="1" applyAlignment="1">
      <alignment horizontal="center" vertical="center" wrapText="1"/>
    </xf>
    <xf numFmtId="1" fontId="0" fillId="0" borderId="20" xfId="0" applyNumberFormat="1" applyBorder="1" applyAlignment="1">
      <alignment horizontal="center" vertical="center"/>
    </xf>
    <xf numFmtId="1" fontId="0" fillId="0" borderId="21" xfId="0" applyNumberFormat="1" applyBorder="1" applyAlignment="1">
      <alignment horizontal="center" vertical="center"/>
    </xf>
    <xf numFmtId="1" fontId="0" fillId="0" borderId="15" xfId="0" applyNumberFormat="1" applyBorder="1" applyAlignment="1">
      <alignment horizontal="center" vertical="center"/>
    </xf>
    <xf numFmtId="166" fontId="6" fillId="0" borderId="20" xfId="0" applyNumberFormat="1" applyFont="1" applyBorder="1" applyAlignment="1">
      <alignment horizontal="center" vertical="center"/>
    </xf>
    <xf numFmtId="166" fontId="6" fillId="0" borderId="21" xfId="0" applyNumberFormat="1" applyFont="1" applyBorder="1" applyAlignment="1">
      <alignment horizontal="center" vertical="center"/>
    </xf>
    <xf numFmtId="166" fontId="6" fillId="0" borderId="15" xfId="0" applyNumberFormat="1" applyFont="1" applyBorder="1" applyAlignment="1">
      <alignment horizontal="center" vertical="center"/>
    </xf>
    <xf numFmtId="0" fontId="26" fillId="0" borderId="37"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35" xfId="0" applyFont="1" applyBorder="1" applyAlignment="1">
      <alignment horizontal="center"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5" xfId="0" applyBorder="1" applyAlignment="1">
      <alignment vertical="center" wrapText="1"/>
    </xf>
    <xf numFmtId="0" fontId="0" fillId="2" borderId="20" xfId="0" applyFill="1" applyBorder="1" applyAlignment="1">
      <alignment horizontal="left" vertical="center"/>
    </xf>
    <xf numFmtId="0" fontId="0" fillId="2" borderId="21" xfId="0" applyFill="1" applyBorder="1" applyAlignment="1">
      <alignment horizontal="left" vertical="center"/>
    </xf>
    <xf numFmtId="0" fontId="0" fillId="2" borderId="15" xfId="0" applyFill="1" applyBorder="1" applyAlignment="1">
      <alignment horizontal="left" vertical="center"/>
    </xf>
    <xf numFmtId="1" fontId="0" fillId="2" borderId="20" xfId="0" quotePrefix="1" applyNumberFormat="1" applyFill="1" applyBorder="1" applyAlignment="1">
      <alignment horizontal="left" vertical="center"/>
    </xf>
    <xf numFmtId="1" fontId="0" fillId="2" borderId="21" xfId="0" quotePrefix="1" applyNumberFormat="1" applyFill="1" applyBorder="1" applyAlignment="1">
      <alignment horizontal="left" vertical="center"/>
    </xf>
    <xf numFmtId="1" fontId="0" fillId="2" borderId="15" xfId="0" quotePrefix="1" applyNumberFormat="1" applyFill="1" applyBorder="1" applyAlignment="1">
      <alignment horizontal="left"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15" xfId="0" applyFont="1" applyBorder="1" applyAlignment="1">
      <alignment horizontal="center" vertical="center"/>
    </xf>
    <xf numFmtId="0" fontId="9" fillId="9" borderId="20" xfId="0" applyFont="1" applyFill="1" applyBorder="1" applyAlignment="1">
      <alignment horizontal="center" vertical="center"/>
    </xf>
    <xf numFmtId="0" fontId="9" fillId="9" borderId="21" xfId="0" applyFont="1" applyFill="1" applyBorder="1" applyAlignment="1">
      <alignment horizontal="center" vertical="center"/>
    </xf>
    <xf numFmtId="0" fontId="9" fillId="9" borderId="15"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21" xfId="0" applyFont="1" applyFill="1" applyBorder="1" applyAlignment="1">
      <alignment horizontal="center" vertical="center"/>
    </xf>
    <xf numFmtId="0" fontId="24" fillId="2" borderId="15" xfId="0" applyFont="1" applyFill="1" applyBorder="1" applyAlignment="1">
      <alignment horizontal="center" vertical="center"/>
    </xf>
    <xf numFmtId="1" fontId="5" fillId="8" borderId="20" xfId="0" applyNumberFormat="1" applyFont="1" applyFill="1" applyBorder="1" applyAlignment="1">
      <alignment horizontal="center" vertical="center" wrapText="1"/>
    </xf>
    <xf numFmtId="1" fontId="5" fillId="8" borderId="15" xfId="0" applyNumberFormat="1" applyFont="1" applyFill="1" applyBorder="1" applyAlignment="1">
      <alignment horizontal="center" vertical="center" wrapText="1"/>
    </xf>
    <xf numFmtId="1" fontId="5" fillId="8" borderId="18" xfId="0" applyNumberFormat="1" applyFont="1" applyFill="1" applyBorder="1" applyAlignment="1">
      <alignment horizontal="center" vertical="center" wrapText="1"/>
    </xf>
    <xf numFmtId="1" fontId="5" fillId="0" borderId="20" xfId="0" applyNumberFormat="1" applyFont="1" applyBorder="1" applyAlignment="1">
      <alignment horizontal="center" vertical="center"/>
    </xf>
    <xf numFmtId="1" fontId="5" fillId="0" borderId="15" xfId="0" applyNumberFormat="1" applyFont="1" applyBorder="1" applyAlignment="1">
      <alignment horizontal="center" vertical="center"/>
    </xf>
    <xf numFmtId="1" fontId="5" fillId="0" borderId="18" xfId="0" applyNumberFormat="1" applyFont="1" applyBorder="1" applyAlignment="1">
      <alignment horizontal="center" vertical="center"/>
    </xf>
    <xf numFmtId="166" fontId="5" fillId="0" borderId="25" xfId="0" applyNumberFormat="1" applyFont="1" applyBorder="1" applyAlignment="1">
      <alignment horizontal="center" vertical="center"/>
    </xf>
    <xf numFmtId="166" fontId="5" fillId="0" borderId="16" xfId="0" applyNumberFormat="1" applyFont="1" applyBorder="1" applyAlignment="1">
      <alignment horizontal="center" vertical="center"/>
    </xf>
    <xf numFmtId="166" fontId="5" fillId="0" borderId="19" xfId="0" applyNumberFormat="1" applyFont="1"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5" xfId="0" applyBorder="1" applyAlignment="1">
      <alignment horizontal="left" vertical="center" wrapText="1"/>
    </xf>
    <xf numFmtId="0" fontId="9" fillId="12" borderId="20" xfId="0" applyFont="1" applyFill="1" applyBorder="1" applyAlignment="1">
      <alignment horizontal="center" vertical="center"/>
    </xf>
    <xf numFmtId="0" fontId="9" fillId="12" borderId="21" xfId="0" applyFont="1" applyFill="1" applyBorder="1" applyAlignment="1">
      <alignment horizontal="center" vertical="center"/>
    </xf>
    <xf numFmtId="0" fontId="9" fillId="12" borderId="15" xfId="0" applyFont="1"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166" fontId="0" fillId="0" borderId="30" xfId="0" applyNumberFormat="1" applyBorder="1" applyAlignment="1">
      <alignment horizontal="center" vertical="center"/>
    </xf>
    <xf numFmtId="166" fontId="0" fillId="0" borderId="23" xfId="0" applyNumberFormat="1" applyBorder="1" applyAlignment="1">
      <alignment horizontal="center" vertical="center"/>
    </xf>
    <xf numFmtId="166" fontId="0" fillId="0" borderId="31" xfId="0" applyNumberFormat="1" applyBorder="1" applyAlignment="1">
      <alignment horizontal="center" vertical="center"/>
    </xf>
    <xf numFmtId="166" fontId="6" fillId="0" borderId="27" xfId="0" applyNumberFormat="1" applyFont="1" applyBorder="1" applyAlignment="1">
      <alignment horizontal="center" vertical="center"/>
    </xf>
    <xf numFmtId="166" fontId="6" fillId="0" borderId="28" xfId="0" applyNumberFormat="1" applyFont="1" applyBorder="1" applyAlignment="1">
      <alignment horizontal="center" vertical="center"/>
    </xf>
    <xf numFmtId="166" fontId="6" fillId="0" borderId="29" xfId="0" applyNumberFormat="1" applyFont="1" applyBorder="1" applyAlignment="1">
      <alignment horizontal="center" vertical="center"/>
    </xf>
    <xf numFmtId="0" fontId="0" fillId="0" borderId="26"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165" fontId="6" fillId="0" borderId="26" xfId="0" applyNumberFormat="1" applyFont="1" applyBorder="1" applyAlignment="1">
      <alignment horizontal="center" vertical="center"/>
    </xf>
    <xf numFmtId="165" fontId="6" fillId="0" borderId="23" xfId="0" applyNumberFormat="1" applyFont="1" applyBorder="1" applyAlignment="1">
      <alignment horizontal="center" vertical="center"/>
    </xf>
    <xf numFmtId="165" fontId="6" fillId="0" borderId="21" xfId="0" applyNumberFormat="1" applyFont="1" applyBorder="1" applyAlignment="1">
      <alignment horizontal="center" vertical="center"/>
    </xf>
    <xf numFmtId="0" fontId="6" fillId="0" borderId="26" xfId="0" applyFont="1" applyBorder="1" applyAlignment="1">
      <alignment horizontal="center" vertical="center"/>
    </xf>
    <xf numFmtId="0" fontId="6" fillId="0" borderId="23" xfId="0" applyFont="1" applyBorder="1" applyAlignment="1">
      <alignment horizontal="center" vertical="center"/>
    </xf>
    <xf numFmtId="0" fontId="0" fillId="0" borderId="15" xfId="0" applyBorder="1" applyAlignment="1">
      <alignment horizontal="left" vertical="center"/>
    </xf>
    <xf numFmtId="10" fontId="6" fillId="0" borderId="15" xfId="0" applyNumberFormat="1" applyFont="1" applyBorder="1" applyAlignment="1">
      <alignment horizontal="center" vertical="center"/>
    </xf>
    <xf numFmtId="0" fontId="8" fillId="0" borderId="26" xfId="0" applyFont="1" applyBorder="1" applyAlignment="1">
      <alignment horizontal="center" vertical="center" wrapText="1"/>
    </xf>
    <xf numFmtId="0" fontId="8" fillId="0" borderId="18" xfId="0" applyFont="1" applyBorder="1" applyAlignment="1">
      <alignment horizontal="center" vertical="center" wrapText="1"/>
    </xf>
    <xf numFmtId="165" fontId="6" fillId="0" borderId="15" xfId="0" applyNumberFormat="1" applyFont="1" applyBorder="1" applyAlignment="1">
      <alignment horizontal="center" vertical="center"/>
    </xf>
    <xf numFmtId="0" fontId="0" fillId="0" borderId="31" xfId="0" applyBorder="1" applyAlignment="1">
      <alignment horizontal="left" vertical="center"/>
    </xf>
    <xf numFmtId="10" fontId="6" fillId="0" borderId="26" xfId="0" applyNumberFormat="1" applyFont="1" applyBorder="1" applyAlignment="1">
      <alignment horizontal="center" vertical="center"/>
    </xf>
    <xf numFmtId="10" fontId="6" fillId="0" borderId="23" xfId="0" applyNumberFormat="1" applyFont="1" applyBorder="1" applyAlignment="1">
      <alignment horizontal="center" vertical="center"/>
    </xf>
    <xf numFmtId="10" fontId="6" fillId="0" borderId="31" xfId="0" applyNumberFormat="1" applyFont="1" applyBorder="1" applyAlignment="1">
      <alignment horizontal="center" vertical="center"/>
    </xf>
    <xf numFmtId="0" fontId="6" fillId="0" borderId="31" xfId="0" applyFont="1" applyBorder="1" applyAlignment="1">
      <alignment horizontal="center" vertical="center"/>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0" fillId="0" borderId="20" xfId="0" applyBorder="1" applyAlignment="1">
      <alignment horizontal="left"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15" xfId="0" applyFill="1" applyBorder="1" applyAlignment="1">
      <alignment horizontal="center" vertical="center"/>
    </xf>
    <xf numFmtId="0" fontId="0" fillId="2" borderId="26" xfId="0" applyFill="1" applyBorder="1" applyAlignment="1">
      <alignment horizontal="center" vertical="center"/>
    </xf>
    <xf numFmtId="0" fontId="0" fillId="2" borderId="18" xfId="0" applyFill="1" applyBorder="1" applyAlignment="1">
      <alignment horizontal="center" vertical="center"/>
    </xf>
    <xf numFmtId="49" fontId="0" fillId="2" borderId="20" xfId="0" quotePrefix="1" applyNumberFormat="1" applyFill="1" applyBorder="1" applyAlignment="1">
      <alignment horizontal="center" vertical="center"/>
    </xf>
    <xf numFmtId="49" fontId="0" fillId="2" borderId="21" xfId="0" quotePrefix="1" applyNumberFormat="1" applyFill="1" applyBorder="1" applyAlignment="1">
      <alignment horizontal="center" vertical="center"/>
    </xf>
    <xf numFmtId="49" fontId="0" fillId="2" borderId="15" xfId="0" quotePrefix="1" applyNumberFormat="1" applyFill="1" applyBorder="1" applyAlignment="1">
      <alignment horizontal="center" vertical="center"/>
    </xf>
    <xf numFmtId="49" fontId="0" fillId="2" borderId="26" xfId="0" quotePrefix="1" applyNumberFormat="1" applyFill="1" applyBorder="1" applyAlignment="1">
      <alignment horizontal="center" vertical="center"/>
    </xf>
    <xf numFmtId="49" fontId="0" fillId="2" borderId="18" xfId="0" quotePrefix="1" applyNumberFormat="1" applyFill="1" applyBorder="1" applyAlignment="1">
      <alignment horizontal="center" vertical="center"/>
    </xf>
    <xf numFmtId="10" fontId="6" fillId="0" borderId="20" xfId="0" applyNumberFormat="1" applyFont="1" applyBorder="1" applyAlignment="1">
      <alignment horizontal="center" vertical="center"/>
    </xf>
    <xf numFmtId="10" fontId="6" fillId="0" borderId="21" xfId="0" applyNumberFormat="1" applyFont="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5" xfId="0" applyFont="1" applyBorder="1" applyAlignment="1">
      <alignment horizontal="center" vertical="center" wrapText="1"/>
    </xf>
    <xf numFmtId="0" fontId="0" fillId="5" borderId="26" xfId="0" applyFill="1" applyBorder="1" applyAlignment="1">
      <alignment horizontal="center" vertical="center"/>
    </xf>
    <xf numFmtId="0" fontId="0" fillId="5" borderId="18" xfId="0" applyFill="1" applyBorder="1" applyAlignment="1">
      <alignment horizontal="center" vertical="center"/>
    </xf>
    <xf numFmtId="0" fontId="0" fillId="4" borderId="26" xfId="0" applyFill="1" applyBorder="1" applyAlignment="1">
      <alignment horizontal="center" vertical="center"/>
    </xf>
    <xf numFmtId="0" fontId="0" fillId="4" borderId="18" xfId="0" applyFill="1" applyBorder="1" applyAlignment="1">
      <alignment horizontal="center" vertical="center"/>
    </xf>
    <xf numFmtId="0" fontId="5" fillId="0" borderId="37"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20" xfId="0" applyFont="1" applyBorder="1" applyAlignment="1">
      <alignment horizontal="left" vertical="center"/>
    </xf>
    <xf numFmtId="0" fontId="5" fillId="0" borderId="15" xfId="0" applyFont="1" applyBorder="1" applyAlignment="1">
      <alignment horizontal="left" vertical="center"/>
    </xf>
    <xf numFmtId="0" fontId="5" fillId="0" borderId="18" xfId="0" applyFont="1" applyBorder="1" applyAlignment="1">
      <alignment horizontal="left" vertical="center"/>
    </xf>
    <xf numFmtId="0" fontId="5" fillId="2" borderId="20" xfId="0" applyFont="1" applyFill="1" applyBorder="1" applyAlignment="1">
      <alignment horizontal="left" vertical="center"/>
    </xf>
    <xf numFmtId="0" fontId="5" fillId="2" borderId="15" xfId="0" applyFont="1" applyFill="1" applyBorder="1" applyAlignment="1">
      <alignment horizontal="left" vertical="center"/>
    </xf>
    <xf numFmtId="0" fontId="5" fillId="2" borderId="18" xfId="0" applyFont="1" applyFill="1" applyBorder="1" applyAlignment="1">
      <alignment horizontal="left" vertical="center"/>
    </xf>
    <xf numFmtId="1" fontId="5" fillId="2" borderId="20" xfId="0" quotePrefix="1" applyNumberFormat="1" applyFont="1" applyFill="1" applyBorder="1" applyAlignment="1">
      <alignment horizontal="left" vertical="center"/>
    </xf>
    <xf numFmtId="1" fontId="5" fillId="2" borderId="15" xfId="0" quotePrefix="1" applyNumberFormat="1" applyFont="1" applyFill="1" applyBorder="1" applyAlignment="1">
      <alignment horizontal="left" vertical="center"/>
    </xf>
    <xf numFmtId="1" fontId="5" fillId="2" borderId="18" xfId="0" quotePrefix="1" applyNumberFormat="1" applyFont="1" applyFill="1" applyBorder="1" applyAlignment="1">
      <alignment horizontal="left" vertical="center"/>
    </xf>
    <xf numFmtId="0" fontId="5" fillId="0" borderId="20" xfId="0" applyFont="1" applyBorder="1" applyAlignment="1">
      <alignment horizontal="center" vertical="center"/>
    </xf>
    <xf numFmtId="0" fontId="5" fillId="0" borderId="15" xfId="0" applyFont="1" applyBorder="1" applyAlignment="1">
      <alignment horizontal="center" vertical="center"/>
    </xf>
    <xf numFmtId="0" fontId="5" fillId="0" borderId="18" xfId="0" applyFont="1" applyBorder="1" applyAlignment="1">
      <alignment horizontal="center" vertical="center"/>
    </xf>
    <xf numFmtId="0" fontId="14" fillId="9" borderId="20"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8" xfId="0" applyFont="1" applyFill="1" applyBorder="1" applyAlignment="1">
      <alignment horizontal="center" vertical="center"/>
    </xf>
    <xf numFmtId="0" fontId="25" fillId="2" borderId="20"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18" xfId="0" applyFont="1" applyFill="1" applyBorder="1" applyAlignment="1">
      <alignment horizontal="center" vertical="center"/>
    </xf>
    <xf numFmtId="0" fontId="14" fillId="12" borderId="20" xfId="0" applyFont="1" applyFill="1" applyBorder="1" applyAlignment="1">
      <alignment horizontal="center" vertical="center"/>
    </xf>
    <xf numFmtId="0" fontId="14" fillId="12" borderId="15" xfId="0" applyFont="1" applyFill="1" applyBorder="1" applyAlignment="1">
      <alignment horizontal="center" vertical="center"/>
    </xf>
    <xf numFmtId="0" fontId="14" fillId="12" borderId="18"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8" xfId="0" applyFont="1" applyFill="1" applyBorder="1" applyAlignment="1">
      <alignment horizontal="center" vertical="center"/>
    </xf>
    <xf numFmtId="0" fontId="5" fillId="4" borderId="20"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0" borderId="20"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17" fillId="0" borderId="0" xfId="0" applyFont="1" applyAlignment="1">
      <alignment horizontal="right" vertical="center" wrapText="1"/>
    </xf>
    <xf numFmtId="0" fontId="6" fillId="0" borderId="18" xfId="0" applyFont="1" applyBorder="1" applyAlignment="1">
      <alignment horizontal="center" vertical="center"/>
    </xf>
    <xf numFmtId="0" fontId="9" fillId="9" borderId="18" xfId="0" applyFont="1" applyFill="1" applyBorder="1" applyAlignment="1">
      <alignment horizontal="center" vertical="center"/>
    </xf>
    <xf numFmtId="0" fontId="5" fillId="0" borderId="20" xfId="0" applyFont="1" applyBorder="1" applyAlignment="1">
      <alignment vertical="center" wrapText="1"/>
    </xf>
    <xf numFmtId="0" fontId="5" fillId="0" borderId="15" xfId="0" applyFont="1" applyBorder="1" applyAlignment="1">
      <alignment vertical="center" wrapText="1"/>
    </xf>
    <xf numFmtId="0" fontId="0" fillId="4" borderId="23" xfId="0" applyFill="1" applyBorder="1" applyAlignment="1">
      <alignment horizontal="center" vertical="center"/>
    </xf>
    <xf numFmtId="0" fontId="6" fillId="9" borderId="8" xfId="0" applyFont="1" applyFill="1" applyBorder="1" applyAlignment="1">
      <alignment horizontal="center" vertical="center" wrapText="1"/>
    </xf>
    <xf numFmtId="0" fontId="6" fillId="9" borderId="11" xfId="0" applyFont="1" applyFill="1" applyBorder="1" applyAlignment="1">
      <alignment horizontal="center" vertical="center" wrapText="1"/>
    </xf>
    <xf numFmtId="0" fontId="0" fillId="5" borderId="30" xfId="0" applyFill="1" applyBorder="1" applyAlignment="1">
      <alignment horizontal="center" vertical="center"/>
    </xf>
    <xf numFmtId="0" fontId="0" fillId="5" borderId="23" xfId="0" applyFill="1" applyBorder="1" applyAlignment="1">
      <alignment horizontal="center" vertical="center"/>
    </xf>
    <xf numFmtId="0" fontId="0" fillId="5" borderId="31" xfId="0" applyFill="1" applyBorder="1" applyAlignment="1">
      <alignment horizontal="center" vertical="center"/>
    </xf>
    <xf numFmtId="0" fontId="5" fillId="0" borderId="39" xfId="0" applyFont="1" applyBorder="1" applyAlignment="1">
      <alignment horizontal="center" vertical="center" wrapText="1"/>
    </xf>
    <xf numFmtId="0" fontId="5" fillId="0" borderId="20" xfId="0" applyFont="1" applyBorder="1" applyAlignment="1">
      <alignment vertical="center"/>
    </xf>
    <xf numFmtId="0" fontId="5" fillId="0" borderId="15" xfId="0" applyFont="1" applyBorder="1" applyAlignment="1">
      <alignment vertical="center"/>
    </xf>
    <xf numFmtId="0" fontId="5" fillId="0" borderId="26" xfId="0" applyFont="1" applyBorder="1" applyAlignment="1">
      <alignment vertical="center"/>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26" xfId="0" applyFill="1" applyBorder="1" applyAlignment="1">
      <alignment horizontal="center" vertical="center" wrapText="1"/>
    </xf>
    <xf numFmtId="1" fontId="0" fillId="2" borderId="20" xfId="0" quotePrefix="1" applyNumberFormat="1" applyFill="1" applyBorder="1" applyAlignment="1">
      <alignment horizontal="center" vertical="center"/>
    </xf>
    <xf numFmtId="1" fontId="0" fillId="2" borderId="15" xfId="0" quotePrefix="1" applyNumberFormat="1" applyFill="1" applyBorder="1" applyAlignment="1">
      <alignment horizontal="center" vertical="center"/>
    </xf>
    <xf numFmtId="1" fontId="0" fillId="2" borderId="26" xfId="0" quotePrefix="1" applyNumberFormat="1" applyFill="1" applyBorder="1" applyAlignment="1">
      <alignment horizontal="center" vertic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1" fontId="0" fillId="5" borderId="20" xfId="0" applyNumberFormat="1" applyFill="1" applyBorder="1" applyAlignment="1">
      <alignment horizontal="center" vertical="center"/>
    </xf>
    <xf numFmtId="1" fontId="0" fillId="5" borderId="15" xfId="0" applyNumberFormat="1" applyFill="1" applyBorder="1" applyAlignment="1">
      <alignment horizontal="center" vertical="center"/>
    </xf>
    <xf numFmtId="1" fontId="0" fillId="5" borderId="18" xfId="0" applyNumberFormat="1" applyFill="1" applyBorder="1" applyAlignment="1">
      <alignment horizontal="center" vertical="center"/>
    </xf>
    <xf numFmtId="0" fontId="6" fillId="6" borderId="8"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1" fontId="0" fillId="2" borderId="18" xfId="0" quotePrefix="1" applyNumberFormat="1" applyFill="1" applyBorder="1" applyAlignment="1">
      <alignment horizontal="center" vertical="center"/>
    </xf>
    <xf numFmtId="0" fontId="6" fillId="12"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1" fontId="0" fillId="4" borderId="20" xfId="0" applyNumberFormat="1" applyFill="1" applyBorder="1" applyAlignment="1">
      <alignment horizontal="center" vertical="center"/>
    </xf>
    <xf numFmtId="1" fontId="0" fillId="4" borderId="15" xfId="0" applyNumberFormat="1" applyFill="1" applyBorder="1" applyAlignment="1">
      <alignment horizontal="center" vertical="center"/>
    </xf>
    <xf numFmtId="1" fontId="0" fillId="4" borderId="18" xfId="0" applyNumberFormat="1" applyFill="1" applyBorder="1" applyAlignment="1">
      <alignment horizontal="center" vertical="center"/>
    </xf>
    <xf numFmtId="0" fontId="6" fillId="11" borderId="5" xfId="0" applyFont="1" applyFill="1" applyBorder="1" applyAlignment="1">
      <alignment horizontal="center" vertical="center" wrapText="1"/>
    </xf>
    <xf numFmtId="0" fontId="6" fillId="11" borderId="6" xfId="0" applyFont="1" applyFill="1" applyBorder="1" applyAlignment="1">
      <alignment horizontal="center" vertical="center" wrapText="1"/>
    </xf>
    <xf numFmtId="10" fontId="6" fillId="0" borderId="18" xfId="0" applyNumberFormat="1" applyFont="1" applyBorder="1" applyAlignment="1">
      <alignment horizontal="center" vertical="center"/>
    </xf>
    <xf numFmtId="0" fontId="6" fillId="9" borderId="4"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9" fillId="12" borderId="18" xfId="0" applyFont="1" applyFill="1" applyBorder="1" applyAlignment="1">
      <alignment horizontal="center" vertical="center"/>
    </xf>
    <xf numFmtId="0" fontId="9" fillId="9" borderId="26" xfId="0" applyFont="1" applyFill="1" applyBorder="1" applyAlignment="1">
      <alignment horizontal="center" vertical="center"/>
    </xf>
    <xf numFmtId="0" fontId="0" fillId="4" borderId="30" xfId="0" applyFill="1" applyBorder="1" applyAlignment="1">
      <alignment horizontal="center" vertic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24" fillId="2" borderId="18" xfId="0" applyFont="1" applyFill="1" applyBorder="1" applyAlignment="1">
      <alignment horizontal="center" vertical="center"/>
    </xf>
    <xf numFmtId="1" fontId="6" fillId="8" borderId="18" xfId="0" applyNumberFormat="1" applyFont="1" applyFill="1" applyBorder="1" applyAlignment="1">
      <alignment horizontal="center" vertical="center" wrapText="1"/>
    </xf>
    <xf numFmtId="1" fontId="0" fillId="0" borderId="18" xfId="0" applyNumberFormat="1" applyBorder="1" applyAlignment="1">
      <alignment horizontal="center" vertical="center"/>
    </xf>
    <xf numFmtId="0" fontId="6" fillId="11" borderId="10"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6" fillId="10" borderId="8" xfId="0" applyFont="1" applyFill="1" applyBorder="1" applyAlignment="1">
      <alignment horizontal="center" vertical="center" wrapText="1"/>
    </xf>
    <xf numFmtId="0" fontId="6" fillId="10" borderId="11" xfId="0" applyFont="1" applyFill="1" applyBorder="1" applyAlignment="1">
      <alignment horizontal="center" vertical="center" wrapText="1"/>
    </xf>
    <xf numFmtId="1" fontId="6" fillId="8" borderId="30" xfId="0" applyNumberFormat="1" applyFont="1" applyFill="1" applyBorder="1" applyAlignment="1">
      <alignment horizontal="center" vertical="center" wrapText="1"/>
    </xf>
    <xf numFmtId="1" fontId="6" fillId="8" borderId="23" xfId="0" applyNumberFormat="1" applyFont="1" applyFill="1" applyBorder="1" applyAlignment="1">
      <alignment horizontal="center" vertical="center" wrapText="1"/>
    </xf>
    <xf numFmtId="1" fontId="6" fillId="8" borderId="31" xfId="0" applyNumberFormat="1" applyFont="1" applyFill="1" applyBorder="1" applyAlignment="1">
      <alignment horizontal="center" vertical="center" wrapText="1"/>
    </xf>
    <xf numFmtId="1" fontId="9" fillId="0" borderId="30" xfId="0" applyNumberFormat="1" applyFont="1" applyBorder="1" applyAlignment="1">
      <alignment horizontal="center" vertical="center"/>
    </xf>
    <xf numFmtId="1" fontId="9" fillId="0" borderId="23" xfId="0" applyNumberFormat="1" applyFont="1" applyBorder="1" applyAlignment="1">
      <alignment horizontal="center" vertical="center"/>
    </xf>
    <xf numFmtId="1" fontId="9" fillId="0" borderId="31" xfId="0" applyNumberFormat="1" applyFont="1" applyBorder="1" applyAlignment="1">
      <alignment horizontal="center" vertical="center"/>
    </xf>
    <xf numFmtId="0" fontId="0" fillId="0" borderId="15" xfId="0" applyBorder="1" applyAlignment="1">
      <alignment vertical="center"/>
    </xf>
    <xf numFmtId="0" fontId="0" fillId="0" borderId="18" xfId="0" applyBorder="1" applyAlignment="1">
      <alignment vertical="center"/>
    </xf>
    <xf numFmtId="0" fontId="7" fillId="0" borderId="37"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40" xfId="0" applyFont="1" applyBorder="1" applyAlignment="1">
      <alignment horizontal="center" vertical="center" wrapText="1"/>
    </xf>
    <xf numFmtId="0" fontId="0" fillId="2" borderId="18" xfId="0" applyFill="1" applyBorder="1" applyAlignment="1">
      <alignment horizontal="left" vertical="center"/>
    </xf>
    <xf numFmtId="0" fontId="0" fillId="2" borderId="20" xfId="0" quotePrefix="1" applyFill="1" applyBorder="1" applyAlignment="1">
      <alignment horizontal="left" vertical="center"/>
    </xf>
    <xf numFmtId="0" fontId="0" fillId="0" borderId="20" xfId="0" applyBorder="1" applyAlignment="1">
      <alignment vertical="center"/>
    </xf>
    <xf numFmtId="0" fontId="26" fillId="0" borderId="40"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45" xfId="0" applyFont="1" applyBorder="1" applyAlignment="1">
      <alignment horizontal="center" vertical="center" wrapText="1"/>
    </xf>
    <xf numFmtId="0" fontId="26" fillId="0" borderId="14" xfId="0" applyFont="1" applyBorder="1" applyAlignment="1">
      <alignment horizontal="center" vertical="center" wrapText="1"/>
    </xf>
    <xf numFmtId="0" fontId="0" fillId="2" borderId="21" xfId="0" quotePrefix="1" applyFill="1" applyBorder="1" applyAlignment="1">
      <alignment horizontal="left" vertical="center"/>
    </xf>
    <xf numFmtId="0" fontId="0" fillId="2" borderId="15" xfId="0" quotePrefix="1" applyFill="1" applyBorder="1" applyAlignment="1">
      <alignment horizontal="left" vertical="center"/>
    </xf>
    <xf numFmtId="1" fontId="0" fillId="2" borderId="18" xfId="0" quotePrefix="1" applyNumberFormat="1" applyFill="1" applyBorder="1" applyAlignment="1">
      <alignment horizontal="left" vertical="center"/>
    </xf>
    <xf numFmtId="0" fontId="0" fillId="0" borderId="18" xfId="0" applyBorder="1" applyAlignment="1">
      <alignment vertical="center" wrapText="1"/>
    </xf>
    <xf numFmtId="166" fontId="0" fillId="0" borderId="20"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18" xfId="0" applyNumberFormat="1" applyBorder="1" applyAlignment="1">
      <alignment horizontal="center" vertical="center"/>
    </xf>
    <xf numFmtId="166" fontId="6" fillId="0" borderId="25" xfId="0" applyNumberFormat="1" applyFont="1" applyBorder="1" applyAlignment="1">
      <alignment horizontal="center" vertical="center"/>
    </xf>
    <xf numFmtId="166" fontId="6" fillId="0" borderId="16" xfId="0" applyNumberFormat="1" applyFont="1" applyBorder="1" applyAlignment="1">
      <alignment horizontal="center" vertical="center"/>
    </xf>
    <xf numFmtId="166" fontId="6" fillId="0" borderId="19" xfId="0" applyNumberFormat="1" applyFont="1" applyBorder="1" applyAlignment="1">
      <alignment horizontal="center" vertical="center"/>
    </xf>
    <xf numFmtId="0" fontId="7" fillId="0" borderId="20"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166" fontId="0" fillId="0" borderId="21" xfId="0" applyNumberFormat="1" applyBorder="1" applyAlignment="1">
      <alignment horizontal="center" vertical="center"/>
    </xf>
    <xf numFmtId="166" fontId="6" fillId="0" borderId="18" xfId="0" applyNumberFormat="1" applyFont="1" applyBorder="1" applyAlignment="1">
      <alignment horizontal="center" vertical="center"/>
    </xf>
    <xf numFmtId="0" fontId="5" fillId="0" borderId="18" xfId="0" applyFont="1" applyBorder="1" applyAlignment="1">
      <alignment vertical="center"/>
    </xf>
    <xf numFmtId="0" fontId="5" fillId="0" borderId="21" xfId="0" applyFont="1" applyBorder="1" applyAlignment="1">
      <alignment vertical="center"/>
    </xf>
    <xf numFmtId="0" fontId="8" fillId="0" borderId="30"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31" xfId="0" applyFont="1" applyBorder="1" applyAlignment="1">
      <alignment horizontal="center" vertical="center" wrapText="1"/>
    </xf>
    <xf numFmtId="0" fontId="0" fillId="4" borderId="31" xfId="0" applyFill="1" applyBorder="1" applyAlignment="1">
      <alignment horizontal="center" vertical="center"/>
    </xf>
    <xf numFmtId="0" fontId="4" fillId="9" borderId="30" xfId="0" applyFont="1" applyFill="1" applyBorder="1" applyAlignment="1">
      <alignment horizontal="center" vertical="center"/>
    </xf>
    <xf numFmtId="0" fontId="4" fillId="9" borderId="23" xfId="0" applyFont="1" applyFill="1" applyBorder="1" applyAlignment="1">
      <alignment horizontal="center" vertical="center"/>
    </xf>
    <xf numFmtId="0" fontId="4" fillId="9" borderId="31" xfId="0" applyFont="1" applyFill="1" applyBorder="1" applyAlignment="1">
      <alignment horizontal="center" vertical="center"/>
    </xf>
    <xf numFmtId="0" fontId="0" fillId="2" borderId="30" xfId="0" applyFill="1" applyBorder="1" applyAlignment="1">
      <alignment horizontal="center" vertical="center"/>
    </xf>
    <xf numFmtId="0" fontId="0" fillId="2" borderId="23" xfId="0" applyFill="1" applyBorder="1" applyAlignment="1">
      <alignment horizontal="center" vertical="center"/>
    </xf>
    <xf numFmtId="0" fontId="0" fillId="2" borderId="31" xfId="0" applyFill="1" applyBorder="1" applyAlignment="1">
      <alignment horizontal="center" vertical="center"/>
    </xf>
    <xf numFmtId="49" fontId="0" fillId="2" borderId="30" xfId="0" quotePrefix="1" applyNumberFormat="1" applyFill="1" applyBorder="1" applyAlignment="1">
      <alignment horizontal="center" vertical="center"/>
    </xf>
    <xf numFmtId="49" fontId="0" fillId="2" borderId="23" xfId="0" quotePrefix="1" applyNumberFormat="1" applyFill="1" applyBorder="1" applyAlignment="1">
      <alignment horizontal="center" vertical="center"/>
    </xf>
    <xf numFmtId="49" fontId="0" fillId="2" borderId="31" xfId="0" quotePrefix="1" applyNumberFormat="1" applyFill="1" applyBorder="1" applyAlignment="1">
      <alignment horizontal="center" vertical="center"/>
    </xf>
    <xf numFmtId="0" fontId="9" fillId="12" borderId="30" xfId="0" applyFont="1" applyFill="1" applyBorder="1" applyAlignment="1">
      <alignment horizontal="center" vertical="center"/>
    </xf>
    <xf numFmtId="0" fontId="9" fillId="12" borderId="23" xfId="0" applyFont="1" applyFill="1" applyBorder="1" applyAlignment="1">
      <alignment horizontal="center" vertical="center"/>
    </xf>
    <xf numFmtId="0" fontId="0" fillId="0" borderId="18" xfId="0" applyBorder="1" applyAlignment="1">
      <alignment horizontal="left" vertical="center" wrapText="1"/>
    </xf>
    <xf numFmtId="0" fontId="26" fillId="0" borderId="48" xfId="0" applyFont="1" applyBorder="1" applyAlignment="1">
      <alignment horizontal="center" vertical="center" wrapText="1"/>
    </xf>
    <xf numFmtId="0" fontId="26" fillId="0" borderId="49" xfId="0" applyFont="1" applyBorder="1" applyAlignment="1">
      <alignment horizontal="center" vertical="center" wrapText="1"/>
    </xf>
    <xf numFmtId="0" fontId="26" fillId="0" borderId="50"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10" xfId="0" applyFont="1" applyBorder="1" applyAlignment="1">
      <alignment vertical="center"/>
    </xf>
    <xf numFmtId="0" fontId="5" fillId="0" borderId="32" xfId="0" applyFont="1" applyBorder="1" applyAlignment="1">
      <alignment vertical="center"/>
    </xf>
    <xf numFmtId="0" fontId="0" fillId="0" borderId="10" xfId="0" applyBorder="1" applyAlignment="1">
      <alignment horizontal="center" vertical="center" wrapText="1"/>
    </xf>
    <xf numFmtId="0" fontId="0" fillId="0" borderId="32" xfId="0" applyBorder="1" applyAlignment="1">
      <alignment horizontal="center" vertical="center" wrapText="1"/>
    </xf>
    <xf numFmtId="0" fontId="0" fillId="2" borderId="10" xfId="0" applyFill="1" applyBorder="1" applyAlignment="1">
      <alignment horizontal="center" vertical="center"/>
    </xf>
    <xf numFmtId="0" fontId="0" fillId="2" borderId="32" xfId="0" applyFill="1" applyBorder="1" applyAlignment="1">
      <alignment horizontal="center" vertical="center"/>
    </xf>
    <xf numFmtId="1" fontId="0" fillId="2" borderId="10" xfId="0" quotePrefix="1" applyNumberFormat="1" applyFill="1" applyBorder="1" applyAlignment="1">
      <alignment horizontal="center" vertical="center"/>
    </xf>
    <xf numFmtId="1" fontId="0" fillId="2" borderId="32" xfId="0" quotePrefix="1" applyNumberFormat="1" applyFill="1" applyBorder="1" applyAlignment="1">
      <alignment horizontal="center" vertical="center"/>
    </xf>
    <xf numFmtId="0" fontId="6" fillId="0" borderId="10" xfId="0" applyFont="1" applyBorder="1" applyAlignment="1">
      <alignment horizontal="center" vertical="center"/>
    </xf>
    <xf numFmtId="0" fontId="6" fillId="0" borderId="32" xfId="0" applyFont="1" applyBorder="1" applyAlignment="1">
      <alignment horizontal="center" vertical="center"/>
    </xf>
    <xf numFmtId="0" fontId="6" fillId="0" borderId="0" xfId="0" applyFont="1" applyBorder="1" applyAlignment="1">
      <alignment horizontal="center" vertical="center"/>
    </xf>
    <xf numFmtId="0" fontId="9" fillId="9" borderId="10" xfId="0" applyFont="1" applyFill="1" applyBorder="1" applyAlignment="1">
      <alignment horizontal="center" vertical="center"/>
    </xf>
    <xf numFmtId="0" fontId="9" fillId="9" borderId="32" xfId="0" applyFont="1" applyFill="1" applyBorder="1" applyAlignment="1">
      <alignment horizontal="center" vertical="center"/>
    </xf>
    <xf numFmtId="0" fontId="0" fillId="4" borderId="10" xfId="0" applyFill="1" applyBorder="1" applyAlignment="1">
      <alignment horizontal="center" vertical="center"/>
    </xf>
    <xf numFmtId="0" fontId="0" fillId="4" borderId="32" xfId="0" applyFill="1" applyBorder="1" applyAlignment="1">
      <alignment horizontal="center" vertical="center"/>
    </xf>
    <xf numFmtId="166" fontId="6" fillId="0" borderId="46" xfId="0" applyNumberFormat="1" applyFont="1" applyBorder="1" applyAlignment="1">
      <alignment horizontal="center" vertical="center"/>
    </xf>
    <xf numFmtId="0" fontId="5" fillId="0" borderId="23" xfId="0" applyFont="1" applyBorder="1" applyAlignment="1">
      <alignment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15" xfId="0" applyFont="1" applyBorder="1" applyAlignment="1">
      <alignment horizontal="center" vertical="center"/>
    </xf>
    <xf numFmtId="0" fontId="4" fillId="9" borderId="20"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15"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21" xfId="0" applyFont="1" applyFill="1" applyBorder="1" applyAlignment="1">
      <alignment horizontal="center" vertical="center"/>
    </xf>
    <xf numFmtId="0" fontId="4" fillId="7" borderId="15" xfId="0" applyFont="1" applyFill="1" applyBorder="1" applyAlignment="1">
      <alignment horizontal="center" vertical="center"/>
    </xf>
    <xf numFmtId="0" fontId="4" fillId="12" borderId="20" xfId="0" applyFont="1" applyFill="1" applyBorder="1" applyAlignment="1">
      <alignment horizontal="center" vertical="center"/>
    </xf>
    <xf numFmtId="0" fontId="4" fillId="12" borderId="21" xfId="0" applyFont="1" applyFill="1" applyBorder="1" applyAlignment="1">
      <alignment horizontal="center" vertical="center"/>
    </xf>
    <xf numFmtId="0" fontId="4" fillId="12" borderId="15" xfId="0" applyFont="1" applyFill="1" applyBorder="1" applyAlignment="1">
      <alignment horizontal="center" vertical="center"/>
    </xf>
    <xf numFmtId="1" fontId="6" fillId="13" borderId="20" xfId="0" applyNumberFormat="1" applyFont="1" applyFill="1" applyBorder="1" applyAlignment="1">
      <alignment horizontal="center" vertical="center" wrapText="1"/>
    </xf>
    <xf numFmtId="1" fontId="6" fillId="13" borderId="21" xfId="0" applyNumberFormat="1" applyFont="1" applyFill="1" applyBorder="1" applyAlignment="1">
      <alignment horizontal="center" vertical="center" wrapText="1"/>
    </xf>
    <xf numFmtId="1" fontId="6" fillId="13" borderId="15" xfId="0" applyNumberFormat="1" applyFont="1" applyFill="1" applyBorder="1" applyAlignment="1">
      <alignment horizontal="center" vertical="center" wrapText="1"/>
    </xf>
    <xf numFmtId="0" fontId="5"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5" fillId="2" borderId="30"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30" xfId="0" quotePrefix="1" applyFont="1" applyFill="1" applyBorder="1" applyAlignment="1">
      <alignment horizontal="center" vertical="center" wrapText="1"/>
    </xf>
    <xf numFmtId="0" fontId="5" fillId="2" borderId="23" xfId="0" quotePrefix="1" applyFont="1" applyFill="1" applyBorder="1" applyAlignment="1">
      <alignment horizontal="center" vertical="center" wrapText="1"/>
    </xf>
    <xf numFmtId="0" fontId="5" fillId="2" borderId="31" xfId="0" quotePrefix="1" applyFont="1" applyFill="1" applyBorder="1" applyAlignment="1">
      <alignment horizontal="center" vertical="center" wrapText="1"/>
    </xf>
    <xf numFmtId="0" fontId="7" fillId="0" borderId="3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31" xfId="0" applyFont="1" applyBorder="1" applyAlignment="1">
      <alignment horizontal="center" vertical="center" wrapText="1"/>
    </xf>
    <xf numFmtId="0" fontId="9" fillId="7" borderId="30" xfId="0" applyFont="1" applyFill="1" applyBorder="1" applyAlignment="1">
      <alignment horizontal="center" vertical="center"/>
    </xf>
    <xf numFmtId="0" fontId="9" fillId="7" borderId="23" xfId="0" applyFont="1" applyFill="1" applyBorder="1" applyAlignment="1">
      <alignment horizontal="center" vertical="center"/>
    </xf>
    <xf numFmtId="0" fontId="9" fillId="7" borderId="31" xfId="0" applyFont="1" applyFill="1" applyBorder="1" applyAlignment="1">
      <alignment horizontal="center" vertical="center"/>
    </xf>
    <xf numFmtId="0" fontId="9" fillId="9" borderId="30" xfId="0" applyFont="1" applyFill="1" applyBorder="1" applyAlignment="1">
      <alignment horizontal="center" vertical="center"/>
    </xf>
    <xf numFmtId="0" fontId="9" fillId="9" borderId="23" xfId="0" applyFont="1" applyFill="1" applyBorder="1" applyAlignment="1">
      <alignment horizontal="center" vertical="center"/>
    </xf>
    <xf numFmtId="0" fontId="9" fillId="9" borderId="31" xfId="0" applyFont="1" applyFill="1" applyBorder="1" applyAlignment="1">
      <alignment horizontal="center" vertical="center"/>
    </xf>
    <xf numFmtId="0" fontId="4" fillId="12" borderId="18" xfId="0" applyFont="1" applyFill="1" applyBorder="1" applyAlignment="1">
      <alignment horizontal="center" vertical="center"/>
    </xf>
    <xf numFmtId="1" fontId="6" fillId="13" borderId="18" xfId="0" applyNumberFormat="1" applyFont="1" applyFill="1" applyBorder="1" applyAlignment="1">
      <alignment horizontal="center" vertical="center" wrapText="1"/>
    </xf>
    <xf numFmtId="0" fontId="27" fillId="0" borderId="24"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7" xfId="0" applyFont="1" applyBorder="1" applyAlignment="1">
      <alignment horizontal="center" vertical="center" wrapText="1"/>
    </xf>
    <xf numFmtId="0" fontId="0" fillId="2" borderId="18" xfId="0" quotePrefix="1" applyFill="1" applyBorder="1" applyAlignment="1">
      <alignment horizontal="left" vertical="center"/>
    </xf>
    <xf numFmtId="0" fontId="4" fillId="9" borderId="18" xfId="0" applyFont="1" applyFill="1" applyBorder="1" applyAlignment="1">
      <alignment horizontal="center" vertical="center"/>
    </xf>
    <xf numFmtId="0" fontId="8" fillId="0" borderId="24"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7" xfId="0" applyFont="1" applyBorder="1" applyAlignment="1">
      <alignment horizontal="center" vertical="center" wrapText="1"/>
    </xf>
    <xf numFmtId="0" fontId="0" fillId="0" borderId="20" xfId="0" applyFill="1" applyBorder="1" applyAlignment="1">
      <alignment horizontal="left" vertical="center"/>
    </xf>
    <xf numFmtId="0" fontId="0" fillId="0" borderId="15" xfId="0" applyFill="1" applyBorder="1" applyAlignment="1">
      <alignment horizontal="left" vertical="center"/>
    </xf>
    <xf numFmtId="0" fontId="0" fillId="0" borderId="20" xfId="0" quotePrefix="1" applyFill="1" applyBorder="1" applyAlignment="1">
      <alignment horizontal="left" vertical="center"/>
    </xf>
    <xf numFmtId="0" fontId="0" fillId="0" borderId="15" xfId="0" quotePrefix="1" applyFill="1" applyBorder="1" applyAlignment="1">
      <alignment horizontal="left" vertical="center"/>
    </xf>
    <xf numFmtId="0" fontId="8" fillId="0" borderId="9" xfId="0" applyFont="1" applyBorder="1" applyAlignment="1">
      <alignment horizontal="center" vertical="center" wrapText="1"/>
    </xf>
    <xf numFmtId="0" fontId="8" fillId="0" borderId="41" xfId="0" applyFont="1" applyBorder="1" applyAlignment="1">
      <alignment horizontal="center" vertical="center" wrapText="1"/>
    </xf>
    <xf numFmtId="1" fontId="6" fillId="13" borderId="54" xfId="0" applyNumberFormat="1" applyFont="1" applyFill="1" applyBorder="1" applyAlignment="1">
      <alignment horizontal="center" vertical="center" wrapText="1"/>
    </xf>
    <xf numFmtId="1" fontId="6" fillId="13" borderId="56" xfId="0" applyNumberFormat="1" applyFont="1" applyFill="1" applyBorder="1" applyAlignment="1">
      <alignment horizontal="center" vertical="center" wrapText="1"/>
    </xf>
    <xf numFmtId="1" fontId="0" fillId="0" borderId="53" xfId="0" applyNumberFormat="1" applyBorder="1" applyAlignment="1">
      <alignment horizontal="center" vertical="center"/>
    </xf>
    <xf numFmtId="1" fontId="0" fillId="0" borderId="55" xfId="0" applyNumberFormat="1" applyBorder="1" applyAlignment="1">
      <alignment horizontal="center" vertical="center"/>
    </xf>
    <xf numFmtId="166" fontId="6" fillId="0" borderId="53" xfId="0" applyNumberFormat="1" applyFont="1" applyBorder="1" applyAlignment="1">
      <alignment horizontal="center" vertical="center"/>
    </xf>
    <xf numFmtId="166" fontId="6" fillId="0" borderId="55" xfId="0" applyNumberFormat="1" applyFont="1" applyBorder="1" applyAlignment="1">
      <alignment horizontal="center" vertical="center"/>
    </xf>
    <xf numFmtId="0" fontId="0" fillId="0" borderId="18" xfId="0" applyBorder="1" applyAlignment="1">
      <alignment horizontal="left" vertical="center"/>
    </xf>
    <xf numFmtId="0" fontId="0" fillId="0" borderId="18" xfId="0" applyFill="1" applyBorder="1" applyAlignment="1">
      <alignment horizontal="left" vertical="center"/>
    </xf>
    <xf numFmtId="0" fontId="0" fillId="0" borderId="18" xfId="0" quotePrefix="1" applyFill="1" applyBorder="1" applyAlignment="1">
      <alignment horizontal="left" vertical="center"/>
    </xf>
    <xf numFmtId="9" fontId="6" fillId="0" borderId="15" xfId="0" applyNumberFormat="1" applyFont="1" applyBorder="1" applyAlignment="1">
      <alignment horizontal="center" vertical="center"/>
    </xf>
    <xf numFmtId="9" fontId="6" fillId="0" borderId="18" xfId="0" applyNumberFormat="1" applyFont="1" applyBorder="1" applyAlignment="1">
      <alignment horizontal="center" vertical="center"/>
    </xf>
    <xf numFmtId="0" fontId="19" fillId="0" borderId="18" xfId="0" applyFont="1" applyFill="1" applyBorder="1" applyAlignment="1">
      <alignment horizontal="justify" vertical="center" wrapText="1"/>
    </xf>
    <xf numFmtId="0" fontId="19" fillId="2" borderId="18" xfId="0" applyFont="1" applyFill="1" applyBorder="1" applyAlignment="1">
      <alignment horizontal="left" vertical="center"/>
    </xf>
    <xf numFmtId="0" fontId="19" fillId="2" borderId="19" xfId="0" applyFont="1" applyFill="1" applyBorder="1" applyAlignment="1">
      <alignment horizontal="lef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9" fillId="0" borderId="15" xfId="0" applyFont="1" applyFill="1" applyBorder="1" applyAlignment="1">
      <alignment horizontal="justify" vertical="center" wrapText="1"/>
    </xf>
    <xf numFmtId="0" fontId="19" fillId="2" borderId="15" xfId="0" applyFont="1" applyFill="1" applyBorder="1" applyAlignment="1">
      <alignment horizontal="left" vertical="center"/>
    </xf>
    <xf numFmtId="0" fontId="19" fillId="2" borderId="16" xfId="0" applyFont="1" applyFill="1" applyBorder="1" applyAlignment="1">
      <alignment horizontal="left" vertical="center"/>
    </xf>
    <xf numFmtId="0" fontId="19" fillId="2" borderId="15"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11" fillId="2" borderId="15" xfId="0" applyFont="1" applyFill="1" applyBorder="1" applyAlignment="1">
      <alignment horizontal="center"/>
    </xf>
    <xf numFmtId="0" fontId="11" fillId="2" borderId="16" xfId="0" applyFont="1" applyFill="1" applyBorder="1" applyAlignment="1">
      <alignment horizontal="center"/>
    </xf>
    <xf numFmtId="0" fontId="19" fillId="0" borderId="15" xfId="0" applyNumberFormat="1" applyFont="1" applyFill="1" applyBorder="1" applyAlignment="1">
      <alignment horizontal="justify" vertical="center" wrapText="1"/>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8" xfId="0" applyNumberFormat="1" applyFont="1" applyFill="1" applyBorder="1" applyAlignment="1">
      <alignment horizontal="justify" vertical="center" wrapText="1"/>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11" fillId="2" borderId="24"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13" xfId="0" applyFont="1" applyBorder="1" applyAlignment="1">
      <alignment horizontal="center" vertical="center" wrapText="1"/>
    </xf>
    <xf numFmtId="168" fontId="22" fillId="0" borderId="2" xfId="0" applyNumberFormat="1" applyFont="1" applyBorder="1" applyAlignment="1">
      <alignment horizontal="center" vertical="center" wrapText="1"/>
    </xf>
    <xf numFmtId="168" fontId="22" fillId="0" borderId="36" xfId="0" applyNumberFormat="1" applyFont="1" applyBorder="1" applyAlignment="1">
      <alignment horizontal="center" vertical="center" wrapText="1"/>
    </xf>
    <xf numFmtId="168" fontId="22" fillId="0" borderId="13" xfId="0" applyNumberFormat="1" applyFont="1" applyBorder="1" applyAlignment="1">
      <alignment horizontal="center" vertical="center" wrapText="1"/>
    </xf>
    <xf numFmtId="0" fontId="10" fillId="2" borderId="24"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5"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1" fontId="22" fillId="0" borderId="2" xfId="0" applyNumberFormat="1" applyFont="1" applyBorder="1" applyAlignment="1">
      <alignment horizontal="center" vertical="center" wrapText="1"/>
    </xf>
    <xf numFmtId="1" fontId="22" fillId="0" borderId="36" xfId="0" applyNumberFormat="1" applyFont="1" applyBorder="1" applyAlignment="1">
      <alignment horizontal="center" vertical="center" wrapText="1"/>
    </xf>
    <xf numFmtId="1" fontId="22" fillId="0" borderId="13" xfId="0" applyNumberFormat="1" applyFont="1" applyBorder="1" applyAlignment="1">
      <alignment horizontal="center" vertical="center" wrapText="1"/>
    </xf>
  </cellXfs>
  <cellStyles count="1">
    <cellStyle name="Normal" xfId="0" builtinId="0"/>
  </cellStyles>
  <dxfs count="2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1 (CO)  '!$C$40</c:f>
              <c:strCache>
                <c:ptCount val="1"/>
                <c:pt idx="0">
                  <c:v>ERROR + U EXPANDIDA CAL 2 [%]</c:v>
                </c:pt>
              </c:strCache>
            </c:strRef>
          </c:tx>
          <c:val>
            <c:numRef>
              <c:f>'MONOXIDO 1 (CO)  '!$C$41:$C$48</c:f>
              <c:numCache>
                <c:formatCode>0.000</c:formatCode>
                <c:ptCount val="8"/>
                <c:pt idx="0">
                  <c:v>6.9999999999999889E-3</c:v>
                </c:pt>
                <c:pt idx="1">
                  <c:v>5.0000000000000405E-2</c:v>
                </c:pt>
                <c:pt idx="2">
                  <c:v>0.12999999999999998</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0-7013-4E5C-BF9B-CC8271F1F145}"/>
            </c:ext>
          </c:extLst>
        </c:ser>
        <c:ser>
          <c:idx val="1"/>
          <c:order val="1"/>
          <c:tx>
            <c:strRef>
              <c:f>'MONOXIDO 1 (CO)  '!$D$40</c:f>
              <c:strCache>
                <c:ptCount val="1"/>
                <c:pt idx="0">
                  <c:v>ERROR - U EXPANDIDA CAL 2 [%]</c:v>
                </c:pt>
              </c:strCache>
            </c:strRef>
          </c:tx>
          <c:val>
            <c:numRef>
              <c:f>'MONOXIDO 1 (CO)  '!$D$41:$D$48</c:f>
              <c:numCache>
                <c:formatCode>0.000</c:formatCode>
                <c:ptCount val="8"/>
                <c:pt idx="0">
                  <c:v>-3.5000000000000017E-2</c:v>
                </c:pt>
                <c:pt idx="1">
                  <c:v>-0.12999999999999959</c:v>
                </c:pt>
                <c:pt idx="2">
                  <c:v>-0.21000000000000005</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1-7013-4E5C-BF9B-CC8271F1F145}"/>
            </c:ext>
          </c:extLst>
        </c:ser>
        <c:ser>
          <c:idx val="2"/>
          <c:order val="2"/>
          <c:tx>
            <c:strRef>
              <c:f>'MONOXIDO 1 (CO)  '!$E$40</c:f>
              <c:strCache>
                <c:ptCount val="1"/>
                <c:pt idx="0">
                  <c:v>Exactitud NTC 5365 Numeral 5.2.7.1 (+) [%]</c:v>
                </c:pt>
              </c:strCache>
            </c:strRef>
          </c:tx>
          <c:val>
            <c:numRef>
              <c:f>'MONOXIDO 1 (CO)  '!$E$41:$E$48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2-7013-4E5C-BF9B-CC8271F1F145}"/>
            </c:ext>
          </c:extLst>
        </c:ser>
        <c:ser>
          <c:idx val="3"/>
          <c:order val="3"/>
          <c:tx>
            <c:strRef>
              <c:f>'MONOXIDO 1 (CO)  '!$F$40</c:f>
              <c:strCache>
                <c:ptCount val="1"/>
                <c:pt idx="0">
                  <c:v>Exactitud NTC 5365 Numeral 5.2.7.1 (-) [%]</c:v>
                </c:pt>
              </c:strCache>
            </c:strRef>
          </c:tx>
          <c:val>
            <c:numRef>
              <c:f>'MONOXIDO 1 (CO)  '!$F$41:$F$48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0-5AAC-4CD3-A3C9-FD8013BFA71F}"/>
            </c:ext>
          </c:extLst>
        </c:ser>
        <c:dLbls>
          <c:showLegendKey val="0"/>
          <c:showVal val="0"/>
          <c:showCatName val="0"/>
          <c:showSerName val="0"/>
          <c:showPercent val="0"/>
          <c:showBubbleSize val="0"/>
        </c:dLbls>
        <c:marker val="1"/>
        <c:smooth val="0"/>
        <c:axId val="414187064"/>
        <c:axId val="414187456"/>
      </c:lineChart>
      <c:catAx>
        <c:axId val="414187064"/>
        <c:scaling>
          <c:orientation val="minMax"/>
        </c:scaling>
        <c:delete val="0"/>
        <c:axPos val="b"/>
        <c:numFmt formatCode="General" sourceLinked="1"/>
        <c:majorTickMark val="none"/>
        <c:minorTickMark val="none"/>
        <c:tickLblPos val="nextTo"/>
        <c:crossAx val="414187456"/>
        <c:crosses val="autoZero"/>
        <c:auto val="1"/>
        <c:lblAlgn val="ctr"/>
        <c:lblOffset val="100"/>
        <c:noMultiLvlLbl val="0"/>
      </c:catAx>
      <c:valAx>
        <c:axId val="414187456"/>
        <c:scaling>
          <c:orientation val="minMax"/>
        </c:scaling>
        <c:delete val="0"/>
        <c:axPos val="l"/>
        <c:majorGridlines/>
        <c:title>
          <c:overlay val="0"/>
        </c:title>
        <c:numFmt formatCode="0.000" sourceLinked="1"/>
        <c:majorTickMark val="none"/>
        <c:minorTickMark val="none"/>
        <c:tickLblPos val="nextTo"/>
        <c:crossAx val="41418706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manualLayout>
          <c:layoutTarget val="inner"/>
          <c:xMode val="edge"/>
          <c:yMode val="edge"/>
          <c:x val="8.2177693802692783E-2"/>
          <c:y val="0.15915385185002343"/>
          <c:w val="0.60795532381315365"/>
          <c:h val="0.77772171895440967"/>
        </c:manualLayout>
      </c:layout>
      <c:lineChart>
        <c:grouping val="standard"/>
        <c:varyColors val="0"/>
        <c:ser>
          <c:idx val="0"/>
          <c:order val="0"/>
          <c:tx>
            <c:strRef>
              <c:f>'OXIGENO 1 (O2) '!$C$39</c:f>
              <c:strCache>
                <c:ptCount val="1"/>
                <c:pt idx="0">
                  <c:v>ERROR + U EXPANDIDA CAL 2 [%]</c:v>
                </c:pt>
              </c:strCache>
            </c:strRef>
          </c:tx>
          <c:val>
            <c:numRef>
              <c:f>'OXIGENO 1 (O2) '!$C$40:$C$47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0-17F1-4DEF-A9D0-138736425EA4}"/>
            </c:ext>
          </c:extLst>
        </c:ser>
        <c:ser>
          <c:idx val="1"/>
          <c:order val="1"/>
          <c:tx>
            <c:strRef>
              <c:f>'OXIGENO 1 (O2) '!$D$39</c:f>
              <c:strCache>
                <c:ptCount val="1"/>
                <c:pt idx="0">
                  <c:v>ERROR - U EXPANDIDA CAL 2 [%]</c:v>
                </c:pt>
              </c:strCache>
            </c:strRef>
          </c:tx>
          <c:val>
            <c:numRef>
              <c:f>'OXIGENO 1 (O2) '!$D$40:$D$47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1-17F1-4DEF-A9D0-138736425EA4}"/>
            </c:ext>
          </c:extLst>
        </c:ser>
        <c:ser>
          <c:idx val="2"/>
          <c:order val="2"/>
          <c:tx>
            <c:strRef>
              <c:f>'OXIGENO 1 (O2) '!$E$39</c:f>
              <c:strCache>
                <c:ptCount val="1"/>
                <c:pt idx="0">
                  <c:v>Exactitud NTC 5365 Numeral 5.2.7.1 (+) [%]</c:v>
                </c:pt>
              </c:strCache>
            </c:strRef>
          </c:tx>
          <c:val>
            <c:numRef>
              <c:f>'OXIGENO 1 (O2) '!$E$40:$E$47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2-17F1-4DEF-A9D0-138736425EA4}"/>
            </c:ext>
          </c:extLst>
        </c:ser>
        <c:ser>
          <c:idx val="3"/>
          <c:order val="3"/>
          <c:tx>
            <c:strRef>
              <c:f>'OXIGENO 1 (O2) '!$F$39</c:f>
              <c:strCache>
                <c:ptCount val="1"/>
                <c:pt idx="0">
                  <c:v>Exactitud NTC 5365 Numeral 5.2.7.1 (-) [%]</c:v>
                </c:pt>
              </c:strCache>
            </c:strRef>
          </c:tx>
          <c:val>
            <c:numRef>
              <c:f>'OXIGENO 1 (O2) '!$F$40:$F$47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3-17F1-4DEF-A9D0-138736425EA4}"/>
            </c:ext>
          </c:extLst>
        </c:ser>
        <c:dLbls>
          <c:showLegendKey val="0"/>
          <c:showVal val="0"/>
          <c:showCatName val="0"/>
          <c:showSerName val="0"/>
          <c:showPercent val="0"/>
          <c:showBubbleSize val="0"/>
        </c:dLbls>
        <c:marker val="1"/>
        <c:smooth val="0"/>
        <c:axId val="413403704"/>
        <c:axId val="413404096"/>
      </c:lineChart>
      <c:catAx>
        <c:axId val="413403704"/>
        <c:scaling>
          <c:orientation val="minMax"/>
        </c:scaling>
        <c:delete val="0"/>
        <c:axPos val="b"/>
        <c:numFmt formatCode="General" sourceLinked="1"/>
        <c:majorTickMark val="none"/>
        <c:minorTickMark val="none"/>
        <c:tickLblPos val="nextTo"/>
        <c:crossAx val="413404096"/>
        <c:crosses val="autoZero"/>
        <c:auto val="1"/>
        <c:lblAlgn val="ctr"/>
        <c:lblOffset val="100"/>
        <c:noMultiLvlLbl val="0"/>
      </c:catAx>
      <c:valAx>
        <c:axId val="413404096"/>
        <c:scaling>
          <c:orientation val="minMax"/>
        </c:scaling>
        <c:delete val="0"/>
        <c:axPos val="l"/>
        <c:majorGridlines/>
        <c:title>
          <c:overlay val="0"/>
        </c:title>
        <c:numFmt formatCode="0.000" sourceLinked="1"/>
        <c:majorTickMark val="none"/>
        <c:minorTickMark val="none"/>
        <c:tickLblPos val="nextTo"/>
        <c:crossAx val="4134037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1 (O2) '!$C$67</c:f>
              <c:strCache>
                <c:ptCount val="1"/>
                <c:pt idx="0">
                  <c:v>RUIDO CAL 2</c:v>
                </c:pt>
              </c:strCache>
            </c:strRef>
          </c:tx>
          <c:val>
            <c:numRef>
              <c:f>'OXIGENO 1 (O2) '!$C$68:$C$71</c:f>
              <c:numCache>
                <c:formatCode>0.000</c:formatCode>
                <c:ptCount val="4"/>
                <c:pt idx="0">
                  <c:v>0</c:v>
                </c:pt>
                <c:pt idx="1">
                  <c:v>0</c:v>
                </c:pt>
                <c:pt idx="2">
                  <c:v>0</c:v>
                </c:pt>
                <c:pt idx="3">
                  <c:v>5.0000000000000001E-3</c:v>
                </c:pt>
              </c:numCache>
            </c:numRef>
          </c:val>
          <c:smooth val="0"/>
          <c:extLst>
            <c:ext xmlns:c16="http://schemas.microsoft.com/office/drawing/2014/chart" uri="{C3380CC4-5D6E-409C-BE32-E72D297353CC}">
              <c16:uniqueId val="{0000000C-FA3B-45C7-B754-01DF695F8898}"/>
            </c:ext>
          </c:extLst>
        </c:ser>
        <c:ser>
          <c:idx val="1"/>
          <c:order val="1"/>
          <c:tx>
            <c:strRef>
              <c:f>'OXIGENO 1 (O2) '!$D$67</c:f>
              <c:strCache>
                <c:ptCount val="1"/>
                <c:pt idx="0">
                  <c:v>Ruido NTC 4983 Numeral 5.2.7.1 (+) [%]</c:v>
                </c:pt>
              </c:strCache>
            </c:strRef>
          </c:tx>
          <c:val>
            <c:numRef>
              <c:f>'OXIGENO 1 (O2) '!$D$68:$D$71</c:f>
              <c:numCache>
                <c:formatCode>0.00</c:formatCode>
                <c:ptCount val="4"/>
                <c:pt idx="0">
                  <c:v>0.3</c:v>
                </c:pt>
                <c:pt idx="1">
                  <c:v>0.3</c:v>
                </c:pt>
                <c:pt idx="2">
                  <c:v>0.3</c:v>
                </c:pt>
                <c:pt idx="3">
                  <c:v>0.3</c:v>
                </c:pt>
              </c:numCache>
            </c:numRef>
          </c:val>
          <c:smooth val="0"/>
          <c:extLst>
            <c:ext xmlns:c16="http://schemas.microsoft.com/office/drawing/2014/chart" uri="{C3380CC4-5D6E-409C-BE32-E72D297353CC}">
              <c16:uniqueId val="{0000000D-FA3B-45C7-B754-01DF695F8898}"/>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1 (O2) '!$C$85</c:f>
              <c:strCache>
                <c:ptCount val="1"/>
                <c:pt idx="0">
                  <c:v>REPETIBILIDAD  CAL 2</c:v>
                </c:pt>
              </c:strCache>
            </c:strRef>
          </c:tx>
          <c:val>
            <c:numRef>
              <c:f>'OXIGENO 1 (O2) '!$C$86:$C$93</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296A-4A57-9E7D-9AA37E5DA78C}"/>
            </c:ext>
          </c:extLst>
        </c:ser>
        <c:ser>
          <c:idx val="4"/>
          <c:order val="1"/>
          <c:tx>
            <c:strRef>
              <c:f>'OXIGENO 1 (O2) '!$D$85</c:f>
              <c:strCache>
                <c:ptCount val="1"/>
                <c:pt idx="0">
                  <c:v>Ruido NTC 4983 Numeral 5.2.7.1 (+) [%]</c:v>
                </c:pt>
              </c:strCache>
            </c:strRef>
          </c:tx>
          <c:val>
            <c:numRef>
              <c:f>'OXIGENO 1 (O2) '!$D$86:$D$93</c:f>
              <c:numCache>
                <c:formatCode>0.00</c:formatCode>
                <c:ptCount val="8"/>
                <c:pt idx="0">
                  <c:v>0.4</c:v>
                </c:pt>
                <c:pt idx="1">
                  <c:v>0.4</c:v>
                </c:pt>
                <c:pt idx="2">
                  <c:v>0.4</c:v>
                </c:pt>
                <c:pt idx="3">
                  <c:v>0.4</c:v>
                </c:pt>
                <c:pt idx="4">
                  <c:v>0.4</c:v>
                </c:pt>
                <c:pt idx="5">
                  <c:v>0.4</c:v>
                </c:pt>
                <c:pt idx="6">
                  <c:v>0.4</c:v>
                </c:pt>
                <c:pt idx="7">
                  <c:v>0.4</c:v>
                </c:pt>
              </c:numCache>
            </c:numRef>
          </c:val>
          <c:smooth val="0"/>
          <c:extLst>
            <c:ext xmlns:c16="http://schemas.microsoft.com/office/drawing/2014/chart" uri="{C3380CC4-5D6E-409C-BE32-E72D297353CC}">
              <c16:uniqueId val="{00000001-296A-4A57-9E7D-9AA37E5DA78C}"/>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2 (CO)  '!$C$40</c:f>
              <c:strCache>
                <c:ptCount val="1"/>
                <c:pt idx="0">
                  <c:v>ERROR + U EXPANDIDA CAL 2 [%]</c:v>
                </c:pt>
              </c:strCache>
            </c:strRef>
          </c:tx>
          <c:val>
            <c:numRef>
              <c:f>'MONOXIDO 2 (CO)  '!$C$41:$C$48</c:f>
              <c:numCache>
                <c:formatCode>0.000</c:formatCode>
                <c:ptCount val="8"/>
                <c:pt idx="0">
                  <c:v>6.9999999999999889E-3</c:v>
                </c:pt>
                <c:pt idx="1">
                  <c:v>0.09</c:v>
                </c:pt>
                <c:pt idx="2">
                  <c:v>0.17</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0-85C6-4C1A-88B0-24EA0EB8E4EB}"/>
            </c:ext>
          </c:extLst>
        </c:ser>
        <c:ser>
          <c:idx val="1"/>
          <c:order val="1"/>
          <c:tx>
            <c:strRef>
              <c:f>'MONOXIDO 2 (CO)  '!$D$40</c:f>
              <c:strCache>
                <c:ptCount val="1"/>
                <c:pt idx="0">
                  <c:v>ERROR - U EXPANDIDA CAL 2 [%]</c:v>
                </c:pt>
              </c:strCache>
            </c:strRef>
          </c:tx>
          <c:val>
            <c:numRef>
              <c:f>'MONOXIDO 2 (CO)  '!$D$41:$D$48</c:f>
              <c:numCache>
                <c:formatCode>0.000</c:formatCode>
                <c:ptCount val="8"/>
                <c:pt idx="0">
                  <c:v>-3.5000000000000017E-2</c:v>
                </c:pt>
                <c:pt idx="1">
                  <c:v>-0.09</c:v>
                </c:pt>
                <c:pt idx="2">
                  <c:v>-0.17</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1-85C6-4C1A-88B0-24EA0EB8E4EB}"/>
            </c:ext>
          </c:extLst>
        </c:ser>
        <c:ser>
          <c:idx val="2"/>
          <c:order val="2"/>
          <c:tx>
            <c:strRef>
              <c:f>'MONOXIDO 2 (CO)  '!$E$40</c:f>
              <c:strCache>
                <c:ptCount val="1"/>
                <c:pt idx="0">
                  <c:v>Exactitud NTC 5365 Numeral 5.2.7.1 (+) [%]</c:v>
                </c:pt>
              </c:strCache>
            </c:strRef>
          </c:tx>
          <c:val>
            <c:numRef>
              <c:f>'MONOXIDO 2 (CO)  '!$E$41:$E$48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2-85C6-4C1A-88B0-24EA0EB8E4EB}"/>
            </c:ext>
          </c:extLst>
        </c:ser>
        <c:ser>
          <c:idx val="3"/>
          <c:order val="3"/>
          <c:tx>
            <c:strRef>
              <c:f>'MONOXIDO 2 (CO)  '!$F$40</c:f>
              <c:strCache>
                <c:ptCount val="1"/>
                <c:pt idx="0">
                  <c:v>Exactitud NTC 5365 Numeral 5.2.7.1 (-) [%]</c:v>
                </c:pt>
              </c:strCache>
            </c:strRef>
          </c:tx>
          <c:val>
            <c:numRef>
              <c:f>'MONOXIDO 2 (CO)  '!$F$41:$F$48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3-85C6-4C1A-88B0-24EA0EB8E4EB}"/>
            </c:ext>
          </c:extLst>
        </c:ser>
        <c:dLbls>
          <c:showLegendKey val="0"/>
          <c:showVal val="0"/>
          <c:showCatName val="0"/>
          <c:showSerName val="0"/>
          <c:showPercent val="0"/>
          <c:showBubbleSize val="0"/>
        </c:dLbls>
        <c:marker val="1"/>
        <c:smooth val="0"/>
        <c:axId val="414187064"/>
        <c:axId val="414187456"/>
      </c:lineChart>
      <c:catAx>
        <c:axId val="414187064"/>
        <c:scaling>
          <c:orientation val="minMax"/>
        </c:scaling>
        <c:delete val="0"/>
        <c:axPos val="b"/>
        <c:numFmt formatCode="General" sourceLinked="1"/>
        <c:majorTickMark val="none"/>
        <c:minorTickMark val="none"/>
        <c:tickLblPos val="nextTo"/>
        <c:crossAx val="414187456"/>
        <c:crosses val="autoZero"/>
        <c:auto val="1"/>
        <c:lblAlgn val="ctr"/>
        <c:lblOffset val="100"/>
        <c:noMultiLvlLbl val="0"/>
      </c:catAx>
      <c:valAx>
        <c:axId val="414187456"/>
        <c:scaling>
          <c:orientation val="minMax"/>
        </c:scaling>
        <c:delete val="0"/>
        <c:axPos val="l"/>
        <c:majorGridlines/>
        <c:title>
          <c:overlay val="0"/>
        </c:title>
        <c:numFmt formatCode="0.000" sourceLinked="1"/>
        <c:majorTickMark val="none"/>
        <c:minorTickMark val="none"/>
        <c:tickLblPos val="nextTo"/>
        <c:crossAx val="41418706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2 (CO)  '!$C$68</c:f>
              <c:strCache>
                <c:ptCount val="1"/>
                <c:pt idx="0">
                  <c:v>RUIDO CAL 2</c:v>
                </c:pt>
              </c:strCache>
            </c:strRef>
          </c:tx>
          <c:val>
            <c:numRef>
              <c:f>'MONOXIDO 2 (CO)  '!$C$69:$C$72</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19A4-452C-A47A-26869834FDCA}"/>
            </c:ext>
          </c:extLst>
        </c:ser>
        <c:ser>
          <c:idx val="4"/>
          <c:order val="1"/>
          <c:tx>
            <c:strRef>
              <c:f>'MONOXIDO 2 (CO)  '!$D$68</c:f>
              <c:strCache>
                <c:ptCount val="1"/>
                <c:pt idx="0">
                  <c:v>Ruido NTC 4983 Numeral 5.2.7.1 (+) [%]</c:v>
                </c:pt>
              </c:strCache>
            </c:strRef>
          </c:tx>
          <c:val>
            <c:numRef>
              <c:f>'MONOXIDO 2 (CO)  '!$D$69:$D$72</c:f>
              <c:numCache>
                <c:formatCode>0.00</c:formatCode>
                <c:ptCount val="4"/>
                <c:pt idx="0">
                  <c:v>0.02</c:v>
                </c:pt>
                <c:pt idx="1">
                  <c:v>0.06</c:v>
                </c:pt>
                <c:pt idx="2">
                  <c:v>0.1</c:v>
                </c:pt>
                <c:pt idx="3">
                  <c:v>0.02</c:v>
                </c:pt>
              </c:numCache>
            </c:numRef>
          </c:val>
          <c:smooth val="0"/>
          <c:extLst>
            <c:ext xmlns:c16="http://schemas.microsoft.com/office/drawing/2014/chart" uri="{C3380CC4-5D6E-409C-BE32-E72D297353CC}">
              <c16:uniqueId val="{00000001-19A4-452C-A47A-26869834FDCA}"/>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2 (CO)  '!$C$86</c:f>
              <c:strCache>
                <c:ptCount val="1"/>
                <c:pt idx="0">
                  <c:v>REPETIBILIDAD  CAL 2</c:v>
                </c:pt>
              </c:strCache>
            </c:strRef>
          </c:tx>
          <c:val>
            <c:numRef>
              <c:f>'MONOXIDO 2 (CO)  '!$C$87:$C$94</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ACB7-4A40-84B9-A8E273D71EAC}"/>
            </c:ext>
          </c:extLst>
        </c:ser>
        <c:ser>
          <c:idx val="4"/>
          <c:order val="1"/>
          <c:tx>
            <c:strRef>
              <c:f>'MONOXIDO 2 (CO)  '!$D$86</c:f>
              <c:strCache>
                <c:ptCount val="1"/>
                <c:pt idx="0">
                  <c:v>Repetibilidad NTC 4983 Numeral 5.2.7.1 (+) [%]</c:v>
                </c:pt>
              </c:strCache>
            </c:strRef>
          </c:tx>
          <c:val>
            <c:numRef>
              <c:f>'MONOXIDO 2 (CO)  '!$D$87:$D$94</c:f>
              <c:numCache>
                <c:formatCode>0.00</c:formatCode>
                <c:ptCount val="8"/>
                <c:pt idx="0">
                  <c:v>0.03</c:v>
                </c:pt>
                <c:pt idx="1">
                  <c:v>0.08</c:v>
                </c:pt>
                <c:pt idx="2">
                  <c:v>0.15</c:v>
                </c:pt>
                <c:pt idx="3">
                  <c:v>0.03</c:v>
                </c:pt>
                <c:pt idx="4">
                  <c:v>0.03</c:v>
                </c:pt>
                <c:pt idx="5">
                  <c:v>0.08</c:v>
                </c:pt>
                <c:pt idx="6">
                  <c:v>0.15</c:v>
                </c:pt>
                <c:pt idx="7">
                  <c:v>0.03</c:v>
                </c:pt>
              </c:numCache>
            </c:numRef>
          </c:val>
          <c:smooth val="0"/>
          <c:extLst>
            <c:ext xmlns:c16="http://schemas.microsoft.com/office/drawing/2014/chart" uri="{C3380CC4-5D6E-409C-BE32-E72D297353CC}">
              <c16:uniqueId val="{00000001-ACB7-4A40-84B9-A8E273D71EAC}"/>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2 (CO2)'!$C$40</c:f>
              <c:strCache>
                <c:ptCount val="1"/>
                <c:pt idx="0">
                  <c:v>ERROR + U EXPANDIDA CAL 2 [%]</c:v>
                </c:pt>
              </c:strCache>
            </c:strRef>
          </c:tx>
          <c:val>
            <c:numRef>
              <c:f>'DIOXIDO  2 (CO2)'!$C$41:$C$48</c:f>
              <c:numCache>
                <c:formatCode>0.000</c:formatCode>
                <c:ptCount val="8"/>
                <c:pt idx="0">
                  <c:v>0.12</c:v>
                </c:pt>
                <c:pt idx="1">
                  <c:v>0.2</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0-BD21-4B65-8BD0-01D02DE5E97A}"/>
            </c:ext>
          </c:extLst>
        </c:ser>
        <c:ser>
          <c:idx val="1"/>
          <c:order val="1"/>
          <c:tx>
            <c:strRef>
              <c:f>'DIOXIDO  2 (CO2)'!$D$40</c:f>
              <c:strCache>
                <c:ptCount val="1"/>
                <c:pt idx="0">
                  <c:v>ERROR - U EXPANDIDA CAL 2 [%]</c:v>
                </c:pt>
              </c:strCache>
            </c:strRef>
          </c:tx>
          <c:val>
            <c:numRef>
              <c:f>'DIOXIDO  2 (CO2)'!$D$41:$D$48</c:f>
              <c:numCache>
                <c:formatCode>0.000</c:formatCode>
                <c:ptCount val="8"/>
                <c:pt idx="0">
                  <c:v>0.12</c:v>
                </c:pt>
                <c:pt idx="1">
                  <c:v>0.2</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1-BD21-4B65-8BD0-01D02DE5E97A}"/>
            </c:ext>
          </c:extLst>
        </c:ser>
        <c:ser>
          <c:idx val="2"/>
          <c:order val="2"/>
          <c:tx>
            <c:strRef>
              <c:f>'DIOXIDO  2 (CO2)'!$E$40</c:f>
              <c:strCache>
                <c:ptCount val="1"/>
                <c:pt idx="0">
                  <c:v>Exactitud NTC 5365 Numeral 5.2.7.1 (+) [%]</c:v>
                </c:pt>
              </c:strCache>
            </c:strRef>
          </c:tx>
          <c:val>
            <c:numRef>
              <c:f>'DIOXIDO  2 (CO2)'!$E$41:$E$48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2-BD21-4B65-8BD0-01D02DE5E97A}"/>
            </c:ext>
          </c:extLst>
        </c:ser>
        <c:ser>
          <c:idx val="3"/>
          <c:order val="3"/>
          <c:tx>
            <c:strRef>
              <c:f>'DIOXIDO  2 (CO2)'!$F$40</c:f>
              <c:strCache>
                <c:ptCount val="1"/>
                <c:pt idx="0">
                  <c:v>Exactitud NTC 5365 Numeral 5.2.7.1 (-) [%]</c:v>
                </c:pt>
              </c:strCache>
            </c:strRef>
          </c:tx>
          <c:val>
            <c:numRef>
              <c:f>'DIOXIDO  2 (CO2)'!$F$41:$F$48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3-BD21-4B65-8BD0-01D02DE5E97A}"/>
            </c:ext>
          </c:extLst>
        </c:ser>
        <c:dLbls>
          <c:showLegendKey val="0"/>
          <c:showVal val="0"/>
          <c:showCatName val="0"/>
          <c:showSerName val="0"/>
          <c:showPercent val="0"/>
          <c:showBubbleSize val="0"/>
        </c:dLbls>
        <c:marker val="1"/>
        <c:smooth val="0"/>
        <c:axId val="413401352"/>
        <c:axId val="413401744"/>
      </c:lineChart>
      <c:catAx>
        <c:axId val="413401352"/>
        <c:scaling>
          <c:orientation val="minMax"/>
        </c:scaling>
        <c:delete val="0"/>
        <c:axPos val="b"/>
        <c:numFmt formatCode="General" sourceLinked="1"/>
        <c:majorTickMark val="none"/>
        <c:minorTickMark val="none"/>
        <c:tickLblPos val="nextTo"/>
        <c:crossAx val="413401744"/>
        <c:crosses val="autoZero"/>
        <c:auto val="1"/>
        <c:lblAlgn val="ctr"/>
        <c:lblOffset val="100"/>
        <c:noMultiLvlLbl val="0"/>
      </c:catAx>
      <c:valAx>
        <c:axId val="413401744"/>
        <c:scaling>
          <c:orientation val="minMax"/>
        </c:scaling>
        <c:delete val="0"/>
        <c:axPos val="l"/>
        <c:majorGridlines/>
        <c:title>
          <c:overlay val="0"/>
        </c:title>
        <c:numFmt formatCode="0.000" sourceLinked="1"/>
        <c:majorTickMark val="none"/>
        <c:minorTickMark val="none"/>
        <c:tickLblPos val="nextTo"/>
        <c:crossAx val="41340135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2 (CO2)'!$C$69</c:f>
              <c:strCache>
                <c:ptCount val="1"/>
                <c:pt idx="0">
                  <c:v>RUIDO CAL 2</c:v>
                </c:pt>
              </c:strCache>
            </c:strRef>
          </c:tx>
          <c:val>
            <c:numRef>
              <c:f>'DIOXIDO  2 (CO2)'!$C$70:$C$73</c:f>
              <c:numCache>
                <c:formatCode>0.000</c:formatCode>
                <c:ptCount val="4"/>
                <c:pt idx="0">
                  <c:v>0</c:v>
                </c:pt>
                <c:pt idx="1">
                  <c:v>0</c:v>
                </c:pt>
                <c:pt idx="2">
                  <c:v>0</c:v>
                </c:pt>
                <c:pt idx="3">
                  <c:v>0.05</c:v>
                </c:pt>
              </c:numCache>
            </c:numRef>
          </c:val>
          <c:smooth val="0"/>
          <c:extLst>
            <c:ext xmlns:c16="http://schemas.microsoft.com/office/drawing/2014/chart" uri="{C3380CC4-5D6E-409C-BE32-E72D297353CC}">
              <c16:uniqueId val="{00000000-D076-4E89-92BC-1C0FE133E4D9}"/>
            </c:ext>
          </c:extLst>
        </c:ser>
        <c:ser>
          <c:idx val="1"/>
          <c:order val="1"/>
          <c:tx>
            <c:strRef>
              <c:f>'DIOXIDO  2 (CO2)'!$D$69</c:f>
              <c:strCache>
                <c:ptCount val="1"/>
                <c:pt idx="0">
                  <c:v>Ruido NTC 4983 Numeral 5.2.7.1 (+) [%]</c:v>
                </c:pt>
              </c:strCache>
            </c:strRef>
          </c:tx>
          <c:val>
            <c:numRef>
              <c:f>'DIOXIDO  2 (CO2)'!$D$70:$D$73</c:f>
              <c:numCache>
                <c:formatCode>0.00</c:formatCode>
                <c:ptCount val="4"/>
                <c:pt idx="0">
                  <c:v>0.2</c:v>
                </c:pt>
                <c:pt idx="1">
                  <c:v>0.2</c:v>
                </c:pt>
                <c:pt idx="2">
                  <c:v>0.2</c:v>
                </c:pt>
                <c:pt idx="3">
                  <c:v>0.2</c:v>
                </c:pt>
              </c:numCache>
            </c:numRef>
          </c:val>
          <c:smooth val="0"/>
          <c:extLst>
            <c:ext xmlns:c16="http://schemas.microsoft.com/office/drawing/2014/chart" uri="{C3380CC4-5D6E-409C-BE32-E72D297353CC}">
              <c16:uniqueId val="{00000001-D076-4E89-92BC-1C0FE133E4D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2 (CO2)'!$C$88</c:f>
              <c:strCache>
                <c:ptCount val="1"/>
                <c:pt idx="0">
                  <c:v>REPETIBILIDAD  CAL 2</c:v>
                </c:pt>
              </c:strCache>
            </c:strRef>
          </c:tx>
          <c:val>
            <c:numRef>
              <c:f>'DIOXIDO  2 (CO2)'!$C$89:$C$96</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FE7D-4ACE-80DB-5F0E7AE747FE}"/>
            </c:ext>
          </c:extLst>
        </c:ser>
        <c:ser>
          <c:idx val="4"/>
          <c:order val="1"/>
          <c:tx>
            <c:strRef>
              <c:f>'DIOXIDO  2 (CO2)'!$D$88</c:f>
              <c:strCache>
                <c:ptCount val="1"/>
                <c:pt idx="0">
                  <c:v>Repetibilidad NTC 4983 Numeral 5.2.7.1 (+) [%]</c:v>
                </c:pt>
              </c:strCache>
            </c:strRef>
          </c:tx>
          <c:val>
            <c:numRef>
              <c:f>'DIOXIDO  2 (CO2)'!$D$89:$D$96</c:f>
              <c:numCache>
                <c:formatCode>0.00</c:formatCode>
                <c:ptCount val="8"/>
                <c:pt idx="0">
                  <c:v>0.3</c:v>
                </c:pt>
                <c:pt idx="1">
                  <c:v>0.3</c:v>
                </c:pt>
                <c:pt idx="2">
                  <c:v>0.3</c:v>
                </c:pt>
                <c:pt idx="3">
                  <c:v>0.3</c:v>
                </c:pt>
                <c:pt idx="4">
                  <c:v>0.3</c:v>
                </c:pt>
                <c:pt idx="5">
                  <c:v>0.3</c:v>
                </c:pt>
                <c:pt idx="6">
                  <c:v>0.3</c:v>
                </c:pt>
                <c:pt idx="7">
                  <c:v>0.3</c:v>
                </c:pt>
              </c:numCache>
            </c:numRef>
          </c:val>
          <c:smooth val="0"/>
          <c:extLst>
            <c:ext xmlns:c16="http://schemas.microsoft.com/office/drawing/2014/chart" uri="{C3380CC4-5D6E-409C-BE32-E72D297353CC}">
              <c16:uniqueId val="{00000001-FE7D-4ACE-80DB-5F0E7AE747F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2 (HC)'!$C$39</c:f>
              <c:strCache>
                <c:ptCount val="1"/>
                <c:pt idx="0">
                  <c:v>ERROR + U EXPANDIDA CAL 2 [%]</c:v>
                </c:pt>
              </c:strCache>
            </c:strRef>
          </c:tx>
          <c:val>
            <c:numRef>
              <c:f>'HIDROCARBUROS  2 (HC)'!$C$40:$C$47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0-8310-49D3-88CF-7508755E4A7D}"/>
            </c:ext>
          </c:extLst>
        </c:ser>
        <c:ser>
          <c:idx val="1"/>
          <c:order val="1"/>
          <c:tx>
            <c:strRef>
              <c:f>'HIDROCARBUROS  2 (HC)'!$D$39</c:f>
              <c:strCache>
                <c:ptCount val="1"/>
                <c:pt idx="0">
                  <c:v>ERROR - U EXPANDIDA CAL 2 [%]</c:v>
                </c:pt>
              </c:strCache>
            </c:strRef>
          </c:tx>
          <c:val>
            <c:numRef>
              <c:f>'HIDROCARBUROS  2 (HC)'!$D$40:$D$47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1-8310-49D3-88CF-7508755E4A7D}"/>
            </c:ext>
          </c:extLst>
        </c:ser>
        <c:ser>
          <c:idx val="2"/>
          <c:order val="2"/>
          <c:tx>
            <c:strRef>
              <c:f>'HIDROCARBUROS  2 (HC)'!$E$39</c:f>
              <c:strCache>
                <c:ptCount val="1"/>
                <c:pt idx="0">
                  <c:v>Exactitud NTC 5365 Numeral 5.2.7.1 (+) [%]</c:v>
                </c:pt>
              </c:strCache>
            </c:strRef>
          </c:tx>
          <c:val>
            <c:numRef>
              <c:f>'HIDROCARBUROS  2 (HC)'!$E$40:$E$47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2-8310-49D3-88CF-7508755E4A7D}"/>
            </c:ext>
          </c:extLst>
        </c:ser>
        <c:ser>
          <c:idx val="3"/>
          <c:order val="3"/>
          <c:tx>
            <c:strRef>
              <c:f>'HIDROCARBUROS  2 (HC)'!$F$39</c:f>
              <c:strCache>
                <c:ptCount val="1"/>
                <c:pt idx="0">
                  <c:v>Exactitud NTC 5365 Numeral 5.2.7.1 (-) [%]</c:v>
                </c:pt>
              </c:strCache>
            </c:strRef>
          </c:tx>
          <c:val>
            <c:numRef>
              <c:f>'HIDROCARBUROS  2 (HC)'!$F$40:$F$47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3-8310-49D3-88CF-7508755E4A7D}"/>
            </c:ext>
          </c:extLst>
        </c:ser>
        <c:dLbls>
          <c:showLegendKey val="0"/>
          <c:showVal val="0"/>
          <c:showCatName val="0"/>
          <c:showSerName val="0"/>
          <c:showPercent val="0"/>
          <c:showBubbleSize val="0"/>
        </c:dLbls>
        <c:marker val="1"/>
        <c:smooth val="0"/>
        <c:axId val="413402528"/>
        <c:axId val="413402920"/>
      </c:lineChart>
      <c:catAx>
        <c:axId val="413402528"/>
        <c:scaling>
          <c:orientation val="minMax"/>
        </c:scaling>
        <c:delete val="0"/>
        <c:axPos val="b"/>
        <c:numFmt formatCode="General" sourceLinked="1"/>
        <c:majorTickMark val="none"/>
        <c:minorTickMark val="none"/>
        <c:tickLblPos val="nextTo"/>
        <c:crossAx val="413402920"/>
        <c:crosses val="autoZero"/>
        <c:auto val="1"/>
        <c:lblAlgn val="ctr"/>
        <c:lblOffset val="100"/>
        <c:noMultiLvlLbl val="0"/>
      </c:catAx>
      <c:valAx>
        <c:axId val="413402920"/>
        <c:scaling>
          <c:orientation val="minMax"/>
        </c:scaling>
        <c:delete val="0"/>
        <c:axPos val="l"/>
        <c:majorGridlines/>
        <c:title>
          <c:overlay val="0"/>
        </c:title>
        <c:numFmt formatCode="0.000" sourceLinked="1"/>
        <c:majorTickMark val="none"/>
        <c:minorTickMark val="none"/>
        <c:tickLblPos val="nextTo"/>
        <c:crossAx val="41340252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1 (CO)  '!$C$68</c:f>
              <c:strCache>
                <c:ptCount val="1"/>
                <c:pt idx="0">
                  <c:v>RUIDO CAL 2</c:v>
                </c:pt>
              </c:strCache>
            </c:strRef>
          </c:tx>
          <c:val>
            <c:numRef>
              <c:f>'MONOXIDO 1 (CO)  '!$C$69:$C$72</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45BA-40FA-8EB9-24B451D8DBD0}"/>
            </c:ext>
          </c:extLst>
        </c:ser>
        <c:ser>
          <c:idx val="4"/>
          <c:order val="1"/>
          <c:tx>
            <c:strRef>
              <c:f>'MONOXIDO 1 (CO)  '!$D$68</c:f>
              <c:strCache>
                <c:ptCount val="1"/>
                <c:pt idx="0">
                  <c:v>Ruido NTC 4983 Numeral 5.2.7.1 (+) [%]</c:v>
                </c:pt>
              </c:strCache>
            </c:strRef>
          </c:tx>
          <c:val>
            <c:numRef>
              <c:f>'MONOXIDO 1 (CO)  '!$D$69:$D$72</c:f>
              <c:numCache>
                <c:formatCode>0.00</c:formatCode>
                <c:ptCount val="4"/>
                <c:pt idx="0">
                  <c:v>0.02</c:v>
                </c:pt>
                <c:pt idx="1">
                  <c:v>0.06</c:v>
                </c:pt>
                <c:pt idx="2">
                  <c:v>0.1</c:v>
                </c:pt>
                <c:pt idx="3">
                  <c:v>0.02</c:v>
                </c:pt>
              </c:numCache>
            </c:numRef>
          </c:val>
          <c:smooth val="0"/>
          <c:extLst>
            <c:ext xmlns:c16="http://schemas.microsoft.com/office/drawing/2014/chart" uri="{C3380CC4-5D6E-409C-BE32-E72D297353CC}">
              <c16:uniqueId val="{00000001-45BA-40FA-8EB9-24B451D8DB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2 (HC)'!$C$88</c:f>
              <c:strCache>
                <c:ptCount val="1"/>
                <c:pt idx="0">
                  <c:v>REPETIBILIDAD  CAL 2</c:v>
                </c:pt>
              </c:strCache>
            </c:strRef>
          </c:tx>
          <c:val>
            <c:numRef>
              <c:f>'HIDROCARBUROS  2 (HC)'!$C$89:$C$96</c:f>
              <c:numCache>
                <c:formatCode>0.000</c:formatCode>
                <c:ptCount val="8"/>
                <c:pt idx="0">
                  <c:v>0</c:v>
                </c:pt>
                <c:pt idx="1">
                  <c:v>0</c:v>
                </c:pt>
                <c:pt idx="2">
                  <c:v>2</c:v>
                </c:pt>
                <c:pt idx="3">
                  <c:v>0</c:v>
                </c:pt>
                <c:pt idx="4">
                  <c:v>0</c:v>
                </c:pt>
                <c:pt idx="5">
                  <c:v>0</c:v>
                </c:pt>
                <c:pt idx="6">
                  <c:v>0</c:v>
                </c:pt>
                <c:pt idx="7">
                  <c:v>0</c:v>
                </c:pt>
              </c:numCache>
            </c:numRef>
          </c:val>
          <c:smooth val="0"/>
          <c:extLst>
            <c:ext xmlns:c16="http://schemas.microsoft.com/office/drawing/2014/chart" uri="{C3380CC4-5D6E-409C-BE32-E72D297353CC}">
              <c16:uniqueId val="{00000000-B4F3-4A4C-B502-F39A0DEBBB18}"/>
            </c:ext>
          </c:extLst>
        </c:ser>
        <c:ser>
          <c:idx val="1"/>
          <c:order val="1"/>
          <c:tx>
            <c:strRef>
              <c:f>'HIDROCARBUROS  2 (HC)'!$D$88</c:f>
              <c:strCache>
                <c:ptCount val="1"/>
                <c:pt idx="0">
                  <c:v>Ruido NTC 4983 Numeral 5.2.7.1 (+) [%]</c:v>
                </c:pt>
              </c:strCache>
            </c:strRef>
          </c:tx>
          <c:val>
            <c:numRef>
              <c:f>'HIDROCARBUROS  2 (HC)'!$D$89:$D$96</c:f>
              <c:numCache>
                <c:formatCode>0.00</c:formatCode>
                <c:ptCount val="8"/>
                <c:pt idx="0">
                  <c:v>8</c:v>
                </c:pt>
                <c:pt idx="1">
                  <c:v>15</c:v>
                </c:pt>
                <c:pt idx="2">
                  <c:v>30</c:v>
                </c:pt>
                <c:pt idx="3">
                  <c:v>8</c:v>
                </c:pt>
                <c:pt idx="4">
                  <c:v>8</c:v>
                </c:pt>
                <c:pt idx="5">
                  <c:v>15</c:v>
                </c:pt>
                <c:pt idx="6">
                  <c:v>30</c:v>
                </c:pt>
                <c:pt idx="7">
                  <c:v>8</c:v>
                </c:pt>
              </c:numCache>
            </c:numRef>
          </c:val>
          <c:smooth val="0"/>
          <c:extLst>
            <c:ext xmlns:c16="http://schemas.microsoft.com/office/drawing/2014/chart" uri="{C3380CC4-5D6E-409C-BE32-E72D297353CC}">
              <c16:uniqueId val="{00000001-B4F3-4A4C-B502-F39A0DEBBB18}"/>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'HIDROCARBUROS  2 (HC)'!$C$68</c:f>
              <c:strCache>
                <c:ptCount val="1"/>
                <c:pt idx="0">
                  <c:v>RUIDO CAL 2</c:v>
                </c:pt>
              </c:strCache>
            </c:strRef>
          </c:tx>
          <c:val>
            <c:numRef>
              <c:f>'HIDROCARBUROS  2 (HC)'!$C$69:$C$72</c:f>
              <c:numCache>
                <c:formatCode>0.000</c:formatCode>
                <c:ptCount val="4"/>
                <c:pt idx="0">
                  <c:v>0</c:v>
                </c:pt>
                <c:pt idx="1">
                  <c:v>0.5</c:v>
                </c:pt>
                <c:pt idx="2">
                  <c:v>0</c:v>
                </c:pt>
                <c:pt idx="3">
                  <c:v>0</c:v>
                </c:pt>
              </c:numCache>
            </c:numRef>
          </c:val>
          <c:smooth val="0"/>
          <c:extLst>
            <c:ext xmlns:c16="http://schemas.microsoft.com/office/drawing/2014/chart" uri="{C3380CC4-5D6E-409C-BE32-E72D297353CC}">
              <c16:uniqueId val="{00000000-E77B-4BF7-85D5-FC6847F3E239}"/>
            </c:ext>
          </c:extLst>
        </c:ser>
        <c:ser>
          <c:idx val="4"/>
          <c:order val="1"/>
          <c:tx>
            <c:strRef>
              <c:f>'HIDROCARBUROS  2 (HC)'!$D$68</c:f>
              <c:strCache>
                <c:ptCount val="1"/>
                <c:pt idx="0">
                  <c:v>Ruido NTC 4983 Numeral 5.2.7.1 (+) [%]</c:v>
                </c:pt>
              </c:strCache>
            </c:strRef>
          </c:tx>
          <c:val>
            <c:numRef>
              <c:f>'HIDROCARBUROS  2 (HC)'!$D$69:$D$72</c:f>
              <c:numCache>
                <c:formatCode>0.00</c:formatCode>
                <c:ptCount val="4"/>
                <c:pt idx="0">
                  <c:v>6</c:v>
                </c:pt>
                <c:pt idx="1">
                  <c:v>10</c:v>
                </c:pt>
                <c:pt idx="2">
                  <c:v>20</c:v>
                </c:pt>
                <c:pt idx="3">
                  <c:v>6</c:v>
                </c:pt>
              </c:numCache>
            </c:numRef>
          </c:val>
          <c:smooth val="0"/>
          <c:extLst>
            <c:ext xmlns:c16="http://schemas.microsoft.com/office/drawing/2014/chart" uri="{C3380CC4-5D6E-409C-BE32-E72D297353CC}">
              <c16:uniqueId val="{00000001-E77B-4BF7-85D5-FC6847F3E239}"/>
            </c:ext>
          </c:extLst>
        </c:ser>
        <c:ser>
          <c:idx val="5"/>
          <c:order val="2"/>
          <c:tx>
            <c:strRef>
              <c:f>'HIDROCARBUROS  2 (HC)'!$E$68</c:f>
              <c:strCache>
                <c:ptCount val="1"/>
                <c:pt idx="0">
                  <c:v>CONFORMIDAD DE ACUERDO A NTC 4983 Numeral 5.2.7.
</c:v>
                </c:pt>
              </c:strCache>
            </c:strRef>
          </c:tx>
          <c:val>
            <c:numRef>
              <c:f>'HIDROCARBUROS  2 (HC)'!$E$69:$E$72</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E77B-4BF7-85D5-FC6847F3E23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manualLayout>
          <c:layoutTarget val="inner"/>
          <c:xMode val="edge"/>
          <c:yMode val="edge"/>
          <c:x val="8.2177693802692783E-2"/>
          <c:y val="0.15915385185002343"/>
          <c:w val="0.60795532381315365"/>
          <c:h val="0.77772171895440967"/>
        </c:manualLayout>
      </c:layout>
      <c:lineChart>
        <c:grouping val="standard"/>
        <c:varyColors val="0"/>
        <c:ser>
          <c:idx val="0"/>
          <c:order val="0"/>
          <c:tx>
            <c:strRef>
              <c:f>'OXIGENO 2 (O2)'!$C$39</c:f>
              <c:strCache>
                <c:ptCount val="1"/>
                <c:pt idx="0">
                  <c:v>ERROR + U EXPANDIDA CAL 2 [%]</c:v>
                </c:pt>
              </c:strCache>
            </c:strRef>
          </c:tx>
          <c:val>
            <c:numRef>
              <c:f>'OXIGENO 2 (O2)'!$C$40:$C$47</c:f>
              <c:numCache>
                <c:formatCode>0.000</c:formatCode>
                <c:ptCount val="8"/>
                <c:pt idx="0">
                  <c:v>5.7999999999999996E-3</c:v>
                </c:pt>
                <c:pt idx="1">
                  <c:v>5.7999999999999996E-3</c:v>
                </c:pt>
                <c:pt idx="2">
                  <c:v>5.7999999999999996E-3</c:v>
                </c:pt>
                <c:pt idx="3">
                  <c:v>5.7999999999999996E-3</c:v>
                </c:pt>
                <c:pt idx="4">
                  <c:v>5.7999999999999996E-3</c:v>
                </c:pt>
                <c:pt idx="5">
                  <c:v>5.7999999999999996E-3</c:v>
                </c:pt>
                <c:pt idx="6">
                  <c:v>5.7000000000000002E-2</c:v>
                </c:pt>
                <c:pt idx="7">
                  <c:v>5.7999999999999996E-3</c:v>
                </c:pt>
              </c:numCache>
            </c:numRef>
          </c:val>
          <c:smooth val="0"/>
          <c:extLst>
            <c:ext xmlns:c16="http://schemas.microsoft.com/office/drawing/2014/chart" uri="{C3380CC4-5D6E-409C-BE32-E72D297353CC}">
              <c16:uniqueId val="{00000000-9B8E-46F2-BB68-82AC22451FFF}"/>
            </c:ext>
          </c:extLst>
        </c:ser>
        <c:ser>
          <c:idx val="1"/>
          <c:order val="1"/>
          <c:tx>
            <c:strRef>
              <c:f>'OXIGENO 2 (O2)'!$D$39</c:f>
              <c:strCache>
                <c:ptCount val="1"/>
                <c:pt idx="0">
                  <c:v>ERROR - U EXPANDIDA CAL 2 [%]</c:v>
                </c:pt>
              </c:strCache>
            </c:strRef>
          </c:tx>
          <c:val>
            <c:numRef>
              <c:f>'OXIGENO 2 (O2)'!$D$40:$D$47</c:f>
              <c:numCache>
                <c:formatCode>0.000</c:formatCode>
                <c:ptCount val="8"/>
                <c:pt idx="0">
                  <c:v>-5.7999999999999996E-3</c:v>
                </c:pt>
                <c:pt idx="1">
                  <c:v>-5.7999999999999996E-3</c:v>
                </c:pt>
                <c:pt idx="2">
                  <c:v>-5.7999999999999996E-3</c:v>
                </c:pt>
                <c:pt idx="3">
                  <c:v>-5.7999999999999996E-3</c:v>
                </c:pt>
                <c:pt idx="4">
                  <c:v>-5.7999999999999996E-3</c:v>
                </c:pt>
                <c:pt idx="5">
                  <c:v>-5.7999999999999996E-3</c:v>
                </c:pt>
                <c:pt idx="6">
                  <c:v>-5.7000000000000002E-2</c:v>
                </c:pt>
                <c:pt idx="7">
                  <c:v>-5.7999999999999996E-3</c:v>
                </c:pt>
              </c:numCache>
            </c:numRef>
          </c:val>
          <c:smooth val="0"/>
          <c:extLst>
            <c:ext xmlns:c16="http://schemas.microsoft.com/office/drawing/2014/chart" uri="{C3380CC4-5D6E-409C-BE32-E72D297353CC}">
              <c16:uniqueId val="{00000001-9B8E-46F2-BB68-82AC22451FFF}"/>
            </c:ext>
          </c:extLst>
        </c:ser>
        <c:ser>
          <c:idx val="2"/>
          <c:order val="2"/>
          <c:tx>
            <c:strRef>
              <c:f>'OXIGENO 2 (O2)'!$E$39</c:f>
              <c:strCache>
                <c:ptCount val="1"/>
                <c:pt idx="0">
                  <c:v>Exactitud NTC 5365 Numeral 5.2.7.1 (+) [%]</c:v>
                </c:pt>
              </c:strCache>
            </c:strRef>
          </c:tx>
          <c:val>
            <c:numRef>
              <c:f>'OXIGENO 2 (O2)'!$E$40:$E$47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2-9B8E-46F2-BB68-82AC22451FFF}"/>
            </c:ext>
          </c:extLst>
        </c:ser>
        <c:ser>
          <c:idx val="3"/>
          <c:order val="3"/>
          <c:tx>
            <c:strRef>
              <c:f>'OXIGENO 2 (O2)'!$F$39</c:f>
              <c:strCache>
                <c:ptCount val="1"/>
                <c:pt idx="0">
                  <c:v>Exactitud NTC 5365 Numeral 5.2.7.1 (-) [%]</c:v>
                </c:pt>
              </c:strCache>
            </c:strRef>
          </c:tx>
          <c:val>
            <c:numRef>
              <c:f>'OXIGENO 2 (O2)'!$F$40:$F$47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3-9B8E-46F2-BB68-82AC22451FFF}"/>
            </c:ext>
          </c:extLst>
        </c:ser>
        <c:dLbls>
          <c:showLegendKey val="0"/>
          <c:showVal val="0"/>
          <c:showCatName val="0"/>
          <c:showSerName val="0"/>
          <c:showPercent val="0"/>
          <c:showBubbleSize val="0"/>
        </c:dLbls>
        <c:marker val="1"/>
        <c:smooth val="0"/>
        <c:axId val="413403704"/>
        <c:axId val="413404096"/>
      </c:lineChart>
      <c:catAx>
        <c:axId val="413403704"/>
        <c:scaling>
          <c:orientation val="minMax"/>
        </c:scaling>
        <c:delete val="0"/>
        <c:axPos val="b"/>
        <c:numFmt formatCode="General" sourceLinked="1"/>
        <c:majorTickMark val="none"/>
        <c:minorTickMark val="none"/>
        <c:tickLblPos val="nextTo"/>
        <c:crossAx val="413404096"/>
        <c:crosses val="autoZero"/>
        <c:auto val="1"/>
        <c:lblAlgn val="ctr"/>
        <c:lblOffset val="100"/>
        <c:noMultiLvlLbl val="0"/>
      </c:catAx>
      <c:valAx>
        <c:axId val="413404096"/>
        <c:scaling>
          <c:orientation val="minMax"/>
        </c:scaling>
        <c:delete val="0"/>
        <c:axPos val="l"/>
        <c:majorGridlines/>
        <c:title>
          <c:overlay val="0"/>
        </c:title>
        <c:numFmt formatCode="0.000" sourceLinked="1"/>
        <c:majorTickMark val="none"/>
        <c:minorTickMark val="none"/>
        <c:tickLblPos val="nextTo"/>
        <c:crossAx val="4134037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2 (O2)'!$C$67</c:f>
              <c:strCache>
                <c:ptCount val="1"/>
                <c:pt idx="0">
                  <c:v>RUIDO CAL 2</c:v>
                </c:pt>
              </c:strCache>
            </c:strRef>
          </c:tx>
          <c:val>
            <c:numRef>
              <c:f>'OXIGENO 2 (O2)'!$C$68:$C$71</c:f>
              <c:numCache>
                <c:formatCode>0.000</c:formatCode>
                <c:ptCount val="4"/>
                <c:pt idx="0">
                  <c:v>0</c:v>
                </c:pt>
                <c:pt idx="1">
                  <c:v>0</c:v>
                </c:pt>
                <c:pt idx="2">
                  <c:v>0</c:v>
                </c:pt>
                <c:pt idx="3">
                  <c:v>0.02</c:v>
                </c:pt>
              </c:numCache>
            </c:numRef>
          </c:val>
          <c:smooth val="0"/>
          <c:extLst>
            <c:ext xmlns:c16="http://schemas.microsoft.com/office/drawing/2014/chart" uri="{C3380CC4-5D6E-409C-BE32-E72D297353CC}">
              <c16:uniqueId val="{00000000-57B2-4B16-A984-827C2BBD1E27}"/>
            </c:ext>
          </c:extLst>
        </c:ser>
        <c:ser>
          <c:idx val="1"/>
          <c:order val="1"/>
          <c:tx>
            <c:strRef>
              <c:f>'OXIGENO 2 (O2)'!$D$67</c:f>
              <c:strCache>
                <c:ptCount val="1"/>
                <c:pt idx="0">
                  <c:v>Ruido NTC 4983 Numeral 5.2.7.1 (+) [%]</c:v>
                </c:pt>
              </c:strCache>
            </c:strRef>
          </c:tx>
          <c:val>
            <c:numRef>
              <c:f>'OXIGENO 2 (O2)'!$D$68:$D$71</c:f>
              <c:numCache>
                <c:formatCode>0.00</c:formatCode>
                <c:ptCount val="4"/>
                <c:pt idx="0">
                  <c:v>0.3</c:v>
                </c:pt>
                <c:pt idx="1">
                  <c:v>0.3</c:v>
                </c:pt>
                <c:pt idx="2">
                  <c:v>0.3</c:v>
                </c:pt>
                <c:pt idx="3">
                  <c:v>0.3</c:v>
                </c:pt>
              </c:numCache>
            </c:numRef>
          </c:val>
          <c:smooth val="0"/>
          <c:extLst>
            <c:ext xmlns:c16="http://schemas.microsoft.com/office/drawing/2014/chart" uri="{C3380CC4-5D6E-409C-BE32-E72D297353CC}">
              <c16:uniqueId val="{00000001-57B2-4B16-A984-827C2BBD1E27}"/>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2 (O2)'!$C$85</c:f>
              <c:strCache>
                <c:ptCount val="1"/>
                <c:pt idx="0">
                  <c:v>REPETIBILIDAD  CAL 2</c:v>
                </c:pt>
              </c:strCache>
            </c:strRef>
          </c:tx>
          <c:val>
            <c:numRef>
              <c:f>'OXIGENO 2 (O2)'!$C$86:$C$93</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8EA-4A5D-A7BF-AC19C594FCFD}"/>
            </c:ext>
          </c:extLst>
        </c:ser>
        <c:ser>
          <c:idx val="4"/>
          <c:order val="1"/>
          <c:tx>
            <c:strRef>
              <c:f>'OXIGENO 2 (O2)'!$D$85</c:f>
              <c:strCache>
                <c:ptCount val="1"/>
                <c:pt idx="0">
                  <c:v>Ruido NTC 4983 Numeral 5.2.7.1 (+) [%]</c:v>
                </c:pt>
              </c:strCache>
            </c:strRef>
          </c:tx>
          <c:val>
            <c:numRef>
              <c:f>'OXIGENO 2 (O2)'!$D$86:$D$93</c:f>
              <c:numCache>
                <c:formatCode>0.00</c:formatCode>
                <c:ptCount val="8"/>
                <c:pt idx="0">
                  <c:v>0.4</c:v>
                </c:pt>
                <c:pt idx="1">
                  <c:v>0.4</c:v>
                </c:pt>
                <c:pt idx="2">
                  <c:v>0.4</c:v>
                </c:pt>
                <c:pt idx="3">
                  <c:v>0.4</c:v>
                </c:pt>
                <c:pt idx="4">
                  <c:v>0.4</c:v>
                </c:pt>
                <c:pt idx="5">
                  <c:v>0.4</c:v>
                </c:pt>
                <c:pt idx="6">
                  <c:v>0.4</c:v>
                </c:pt>
                <c:pt idx="7">
                  <c:v>0.4</c:v>
                </c:pt>
              </c:numCache>
            </c:numRef>
          </c:val>
          <c:smooth val="0"/>
          <c:extLst>
            <c:ext xmlns:c16="http://schemas.microsoft.com/office/drawing/2014/chart" uri="{C3380CC4-5D6E-409C-BE32-E72D297353CC}">
              <c16:uniqueId val="{00000001-18EA-4A5D-A7BF-AC19C594FCFD}"/>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1'!$C$39</c:f>
              <c:strCache>
                <c:ptCount val="1"/>
                <c:pt idx="0">
                  <c:v>ERROR + U EXPANDIDA CAL 2 [%]</c:v>
                </c:pt>
              </c:strCache>
            </c:strRef>
          </c:tx>
          <c:val>
            <c:numRef>
              <c:f>'TEMPERATURA (TEM) 1'!$C$40:$C$42</c:f>
              <c:numCache>
                <c:formatCode>0.000</c:formatCode>
                <c:ptCount val="3"/>
                <c:pt idx="0">
                  <c:v>1.6274411617426197</c:v>
                </c:pt>
                <c:pt idx="1">
                  <c:v>1.4434643143544483</c:v>
                </c:pt>
                <c:pt idx="2">
                  <c:v>0</c:v>
                </c:pt>
              </c:numCache>
            </c:numRef>
          </c:val>
          <c:smooth val="0"/>
          <c:extLst>
            <c:ext xmlns:c16="http://schemas.microsoft.com/office/drawing/2014/chart" uri="{C3380CC4-5D6E-409C-BE32-E72D297353CC}">
              <c16:uniqueId val="{00000000-58DC-4EBB-A029-F1A5D00452E9}"/>
            </c:ext>
          </c:extLst>
        </c:ser>
        <c:ser>
          <c:idx val="1"/>
          <c:order val="1"/>
          <c:tx>
            <c:strRef>
              <c:f>'TEMPERATURA (TEM) 1'!$D$39</c:f>
              <c:strCache>
                <c:ptCount val="1"/>
                <c:pt idx="0">
                  <c:v>ERROR - U EXPANDIDA CAL 2 [%]</c:v>
                </c:pt>
              </c:strCache>
            </c:strRef>
          </c:tx>
          <c:val>
            <c:numRef>
              <c:f>'TEMPERATURA (TEM) 1'!$D$40:$D$42</c:f>
              <c:numCache>
                <c:formatCode>0.000</c:formatCode>
                <c:ptCount val="3"/>
                <c:pt idx="0">
                  <c:v>-1.3269904857285872</c:v>
                </c:pt>
                <c:pt idx="1">
                  <c:v>-0.96230954290296944</c:v>
                </c:pt>
                <c:pt idx="2">
                  <c:v>0</c:v>
                </c:pt>
              </c:numCache>
            </c:numRef>
          </c:val>
          <c:smooth val="0"/>
          <c:extLst>
            <c:ext xmlns:c16="http://schemas.microsoft.com/office/drawing/2014/chart" uri="{C3380CC4-5D6E-409C-BE32-E72D297353CC}">
              <c16:uniqueId val="{00000001-58DC-4EBB-A029-F1A5D00452E9}"/>
            </c:ext>
          </c:extLst>
        </c:ser>
        <c:ser>
          <c:idx val="2"/>
          <c:order val="2"/>
          <c:tx>
            <c:strRef>
              <c:f>'TEMPERATURA (TEM) 1'!$E$39</c:f>
              <c:strCache>
                <c:ptCount val="1"/>
                <c:pt idx="0">
                  <c:v>Exactitud NTC 5365 Numeral 5.2.7.1 (+) [%]</c:v>
                </c:pt>
              </c:strCache>
            </c:strRef>
          </c:tx>
          <c:val>
            <c:numRef>
              <c:f>'TEMPERATURA (TEM) 1'!$E$40:$E$42</c:f>
              <c:numCache>
                <c:formatCode>0.00</c:formatCode>
                <c:ptCount val="3"/>
                <c:pt idx="0">
                  <c:v>5</c:v>
                </c:pt>
                <c:pt idx="1">
                  <c:v>5</c:v>
                </c:pt>
                <c:pt idx="2">
                  <c:v>5</c:v>
                </c:pt>
              </c:numCache>
            </c:numRef>
          </c:val>
          <c:smooth val="0"/>
          <c:extLst>
            <c:ext xmlns:c16="http://schemas.microsoft.com/office/drawing/2014/chart" uri="{C3380CC4-5D6E-409C-BE32-E72D297353CC}">
              <c16:uniqueId val="{00000002-58DC-4EBB-A029-F1A5D00452E9}"/>
            </c:ext>
          </c:extLst>
        </c:ser>
        <c:ser>
          <c:idx val="3"/>
          <c:order val="3"/>
          <c:tx>
            <c:strRef>
              <c:f>'TEMPERATURA (TEM) 1'!$F$39</c:f>
              <c:strCache>
                <c:ptCount val="1"/>
                <c:pt idx="0">
                  <c:v>Exactitud NTC 5365 Numeral 5.2.7.1 (-) [%]</c:v>
                </c:pt>
              </c:strCache>
            </c:strRef>
          </c:tx>
          <c:val>
            <c:numRef>
              <c:f>'TEMPERATURA (TEM) 1'!$F$40:$F$42</c:f>
              <c:numCache>
                <c:formatCode>0.00</c:formatCode>
                <c:ptCount val="3"/>
                <c:pt idx="0">
                  <c:v>-5</c:v>
                </c:pt>
                <c:pt idx="1">
                  <c:v>-5</c:v>
                </c:pt>
                <c:pt idx="2">
                  <c:v>-5</c:v>
                </c:pt>
              </c:numCache>
            </c:numRef>
          </c:val>
          <c:smooth val="0"/>
          <c:extLst>
            <c:ext xmlns:c16="http://schemas.microsoft.com/office/drawing/2014/chart" uri="{C3380CC4-5D6E-409C-BE32-E72D297353CC}">
              <c16:uniqueId val="{00000003-58DC-4EBB-A029-F1A5D00452E9}"/>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'VIBRACION RPM 1'!$C$40</c:f>
              <c:strCache>
                <c:ptCount val="1"/>
                <c:pt idx="0">
                  <c:v>ERROR + U EXPANDIDA CAL 2 [%]</c:v>
                </c:pt>
              </c:strCache>
            </c:strRef>
          </c:tx>
          <c:val>
            <c:numRef>
              <c:f>'VIBRACION RPM 1'!$C$41:$C$50</c:f>
              <c:numCache>
                <c:formatCode>0.000</c:formatCode>
                <c:ptCount val="10"/>
                <c:pt idx="0">
                  <c:v>1.6274411617426197</c:v>
                </c:pt>
                <c:pt idx="1">
                  <c:v>1.4434643143544483</c:v>
                </c:pt>
                <c:pt idx="2">
                  <c:v>0.72436617959285055</c:v>
                </c:pt>
                <c:pt idx="3">
                  <c:v>0.95238095238095233</c:v>
                </c:pt>
                <c:pt idx="4">
                  <c:v>0.51111111111111107</c:v>
                </c:pt>
                <c:pt idx="5">
                  <c:v>0.52020808323329326</c:v>
                </c:pt>
                <c:pt idx="6">
                  <c:v>0.43333333333333335</c:v>
                </c:pt>
                <c:pt idx="7">
                  <c:v>0.45011252813203301</c:v>
                </c:pt>
                <c:pt idx="8">
                  <c:v>0.39994286530495643</c:v>
                </c:pt>
                <c:pt idx="9">
                  <c:v>0.36650377609951135</c:v>
                </c:pt>
              </c:numCache>
            </c:numRef>
          </c:val>
          <c:smooth val="0"/>
          <c:extLst>
            <c:ext xmlns:c16="http://schemas.microsoft.com/office/drawing/2014/chart" uri="{C3380CC4-5D6E-409C-BE32-E72D297353CC}">
              <c16:uniqueId val="{00000000-1487-45AB-B395-B62079E74F97}"/>
            </c:ext>
          </c:extLst>
        </c:ser>
        <c:ser>
          <c:idx val="1"/>
          <c:order val="1"/>
          <c:tx>
            <c:strRef>
              <c:f>'VIBRACION RPM 1'!$D$40</c:f>
              <c:strCache>
                <c:ptCount val="1"/>
                <c:pt idx="0">
                  <c:v>ERROR - U EXPANDIDA CAL 2 [%]</c:v>
                </c:pt>
              </c:strCache>
            </c:strRef>
          </c:tx>
          <c:val>
            <c:numRef>
              <c:f>'VIBRACION RPM 1'!$D$41:$D$50</c:f>
              <c:numCache>
                <c:formatCode>0.000</c:formatCode>
                <c:ptCount val="10"/>
                <c:pt idx="0">
                  <c:v>-1.3269904857285872</c:v>
                </c:pt>
                <c:pt idx="1">
                  <c:v>-0.96230954290296944</c:v>
                </c:pt>
                <c:pt idx="2">
                  <c:v>-0.89921318846010301</c:v>
                </c:pt>
                <c:pt idx="3">
                  <c:v>-0.45112781954887216</c:v>
                </c:pt>
                <c:pt idx="4">
                  <c:v>-0.51111111111111107</c:v>
                </c:pt>
                <c:pt idx="5">
                  <c:v>-0.44017607042817125</c:v>
                </c:pt>
                <c:pt idx="6">
                  <c:v>-0.43333333333333335</c:v>
                </c:pt>
                <c:pt idx="7">
                  <c:v>-0.40010002500625158</c:v>
                </c:pt>
                <c:pt idx="8">
                  <c:v>-0.42851021282673901</c:v>
                </c:pt>
                <c:pt idx="9">
                  <c:v>-0.45535317636605954</c:v>
                </c:pt>
              </c:numCache>
            </c:numRef>
          </c:val>
          <c:smooth val="0"/>
          <c:extLst>
            <c:ext xmlns:c16="http://schemas.microsoft.com/office/drawing/2014/chart" uri="{C3380CC4-5D6E-409C-BE32-E72D297353CC}">
              <c16:uniqueId val="{00000001-1487-45AB-B395-B62079E74F97}"/>
            </c:ext>
          </c:extLst>
        </c:ser>
        <c:ser>
          <c:idx val="2"/>
          <c:order val="2"/>
          <c:tx>
            <c:strRef>
              <c:f>'VIBRACION RPM 1'!$E$40</c:f>
              <c:strCache>
                <c:ptCount val="1"/>
                <c:pt idx="0">
                  <c:v>Exactitud NTC 5365 Numeral 5.2.7.1 (+) [%]</c:v>
                </c:pt>
              </c:strCache>
            </c:strRef>
          </c:tx>
          <c:val>
            <c:numRef>
              <c:f>'VIBRACION RPM 1'!$E$41:$E$50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2-1487-45AB-B395-B62079E74F97}"/>
            </c:ext>
          </c:extLst>
        </c:ser>
        <c:ser>
          <c:idx val="3"/>
          <c:order val="3"/>
          <c:tx>
            <c:strRef>
              <c:f>'VIBRACION RPM 1'!$F$40</c:f>
              <c:strCache>
                <c:ptCount val="1"/>
                <c:pt idx="0">
                  <c:v>Exactitud NTC 5365 Numeral 5.2.7.1 (-) [%]</c:v>
                </c:pt>
              </c:strCache>
            </c:strRef>
          </c:tx>
          <c:val>
            <c:numRef>
              <c:f>'VIBRACION RPM 1'!$F$41:$F$50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3-1487-45AB-B395-B62079E74F97}"/>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'BATERIA RPM 1 '!$C$40</c:f>
              <c:strCache>
                <c:ptCount val="1"/>
                <c:pt idx="0">
                  <c:v>ERROR + U EXPANDIDA CAL 2 [%]</c:v>
                </c:pt>
              </c:strCache>
            </c:strRef>
          </c:tx>
          <c:val>
            <c:numRef>
              <c:f>'BATERIA RPM 1 '!$C$41:$C$49</c:f>
              <c:numCache>
                <c:formatCode>0.000</c:formatCode>
                <c:ptCount val="9"/>
                <c:pt idx="0">
                  <c:v>1.6274411617426197</c:v>
                </c:pt>
                <c:pt idx="1">
                  <c:v>1.0787055533359922</c:v>
                </c:pt>
                <c:pt idx="2">
                  <c:v>0.72436617959285055</c:v>
                </c:pt>
                <c:pt idx="3">
                  <c:v>0.95238095238095233</c:v>
                </c:pt>
                <c:pt idx="4">
                  <c:v>1.0666666666666667</c:v>
                </c:pt>
                <c:pt idx="5">
                  <c:v>1.720688275310124</c:v>
                </c:pt>
                <c:pt idx="6">
                  <c:v>1.4333333333333333</c:v>
                </c:pt>
                <c:pt idx="7">
                  <c:v>1.7004251062765692</c:v>
                </c:pt>
                <c:pt idx="8">
                  <c:v>0.82845307813169544</c:v>
                </c:pt>
              </c:numCache>
            </c:numRef>
          </c:val>
          <c:smooth val="0"/>
          <c:extLst>
            <c:ext xmlns:c16="http://schemas.microsoft.com/office/drawing/2014/chart" uri="{C3380CC4-5D6E-409C-BE32-E72D297353CC}">
              <c16:uniqueId val="{00000000-C4F2-4A69-B65E-14ACF692D1D9}"/>
            </c:ext>
          </c:extLst>
        </c:ser>
        <c:ser>
          <c:idx val="1"/>
          <c:order val="1"/>
          <c:tx>
            <c:strRef>
              <c:f>'BATERIA RPM 1 '!$D$40</c:f>
              <c:strCache>
                <c:ptCount val="1"/>
                <c:pt idx="0">
                  <c:v>ERROR - U EXPANDIDA CAL 2 [%]</c:v>
                </c:pt>
              </c:strCache>
            </c:strRef>
          </c:tx>
          <c:val>
            <c:numRef>
              <c:f>'BATERIA RPM 1 '!$D$41:$D$49</c:f>
              <c:numCache>
                <c:formatCode>0.000</c:formatCode>
                <c:ptCount val="9"/>
                <c:pt idx="0">
                  <c:v>-1.3269904857285872</c:v>
                </c:pt>
                <c:pt idx="1">
                  <c:v>-1.3184178985217783</c:v>
                </c:pt>
                <c:pt idx="2">
                  <c:v>-0.89921318846010301</c:v>
                </c:pt>
                <c:pt idx="3">
                  <c:v>-0.45112781954887216</c:v>
                </c:pt>
                <c:pt idx="4">
                  <c:v>4.4444444444444509E-2</c:v>
                </c:pt>
                <c:pt idx="5">
                  <c:v>0.76030412164865957</c:v>
                </c:pt>
                <c:pt idx="6">
                  <c:v>0.56666666666666665</c:v>
                </c:pt>
                <c:pt idx="7">
                  <c:v>0.8502125531382847</c:v>
                </c:pt>
                <c:pt idx="8">
                  <c:v>0</c:v>
                </c:pt>
              </c:numCache>
            </c:numRef>
          </c:val>
          <c:smooth val="0"/>
          <c:extLst>
            <c:ext xmlns:c16="http://schemas.microsoft.com/office/drawing/2014/chart" uri="{C3380CC4-5D6E-409C-BE32-E72D297353CC}">
              <c16:uniqueId val="{00000001-C4F2-4A69-B65E-14ACF692D1D9}"/>
            </c:ext>
          </c:extLst>
        </c:ser>
        <c:ser>
          <c:idx val="2"/>
          <c:order val="2"/>
          <c:tx>
            <c:strRef>
              <c:f>'BATERIA RPM 1 '!$E$40</c:f>
              <c:strCache>
                <c:ptCount val="1"/>
                <c:pt idx="0">
                  <c:v>Exactitud NTC 5365 Numeral 5.2.7.1 (+) [%]</c:v>
                </c:pt>
              </c:strCache>
            </c:strRef>
          </c:tx>
          <c:val>
            <c:numRef>
              <c:f>'BATERIA RPM 1 '!$E$41:$E$49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2-C4F2-4A69-B65E-14ACF692D1D9}"/>
            </c:ext>
          </c:extLst>
        </c:ser>
        <c:ser>
          <c:idx val="3"/>
          <c:order val="3"/>
          <c:tx>
            <c:strRef>
              <c:f>'BATERIA RPM 1 '!$F$40</c:f>
              <c:strCache>
                <c:ptCount val="1"/>
                <c:pt idx="0">
                  <c:v>Exactitud NTC 5365 Numeral 5.2.7.1 (-) [%]</c:v>
                </c:pt>
              </c:strCache>
            </c:strRef>
          </c:tx>
          <c:val>
            <c:numRef>
              <c:f>'BATERIA RPM 1 '!$F$41:$F$49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3-C4F2-4A69-B65E-14ACF692D1D9}"/>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2'!$C$39</c:f>
              <c:strCache>
                <c:ptCount val="1"/>
                <c:pt idx="0">
                  <c:v>ERROR + U EXPANDIDA CAL 2 [%]</c:v>
                </c:pt>
              </c:strCache>
            </c:strRef>
          </c:tx>
          <c:val>
            <c:numRef>
              <c:f>'TEMPERATURA (TEM) 2'!$C$40:$C$42</c:f>
              <c:numCache>
                <c:formatCode>0.000</c:formatCode>
                <c:ptCount val="3"/>
                <c:pt idx="0">
                  <c:v>2.4361809045226162</c:v>
                </c:pt>
                <c:pt idx="1">
                  <c:v>1.8502243053230645</c:v>
                </c:pt>
                <c:pt idx="2">
                  <c:v>1.806532663316583</c:v>
                </c:pt>
              </c:numCache>
            </c:numRef>
          </c:val>
          <c:smooth val="0"/>
          <c:extLst>
            <c:ext xmlns:c16="http://schemas.microsoft.com/office/drawing/2014/chart" uri="{C3380CC4-5D6E-409C-BE32-E72D297353CC}">
              <c16:uniqueId val="{00000000-86AD-400B-B9C4-DCB3E7A897C4}"/>
            </c:ext>
          </c:extLst>
        </c:ser>
        <c:ser>
          <c:idx val="1"/>
          <c:order val="1"/>
          <c:tx>
            <c:strRef>
              <c:f>'TEMPERATURA (TEM) 2'!$D$39</c:f>
              <c:strCache>
                <c:ptCount val="1"/>
                <c:pt idx="0">
                  <c:v>ERROR - U EXPANDIDA CAL 2 [%]</c:v>
                </c:pt>
              </c:strCache>
            </c:strRef>
          </c:tx>
          <c:val>
            <c:numRef>
              <c:f>'TEMPERATURA (TEM) 2'!$D$40:$D$42</c:f>
              <c:numCache>
                <c:formatCode>0.000</c:formatCode>
                <c:ptCount val="3"/>
                <c:pt idx="0">
                  <c:v>-2.0361809045226105</c:v>
                </c:pt>
                <c:pt idx="1">
                  <c:v>-1.3302243053230685</c:v>
                </c:pt>
                <c:pt idx="2">
                  <c:v>-0.80653266331658302</c:v>
                </c:pt>
              </c:numCache>
            </c:numRef>
          </c:val>
          <c:smooth val="0"/>
          <c:extLst>
            <c:ext xmlns:c16="http://schemas.microsoft.com/office/drawing/2014/chart" uri="{C3380CC4-5D6E-409C-BE32-E72D297353CC}">
              <c16:uniqueId val="{00000001-86AD-400B-B9C4-DCB3E7A897C4}"/>
            </c:ext>
          </c:extLst>
        </c:ser>
        <c:ser>
          <c:idx val="2"/>
          <c:order val="2"/>
          <c:tx>
            <c:strRef>
              <c:f>'TEMPERATURA (TEM) 2'!$E$39</c:f>
              <c:strCache>
                <c:ptCount val="1"/>
                <c:pt idx="0">
                  <c:v>Exactitud NTC 5365 Numeral 5.2.7.1 (+) [%]</c:v>
                </c:pt>
              </c:strCache>
            </c:strRef>
          </c:tx>
          <c:val>
            <c:numRef>
              <c:f>'TEMPERATURA (TEM) 2'!$E$40:$E$42</c:f>
              <c:numCache>
                <c:formatCode>0.00</c:formatCode>
                <c:ptCount val="3"/>
                <c:pt idx="0">
                  <c:v>5</c:v>
                </c:pt>
                <c:pt idx="1">
                  <c:v>5</c:v>
                </c:pt>
                <c:pt idx="2">
                  <c:v>5</c:v>
                </c:pt>
              </c:numCache>
            </c:numRef>
          </c:val>
          <c:smooth val="0"/>
          <c:extLst>
            <c:ext xmlns:c16="http://schemas.microsoft.com/office/drawing/2014/chart" uri="{C3380CC4-5D6E-409C-BE32-E72D297353CC}">
              <c16:uniqueId val="{00000002-86AD-400B-B9C4-DCB3E7A897C4}"/>
            </c:ext>
          </c:extLst>
        </c:ser>
        <c:ser>
          <c:idx val="3"/>
          <c:order val="3"/>
          <c:tx>
            <c:strRef>
              <c:f>'TEMPERATURA (TEM) 2'!$F$39</c:f>
              <c:strCache>
                <c:ptCount val="1"/>
                <c:pt idx="0">
                  <c:v>Exactitud NTC 5365 Numeral 5.2.7.1 (-) [%]</c:v>
                </c:pt>
              </c:strCache>
            </c:strRef>
          </c:tx>
          <c:val>
            <c:numRef>
              <c:f>'TEMPERATURA (TEM) 2'!$F$40:$F$42</c:f>
              <c:numCache>
                <c:formatCode>0.00</c:formatCode>
                <c:ptCount val="3"/>
                <c:pt idx="0">
                  <c:v>-5</c:v>
                </c:pt>
                <c:pt idx="1">
                  <c:v>-5</c:v>
                </c:pt>
                <c:pt idx="2">
                  <c:v>-5</c:v>
                </c:pt>
              </c:numCache>
            </c:numRef>
          </c:val>
          <c:smooth val="0"/>
          <c:extLst>
            <c:ext xmlns:c16="http://schemas.microsoft.com/office/drawing/2014/chart" uri="{C3380CC4-5D6E-409C-BE32-E72D297353CC}">
              <c16:uniqueId val="{00000003-86AD-400B-B9C4-DCB3E7A897C4}"/>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'VIBRACION RPM 2'!$C$40</c:f>
              <c:strCache>
                <c:ptCount val="1"/>
                <c:pt idx="0">
                  <c:v>ERROR + U EXPANDIDA CAL 2 [%]</c:v>
                </c:pt>
              </c:strCache>
            </c:strRef>
          </c:tx>
          <c:val>
            <c:numRef>
              <c:f>'VIBRACION RPM 2'!$C$41:$C$50</c:f>
              <c:numCache>
                <c:formatCode>0.000</c:formatCode>
                <c:ptCount val="10"/>
                <c:pt idx="0">
                  <c:v>1.6274411617426197</c:v>
                </c:pt>
                <c:pt idx="1">
                  <c:v>1.4434643143544483</c:v>
                </c:pt>
                <c:pt idx="2">
                  <c:v>0.72436617959285055</c:v>
                </c:pt>
                <c:pt idx="3">
                  <c:v>0.95238095238095233</c:v>
                </c:pt>
                <c:pt idx="4">
                  <c:v>0.51111111111111107</c:v>
                </c:pt>
                <c:pt idx="5">
                  <c:v>0.52020808323329326</c:v>
                </c:pt>
                <c:pt idx="6">
                  <c:v>0.43333333333333335</c:v>
                </c:pt>
                <c:pt idx="7">
                  <c:v>0.45011252813203301</c:v>
                </c:pt>
                <c:pt idx="8">
                  <c:v>0.39994286530495643</c:v>
                </c:pt>
                <c:pt idx="9">
                  <c:v>0.36650377609951135</c:v>
                </c:pt>
              </c:numCache>
            </c:numRef>
          </c:val>
          <c:smooth val="0"/>
          <c:extLst>
            <c:ext xmlns:c16="http://schemas.microsoft.com/office/drawing/2014/chart" uri="{C3380CC4-5D6E-409C-BE32-E72D297353CC}">
              <c16:uniqueId val="{00000000-5F83-4E5F-9383-D929177A8B80}"/>
            </c:ext>
          </c:extLst>
        </c:ser>
        <c:ser>
          <c:idx val="1"/>
          <c:order val="1"/>
          <c:tx>
            <c:strRef>
              <c:f>'VIBRACION RPM 2'!$D$40</c:f>
              <c:strCache>
                <c:ptCount val="1"/>
                <c:pt idx="0">
                  <c:v>ERROR - U EXPANDIDA CAL 2 [%]</c:v>
                </c:pt>
              </c:strCache>
            </c:strRef>
          </c:tx>
          <c:val>
            <c:numRef>
              <c:f>'VIBRACION RPM 2'!$D$41:$D$50</c:f>
              <c:numCache>
                <c:formatCode>0.000</c:formatCode>
                <c:ptCount val="10"/>
                <c:pt idx="0">
                  <c:v>-1.3269904857285872</c:v>
                </c:pt>
                <c:pt idx="1">
                  <c:v>-0.96230954290296944</c:v>
                </c:pt>
                <c:pt idx="2">
                  <c:v>-0.89921318846010301</c:v>
                </c:pt>
                <c:pt idx="3">
                  <c:v>-0.45112781954887216</c:v>
                </c:pt>
                <c:pt idx="4">
                  <c:v>-0.51111111111111107</c:v>
                </c:pt>
                <c:pt idx="5">
                  <c:v>-0.44017607042817125</c:v>
                </c:pt>
                <c:pt idx="6">
                  <c:v>-0.43333333333333335</c:v>
                </c:pt>
                <c:pt idx="7">
                  <c:v>-0.40010002500625158</c:v>
                </c:pt>
                <c:pt idx="8">
                  <c:v>-0.42851021282673901</c:v>
                </c:pt>
                <c:pt idx="9">
                  <c:v>-0.45535317636605954</c:v>
                </c:pt>
              </c:numCache>
            </c:numRef>
          </c:val>
          <c:smooth val="0"/>
          <c:extLst>
            <c:ext xmlns:c16="http://schemas.microsoft.com/office/drawing/2014/chart" uri="{C3380CC4-5D6E-409C-BE32-E72D297353CC}">
              <c16:uniqueId val="{00000001-5F83-4E5F-9383-D929177A8B80}"/>
            </c:ext>
          </c:extLst>
        </c:ser>
        <c:ser>
          <c:idx val="2"/>
          <c:order val="2"/>
          <c:tx>
            <c:strRef>
              <c:f>'VIBRACION RPM 2'!$E$40</c:f>
              <c:strCache>
                <c:ptCount val="1"/>
                <c:pt idx="0">
                  <c:v>Exactitud NTC 5365 Numeral 5.2.7.1 (+) [%]</c:v>
                </c:pt>
              </c:strCache>
            </c:strRef>
          </c:tx>
          <c:val>
            <c:numRef>
              <c:f>'VIBRACION RPM 2'!$E$41:$E$50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2-5F83-4E5F-9383-D929177A8B80}"/>
            </c:ext>
          </c:extLst>
        </c:ser>
        <c:ser>
          <c:idx val="3"/>
          <c:order val="3"/>
          <c:tx>
            <c:strRef>
              <c:f>'VIBRACION RPM 2'!$F$40</c:f>
              <c:strCache>
                <c:ptCount val="1"/>
                <c:pt idx="0">
                  <c:v>Exactitud NTC 5365 Numeral 5.2.7.1 (-) [%]</c:v>
                </c:pt>
              </c:strCache>
            </c:strRef>
          </c:tx>
          <c:val>
            <c:numRef>
              <c:f>'VIBRACION RPM 2'!$F$41:$F$50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3-5F83-4E5F-9383-D929177A8B80}"/>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1 (CO)  '!$C$86</c:f>
              <c:strCache>
                <c:ptCount val="1"/>
                <c:pt idx="0">
                  <c:v>REPETIBILIDAD  CAL 2</c:v>
                </c:pt>
              </c:strCache>
            </c:strRef>
          </c:tx>
          <c:val>
            <c:numRef>
              <c:f>'MONOXIDO 1 (CO)  '!$C$87:$C$94</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F0DF-4DFB-9AFC-F6577DBDEBA2}"/>
            </c:ext>
          </c:extLst>
        </c:ser>
        <c:ser>
          <c:idx val="4"/>
          <c:order val="1"/>
          <c:tx>
            <c:strRef>
              <c:f>'MONOXIDO 1 (CO)  '!$D$86</c:f>
              <c:strCache>
                <c:ptCount val="1"/>
                <c:pt idx="0">
                  <c:v>Repetibilidad NTC 4983 Numeral 5.2.7.1 (+) [%]</c:v>
                </c:pt>
              </c:strCache>
            </c:strRef>
          </c:tx>
          <c:val>
            <c:numRef>
              <c:f>'MONOXIDO 1 (CO)  '!$D$87:$D$94</c:f>
              <c:numCache>
                <c:formatCode>0.00</c:formatCode>
                <c:ptCount val="8"/>
                <c:pt idx="0">
                  <c:v>0.03</c:v>
                </c:pt>
                <c:pt idx="1">
                  <c:v>0.08</c:v>
                </c:pt>
                <c:pt idx="2">
                  <c:v>0.15</c:v>
                </c:pt>
                <c:pt idx="3">
                  <c:v>0.03</c:v>
                </c:pt>
                <c:pt idx="4">
                  <c:v>0.03</c:v>
                </c:pt>
                <c:pt idx="5">
                  <c:v>0.08</c:v>
                </c:pt>
                <c:pt idx="6">
                  <c:v>0.15</c:v>
                </c:pt>
                <c:pt idx="7">
                  <c:v>0.03</c:v>
                </c:pt>
              </c:numCache>
            </c:numRef>
          </c:val>
          <c:smooth val="0"/>
          <c:extLst>
            <c:ext xmlns:c16="http://schemas.microsoft.com/office/drawing/2014/chart" uri="{C3380CC4-5D6E-409C-BE32-E72D297353CC}">
              <c16:uniqueId val="{00000001-F0DF-4DFB-9AFC-F6577DBDEBA2}"/>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'BATERIA RPM 2'!$C$40</c:f>
              <c:strCache>
                <c:ptCount val="1"/>
                <c:pt idx="0">
                  <c:v>ERROR + U EXPANDIDA CAL 2 [%]</c:v>
                </c:pt>
              </c:strCache>
            </c:strRef>
          </c:tx>
          <c:val>
            <c:numRef>
              <c:f>'BATERIA RPM 2'!$C$41:$C$49</c:f>
              <c:numCache>
                <c:formatCode>0.000</c:formatCode>
                <c:ptCount val="9"/>
                <c:pt idx="0">
                  <c:v>1.6274411617426197</c:v>
                </c:pt>
                <c:pt idx="1">
                  <c:v>1.0787055533359922</c:v>
                </c:pt>
                <c:pt idx="2">
                  <c:v>0.72436617959285055</c:v>
                </c:pt>
                <c:pt idx="3">
                  <c:v>0.95238095238095233</c:v>
                </c:pt>
                <c:pt idx="4">
                  <c:v>1.0666666666666667</c:v>
                </c:pt>
                <c:pt idx="5">
                  <c:v>0.92036814725890359</c:v>
                </c:pt>
                <c:pt idx="6">
                  <c:v>1.4333333333333333</c:v>
                </c:pt>
                <c:pt idx="7">
                  <c:v>1.2003000750187547</c:v>
                </c:pt>
                <c:pt idx="8">
                  <c:v>0.39994286530495643</c:v>
                </c:pt>
              </c:numCache>
            </c:numRef>
          </c:val>
          <c:smooth val="0"/>
          <c:extLst>
            <c:ext xmlns:c16="http://schemas.microsoft.com/office/drawing/2014/chart" uri="{C3380CC4-5D6E-409C-BE32-E72D297353CC}">
              <c16:uniqueId val="{00000000-7E28-4FC0-A440-59D1945EE9DB}"/>
            </c:ext>
          </c:extLst>
        </c:ser>
        <c:ser>
          <c:idx val="1"/>
          <c:order val="1"/>
          <c:tx>
            <c:strRef>
              <c:f>'BATERIA RPM 2'!$D$40</c:f>
              <c:strCache>
                <c:ptCount val="1"/>
                <c:pt idx="0">
                  <c:v>ERROR - U EXPANDIDA CAL 2 [%]</c:v>
                </c:pt>
              </c:strCache>
            </c:strRef>
          </c:tx>
          <c:val>
            <c:numRef>
              <c:f>'BATERIA RPM 2'!$D$41:$D$49</c:f>
              <c:numCache>
                <c:formatCode>0.000</c:formatCode>
                <c:ptCount val="9"/>
                <c:pt idx="0">
                  <c:v>-1.3269904857285872</c:v>
                </c:pt>
                <c:pt idx="1">
                  <c:v>-1.3184178985217783</c:v>
                </c:pt>
                <c:pt idx="2">
                  <c:v>-0.89921318846010301</c:v>
                </c:pt>
                <c:pt idx="3">
                  <c:v>-0.45112781954887216</c:v>
                </c:pt>
                <c:pt idx="4">
                  <c:v>4.4444444444444509E-2</c:v>
                </c:pt>
                <c:pt idx="5">
                  <c:v>-4.0016006402561033E-2</c:v>
                </c:pt>
                <c:pt idx="6">
                  <c:v>0.56666666666666665</c:v>
                </c:pt>
                <c:pt idx="7">
                  <c:v>0.35008752188047015</c:v>
                </c:pt>
                <c:pt idx="8">
                  <c:v>-0.42851021282673901</c:v>
                </c:pt>
              </c:numCache>
            </c:numRef>
          </c:val>
          <c:smooth val="0"/>
          <c:extLst>
            <c:ext xmlns:c16="http://schemas.microsoft.com/office/drawing/2014/chart" uri="{C3380CC4-5D6E-409C-BE32-E72D297353CC}">
              <c16:uniqueId val="{00000001-7E28-4FC0-A440-59D1945EE9DB}"/>
            </c:ext>
          </c:extLst>
        </c:ser>
        <c:ser>
          <c:idx val="2"/>
          <c:order val="2"/>
          <c:tx>
            <c:strRef>
              <c:f>'BATERIA RPM 2'!$E$40</c:f>
              <c:strCache>
                <c:ptCount val="1"/>
                <c:pt idx="0">
                  <c:v>Exactitud NTC 5365 Numeral 5.2.7.1 (+) [%]</c:v>
                </c:pt>
              </c:strCache>
            </c:strRef>
          </c:tx>
          <c:val>
            <c:numRef>
              <c:f>'BATERIA RPM 2'!$E$41:$E$49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2-7E28-4FC0-A440-59D1945EE9DB}"/>
            </c:ext>
          </c:extLst>
        </c:ser>
        <c:ser>
          <c:idx val="3"/>
          <c:order val="3"/>
          <c:tx>
            <c:strRef>
              <c:f>'BATERIA RPM 2'!$F$40</c:f>
              <c:strCache>
                <c:ptCount val="1"/>
                <c:pt idx="0">
                  <c:v>Exactitud NTC 5365 Numeral 5.2.7.1 (-) [%]</c:v>
                </c:pt>
              </c:strCache>
            </c:strRef>
          </c:tx>
          <c:val>
            <c:numRef>
              <c:f>'BATERIA RPM 2'!$F$41:$F$49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3-7E28-4FC0-A440-59D1945EE9DB}"/>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'ALINEADOR AL PASO'!$C$40</c:f>
              <c:strCache>
                <c:ptCount val="1"/>
                <c:pt idx="0">
                  <c:v>ERROR + U EXPANDIDA CAL 2 [m/km]</c:v>
                </c:pt>
              </c:strCache>
            </c:strRef>
          </c:tx>
          <c:val>
            <c:numRef>
              <c:f>'ALINEADOR AL PASO'!$C$41:$C$49</c:f>
              <c:numCache>
                <c:formatCode>0.000</c:formatCode>
                <c:ptCount val="9"/>
                <c:pt idx="0">
                  <c:v>7.8E-2</c:v>
                </c:pt>
                <c:pt idx="1">
                  <c:v>-0.52100000000000013</c:v>
                </c:pt>
                <c:pt idx="2">
                  <c:v>-0.30200000000000038</c:v>
                </c:pt>
                <c:pt idx="3">
                  <c:v>-0.34100000000000052</c:v>
                </c:pt>
                <c:pt idx="4">
                  <c:v>-0.14900000000000044</c:v>
                </c:pt>
                <c:pt idx="5">
                  <c:v>7.8E-2</c:v>
                </c:pt>
                <c:pt idx="6">
                  <c:v>0.2040000000000001</c:v>
                </c:pt>
                <c:pt idx="7">
                  <c:v>0.49899999999999944</c:v>
                </c:pt>
                <c:pt idx="8">
                  <c:v>0.4180000000000017</c:v>
                </c:pt>
              </c:numCache>
            </c:numRef>
          </c:val>
          <c:smooth val="0"/>
          <c:extLst>
            <c:ext xmlns:c16="http://schemas.microsoft.com/office/drawing/2014/chart" uri="{C3380CC4-5D6E-409C-BE32-E72D297353CC}">
              <c16:uniqueId val="{00000000-C48D-4E72-A099-6E7BDCC8E6B5}"/>
            </c:ext>
          </c:extLst>
        </c:ser>
        <c:ser>
          <c:idx val="1"/>
          <c:order val="1"/>
          <c:tx>
            <c:strRef>
              <c:f>'ALINEADOR AL PASO'!$D$40</c:f>
              <c:strCache>
                <c:ptCount val="1"/>
                <c:pt idx="0">
                  <c:v>ERROR - U EXPANDIDA CAL 2 [m/km]</c:v>
                </c:pt>
              </c:strCache>
            </c:strRef>
          </c:tx>
          <c:val>
            <c:numRef>
              <c:f>'ALINEADOR AL PASO'!$D$41:$D$49</c:f>
              <c:numCache>
                <c:formatCode>0.000</c:formatCode>
                <c:ptCount val="9"/>
                <c:pt idx="0">
                  <c:v>-0.108</c:v>
                </c:pt>
                <c:pt idx="1">
                  <c:v>-0.70300000000000007</c:v>
                </c:pt>
                <c:pt idx="2">
                  <c:v>-0.48200000000000032</c:v>
                </c:pt>
                <c:pt idx="3">
                  <c:v>-0.52900000000000047</c:v>
                </c:pt>
                <c:pt idx="4">
                  <c:v>-0.34300000000000042</c:v>
                </c:pt>
                <c:pt idx="5">
                  <c:v>-0.10199999999999999</c:v>
                </c:pt>
                <c:pt idx="6">
                  <c:v>2.0000000000000101E-2</c:v>
                </c:pt>
                <c:pt idx="7">
                  <c:v>0.3169999999999995</c:v>
                </c:pt>
                <c:pt idx="8">
                  <c:v>0.23600000000000174</c:v>
                </c:pt>
              </c:numCache>
            </c:numRef>
          </c:val>
          <c:smooth val="0"/>
          <c:extLst>
            <c:ext xmlns:c16="http://schemas.microsoft.com/office/drawing/2014/chart" uri="{C3380CC4-5D6E-409C-BE32-E72D297353CC}">
              <c16:uniqueId val="{00000001-C48D-4E72-A099-6E7BDCC8E6B5}"/>
            </c:ext>
          </c:extLst>
        </c:ser>
        <c:ser>
          <c:idx val="2"/>
          <c:order val="2"/>
          <c:tx>
            <c:strRef>
              <c:f>'ALINEADOR AL PASO'!$E$40</c:f>
              <c:strCache>
                <c:ptCount val="1"/>
                <c:pt idx="0">
                  <c:v>Exactitud NTC 5365 Numeral 5.2.7.1 (+) [m/km]</c:v>
                </c:pt>
              </c:strCache>
            </c:strRef>
          </c:tx>
          <c:val>
            <c:numRef>
              <c:f>'ALINEADOR AL PASO'!$E$41:$E$49</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48D-4E72-A099-6E7BDCC8E6B5}"/>
            </c:ext>
          </c:extLst>
        </c:ser>
        <c:ser>
          <c:idx val="3"/>
          <c:order val="3"/>
          <c:tx>
            <c:strRef>
              <c:f>'ALINEADOR AL PASO'!$F$40</c:f>
              <c:strCache>
                <c:ptCount val="1"/>
                <c:pt idx="0">
                  <c:v>Exactitud NTC 5365 Numeral 5.2.7.1 (-) [m/km]</c:v>
                </c:pt>
              </c:strCache>
            </c:strRef>
          </c:tx>
          <c:val>
            <c:numRef>
              <c:f>'ALINEADOR AL PASO'!$F$41:$F$49</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3-C48D-4E72-A099-6E7BDCC8E6B5}"/>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SUSPENSION!$C$40</c:f>
              <c:strCache>
                <c:ptCount val="1"/>
                <c:pt idx="0">
                  <c:v>ERROR + U EXPANDIDA CAL 2 [%] 2021</c:v>
                </c:pt>
              </c:strCache>
            </c:strRef>
          </c:tx>
          <c:val>
            <c:numRef>
              <c:f>SUSPENSION!$C$41:$C$45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8090-4C33-811D-F46D2C8109CD}"/>
            </c:ext>
          </c:extLst>
        </c:ser>
        <c:ser>
          <c:idx val="1"/>
          <c:order val="1"/>
          <c:tx>
            <c:strRef>
              <c:f>SUSPENSION!$D$40</c:f>
              <c:strCache>
                <c:ptCount val="1"/>
                <c:pt idx="0">
                  <c:v>ERROR - U EXPANDIDA CAL 2 [%] 2021</c:v>
                </c:pt>
              </c:strCache>
            </c:strRef>
          </c:tx>
          <c:val>
            <c:numRef>
              <c:f>SUSPENSION!$D$41:$D$45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8090-4C33-811D-F46D2C8109CD}"/>
            </c:ext>
          </c:extLst>
        </c:ser>
        <c:ser>
          <c:idx val="2"/>
          <c:order val="2"/>
          <c:tx>
            <c:strRef>
              <c:f>SUSPENSION!$E$40</c:f>
              <c:strCache>
                <c:ptCount val="1"/>
                <c:pt idx="0">
                  <c:v>EXACTITUD DE ACUERDO A NTC: 5385:2011 (+) [%]</c:v>
                </c:pt>
              </c:strCache>
            </c:strRef>
          </c:tx>
          <c:val>
            <c:numRef>
              <c:f>SUSPENSION!$E$41:$E$45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8090-4C33-811D-F46D2C8109CD}"/>
            </c:ext>
          </c:extLst>
        </c:ser>
        <c:ser>
          <c:idx val="3"/>
          <c:order val="3"/>
          <c:tx>
            <c:strRef>
              <c:f>SUSPENSION!$F$40</c:f>
              <c:strCache>
                <c:ptCount val="1"/>
                <c:pt idx="0">
                  <c:v>EXACTITUD DE ACUERDO A NTC: 5385:2011 (-) [%]</c:v>
                </c:pt>
              </c:strCache>
            </c:strRef>
          </c:tx>
          <c:val>
            <c:numRef>
              <c:f>SUSPENSION!$F$41:$F$45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8090-4C33-811D-F46D2C8109CD}"/>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SUSPENSION!$C$66</c:f>
              <c:strCache>
                <c:ptCount val="1"/>
                <c:pt idx="0">
                  <c:v>PRECISION CAL 2 2021</c:v>
                </c:pt>
              </c:strCache>
            </c:strRef>
          </c:tx>
          <c:val>
            <c:numRef>
              <c:f>SUSPENSION!$C$67:$C$71</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8780-4598-AD46-00923C1F55AF}"/>
            </c:ext>
          </c:extLst>
        </c:ser>
        <c:ser>
          <c:idx val="1"/>
          <c:order val="1"/>
          <c:tx>
            <c:strRef>
              <c:f>SUSPENSION!$D$66</c:f>
              <c:strCache>
                <c:ptCount val="1"/>
                <c:pt idx="0">
                  <c:v>Precision NTC 5385</c:v>
                </c:pt>
              </c:strCache>
            </c:strRef>
          </c:tx>
          <c:val>
            <c:numRef>
              <c:f>SUSPENSION!$D$67:$D$71</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8780-4598-AD46-00923C1F55A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SUSPENSION!$C$87</c:f>
              <c:strCache>
                <c:ptCount val="1"/>
                <c:pt idx="0">
                  <c:v>ERROR + U EXPANDIDA CAL 2 [%] 2021</c:v>
                </c:pt>
              </c:strCache>
            </c:strRef>
          </c:tx>
          <c:val>
            <c:numRef>
              <c:f>SUSPENSION!$C$88:$C$93</c:f>
              <c:numCache>
                <c:formatCode>0.000</c:formatCode>
                <c:ptCount val="6"/>
                <c:pt idx="0">
                  <c:v>1.3944223107569664</c:v>
                </c:pt>
                <c:pt idx="1">
                  <c:v>1.2403317262028266</c:v>
                </c:pt>
                <c:pt idx="2">
                  <c:v>1.0288748755393293</c:v>
                </c:pt>
                <c:pt idx="3">
                  <c:v>0.67197610751617709</c:v>
                </c:pt>
                <c:pt idx="4">
                  <c:v>0.77642842922555777</c:v>
                </c:pt>
                <c:pt idx="5">
                  <c:v>0.89641434262948205</c:v>
                </c:pt>
              </c:numCache>
            </c:numRef>
          </c:val>
          <c:smooth val="0"/>
          <c:extLst>
            <c:ext xmlns:c16="http://schemas.microsoft.com/office/drawing/2014/chart" uri="{C3380CC4-5D6E-409C-BE32-E72D297353CC}">
              <c16:uniqueId val="{00000000-5A2D-429B-BB3B-F3575A045FF2}"/>
            </c:ext>
          </c:extLst>
        </c:ser>
        <c:ser>
          <c:idx val="1"/>
          <c:order val="1"/>
          <c:tx>
            <c:strRef>
              <c:f>SUSPENSION!$D$87</c:f>
              <c:strCache>
                <c:ptCount val="1"/>
                <c:pt idx="0">
                  <c:v>ERROR - U EXPANDIDA CAL 2 [%] 2021</c:v>
                </c:pt>
              </c:strCache>
            </c:strRef>
          </c:tx>
          <c:val>
            <c:numRef>
              <c:f>SUSPENSION!$D$88:$D$93</c:f>
              <c:numCache>
                <c:formatCode>0.000</c:formatCode>
                <c:ptCount val="6"/>
                <c:pt idx="0">
                  <c:v>-2.1912350597609618</c:v>
                </c:pt>
                <c:pt idx="1">
                  <c:v>-1.8457807675751723</c:v>
                </c:pt>
                <c:pt idx="2">
                  <c:v>-1.6926651178227676</c:v>
                </c:pt>
                <c:pt idx="3">
                  <c:v>-1.9163763066202089</c:v>
                </c:pt>
                <c:pt idx="4">
                  <c:v>-1.81166633485965</c:v>
                </c:pt>
                <c:pt idx="5">
                  <c:v>-1.693227091633466</c:v>
                </c:pt>
              </c:numCache>
            </c:numRef>
          </c:val>
          <c:smooth val="0"/>
          <c:extLst>
            <c:ext xmlns:c16="http://schemas.microsoft.com/office/drawing/2014/chart" uri="{C3380CC4-5D6E-409C-BE32-E72D297353CC}">
              <c16:uniqueId val="{00000001-5A2D-429B-BB3B-F3575A045FF2}"/>
            </c:ext>
          </c:extLst>
        </c:ser>
        <c:ser>
          <c:idx val="2"/>
          <c:order val="2"/>
          <c:tx>
            <c:strRef>
              <c:f>SUSPENSION!$E$87</c:f>
              <c:strCache>
                <c:ptCount val="1"/>
                <c:pt idx="0">
                  <c:v>EXACTITUD DE ACUERDO A NTC: 5385:2011 (+) [%]</c:v>
                </c:pt>
              </c:strCache>
            </c:strRef>
          </c:tx>
          <c:val>
            <c:numRef>
              <c:f>SUSPENSION!$E$88:$E$93</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2-5A2D-429B-BB3B-F3575A045FF2}"/>
            </c:ext>
          </c:extLst>
        </c:ser>
        <c:ser>
          <c:idx val="3"/>
          <c:order val="3"/>
          <c:tx>
            <c:strRef>
              <c:f>SUSPENSION!$F$87</c:f>
              <c:strCache>
                <c:ptCount val="1"/>
                <c:pt idx="0">
                  <c:v>EXACTITUD DE ACUERDO A NTC: 5385:2011 (-) [%]</c:v>
                </c:pt>
              </c:strCache>
            </c:strRef>
          </c:tx>
          <c:val>
            <c:numRef>
              <c:f>SUSPENSION!$F$88:$F$93</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3-5A2D-429B-BB3B-F3575A045FF2}"/>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SUSPENSION!$C$113</c:f>
              <c:strCache>
                <c:ptCount val="1"/>
                <c:pt idx="0">
                  <c:v>PRECISION CAL 2 2021</c:v>
                </c:pt>
              </c:strCache>
            </c:strRef>
          </c:tx>
          <c:val>
            <c:numRef>
              <c:f>SUSPENSION!$C$114:$C$118</c:f>
              <c:numCache>
                <c:formatCode>0.000</c:formatCode>
                <c:ptCount val="5"/>
                <c:pt idx="0">
                  <c:v>0</c:v>
                </c:pt>
                <c:pt idx="1">
                  <c:v>0.28870084619213537</c:v>
                </c:pt>
                <c:pt idx="2">
                  <c:v>0.19249917026219712</c:v>
                </c:pt>
                <c:pt idx="3">
                  <c:v>0.14435042309606769</c:v>
                </c:pt>
                <c:pt idx="4">
                  <c:v>0.2289468445152299</c:v>
                </c:pt>
              </c:numCache>
            </c:numRef>
          </c:val>
          <c:smooth val="0"/>
          <c:extLst>
            <c:ext xmlns:c16="http://schemas.microsoft.com/office/drawing/2014/chart" uri="{C3380CC4-5D6E-409C-BE32-E72D297353CC}">
              <c16:uniqueId val="{00000000-2281-4DA6-91D7-752A768FD63D}"/>
            </c:ext>
          </c:extLst>
        </c:ser>
        <c:ser>
          <c:idx val="1"/>
          <c:order val="1"/>
          <c:tx>
            <c:strRef>
              <c:f>SUSPENSION!$D$113</c:f>
              <c:strCache>
                <c:ptCount val="1"/>
                <c:pt idx="0">
                  <c:v>Precision NTC 5385</c:v>
                </c:pt>
              </c:strCache>
            </c:strRef>
          </c:tx>
          <c:val>
            <c:numRef>
              <c:f>SUSPENSION!$D$114:$D$118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2281-4DA6-91D7-752A768FD63D}"/>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SUSPENSION!$C$135</c:f>
              <c:strCache>
                <c:ptCount val="1"/>
                <c:pt idx="0">
                  <c:v>ERROR + U EXPANDIDA CAL 2 [%] 2021</c:v>
                </c:pt>
              </c:strCache>
            </c:strRef>
          </c:tx>
          <c:val>
            <c:numRef>
              <c:f>SUSPENSION!$C$136:$C$140</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288E-4F17-B43D-9D1BE3D4ACC7}"/>
            </c:ext>
          </c:extLst>
        </c:ser>
        <c:ser>
          <c:idx val="1"/>
          <c:order val="1"/>
          <c:tx>
            <c:strRef>
              <c:f>SUSPENSION!$D$135</c:f>
              <c:strCache>
                <c:ptCount val="1"/>
                <c:pt idx="0">
                  <c:v>ERROR - U EXPANDIDA CAL 2 [%] 2021</c:v>
                </c:pt>
              </c:strCache>
            </c:strRef>
          </c:tx>
          <c:val>
            <c:numRef>
              <c:f>SUSPENSION!$D$136:$D$140</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288E-4F17-B43D-9D1BE3D4ACC7}"/>
            </c:ext>
          </c:extLst>
        </c:ser>
        <c:ser>
          <c:idx val="2"/>
          <c:order val="2"/>
          <c:tx>
            <c:strRef>
              <c:f>SUSPENSION!$E$135</c:f>
              <c:strCache>
                <c:ptCount val="1"/>
                <c:pt idx="0">
                  <c:v>EXACTITUD DE ACUERDO A NTC: 5385:2011 (+) [%]</c:v>
                </c:pt>
              </c:strCache>
            </c:strRef>
          </c:tx>
          <c:val>
            <c:numRef>
              <c:f>SUSPENSION!$E$136:$E$140</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288E-4F17-B43D-9D1BE3D4ACC7}"/>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SUSPENSION!$C$161</c:f>
              <c:strCache>
                <c:ptCount val="1"/>
                <c:pt idx="0">
                  <c:v>PRECISION CAL 2 2021</c:v>
                </c:pt>
              </c:strCache>
            </c:strRef>
          </c:tx>
          <c:val>
            <c:numRef>
              <c:f>SUSPENSION!$C$162:$C$166</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B1E-4F90-B93A-B49FFCA4ACC0}"/>
            </c:ext>
          </c:extLst>
        </c:ser>
        <c:ser>
          <c:idx val="1"/>
          <c:order val="1"/>
          <c:tx>
            <c:strRef>
              <c:f>SUSPENSION!$D$161</c:f>
              <c:strCache>
                <c:ptCount val="1"/>
                <c:pt idx="0">
                  <c:v>Precision NTC 5385</c:v>
                </c:pt>
              </c:strCache>
            </c:strRef>
          </c:tx>
          <c:val>
            <c:numRef>
              <c:f>SUSPENSION!$D$162:$D$166</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3B1E-4F90-B93A-B49FFCA4ACC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SUSPENSION!$C$182</c:f>
              <c:strCache>
                <c:ptCount val="1"/>
                <c:pt idx="0">
                  <c:v>ERROR + U EXPANDIDA CAL 2 [%] 2021</c:v>
                </c:pt>
              </c:strCache>
            </c:strRef>
          </c:tx>
          <c:val>
            <c:numRef>
              <c:f>SUSPENSION!$C$183:$C$188</c:f>
              <c:numCache>
                <c:formatCode>0.000</c:formatCode>
                <c:ptCount val="6"/>
                <c:pt idx="0">
                  <c:v>1.1952191235059733</c:v>
                </c:pt>
                <c:pt idx="1">
                  <c:v>1.2403317262028266</c:v>
                </c:pt>
                <c:pt idx="2">
                  <c:v>1.3607699966810485</c:v>
                </c:pt>
                <c:pt idx="3">
                  <c:v>1.1199601791936258</c:v>
                </c:pt>
                <c:pt idx="4">
                  <c:v>0.81624527174994799</c:v>
                </c:pt>
                <c:pt idx="5">
                  <c:v>1.095617529880478</c:v>
                </c:pt>
              </c:numCache>
            </c:numRef>
          </c:val>
          <c:smooth val="0"/>
          <c:extLst>
            <c:ext xmlns:c16="http://schemas.microsoft.com/office/drawing/2014/chart" uri="{C3380CC4-5D6E-409C-BE32-E72D297353CC}">
              <c16:uniqueId val="{00000000-EFED-46AD-B771-5C82C1419301}"/>
            </c:ext>
          </c:extLst>
        </c:ser>
        <c:ser>
          <c:idx val="1"/>
          <c:order val="1"/>
          <c:tx>
            <c:strRef>
              <c:f>SUSPENSION!$D$182</c:f>
              <c:strCache>
                <c:ptCount val="1"/>
                <c:pt idx="0">
                  <c:v>ERROR - U EXPANDIDA CAL 2 [%] 2021</c:v>
                </c:pt>
              </c:strCache>
            </c:strRef>
          </c:tx>
          <c:val>
            <c:numRef>
              <c:f>SUSPENSION!$D$183:$D$188</c:f>
              <c:numCache>
                <c:formatCode>0.000</c:formatCode>
                <c:ptCount val="6"/>
                <c:pt idx="0">
                  <c:v>-2.5896414342629508</c:v>
                </c:pt>
                <c:pt idx="1">
                  <c:v>-1.8457807675751723</c:v>
                </c:pt>
                <c:pt idx="2">
                  <c:v>-1.3607699966810485</c:v>
                </c:pt>
                <c:pt idx="3">
                  <c:v>-1.5181682429069217</c:v>
                </c:pt>
                <c:pt idx="4">
                  <c:v>-1.7320326498108722</c:v>
                </c:pt>
                <c:pt idx="5">
                  <c:v>-1.4940239043824701</c:v>
                </c:pt>
              </c:numCache>
            </c:numRef>
          </c:val>
          <c:smooth val="0"/>
          <c:extLst>
            <c:ext xmlns:c16="http://schemas.microsoft.com/office/drawing/2014/chart" uri="{C3380CC4-5D6E-409C-BE32-E72D297353CC}">
              <c16:uniqueId val="{00000001-EFED-46AD-B771-5C82C1419301}"/>
            </c:ext>
          </c:extLst>
        </c:ser>
        <c:ser>
          <c:idx val="2"/>
          <c:order val="2"/>
          <c:tx>
            <c:strRef>
              <c:f>SUSPENSION!$E$182</c:f>
              <c:strCache>
                <c:ptCount val="1"/>
                <c:pt idx="0">
                  <c:v>EXACTITUD DE ACUERDO A NTC: 5385:2011 (+) [%]</c:v>
                </c:pt>
              </c:strCache>
            </c:strRef>
          </c:tx>
          <c:val>
            <c:numRef>
              <c:f>SUSPENSION!$E$183:$E$188</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2-EFED-46AD-B771-5C82C1419301}"/>
            </c:ext>
          </c:extLst>
        </c:ser>
        <c:ser>
          <c:idx val="3"/>
          <c:order val="3"/>
          <c:tx>
            <c:strRef>
              <c:f>SUSPENSION!$F$182</c:f>
              <c:strCache>
                <c:ptCount val="1"/>
                <c:pt idx="0">
                  <c:v>EXACTITUD DE ACUERDO A NTC: 5385:2011 (-) [%]</c:v>
                </c:pt>
              </c:strCache>
            </c:strRef>
          </c:tx>
          <c:val>
            <c:numRef>
              <c:f>SUSPENSION!$F$183:$F$188</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3-EFED-46AD-B771-5C82C1419301}"/>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SUSPENSION!$C$208</c:f>
              <c:strCache>
                <c:ptCount val="1"/>
                <c:pt idx="0">
                  <c:v>PRECISION CAL 2 2021</c:v>
                </c:pt>
              </c:strCache>
            </c:strRef>
          </c:tx>
          <c:val>
            <c:numRef>
              <c:f>SUSPENSION!$C$209:$C$214</c:f>
              <c:numCache>
                <c:formatCode>0.000</c:formatCode>
                <c:ptCount val="6"/>
                <c:pt idx="0">
                  <c:v>0.57768924302788838</c:v>
                </c:pt>
                <c:pt idx="1">
                  <c:v>0.28870084619213537</c:v>
                </c:pt>
                <c:pt idx="2">
                  <c:v>0.19249917026219712</c:v>
                </c:pt>
                <c:pt idx="3">
                  <c:v>0.24888003982080636</c:v>
                </c:pt>
                <c:pt idx="4">
                  <c:v>0.19908421262193907</c:v>
                </c:pt>
                <c:pt idx="5">
                  <c:v>0.15239043824701196</c:v>
                </c:pt>
              </c:numCache>
            </c:numRef>
          </c:val>
          <c:smooth val="0"/>
          <c:extLst>
            <c:ext xmlns:c16="http://schemas.microsoft.com/office/drawing/2014/chart" uri="{C3380CC4-5D6E-409C-BE32-E72D297353CC}">
              <c16:uniqueId val="{00000000-9A00-4910-9F47-0B5885C5EB16}"/>
            </c:ext>
          </c:extLst>
        </c:ser>
        <c:ser>
          <c:idx val="1"/>
          <c:order val="1"/>
          <c:tx>
            <c:strRef>
              <c:f>SUSPENSION!$D$208</c:f>
              <c:strCache>
                <c:ptCount val="1"/>
                <c:pt idx="0">
                  <c:v>Precision NTC 5385</c:v>
                </c:pt>
              </c:strCache>
            </c:strRef>
          </c:tx>
          <c:val>
            <c:numRef>
              <c:f>SUSPENSION!$D$209:$D$214</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1-9A00-4910-9F47-0B5885C5EB1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1(CO2)  '!$C$40</c:f>
              <c:strCache>
                <c:ptCount val="1"/>
                <c:pt idx="0">
                  <c:v>ERROR + U EXPANDIDA CAL 2 [%]</c:v>
                </c:pt>
              </c:strCache>
            </c:strRef>
          </c:tx>
          <c:val>
            <c:numRef>
              <c:f>'DIOXIDO 1(CO2)  '!$C$41:$C$48</c:f>
              <c:numCache>
                <c:formatCode>0.000</c:formatCode>
                <c:ptCount val="8"/>
                <c:pt idx="0">
                  <c:v>0.12</c:v>
                </c:pt>
                <c:pt idx="1">
                  <c:v>0.10000000000000037</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0-1185-4D07-9B7E-ABA8FE648CBF}"/>
            </c:ext>
          </c:extLst>
        </c:ser>
        <c:ser>
          <c:idx val="1"/>
          <c:order val="1"/>
          <c:tx>
            <c:strRef>
              <c:f>'DIOXIDO 1(CO2)  '!$D$40</c:f>
              <c:strCache>
                <c:ptCount val="1"/>
                <c:pt idx="0">
                  <c:v>ERROR - U EXPANDIDA CAL 2 [%]</c:v>
                </c:pt>
              </c:strCache>
            </c:strRef>
          </c:tx>
          <c:val>
            <c:numRef>
              <c:f>'DIOXIDO 1(CO2)  '!$D$41:$D$48</c:f>
              <c:numCache>
                <c:formatCode>0.000</c:formatCode>
                <c:ptCount val="8"/>
                <c:pt idx="0">
                  <c:v>0.12</c:v>
                </c:pt>
                <c:pt idx="1">
                  <c:v>0.10000000000000037</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1-1185-4D07-9B7E-ABA8FE648CBF}"/>
            </c:ext>
          </c:extLst>
        </c:ser>
        <c:ser>
          <c:idx val="2"/>
          <c:order val="2"/>
          <c:tx>
            <c:strRef>
              <c:f>'DIOXIDO 1(CO2)  '!$E$40</c:f>
              <c:strCache>
                <c:ptCount val="1"/>
                <c:pt idx="0">
                  <c:v>Exactitud NTC 5365 Numeral 5.2.7.1 (+) [%]</c:v>
                </c:pt>
              </c:strCache>
            </c:strRef>
          </c:tx>
          <c:val>
            <c:numRef>
              <c:f>'DIOXIDO 1(CO2)  '!$E$41:$E$48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2-1185-4D07-9B7E-ABA8FE648CBF}"/>
            </c:ext>
          </c:extLst>
        </c:ser>
        <c:ser>
          <c:idx val="3"/>
          <c:order val="3"/>
          <c:tx>
            <c:strRef>
              <c:f>'DIOXIDO 1(CO2)  '!$F$40</c:f>
              <c:strCache>
                <c:ptCount val="1"/>
                <c:pt idx="0">
                  <c:v>Exactitud NTC 5365 Numeral 5.2.7.1 (-) [%]</c:v>
                </c:pt>
              </c:strCache>
            </c:strRef>
          </c:tx>
          <c:val>
            <c:numRef>
              <c:f>'DIOXIDO 1(CO2)  '!$F$41:$F$48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3-1185-4D07-9B7E-ABA8FE648CBF}"/>
            </c:ext>
          </c:extLst>
        </c:ser>
        <c:dLbls>
          <c:showLegendKey val="0"/>
          <c:showVal val="0"/>
          <c:showCatName val="0"/>
          <c:showSerName val="0"/>
          <c:showPercent val="0"/>
          <c:showBubbleSize val="0"/>
        </c:dLbls>
        <c:marker val="1"/>
        <c:smooth val="0"/>
        <c:axId val="413401352"/>
        <c:axId val="413401744"/>
      </c:lineChart>
      <c:catAx>
        <c:axId val="413401352"/>
        <c:scaling>
          <c:orientation val="minMax"/>
        </c:scaling>
        <c:delete val="0"/>
        <c:axPos val="b"/>
        <c:numFmt formatCode="General" sourceLinked="1"/>
        <c:majorTickMark val="none"/>
        <c:minorTickMark val="none"/>
        <c:tickLblPos val="nextTo"/>
        <c:crossAx val="413401744"/>
        <c:crosses val="autoZero"/>
        <c:auto val="1"/>
        <c:lblAlgn val="ctr"/>
        <c:lblOffset val="100"/>
        <c:noMultiLvlLbl val="0"/>
      </c:catAx>
      <c:valAx>
        <c:axId val="413401744"/>
        <c:scaling>
          <c:orientation val="minMax"/>
        </c:scaling>
        <c:delete val="0"/>
        <c:axPos val="l"/>
        <c:majorGridlines/>
        <c:title>
          <c:overlay val="0"/>
        </c:title>
        <c:numFmt formatCode="0.000" sourceLinked="1"/>
        <c:majorTickMark val="none"/>
        <c:minorTickMark val="none"/>
        <c:tickLblPos val="nextTo"/>
        <c:crossAx val="41340135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(FUERZA)'!$C$40</c:f>
              <c:strCache>
                <c:ptCount val="1"/>
                <c:pt idx="0">
                  <c:v>ERROR + U EXPANDIDA CAL 2 [mm]</c:v>
                </c:pt>
              </c:strCache>
            </c:strRef>
          </c:tx>
          <c:val>
            <c:numRef>
              <c:f>'FRENOMETRO (FUERZA)'!$C$41:$C$48</c:f>
              <c:numCache>
                <c:formatCode>0.000</c:formatCode>
                <c:ptCount val="8"/>
                <c:pt idx="0">
                  <c:v>3.3333333333333335E-3</c:v>
                </c:pt>
                <c:pt idx="1">
                  <c:v>0.18633333333333332</c:v>
                </c:pt>
                <c:pt idx="2">
                  <c:v>-5.6666666666666664E-2</c:v>
                </c:pt>
                <c:pt idx="3">
                  <c:v>7.3333333333333334E-2</c:v>
                </c:pt>
                <c:pt idx="4">
                  <c:v>0.11</c:v>
                </c:pt>
                <c:pt idx="5">
                  <c:v>0.5033333333333333</c:v>
                </c:pt>
                <c:pt idx="6">
                  <c:v>0.42666666666666664</c:v>
                </c:pt>
                <c:pt idx="7">
                  <c:v>0.49333333333333329</c:v>
                </c:pt>
              </c:numCache>
            </c:numRef>
          </c:val>
          <c:smooth val="0"/>
          <c:extLst>
            <c:ext xmlns:c16="http://schemas.microsoft.com/office/drawing/2014/chart" uri="{C3380CC4-5D6E-409C-BE32-E72D297353CC}">
              <c16:uniqueId val="{00000000-4029-44BB-9542-32A8A6E0FC46}"/>
            </c:ext>
          </c:extLst>
        </c:ser>
        <c:ser>
          <c:idx val="1"/>
          <c:order val="1"/>
          <c:tx>
            <c:strRef>
              <c:f>'FRENOMETRO (FUERZA)'!$D$40</c:f>
              <c:strCache>
                <c:ptCount val="1"/>
                <c:pt idx="0">
                  <c:v>ERROR - U EXPANDIDA CAL 2 [mm]</c:v>
                </c:pt>
              </c:strCache>
            </c:strRef>
          </c:tx>
          <c:val>
            <c:numRef>
              <c:f>'FRENOMETRO (FUERZA)'!$D$41:$D$48</c:f>
              <c:numCache>
                <c:formatCode>0.000</c:formatCode>
                <c:ptCount val="8"/>
                <c:pt idx="0">
                  <c:v>-3.3333333333333335E-3</c:v>
                </c:pt>
                <c:pt idx="1">
                  <c:v>0.157</c:v>
                </c:pt>
                <c:pt idx="2">
                  <c:v>-0.15</c:v>
                </c:pt>
                <c:pt idx="3">
                  <c:v>-0.06</c:v>
                </c:pt>
                <c:pt idx="4">
                  <c:v>-0.11</c:v>
                </c:pt>
                <c:pt idx="5">
                  <c:v>0.20333333333333334</c:v>
                </c:pt>
                <c:pt idx="6">
                  <c:v>4.0000000000000008E-2</c:v>
                </c:pt>
                <c:pt idx="7">
                  <c:v>8.6666666666666642E-2</c:v>
                </c:pt>
              </c:numCache>
            </c:numRef>
          </c:val>
          <c:smooth val="0"/>
          <c:extLst>
            <c:ext xmlns:c16="http://schemas.microsoft.com/office/drawing/2014/chart" uri="{C3380CC4-5D6E-409C-BE32-E72D297353CC}">
              <c16:uniqueId val="{00000001-4029-44BB-9542-32A8A6E0FC46}"/>
            </c:ext>
          </c:extLst>
        </c:ser>
        <c:ser>
          <c:idx val="2"/>
          <c:order val="2"/>
          <c:tx>
            <c:strRef>
              <c:f>'FRENOMETRO (FUERZA)'!$E$40</c:f>
              <c:strCache>
                <c:ptCount val="1"/>
                <c:pt idx="0">
                  <c:v>EXACTITUD DE ACUERDO A NTC: 5385:2011 (+) [mm]</c:v>
                </c:pt>
              </c:strCache>
            </c:strRef>
          </c:tx>
          <c:val>
            <c:numRef>
              <c:f>'FRENOMETRO (FUERZA)'!$E$41:$E$48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2-4029-44BB-9542-32A8A6E0FC46}"/>
            </c:ext>
          </c:extLst>
        </c:ser>
        <c:ser>
          <c:idx val="3"/>
          <c:order val="3"/>
          <c:tx>
            <c:strRef>
              <c:f>'FRENOMETRO (FUERZA)'!$F$40</c:f>
              <c:strCache>
                <c:ptCount val="1"/>
                <c:pt idx="0">
                  <c:v>EXACTITUD DE ACUERDO A NTC: 5385:2011 (-) [mm]</c:v>
                </c:pt>
              </c:strCache>
            </c:strRef>
          </c:tx>
          <c:val>
            <c:numRef>
              <c:f>'FRENOMETRO (FUERZA)'!$F$41:$F$48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3-4029-44BB-9542-32A8A6E0FC46}"/>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(FUERZA)'!$C$68</c:f>
              <c:strCache>
                <c:ptCount val="1"/>
                <c:pt idx="0">
                  <c:v>PRECISION CAL 2</c:v>
                </c:pt>
              </c:strCache>
            </c:strRef>
          </c:tx>
          <c:val>
            <c:numRef>
              <c:f>'FRENOMETRO (FUERZA)'!$C$69:$C$76</c:f>
              <c:numCache>
                <c:formatCode>0.000</c:formatCode>
                <c:ptCount val="8"/>
                <c:pt idx="0">
                  <c:v>0</c:v>
                </c:pt>
                <c:pt idx="1">
                  <c:v>1.1666666666666667E-2</c:v>
                </c:pt>
                <c:pt idx="2">
                  <c:v>2.5000000000000001E-2</c:v>
                </c:pt>
                <c:pt idx="3">
                  <c:v>1.0333333333333333E-2</c:v>
                </c:pt>
                <c:pt idx="4">
                  <c:v>1.5666666666666666E-2</c:v>
                </c:pt>
                <c:pt idx="5">
                  <c:v>1.2E-2</c:v>
                </c:pt>
                <c:pt idx="6">
                  <c:v>1.9666666666666666E-2</c:v>
                </c:pt>
                <c:pt idx="7">
                  <c:v>1.4333333333333333E-2</c:v>
                </c:pt>
              </c:numCache>
            </c:numRef>
          </c:val>
          <c:smooth val="0"/>
          <c:extLst>
            <c:ext xmlns:c16="http://schemas.microsoft.com/office/drawing/2014/chart" uri="{C3380CC4-5D6E-409C-BE32-E72D297353CC}">
              <c16:uniqueId val="{00000000-8A2A-4986-BF67-32F8CBFA5125}"/>
            </c:ext>
          </c:extLst>
        </c:ser>
        <c:ser>
          <c:idx val="1"/>
          <c:order val="1"/>
          <c:tx>
            <c:strRef>
              <c:f>'FRENOMETRO (FUERZA)'!$D$68</c:f>
              <c:strCache>
                <c:ptCount val="1"/>
                <c:pt idx="0">
                  <c:v>Precision NTC 5385</c:v>
                </c:pt>
              </c:strCache>
            </c:strRef>
          </c:tx>
          <c:val>
            <c:numRef>
              <c:f>'FRENOMETRO (FUERZA)'!$D$69:$D$76</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1-8A2A-4986-BF67-32F8CBFA512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(FUERZA)'!$C$91</c:f>
              <c:strCache>
                <c:ptCount val="1"/>
                <c:pt idx="0">
                  <c:v>ERROR + U EXPANDIDA CAL 2 [mm]</c:v>
                </c:pt>
              </c:strCache>
            </c:strRef>
          </c:tx>
          <c:val>
            <c:numRef>
              <c:f>'FRENOMETRO (FUERZA)'!$C$92:$C$99</c:f>
              <c:numCache>
                <c:formatCode>0.000</c:formatCode>
                <c:ptCount val="8"/>
                <c:pt idx="0">
                  <c:v>3.3333333333333335E-3</c:v>
                </c:pt>
                <c:pt idx="1">
                  <c:v>9.5666666666666691E-2</c:v>
                </c:pt>
                <c:pt idx="2">
                  <c:v>7.466666666666652E-2</c:v>
                </c:pt>
                <c:pt idx="3">
                  <c:v>-0.60899999999999999</c:v>
                </c:pt>
                <c:pt idx="4">
                  <c:v>-0.17666666666666667</c:v>
                </c:pt>
                <c:pt idx="5">
                  <c:v>-0.8666666666666667</c:v>
                </c:pt>
                <c:pt idx="6">
                  <c:v>-0.43666666666666665</c:v>
                </c:pt>
                <c:pt idx="7">
                  <c:v>0.27333333333333332</c:v>
                </c:pt>
              </c:numCache>
            </c:numRef>
          </c:val>
          <c:smooth val="0"/>
          <c:extLst>
            <c:ext xmlns:c16="http://schemas.microsoft.com/office/drawing/2014/chart" uri="{C3380CC4-5D6E-409C-BE32-E72D297353CC}">
              <c16:uniqueId val="{00000000-F701-4BFC-B99E-73C1ED1F8DA8}"/>
            </c:ext>
          </c:extLst>
        </c:ser>
        <c:ser>
          <c:idx val="1"/>
          <c:order val="1"/>
          <c:tx>
            <c:strRef>
              <c:f>'FRENOMETRO (FUERZA)'!$D$91</c:f>
              <c:strCache>
                <c:ptCount val="1"/>
                <c:pt idx="0">
                  <c:v>ERROR - U EXPANDIDA CAL 2 [mm]</c:v>
                </c:pt>
              </c:strCache>
            </c:strRef>
          </c:tx>
          <c:val>
            <c:numRef>
              <c:f>'FRENOMETRO (FUERZA)'!$D$92:$D$99</c:f>
              <c:numCache>
                <c:formatCode>0.000</c:formatCode>
                <c:ptCount val="8"/>
                <c:pt idx="0">
                  <c:v>-3.3333333333333335E-3</c:v>
                </c:pt>
                <c:pt idx="1">
                  <c:v>5.3000000000000033E-2</c:v>
                </c:pt>
                <c:pt idx="2">
                  <c:v>4.3999999999999852E-2</c:v>
                </c:pt>
                <c:pt idx="3">
                  <c:v>-0.65766666666666662</c:v>
                </c:pt>
                <c:pt idx="4">
                  <c:v>-0.27</c:v>
                </c:pt>
                <c:pt idx="5">
                  <c:v>-1</c:v>
                </c:pt>
                <c:pt idx="6">
                  <c:v>-0.65666666666666662</c:v>
                </c:pt>
                <c:pt idx="7">
                  <c:v>-2.6666666666666658E-2</c:v>
                </c:pt>
              </c:numCache>
            </c:numRef>
          </c:val>
          <c:smooth val="0"/>
          <c:extLst>
            <c:ext xmlns:c16="http://schemas.microsoft.com/office/drawing/2014/chart" uri="{C3380CC4-5D6E-409C-BE32-E72D297353CC}">
              <c16:uniqueId val="{00000001-F701-4BFC-B99E-73C1ED1F8DA8}"/>
            </c:ext>
          </c:extLst>
        </c:ser>
        <c:ser>
          <c:idx val="2"/>
          <c:order val="2"/>
          <c:tx>
            <c:strRef>
              <c:f>'FRENOMETRO (FUERZA)'!$E$91</c:f>
              <c:strCache>
                <c:ptCount val="1"/>
                <c:pt idx="0">
                  <c:v>EXACTITUD DE ACUERDO A NTC: 5385:2011 (+) [mm]</c:v>
                </c:pt>
              </c:strCache>
            </c:strRef>
          </c:tx>
          <c:val>
            <c:numRef>
              <c:f>'FRENOMETRO (FUERZA)'!$E$92:$E$99</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2-F701-4BFC-B99E-73C1ED1F8DA8}"/>
            </c:ext>
          </c:extLst>
        </c:ser>
        <c:ser>
          <c:idx val="3"/>
          <c:order val="3"/>
          <c:tx>
            <c:strRef>
              <c:f>'FRENOMETRO (FUERZA)'!$F$91</c:f>
              <c:strCache>
                <c:ptCount val="1"/>
                <c:pt idx="0">
                  <c:v>EXACTITUD DE ACUERDO A NTC: 5385:2011 (-) [mm]</c:v>
                </c:pt>
              </c:strCache>
            </c:strRef>
          </c:tx>
          <c:val>
            <c:numRef>
              <c:f>'FRENOMETRO (FUERZA)'!$F$92:$F$99</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3-F701-4BFC-B99E-73C1ED1F8DA8}"/>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(FUERZA)'!$C$119</c:f>
              <c:strCache>
                <c:ptCount val="1"/>
                <c:pt idx="0">
                  <c:v>PRECISION CAL 2</c:v>
                </c:pt>
              </c:strCache>
            </c:strRef>
          </c:tx>
          <c:val>
            <c:numRef>
              <c:f>'FRENOMETRO (FUERZA)'!$C$120:$C$127</c:f>
              <c:numCache>
                <c:formatCode>0.000</c:formatCode>
                <c:ptCount val="8"/>
                <c:pt idx="0">
                  <c:v>0</c:v>
                </c:pt>
                <c:pt idx="1">
                  <c:v>1.7333333333333333E-2</c:v>
                </c:pt>
                <c:pt idx="2">
                  <c:v>1.2666666666666666E-2</c:v>
                </c:pt>
                <c:pt idx="3">
                  <c:v>8.3333333333333332E-3</c:v>
                </c:pt>
                <c:pt idx="4">
                  <c:v>1.4333333333333333E-2</c:v>
                </c:pt>
                <c:pt idx="5">
                  <c:v>1.7666666666666667E-2</c:v>
                </c:pt>
                <c:pt idx="6">
                  <c:v>1.4666666666666668E-2</c:v>
                </c:pt>
                <c:pt idx="7">
                  <c:v>6.3333333333333332E-3</c:v>
                </c:pt>
              </c:numCache>
            </c:numRef>
          </c:val>
          <c:smooth val="0"/>
          <c:extLst>
            <c:ext xmlns:c16="http://schemas.microsoft.com/office/drawing/2014/chart" uri="{C3380CC4-5D6E-409C-BE32-E72D297353CC}">
              <c16:uniqueId val="{00000000-1E56-4BB6-A6E8-DDE47BE348D1}"/>
            </c:ext>
          </c:extLst>
        </c:ser>
        <c:ser>
          <c:idx val="1"/>
          <c:order val="1"/>
          <c:tx>
            <c:strRef>
              <c:f>'FRENOMETRO (FUERZA)'!$D$119</c:f>
              <c:strCache>
                <c:ptCount val="1"/>
                <c:pt idx="0">
                  <c:v>Precision NTC 5385</c:v>
                </c:pt>
              </c:strCache>
            </c:strRef>
          </c:tx>
          <c:val>
            <c:numRef>
              <c:f>'FRENOMETRO (FUERZA)'!$D$120:$D$127</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1-1E56-4BB6-A6E8-DDE47BE348D1}"/>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(PESO)'!$C$40</c:f>
              <c:strCache>
                <c:ptCount val="1"/>
                <c:pt idx="0">
                  <c:v>ERROR + U EXPANDIDA CAL 2 [%] 2021</c:v>
                </c:pt>
              </c:strCache>
            </c:strRef>
          </c:tx>
          <c:val>
            <c:numRef>
              <c:f>'FRENOMETRO (PESO)'!$C$41:$C$45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6498-47AC-BFAE-9B5D23432D22}"/>
            </c:ext>
          </c:extLst>
        </c:ser>
        <c:ser>
          <c:idx val="1"/>
          <c:order val="1"/>
          <c:tx>
            <c:strRef>
              <c:f>'FRENOMETRO (PESO)'!$D$40</c:f>
              <c:strCache>
                <c:ptCount val="1"/>
                <c:pt idx="0">
                  <c:v>ERROR - U EXPANDIDA CAL 2 [%] 2021</c:v>
                </c:pt>
              </c:strCache>
            </c:strRef>
          </c:tx>
          <c:val>
            <c:numRef>
              <c:f>'FRENOMETRO (PESO)'!$D$41:$D$45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6498-47AC-BFAE-9B5D23432D22}"/>
            </c:ext>
          </c:extLst>
        </c:ser>
        <c:ser>
          <c:idx val="2"/>
          <c:order val="2"/>
          <c:tx>
            <c:strRef>
              <c:f>'FRENOMETRO (PESO)'!$E$40</c:f>
              <c:strCache>
                <c:ptCount val="1"/>
                <c:pt idx="0">
                  <c:v>EXACTITUD DE ACUERDO A NTC: 5385:2011 (+) [%]</c:v>
                </c:pt>
              </c:strCache>
            </c:strRef>
          </c:tx>
          <c:val>
            <c:numRef>
              <c:f>'FRENOMETRO (PESO)'!$E$41:$E$45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6498-47AC-BFAE-9B5D23432D22}"/>
            </c:ext>
          </c:extLst>
        </c:ser>
        <c:ser>
          <c:idx val="3"/>
          <c:order val="3"/>
          <c:tx>
            <c:strRef>
              <c:f>'FRENOMETRO (PESO)'!$F$40</c:f>
              <c:strCache>
                <c:ptCount val="1"/>
                <c:pt idx="0">
                  <c:v>EXACTITUD DE ACUERDO A NTC: 5385:2011 (-) [%]</c:v>
                </c:pt>
              </c:strCache>
            </c:strRef>
          </c:tx>
          <c:val>
            <c:numRef>
              <c:f>'FRENOMETRO (PESO)'!$F$41:$F$45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6498-47AC-BFAE-9B5D23432D22}"/>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(PESO)'!$C$66</c:f>
              <c:strCache>
                <c:ptCount val="1"/>
                <c:pt idx="0">
                  <c:v>PRECISION CAL 2 2021</c:v>
                </c:pt>
              </c:strCache>
            </c:strRef>
          </c:tx>
          <c:val>
            <c:numRef>
              <c:f>'FRENOMETRO (PESO)'!$C$67:$C$71</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81D9-4810-85D4-4F5420FA4394}"/>
            </c:ext>
          </c:extLst>
        </c:ser>
        <c:ser>
          <c:idx val="1"/>
          <c:order val="1"/>
          <c:tx>
            <c:strRef>
              <c:f>'FRENOMETRO (PESO)'!$D$66</c:f>
              <c:strCache>
                <c:ptCount val="1"/>
                <c:pt idx="0">
                  <c:v>Precision NTC 5385</c:v>
                </c:pt>
              </c:strCache>
            </c:strRef>
          </c:tx>
          <c:val>
            <c:numRef>
              <c:f>'FRENOMETRO (PESO)'!$D$67:$D$71</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81D9-4810-85D4-4F5420FA439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(PESO)'!$C$87</c:f>
              <c:strCache>
                <c:ptCount val="1"/>
                <c:pt idx="0">
                  <c:v>ERROR + U EXPANDIDA CAL 2 [%] 2021</c:v>
                </c:pt>
              </c:strCache>
            </c:strRef>
          </c:tx>
          <c:val>
            <c:numRef>
              <c:f>'FRENOMETRO (PESO)'!$C$88:$C$96</c:f>
              <c:numCache>
                <c:formatCode>0.000</c:formatCode>
                <c:ptCount val="9"/>
                <c:pt idx="0">
                  <c:v>2.1999999999999971</c:v>
                </c:pt>
                <c:pt idx="1">
                  <c:v>-1.1324274851176597E-14</c:v>
                </c:pt>
                <c:pt idx="2">
                  <c:v>0.39999999999999991</c:v>
                </c:pt>
                <c:pt idx="3">
                  <c:v>2.2999999999999998</c:v>
                </c:pt>
                <c:pt idx="4">
                  <c:v>1.25</c:v>
                </c:pt>
                <c:pt idx="5">
                  <c:v>1.3333333333333333</c:v>
                </c:pt>
                <c:pt idx="6">
                  <c:v>1.2222222222222223</c:v>
                </c:pt>
                <c:pt idx="7">
                  <c:v>1.3958333333333333</c:v>
                </c:pt>
                <c:pt idx="8">
                  <c:v>1.4166666666666667</c:v>
                </c:pt>
              </c:numCache>
            </c:numRef>
          </c:val>
          <c:smooth val="0"/>
          <c:extLst>
            <c:ext xmlns:c16="http://schemas.microsoft.com/office/drawing/2014/chart" uri="{C3380CC4-5D6E-409C-BE32-E72D297353CC}">
              <c16:uniqueId val="{00000000-22FE-4A33-AD6B-33341BA9AE3B}"/>
            </c:ext>
          </c:extLst>
        </c:ser>
        <c:ser>
          <c:idx val="1"/>
          <c:order val="1"/>
          <c:tx>
            <c:strRef>
              <c:f>'FRENOMETRO (PESO)'!$D$87</c:f>
              <c:strCache>
                <c:ptCount val="1"/>
                <c:pt idx="0">
                  <c:v>ERROR - U EXPANDIDA CAL 2 [%] 2021</c:v>
                </c:pt>
              </c:strCache>
            </c:strRef>
          </c:tx>
          <c:val>
            <c:numRef>
              <c:f>'FRENOMETRO (PESO)'!$D$88:$D$96</c:f>
              <c:numCache>
                <c:formatCode>0.000</c:formatCode>
                <c:ptCount val="9"/>
                <c:pt idx="0">
                  <c:v>-1.6000000000000028</c:v>
                </c:pt>
                <c:pt idx="1">
                  <c:v>-1.7333333333333372</c:v>
                </c:pt>
                <c:pt idx="2">
                  <c:v>-1.5999999999999999</c:v>
                </c:pt>
                <c:pt idx="3">
                  <c:v>-1.2</c:v>
                </c:pt>
                <c:pt idx="4">
                  <c:v>-1.25</c:v>
                </c:pt>
                <c:pt idx="5">
                  <c:v>-1.0833333333333333</c:v>
                </c:pt>
                <c:pt idx="6">
                  <c:v>-1.2222222222222223</c:v>
                </c:pt>
                <c:pt idx="7">
                  <c:v>-1.3541666666666667</c:v>
                </c:pt>
                <c:pt idx="8">
                  <c:v>-1.3166666666666667</c:v>
                </c:pt>
              </c:numCache>
            </c:numRef>
          </c:val>
          <c:smooth val="0"/>
          <c:extLst>
            <c:ext xmlns:c16="http://schemas.microsoft.com/office/drawing/2014/chart" uri="{C3380CC4-5D6E-409C-BE32-E72D297353CC}">
              <c16:uniqueId val="{00000001-22FE-4A33-AD6B-33341BA9AE3B}"/>
            </c:ext>
          </c:extLst>
        </c:ser>
        <c:ser>
          <c:idx val="2"/>
          <c:order val="2"/>
          <c:tx>
            <c:strRef>
              <c:f>'FRENOMETRO (PESO)'!$E$87</c:f>
              <c:strCache>
                <c:ptCount val="1"/>
                <c:pt idx="0">
                  <c:v>EXACTITUD DE ACUERDO A NTC: 5385:2011 (+) [%]</c:v>
                </c:pt>
              </c:strCache>
            </c:strRef>
          </c:tx>
          <c:val>
            <c:numRef>
              <c:f>'FRENOMETRO (PESO)'!$E$88:$E$96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2-22FE-4A33-AD6B-33341BA9AE3B}"/>
            </c:ext>
          </c:extLst>
        </c:ser>
        <c:ser>
          <c:idx val="3"/>
          <c:order val="3"/>
          <c:tx>
            <c:strRef>
              <c:f>'FRENOMETRO (PESO)'!$F$87</c:f>
              <c:strCache>
                <c:ptCount val="1"/>
                <c:pt idx="0">
                  <c:v>EXACTITUD DE ACUERDO A NTC: 5385:2011 (-) [%]</c:v>
                </c:pt>
              </c:strCache>
            </c:strRef>
          </c:tx>
          <c:val>
            <c:numRef>
              <c:f>'FRENOMETRO (PESO)'!$F$88:$F$96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3-22FE-4A33-AD6B-33341BA9AE3B}"/>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(PESO)'!$C$117</c:f>
              <c:strCache>
                <c:ptCount val="1"/>
                <c:pt idx="0">
                  <c:v>PRECISION CAL 2 2021</c:v>
                </c:pt>
              </c:strCache>
            </c:strRef>
          </c:tx>
          <c:val>
            <c:numRef>
              <c:f>'FRENOMETRO (PESO)'!$C$118:$C$126</c:f>
              <c:numCache>
                <c:formatCode>0.000</c:formatCode>
                <c:ptCount val="9"/>
                <c:pt idx="0">
                  <c:v>0.57999999999999996</c:v>
                </c:pt>
                <c:pt idx="1">
                  <c:v>0.1933333333333333</c:v>
                </c:pt>
                <c:pt idx="2">
                  <c:v>0.2</c:v>
                </c:pt>
                <c:pt idx="3">
                  <c:v>0.1</c:v>
                </c:pt>
                <c:pt idx="4">
                  <c:v>8.3333333333333329E-2</c:v>
                </c:pt>
                <c:pt idx="5">
                  <c:v>2.4166666666666663E-2</c:v>
                </c:pt>
                <c:pt idx="6">
                  <c:v>3.1944444444444442E-2</c:v>
                </c:pt>
                <c:pt idx="7">
                  <c:v>2.3958333333333331E-2</c:v>
                </c:pt>
                <c:pt idx="8">
                  <c:v>9.6666666666666654E-3</c:v>
                </c:pt>
              </c:numCache>
            </c:numRef>
          </c:val>
          <c:smooth val="0"/>
          <c:extLst>
            <c:ext xmlns:c16="http://schemas.microsoft.com/office/drawing/2014/chart" uri="{C3380CC4-5D6E-409C-BE32-E72D297353CC}">
              <c16:uniqueId val="{00000000-1904-4A30-85BF-0495DECC40B6}"/>
            </c:ext>
          </c:extLst>
        </c:ser>
        <c:ser>
          <c:idx val="1"/>
          <c:order val="1"/>
          <c:tx>
            <c:strRef>
              <c:f>'FRENOMETRO (PESO)'!$D$117</c:f>
              <c:strCache>
                <c:ptCount val="1"/>
                <c:pt idx="0">
                  <c:v>Precision NTC 5385</c:v>
                </c:pt>
              </c:strCache>
            </c:strRef>
          </c:tx>
          <c:val>
            <c:numRef>
              <c:f>'FRENOMETRO (PESO)'!$D$118:$D$126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1-1904-4A30-85BF-0495DECC40B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(PESO)'!$C$143</c:f>
              <c:strCache>
                <c:ptCount val="1"/>
                <c:pt idx="0">
                  <c:v>ERROR + U EXPANDIDA CAL 2 [%] 2021</c:v>
                </c:pt>
              </c:strCache>
            </c:strRef>
          </c:tx>
          <c:val>
            <c:numRef>
              <c:f>'FRENOMETRO (PESO)'!$C$144:$C$148</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EA46-49D7-BB40-A62D1F029849}"/>
            </c:ext>
          </c:extLst>
        </c:ser>
        <c:ser>
          <c:idx val="1"/>
          <c:order val="1"/>
          <c:tx>
            <c:strRef>
              <c:f>'FRENOMETRO (PESO)'!$D$143</c:f>
              <c:strCache>
                <c:ptCount val="1"/>
                <c:pt idx="0">
                  <c:v>ERROR - U EXPANDIDA CAL 2 [%] 2021</c:v>
                </c:pt>
              </c:strCache>
            </c:strRef>
          </c:tx>
          <c:val>
            <c:numRef>
              <c:f>'FRENOMETRO (PESO)'!$D$144:$D$148</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EA46-49D7-BB40-A62D1F029849}"/>
            </c:ext>
          </c:extLst>
        </c:ser>
        <c:ser>
          <c:idx val="2"/>
          <c:order val="2"/>
          <c:tx>
            <c:strRef>
              <c:f>'FRENOMETRO (PESO)'!$E$143</c:f>
              <c:strCache>
                <c:ptCount val="1"/>
                <c:pt idx="0">
                  <c:v>EXACTITUD DE ACUERDO A NTC: 5385:2011 (+) [%]</c:v>
                </c:pt>
              </c:strCache>
            </c:strRef>
          </c:tx>
          <c:val>
            <c:numRef>
              <c:f>'FRENOMETRO (PESO)'!$E$144:$E$148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EA46-49D7-BB40-A62D1F029849}"/>
            </c:ext>
          </c:extLst>
        </c:ser>
        <c:ser>
          <c:idx val="3"/>
          <c:order val="3"/>
          <c:tx>
            <c:strRef>
              <c:f>'FRENOMETRO (PESO)'!$F$143</c:f>
              <c:strCache>
                <c:ptCount val="1"/>
                <c:pt idx="0">
                  <c:v>EXACTITUD DE ACUERDO A NTC: 5385:2011 (-) [%]</c:v>
                </c:pt>
              </c:strCache>
            </c:strRef>
          </c:tx>
          <c:val>
            <c:numRef>
              <c:f>'FRENOMETRO (PESO)'!$F$144:$F$148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EA46-49D7-BB40-A62D1F029849}"/>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(PESO)'!$C$169</c:f>
              <c:strCache>
                <c:ptCount val="1"/>
                <c:pt idx="0">
                  <c:v>PRECISION CAL 2 2021</c:v>
                </c:pt>
              </c:strCache>
            </c:strRef>
          </c:tx>
          <c:val>
            <c:numRef>
              <c:f>'FRENOMETRO (PESO)'!$C$170:$C$174</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01A-4974-9F3D-CEBE5097F32F}"/>
            </c:ext>
          </c:extLst>
        </c:ser>
        <c:ser>
          <c:idx val="1"/>
          <c:order val="1"/>
          <c:tx>
            <c:strRef>
              <c:f>'FRENOMETRO (PESO)'!$D$169</c:f>
              <c:strCache>
                <c:ptCount val="1"/>
                <c:pt idx="0">
                  <c:v>Precision NTC 5385</c:v>
                </c:pt>
              </c:strCache>
            </c:strRef>
          </c:tx>
          <c:val>
            <c:numRef>
              <c:f>'FRENOMETRO (PESO)'!$D$170:$D$174</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401A-4974-9F3D-CEBE5097F32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1(CO2)  '!$C$69</c:f>
              <c:strCache>
                <c:ptCount val="1"/>
                <c:pt idx="0">
                  <c:v>RUIDO CAL 2</c:v>
                </c:pt>
              </c:strCache>
            </c:strRef>
          </c:tx>
          <c:val>
            <c:numRef>
              <c:f>'DIOXIDO 1(CO2)  '!$C$70:$C$73</c:f>
              <c:numCache>
                <c:formatCode>0.000</c:formatCode>
                <c:ptCount val="4"/>
                <c:pt idx="0">
                  <c:v>0.05</c:v>
                </c:pt>
                <c:pt idx="1">
                  <c:v>0.05</c:v>
                </c:pt>
                <c:pt idx="2">
                  <c:v>0</c:v>
                </c:pt>
                <c:pt idx="3">
                  <c:v>0</c:v>
                </c:pt>
              </c:numCache>
            </c:numRef>
          </c:val>
          <c:smooth val="0"/>
          <c:extLst>
            <c:ext xmlns:c16="http://schemas.microsoft.com/office/drawing/2014/chart" uri="{C3380CC4-5D6E-409C-BE32-E72D297353CC}">
              <c16:uniqueId val="{00000009-E586-438F-A4DE-C83EB2D020A5}"/>
            </c:ext>
          </c:extLst>
        </c:ser>
        <c:ser>
          <c:idx val="1"/>
          <c:order val="1"/>
          <c:tx>
            <c:strRef>
              <c:f>'DIOXIDO 1(CO2)  '!$D$69</c:f>
              <c:strCache>
                <c:ptCount val="1"/>
                <c:pt idx="0">
                  <c:v>Ruido NTC 4983 Numeral 5.2.7.1 (+) [%]</c:v>
                </c:pt>
              </c:strCache>
            </c:strRef>
          </c:tx>
          <c:val>
            <c:numRef>
              <c:f>'DIOXIDO 1(CO2)  '!$D$70:$D$73</c:f>
              <c:numCache>
                <c:formatCode>0.00</c:formatCode>
                <c:ptCount val="4"/>
                <c:pt idx="0">
                  <c:v>0.2</c:v>
                </c:pt>
                <c:pt idx="1">
                  <c:v>0.2</c:v>
                </c:pt>
                <c:pt idx="2">
                  <c:v>0.2</c:v>
                </c:pt>
                <c:pt idx="3">
                  <c:v>0.2</c:v>
                </c:pt>
              </c:numCache>
            </c:numRef>
          </c:val>
          <c:smooth val="0"/>
          <c:extLst>
            <c:ext xmlns:c16="http://schemas.microsoft.com/office/drawing/2014/chart" uri="{C3380CC4-5D6E-409C-BE32-E72D297353CC}">
              <c16:uniqueId val="{0000000A-E586-438F-A4DE-C83EB2D020A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(PESO)'!$C$190</c:f>
              <c:strCache>
                <c:ptCount val="1"/>
                <c:pt idx="0">
                  <c:v>ERROR + U EXPANDIDA CAL 2 [%] 2021</c:v>
                </c:pt>
              </c:strCache>
            </c:strRef>
          </c:tx>
          <c:val>
            <c:numRef>
              <c:f>'FRENOMETRO (PESO)'!$C$191:$C$199</c:f>
              <c:numCache>
                <c:formatCode>0.000</c:formatCode>
                <c:ptCount val="9"/>
                <c:pt idx="0">
                  <c:v>2.1999999999999971</c:v>
                </c:pt>
                <c:pt idx="1">
                  <c:v>1.9999999999999887</c:v>
                </c:pt>
                <c:pt idx="2">
                  <c:v>1.0999999999999885</c:v>
                </c:pt>
                <c:pt idx="3">
                  <c:v>1.6</c:v>
                </c:pt>
                <c:pt idx="4">
                  <c:v>1.4166666666666667</c:v>
                </c:pt>
                <c:pt idx="5">
                  <c:v>1.2083333333333333</c:v>
                </c:pt>
                <c:pt idx="6">
                  <c:v>1.2222222222222223</c:v>
                </c:pt>
                <c:pt idx="7">
                  <c:v>1.4375</c:v>
                </c:pt>
                <c:pt idx="8">
                  <c:v>1.35</c:v>
                </c:pt>
              </c:numCache>
            </c:numRef>
          </c:val>
          <c:smooth val="0"/>
          <c:extLst>
            <c:ext xmlns:c16="http://schemas.microsoft.com/office/drawing/2014/chart" uri="{C3380CC4-5D6E-409C-BE32-E72D297353CC}">
              <c16:uniqueId val="{00000000-BBE0-444C-A272-2B6B37D5CD9A}"/>
            </c:ext>
          </c:extLst>
        </c:ser>
        <c:ser>
          <c:idx val="1"/>
          <c:order val="1"/>
          <c:tx>
            <c:strRef>
              <c:f>'FRENOMETRO (PESO)'!$D$190</c:f>
              <c:strCache>
                <c:ptCount val="1"/>
                <c:pt idx="0">
                  <c:v>ERROR - U EXPANDIDA CAL 2 [%] 2021</c:v>
                </c:pt>
              </c:strCache>
            </c:strRef>
          </c:tx>
          <c:val>
            <c:numRef>
              <c:f>'FRENOMETRO (PESO)'!$D$191:$D$199</c:f>
              <c:numCache>
                <c:formatCode>0.000</c:formatCode>
                <c:ptCount val="9"/>
                <c:pt idx="0">
                  <c:v>-1.6000000000000028</c:v>
                </c:pt>
                <c:pt idx="1">
                  <c:v>-1.0666666666666704</c:v>
                </c:pt>
                <c:pt idx="2">
                  <c:v>-1.4600000000000022</c:v>
                </c:pt>
                <c:pt idx="3">
                  <c:v>-1</c:v>
                </c:pt>
                <c:pt idx="4">
                  <c:v>-1.0833333333333333</c:v>
                </c:pt>
                <c:pt idx="5">
                  <c:v>-1.2083333333333333</c:v>
                </c:pt>
                <c:pt idx="6">
                  <c:v>-1.2222222222222223</c:v>
                </c:pt>
                <c:pt idx="7">
                  <c:v>-1.3125</c:v>
                </c:pt>
                <c:pt idx="8">
                  <c:v>-1.3833333333333333</c:v>
                </c:pt>
              </c:numCache>
            </c:numRef>
          </c:val>
          <c:smooth val="0"/>
          <c:extLst>
            <c:ext xmlns:c16="http://schemas.microsoft.com/office/drawing/2014/chart" uri="{C3380CC4-5D6E-409C-BE32-E72D297353CC}">
              <c16:uniqueId val="{00000001-BBE0-444C-A272-2B6B37D5CD9A}"/>
            </c:ext>
          </c:extLst>
        </c:ser>
        <c:ser>
          <c:idx val="2"/>
          <c:order val="2"/>
          <c:tx>
            <c:strRef>
              <c:f>'FRENOMETRO (PESO)'!$E$190</c:f>
              <c:strCache>
                <c:ptCount val="1"/>
                <c:pt idx="0">
                  <c:v>EXACTITUD DE ACUERDO A NTC: 5385:2011 (+) [%]</c:v>
                </c:pt>
              </c:strCache>
            </c:strRef>
          </c:tx>
          <c:val>
            <c:numRef>
              <c:f>'FRENOMETRO (PESO)'!$E$191:$E$199</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2-BBE0-444C-A272-2B6B37D5CD9A}"/>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(PESO)'!$C$117</c:f>
              <c:strCache>
                <c:ptCount val="1"/>
                <c:pt idx="0">
                  <c:v>PRECISION CAL 2 2021</c:v>
                </c:pt>
              </c:strCache>
            </c:strRef>
          </c:tx>
          <c:val>
            <c:numRef>
              <c:f>'FRENOMETRO (PESO)'!$C$118:$C$126</c:f>
              <c:numCache>
                <c:formatCode>0.000</c:formatCode>
                <c:ptCount val="9"/>
                <c:pt idx="0">
                  <c:v>0.57999999999999996</c:v>
                </c:pt>
                <c:pt idx="1">
                  <c:v>0.1933333333333333</c:v>
                </c:pt>
                <c:pt idx="2">
                  <c:v>0.2</c:v>
                </c:pt>
                <c:pt idx="3">
                  <c:v>0.1</c:v>
                </c:pt>
                <c:pt idx="4">
                  <c:v>8.3333333333333329E-2</c:v>
                </c:pt>
                <c:pt idx="5">
                  <c:v>2.4166666666666663E-2</c:v>
                </c:pt>
                <c:pt idx="6">
                  <c:v>3.1944444444444442E-2</c:v>
                </c:pt>
                <c:pt idx="7">
                  <c:v>2.3958333333333331E-2</c:v>
                </c:pt>
                <c:pt idx="8">
                  <c:v>9.6666666666666654E-3</c:v>
                </c:pt>
              </c:numCache>
            </c:numRef>
          </c:val>
          <c:smooth val="0"/>
          <c:extLst>
            <c:ext xmlns:c16="http://schemas.microsoft.com/office/drawing/2014/chart" uri="{C3380CC4-5D6E-409C-BE32-E72D297353CC}">
              <c16:uniqueId val="{00000000-2DF4-4EC5-B2E6-E04434116E36}"/>
            </c:ext>
          </c:extLst>
        </c:ser>
        <c:ser>
          <c:idx val="1"/>
          <c:order val="1"/>
          <c:tx>
            <c:strRef>
              <c:f>'FRENOMETRO (PESO)'!$D$117</c:f>
              <c:strCache>
                <c:ptCount val="1"/>
                <c:pt idx="0">
                  <c:v>Precision NTC 5385</c:v>
                </c:pt>
              </c:strCache>
            </c:strRef>
          </c:tx>
          <c:val>
            <c:numRef>
              <c:f>'FRENOMETRO (PESO)'!$D$118:$D$126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1-2DF4-4EC5-B2E6-E04434116E3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LIVIANO '!$C$40</c:f>
              <c:strCache>
                <c:ptCount val="1"/>
                <c:pt idx="0">
                  <c:v>ERROR + U EXPANDIDA CAL 2 [mm]</c:v>
                </c:pt>
              </c:strCache>
            </c:strRef>
          </c:tx>
          <c:val>
            <c:numRef>
              <c:f>'FRENOMETRO LIVIANO '!$C$41:$C$51</c:f>
              <c:numCache>
                <c:formatCode>0.000</c:formatCode>
                <c:ptCount val="11"/>
                <c:pt idx="0">
                  <c:v>9.499999999999998E-3</c:v>
                </c:pt>
                <c:pt idx="1">
                  <c:v>6.333333333333338E-2</c:v>
                </c:pt>
                <c:pt idx="2">
                  <c:v>0.17333333333333342</c:v>
                </c:pt>
                <c:pt idx="3">
                  <c:v>0.41166666666666663</c:v>
                </c:pt>
                <c:pt idx="4">
                  <c:v>0.2</c:v>
                </c:pt>
                <c:pt idx="5">
                  <c:v>0.53333333333333333</c:v>
                </c:pt>
                <c:pt idx="6">
                  <c:v>0.75</c:v>
                </c:pt>
                <c:pt idx="7">
                  <c:v>1.1833333333333333</c:v>
                </c:pt>
                <c:pt idx="8">
                  <c:v>1.45</c:v>
                </c:pt>
                <c:pt idx="9">
                  <c:v>1.9</c:v>
                </c:pt>
                <c:pt idx="10">
                  <c:v>2.083333333333333</c:v>
                </c:pt>
              </c:numCache>
            </c:numRef>
          </c:val>
          <c:smooth val="0"/>
          <c:extLst>
            <c:ext xmlns:c16="http://schemas.microsoft.com/office/drawing/2014/chart" uri="{C3380CC4-5D6E-409C-BE32-E72D297353CC}">
              <c16:uniqueId val="{00000000-1E17-4E42-8F2D-502C01D30292}"/>
            </c:ext>
          </c:extLst>
        </c:ser>
        <c:ser>
          <c:idx val="1"/>
          <c:order val="1"/>
          <c:tx>
            <c:strRef>
              <c:f>'FRENOMETRO LIVIANO '!$D$40</c:f>
              <c:strCache>
                <c:ptCount val="1"/>
                <c:pt idx="0">
                  <c:v>ERROR - U EXPANDIDA CAL 2 [mm]</c:v>
                </c:pt>
              </c:strCache>
            </c:strRef>
          </c:tx>
          <c:val>
            <c:numRef>
              <c:f>'FRENOMETRO LIVIANO '!$D$41:$D$51</c:f>
              <c:numCache>
                <c:formatCode>0.000</c:formatCode>
                <c:ptCount val="11"/>
                <c:pt idx="0">
                  <c:v>-9.499999999999998E-3</c:v>
                </c:pt>
                <c:pt idx="1">
                  <c:v>2.666666666666671E-2</c:v>
                </c:pt>
                <c:pt idx="2">
                  <c:v>-9.9999999999998979E-3</c:v>
                </c:pt>
                <c:pt idx="3">
                  <c:v>8.8333333333333347E-2</c:v>
                </c:pt>
                <c:pt idx="4">
                  <c:v>-0.36666666666666664</c:v>
                </c:pt>
                <c:pt idx="5">
                  <c:v>-0.6</c:v>
                </c:pt>
                <c:pt idx="6">
                  <c:v>-0.91666666666666674</c:v>
                </c:pt>
                <c:pt idx="7">
                  <c:v>-1.05</c:v>
                </c:pt>
                <c:pt idx="8">
                  <c:v>-1.3499999999999999</c:v>
                </c:pt>
                <c:pt idx="9">
                  <c:v>-1.7666666666666666</c:v>
                </c:pt>
                <c:pt idx="10">
                  <c:v>-1.5833333333333333</c:v>
                </c:pt>
              </c:numCache>
            </c:numRef>
          </c:val>
          <c:smooth val="0"/>
          <c:extLst>
            <c:ext xmlns:c16="http://schemas.microsoft.com/office/drawing/2014/chart" uri="{C3380CC4-5D6E-409C-BE32-E72D297353CC}">
              <c16:uniqueId val="{00000001-1E17-4E42-8F2D-502C01D30292}"/>
            </c:ext>
          </c:extLst>
        </c:ser>
        <c:ser>
          <c:idx val="2"/>
          <c:order val="2"/>
          <c:tx>
            <c:strRef>
              <c:f>'FRENOMETRO LIVIANO '!$E$40</c:f>
              <c:strCache>
                <c:ptCount val="1"/>
                <c:pt idx="0">
                  <c:v>EXACTITUD DE ACUERDO A NTC: 5385:2011 (+) [mm]</c:v>
                </c:pt>
              </c:strCache>
            </c:strRef>
          </c:tx>
          <c:val>
            <c:numRef>
              <c:f>'FRENOMETRO LIVIANO '!$E$41:$E$51</c:f>
              <c:numCache>
                <c:formatCode>0.00</c:formatCode>
                <c:ptCount val="11"/>
                <c:pt idx="0">
                  <c:v>3</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2-1E17-4E42-8F2D-502C01D30292}"/>
            </c:ext>
          </c:extLst>
        </c:ser>
        <c:ser>
          <c:idx val="3"/>
          <c:order val="3"/>
          <c:tx>
            <c:strRef>
              <c:f>'FRENOMETRO LIVIANO '!$F$40</c:f>
              <c:strCache>
                <c:ptCount val="1"/>
                <c:pt idx="0">
                  <c:v>EXACTITUD DE ACUERDO A NTC: 5385:2011 (-) [mm]</c:v>
                </c:pt>
              </c:strCache>
            </c:strRef>
          </c:tx>
          <c:val>
            <c:numRef>
              <c:f>'FRENOMETRO LIVIANO '!$F$41:$F$51</c:f>
              <c:numCache>
                <c:formatCode>0.00</c:formatCode>
                <c:ptCount val="11"/>
                <c:pt idx="0">
                  <c:v>-3</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3-1E17-4E42-8F2D-502C01D30292}"/>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LIVIANO '!$C$68</c:f>
              <c:strCache>
                <c:ptCount val="1"/>
                <c:pt idx="0">
                  <c:v>PRECISION CAL 2</c:v>
                </c:pt>
              </c:strCache>
            </c:strRef>
          </c:tx>
          <c:val>
            <c:numRef>
              <c:f>'FRENOMETRO LIVIANO '!$C$69:$C$79</c:f>
              <c:numCache>
                <c:formatCode>0.000</c:formatCode>
                <c:ptCount val="11"/>
                <c:pt idx="0">
                  <c:v>0</c:v>
                </c:pt>
                <c:pt idx="1">
                  <c:v>0</c:v>
                </c:pt>
                <c:pt idx="2">
                  <c:v>0.06</c:v>
                </c:pt>
                <c:pt idx="3">
                  <c:v>8.8333333333333333E-2</c:v>
                </c:pt>
                <c:pt idx="4">
                  <c:v>7.4999999999999997E-2</c:v>
                </c:pt>
                <c:pt idx="5">
                  <c:v>7.0000000000000007E-2</c:v>
                </c:pt>
                <c:pt idx="6">
                  <c:v>0.06</c:v>
                </c:pt>
                <c:pt idx="7">
                  <c:v>0.1</c:v>
                </c:pt>
                <c:pt idx="8">
                  <c:v>0.05</c:v>
                </c:pt>
                <c:pt idx="9">
                  <c:v>0.1</c:v>
                </c:pt>
                <c:pt idx="10">
                  <c:v>4.8333333333333332E-2</c:v>
                </c:pt>
              </c:numCache>
            </c:numRef>
          </c:val>
          <c:smooth val="0"/>
          <c:extLst>
            <c:ext xmlns:c16="http://schemas.microsoft.com/office/drawing/2014/chart" uri="{C3380CC4-5D6E-409C-BE32-E72D297353CC}">
              <c16:uniqueId val="{00000000-6813-4D3E-914C-FFE26820A9CE}"/>
            </c:ext>
          </c:extLst>
        </c:ser>
        <c:ser>
          <c:idx val="1"/>
          <c:order val="1"/>
          <c:tx>
            <c:strRef>
              <c:f>'FRENOMETRO LIVIANO '!$D$68</c:f>
              <c:strCache>
                <c:ptCount val="1"/>
                <c:pt idx="0">
                  <c:v>Precision NTC 5385</c:v>
                </c:pt>
              </c:strCache>
            </c:strRef>
          </c:tx>
          <c:val>
            <c:numRef>
              <c:f>'FRENOMETRO LIVIANO '!$D$69:$D$79</c:f>
              <c:numCache>
                <c:formatCode>0.00</c:formatCode>
                <c:ptCount val="11"/>
                <c:pt idx="0">
                  <c:v>2</c:v>
                </c:pt>
                <c:pt idx="1">
                  <c:v>2</c:v>
                </c:pt>
                <c:pt idx="2">
                  <c:v>2</c:v>
                </c:pt>
                <c:pt idx="3">
                  <c:v>2</c:v>
                </c:pt>
                <c:pt idx="4">
                  <c:v>2</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1-6813-4D3E-914C-FFE26820A9C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LIVIANO '!$C$91</c:f>
              <c:strCache>
                <c:ptCount val="1"/>
                <c:pt idx="0">
                  <c:v>ERROR + U EXPANDIDA CAL 2 [mm]</c:v>
                </c:pt>
              </c:strCache>
            </c:strRef>
          </c:tx>
          <c:val>
            <c:numRef>
              <c:f>'FRENOMETRO LIVIANO '!$C$92:$C$102</c:f>
              <c:numCache>
                <c:formatCode>0.000</c:formatCode>
                <c:ptCount val="11"/>
                <c:pt idx="0">
                  <c:v>9.499999999999998E-3</c:v>
                </c:pt>
                <c:pt idx="1">
                  <c:v>-1.1666666666666617E-2</c:v>
                </c:pt>
                <c:pt idx="2">
                  <c:v>-6.6666666666666485E-2</c:v>
                </c:pt>
                <c:pt idx="3">
                  <c:v>-1.833333333333409E-2</c:v>
                </c:pt>
                <c:pt idx="4">
                  <c:v>-1.6666666666666663E-2</c:v>
                </c:pt>
                <c:pt idx="5">
                  <c:v>9.9999999999999978E-2</c:v>
                </c:pt>
                <c:pt idx="6">
                  <c:v>0.21666666666666667</c:v>
                </c:pt>
                <c:pt idx="7">
                  <c:v>0.46666666666666667</c:v>
                </c:pt>
                <c:pt idx="8">
                  <c:v>1.25</c:v>
                </c:pt>
                <c:pt idx="9">
                  <c:v>1.3666666666666667</c:v>
                </c:pt>
                <c:pt idx="10">
                  <c:v>1.3666666666666667</c:v>
                </c:pt>
              </c:numCache>
            </c:numRef>
          </c:val>
          <c:smooth val="0"/>
          <c:extLst>
            <c:ext xmlns:c16="http://schemas.microsoft.com/office/drawing/2014/chart" uri="{C3380CC4-5D6E-409C-BE32-E72D297353CC}">
              <c16:uniqueId val="{00000000-9A34-4F2B-AA5E-29DE5273F071}"/>
            </c:ext>
          </c:extLst>
        </c:ser>
        <c:ser>
          <c:idx val="1"/>
          <c:order val="1"/>
          <c:tx>
            <c:strRef>
              <c:f>'FRENOMETRO LIVIANO '!$D$91</c:f>
              <c:strCache>
                <c:ptCount val="1"/>
                <c:pt idx="0">
                  <c:v>ERROR - U EXPANDIDA CAL 2 [mm]</c:v>
                </c:pt>
              </c:strCache>
            </c:strRef>
          </c:tx>
          <c:val>
            <c:numRef>
              <c:f>'FRENOMETRO LIVIANO '!$D$92:$D$102</c:f>
              <c:numCache>
                <c:formatCode>0.000</c:formatCode>
                <c:ptCount val="11"/>
                <c:pt idx="0">
                  <c:v>-9.499999999999998E-3</c:v>
                </c:pt>
                <c:pt idx="1">
                  <c:v>-4.8333333333333291E-2</c:v>
                </c:pt>
                <c:pt idx="2">
                  <c:v>-0.22333333333333316</c:v>
                </c:pt>
                <c:pt idx="3">
                  <c:v>-0.30500000000000077</c:v>
                </c:pt>
                <c:pt idx="4">
                  <c:v>-0.55000000000000004</c:v>
                </c:pt>
                <c:pt idx="5">
                  <c:v>-0.96666666666666667</c:v>
                </c:pt>
                <c:pt idx="6">
                  <c:v>-1.3833333333333333</c:v>
                </c:pt>
                <c:pt idx="7">
                  <c:v>-1.6666666666666665</c:v>
                </c:pt>
                <c:pt idx="8">
                  <c:v>-1.4166666666666665</c:v>
                </c:pt>
                <c:pt idx="9">
                  <c:v>-1.8333333333333335</c:v>
                </c:pt>
                <c:pt idx="10">
                  <c:v>-1.9666666666666668</c:v>
                </c:pt>
              </c:numCache>
            </c:numRef>
          </c:val>
          <c:smooth val="0"/>
          <c:extLst>
            <c:ext xmlns:c16="http://schemas.microsoft.com/office/drawing/2014/chart" uri="{C3380CC4-5D6E-409C-BE32-E72D297353CC}">
              <c16:uniqueId val="{00000001-9A34-4F2B-AA5E-29DE5273F071}"/>
            </c:ext>
          </c:extLst>
        </c:ser>
        <c:ser>
          <c:idx val="2"/>
          <c:order val="2"/>
          <c:tx>
            <c:strRef>
              <c:f>'FRENOMETRO LIVIANO '!$E$91</c:f>
              <c:strCache>
                <c:ptCount val="1"/>
                <c:pt idx="0">
                  <c:v>EXACTITUD DE ACUERDO A NTC: 5385:2011 (+) [mm]</c:v>
                </c:pt>
              </c:strCache>
            </c:strRef>
          </c:tx>
          <c:val>
            <c:numRef>
              <c:f>'FRENOMETRO LIVIANO '!$E$92:$E$102</c:f>
              <c:numCache>
                <c:formatCode>0.00</c:formatCode>
                <c:ptCount val="11"/>
                <c:pt idx="0">
                  <c:v>3</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2-9A34-4F2B-AA5E-29DE5273F071}"/>
            </c:ext>
          </c:extLst>
        </c:ser>
        <c:ser>
          <c:idx val="3"/>
          <c:order val="3"/>
          <c:tx>
            <c:strRef>
              <c:f>'FRENOMETRO LIVIANO '!$F$91</c:f>
              <c:strCache>
                <c:ptCount val="1"/>
                <c:pt idx="0">
                  <c:v>EXACTITUD DE ACUERDO A NTC: 5385:2011 (-) [mm]</c:v>
                </c:pt>
              </c:strCache>
            </c:strRef>
          </c:tx>
          <c:val>
            <c:numRef>
              <c:f>'FRENOMETRO LIVIANO '!$F$92:$F$102</c:f>
              <c:numCache>
                <c:formatCode>0.00</c:formatCode>
                <c:ptCount val="11"/>
                <c:pt idx="0">
                  <c:v>-3</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3-9A34-4F2B-AA5E-29DE5273F071}"/>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LIVIANO '!$C$119</c:f>
              <c:strCache>
                <c:ptCount val="1"/>
                <c:pt idx="0">
                  <c:v>PRECISION CAL 2</c:v>
                </c:pt>
              </c:strCache>
            </c:strRef>
          </c:tx>
          <c:val>
            <c:numRef>
              <c:f>'FRENOMETRO LIVIANO '!$C$120:$C$130</c:f>
              <c:numCache>
                <c:formatCode>0.000</c:formatCode>
                <c:ptCount val="11"/>
                <c:pt idx="0">
                  <c:v>0</c:v>
                </c:pt>
                <c:pt idx="1">
                  <c:v>0</c:v>
                </c:pt>
                <c:pt idx="2">
                  <c:v>4.3333333333333335E-2</c:v>
                </c:pt>
                <c:pt idx="3">
                  <c:v>5.6666666666666664E-2</c:v>
                </c:pt>
                <c:pt idx="4">
                  <c:v>6.3333333333333339E-2</c:v>
                </c:pt>
                <c:pt idx="5">
                  <c:v>8.3333333333333329E-2</c:v>
                </c:pt>
                <c:pt idx="6">
                  <c:v>5.1666666666666666E-2</c:v>
                </c:pt>
                <c:pt idx="7">
                  <c:v>5.1666666666666666E-2</c:v>
                </c:pt>
                <c:pt idx="8">
                  <c:v>6.6666666666666666E-2</c:v>
                </c:pt>
                <c:pt idx="9">
                  <c:v>3.833333333333333E-2</c:v>
                </c:pt>
                <c:pt idx="10">
                  <c:v>0.08</c:v>
                </c:pt>
              </c:numCache>
            </c:numRef>
          </c:val>
          <c:smooth val="0"/>
          <c:extLst>
            <c:ext xmlns:c16="http://schemas.microsoft.com/office/drawing/2014/chart" uri="{C3380CC4-5D6E-409C-BE32-E72D297353CC}">
              <c16:uniqueId val="{00000000-E3C4-4B41-8B57-A8871FDB97C6}"/>
            </c:ext>
          </c:extLst>
        </c:ser>
        <c:ser>
          <c:idx val="1"/>
          <c:order val="1"/>
          <c:tx>
            <c:strRef>
              <c:f>'FRENOMETRO LIVIANO '!$D$119</c:f>
              <c:strCache>
                <c:ptCount val="1"/>
                <c:pt idx="0">
                  <c:v>Precision NTC 5385</c:v>
                </c:pt>
              </c:strCache>
            </c:strRef>
          </c:tx>
          <c:val>
            <c:numRef>
              <c:f>'FRENOMETRO LIVIANO '!$D$120:$D$130</c:f>
              <c:numCache>
                <c:formatCode>0.00</c:formatCode>
                <c:ptCount val="11"/>
                <c:pt idx="0">
                  <c:v>2</c:v>
                </c:pt>
                <c:pt idx="1">
                  <c:v>2</c:v>
                </c:pt>
                <c:pt idx="2">
                  <c:v>2</c:v>
                </c:pt>
                <c:pt idx="3">
                  <c:v>2</c:v>
                </c:pt>
                <c:pt idx="4">
                  <c:v>2</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1-E3C4-4B41-8B57-A8871FDB97C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OPACIMETRO!$C$39</c:f>
              <c:strCache>
                <c:ptCount val="1"/>
                <c:pt idx="0">
                  <c:v>ERROR + U EXPANDIDA CAL 2 [%]</c:v>
                </c:pt>
              </c:strCache>
            </c:strRef>
          </c:tx>
          <c:val>
            <c:numRef>
              <c:f>OPACIMETRO!$C$40:$C$43</c:f>
              <c:numCache>
                <c:formatCode>0.000</c:formatCode>
                <c:ptCount val="4"/>
                <c:pt idx="0">
                  <c:v>0.69</c:v>
                </c:pt>
                <c:pt idx="1">
                  <c:v>0.87999999999999945</c:v>
                </c:pt>
                <c:pt idx="2">
                  <c:v>0.500000000000004</c:v>
                </c:pt>
                <c:pt idx="3">
                  <c:v>0.93999999999999828</c:v>
                </c:pt>
              </c:numCache>
            </c:numRef>
          </c:val>
          <c:smooth val="0"/>
          <c:extLst>
            <c:ext xmlns:c16="http://schemas.microsoft.com/office/drawing/2014/chart" uri="{C3380CC4-5D6E-409C-BE32-E72D297353CC}">
              <c16:uniqueId val="{00000000-FF6E-4497-926F-1187473B49DF}"/>
            </c:ext>
          </c:extLst>
        </c:ser>
        <c:ser>
          <c:idx val="1"/>
          <c:order val="1"/>
          <c:tx>
            <c:strRef>
              <c:f>OPACIMETRO!$D$39</c:f>
              <c:strCache>
                <c:ptCount val="1"/>
                <c:pt idx="0">
                  <c:v>ERROR - U EXPANDIDA CAL 2 [%]</c:v>
                </c:pt>
              </c:strCache>
            </c:strRef>
          </c:tx>
          <c:val>
            <c:numRef>
              <c:f>OPACIMETRO!$D$40:$D$43</c:f>
              <c:numCache>
                <c:formatCode>0.000</c:formatCode>
                <c:ptCount val="4"/>
                <c:pt idx="0">
                  <c:v>-0.69</c:v>
                </c:pt>
                <c:pt idx="1">
                  <c:v>-0.66000000000000059</c:v>
                </c:pt>
                <c:pt idx="2">
                  <c:v>-1.039999999999996</c:v>
                </c:pt>
                <c:pt idx="3">
                  <c:v>-0.28000000000000169</c:v>
                </c:pt>
              </c:numCache>
            </c:numRef>
          </c:val>
          <c:smooth val="0"/>
          <c:extLst>
            <c:ext xmlns:c16="http://schemas.microsoft.com/office/drawing/2014/chart" uri="{C3380CC4-5D6E-409C-BE32-E72D297353CC}">
              <c16:uniqueId val="{00000001-FF6E-4497-926F-1187473B49DF}"/>
            </c:ext>
          </c:extLst>
        </c:ser>
        <c:ser>
          <c:idx val="2"/>
          <c:order val="2"/>
          <c:tx>
            <c:strRef>
              <c:f>OPACIMETRO!$E$39</c:f>
              <c:strCache>
                <c:ptCount val="1"/>
                <c:pt idx="0">
                  <c:v>Exactitud NTC 5365 Numeral 5.2.7.1 (+) [%]</c:v>
                </c:pt>
              </c:strCache>
            </c:strRef>
          </c:tx>
          <c:val>
            <c:numRef>
              <c:f>OPACIMETRO!$E$40:$E$43</c:f>
              <c:numCache>
                <c:formatCode>0.00</c:formatCode>
                <c:ptCount val="4"/>
                <c:pt idx="0">
                  <c:v>1</c:v>
                </c:pt>
                <c:pt idx="1">
                  <c:v>2</c:v>
                </c:pt>
                <c:pt idx="2">
                  <c:v>2</c:v>
                </c:pt>
                <c:pt idx="3">
                  <c:v>1</c:v>
                </c:pt>
              </c:numCache>
            </c:numRef>
          </c:val>
          <c:smooth val="0"/>
          <c:extLst>
            <c:ext xmlns:c16="http://schemas.microsoft.com/office/drawing/2014/chart" uri="{C3380CC4-5D6E-409C-BE32-E72D297353CC}">
              <c16:uniqueId val="{00000002-FF6E-4497-926F-1187473B49DF}"/>
            </c:ext>
          </c:extLst>
        </c:ser>
        <c:ser>
          <c:idx val="3"/>
          <c:order val="3"/>
          <c:tx>
            <c:strRef>
              <c:f>OPACIMETRO!$F$39</c:f>
              <c:strCache>
                <c:ptCount val="1"/>
                <c:pt idx="0">
                  <c:v>Exactitud NTC 5365 Numeral 5.2.7.1 (-) [%]</c:v>
                </c:pt>
              </c:strCache>
            </c:strRef>
          </c:tx>
          <c:val>
            <c:numRef>
              <c:f>OPACIMETRO!$F$40:$F$43</c:f>
              <c:numCache>
                <c:formatCode>0.00</c:formatCode>
                <c:ptCount val="4"/>
                <c:pt idx="0">
                  <c:v>-1</c:v>
                </c:pt>
                <c:pt idx="1">
                  <c:v>-2</c:v>
                </c:pt>
                <c:pt idx="2">
                  <c:v>-2</c:v>
                </c:pt>
                <c:pt idx="3">
                  <c:v>-1</c:v>
                </c:pt>
              </c:numCache>
            </c:numRef>
          </c:val>
          <c:smooth val="0"/>
          <c:extLst>
            <c:ext xmlns:c16="http://schemas.microsoft.com/office/drawing/2014/chart" uri="{C3380CC4-5D6E-409C-BE32-E72D297353CC}">
              <c16:uniqueId val="{00000003-FF6E-4497-926F-1187473B49DF}"/>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(INTENSIDAD)'!$C$40</c:f>
              <c:strCache>
                <c:ptCount val="1"/>
                <c:pt idx="0">
                  <c:v>ERROR + U EXPANDIDA CAL 2 [mm]</c:v>
                </c:pt>
              </c:strCache>
            </c:strRef>
          </c:tx>
          <c:val>
            <c:numRef>
              <c:f>'LUXOMETRO (INTENSIDAD)'!$C$41:$C$47</c:f>
              <c:numCache>
                <c:formatCode>0.000</c:formatCode>
                <c:ptCount val="7"/>
                <c:pt idx="0">
                  <c:v>5.7000000000000002E-2</c:v>
                </c:pt>
                <c:pt idx="1">
                  <c:v>5.6000000000000005</c:v>
                </c:pt>
                <c:pt idx="2">
                  <c:v>4.5999999999999996</c:v>
                </c:pt>
                <c:pt idx="3">
                  <c:v>0.56153846153846299</c:v>
                </c:pt>
                <c:pt idx="4">
                  <c:v>5.7000000000000002E-2</c:v>
                </c:pt>
                <c:pt idx="5">
                  <c:v>5.6857142857142842</c:v>
                </c:pt>
                <c:pt idx="6">
                  <c:v>5.2222222222222223</c:v>
                </c:pt>
              </c:numCache>
            </c:numRef>
          </c:val>
          <c:smooth val="0"/>
          <c:extLst>
            <c:ext xmlns:c16="http://schemas.microsoft.com/office/drawing/2014/chart" uri="{C3380CC4-5D6E-409C-BE32-E72D297353CC}">
              <c16:uniqueId val="{00000000-8224-425B-9C4B-C6C6555C3D47}"/>
            </c:ext>
          </c:extLst>
        </c:ser>
        <c:ser>
          <c:idx val="1"/>
          <c:order val="1"/>
          <c:tx>
            <c:strRef>
              <c:f>'LUXOMETRO (INTENSIDAD)'!$D$40</c:f>
              <c:strCache>
                <c:ptCount val="1"/>
                <c:pt idx="0">
                  <c:v>ERROR - U EXPANDIDA CAL 2 [mm]</c:v>
                </c:pt>
              </c:strCache>
            </c:strRef>
          </c:tx>
          <c:val>
            <c:numRef>
              <c:f>'LUXOMETRO (INTENSIDAD)'!$D$41:$D$47</c:f>
              <c:numCache>
                <c:formatCode>0.000</c:formatCode>
                <c:ptCount val="7"/>
                <c:pt idx="0">
                  <c:v>-5.7000000000000002E-2</c:v>
                </c:pt>
                <c:pt idx="1">
                  <c:v>-5.6000000000000005</c:v>
                </c:pt>
                <c:pt idx="2">
                  <c:v>-3.5000000000000036</c:v>
                </c:pt>
                <c:pt idx="3">
                  <c:v>-7.6923076923071487E-2</c:v>
                </c:pt>
                <c:pt idx="4">
                  <c:v>-5.7000000000000002E-2</c:v>
                </c:pt>
                <c:pt idx="5">
                  <c:v>-1.7857142857142883</c:v>
                </c:pt>
                <c:pt idx="6">
                  <c:v>-3.1111111111111112</c:v>
                </c:pt>
              </c:numCache>
            </c:numRef>
          </c:val>
          <c:smooth val="0"/>
          <c:extLst>
            <c:ext xmlns:c16="http://schemas.microsoft.com/office/drawing/2014/chart" uri="{C3380CC4-5D6E-409C-BE32-E72D297353CC}">
              <c16:uniqueId val="{00000001-8224-425B-9C4B-C6C6555C3D47}"/>
            </c:ext>
          </c:extLst>
        </c:ser>
        <c:ser>
          <c:idx val="2"/>
          <c:order val="2"/>
          <c:tx>
            <c:strRef>
              <c:f>'LUXOMETRO (INTENSIDAD)'!$E$40</c:f>
              <c:strCache>
                <c:ptCount val="1"/>
                <c:pt idx="0">
                  <c:v>EXACTITUD DE ACUERDO A NTC: 5385:2011 (+) [mm]</c:v>
                </c:pt>
              </c:strCache>
            </c:strRef>
          </c:tx>
          <c:val>
            <c:numRef>
              <c:f>'LUXOMETRO (INTENSIDAD)'!$E$41:$E$47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2-8224-425B-9C4B-C6C6555C3D47}"/>
            </c:ext>
          </c:extLst>
        </c:ser>
        <c:ser>
          <c:idx val="3"/>
          <c:order val="3"/>
          <c:tx>
            <c:strRef>
              <c:f>'LUXOMETRO (INTENSIDAD)'!$F$40</c:f>
              <c:strCache>
                <c:ptCount val="1"/>
                <c:pt idx="0">
                  <c:v>EXACTITUD DE ACUERDO A NTC: 5385:2011 (-) [mm]</c:v>
                </c:pt>
              </c:strCache>
            </c:strRef>
          </c:tx>
          <c:val>
            <c:numRef>
              <c:f>'LUXOMETRO (INTENSIDAD)'!$F$41:$F$47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3-8224-425B-9C4B-C6C6555C3D47}"/>
            </c:ext>
          </c:extLst>
        </c:ser>
        <c:dLbls>
          <c:showLegendKey val="0"/>
          <c:showVal val="0"/>
          <c:showCatName val="0"/>
          <c:showSerName val="0"/>
          <c:showPercent val="0"/>
          <c:showBubbleSize val="0"/>
        </c:dLbls>
        <c:marker val="1"/>
        <c:smooth val="0"/>
        <c:axId val="413369104"/>
        <c:axId val="413369496"/>
      </c:lineChart>
      <c:catAx>
        <c:axId val="413369104"/>
        <c:scaling>
          <c:orientation val="minMax"/>
        </c:scaling>
        <c:delete val="0"/>
        <c:axPos val="b"/>
        <c:numFmt formatCode="General" sourceLinked="1"/>
        <c:majorTickMark val="none"/>
        <c:minorTickMark val="none"/>
        <c:tickLblPos val="nextTo"/>
        <c:crossAx val="413369496"/>
        <c:crosses val="autoZero"/>
        <c:auto val="1"/>
        <c:lblAlgn val="ctr"/>
        <c:lblOffset val="100"/>
        <c:noMultiLvlLbl val="0"/>
      </c:catAx>
      <c:valAx>
        <c:axId val="413369496"/>
        <c:scaling>
          <c:orientation val="minMax"/>
        </c:scaling>
        <c:delete val="0"/>
        <c:axPos val="l"/>
        <c:majorGridlines/>
        <c:title>
          <c:overlay val="0"/>
        </c:title>
        <c:numFmt formatCode="0.000" sourceLinked="1"/>
        <c:majorTickMark val="none"/>
        <c:minorTickMark val="none"/>
        <c:tickLblPos val="nextTo"/>
        <c:crossAx val="4133691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(INCLINACION)'!$C$40</c:f>
              <c:strCache>
                <c:ptCount val="1"/>
                <c:pt idx="0">
                  <c:v>ERROR + U EXPANDIDA CAL 2 [mm]</c:v>
                </c:pt>
              </c:strCache>
            </c:strRef>
          </c:tx>
          <c:val>
            <c:numRef>
              <c:f>'LUXOMETRO (INCLINACION)'!$C$41:$C$52</c:f>
              <c:numCache>
                <c:formatCode>0.000</c:formatCode>
                <c:ptCount val="12"/>
                <c:pt idx="0">
                  <c:v>5.8000000000000003E-2</c:v>
                </c:pt>
                <c:pt idx="1">
                  <c:v>-0.14160079840319378</c:v>
                </c:pt>
                <c:pt idx="2">
                  <c:v>-0.29077927254609454</c:v>
                </c:pt>
                <c:pt idx="3">
                  <c:v>-0.2411026919242239</c:v>
                </c:pt>
                <c:pt idx="4">
                  <c:v>-0.26494717169199855</c:v>
                </c:pt>
                <c:pt idx="5">
                  <c:v>-0.38498407167745369</c:v>
                </c:pt>
                <c:pt idx="6">
                  <c:v>5.8000000000000003E-2</c:v>
                </c:pt>
                <c:pt idx="7">
                  <c:v>-0.14160079840319378</c:v>
                </c:pt>
                <c:pt idx="8">
                  <c:v>-0.29077927254609454</c:v>
                </c:pt>
                <c:pt idx="9">
                  <c:v>-0.2411026919242239</c:v>
                </c:pt>
                <c:pt idx="10">
                  <c:v>-0.26494717169199855</c:v>
                </c:pt>
                <c:pt idx="11">
                  <c:v>-0.38498407167745369</c:v>
                </c:pt>
              </c:numCache>
            </c:numRef>
          </c:val>
          <c:smooth val="0"/>
          <c:extLst>
            <c:ext xmlns:c16="http://schemas.microsoft.com/office/drawing/2014/chart" uri="{C3380CC4-5D6E-409C-BE32-E72D297353CC}">
              <c16:uniqueId val="{00000000-C635-4DC3-8A03-474597DECD0B}"/>
            </c:ext>
          </c:extLst>
        </c:ser>
        <c:ser>
          <c:idx val="1"/>
          <c:order val="1"/>
          <c:tx>
            <c:strRef>
              <c:f>'LUXOMETRO (INCLINACION)'!$D$40</c:f>
              <c:strCache>
                <c:ptCount val="1"/>
                <c:pt idx="0">
                  <c:v>ERROR - U EXPANDIDA CAL 2 [mm]</c:v>
                </c:pt>
              </c:strCache>
            </c:strRef>
          </c:tx>
          <c:val>
            <c:numRef>
              <c:f>'LUXOMETRO (INCLINACION)'!$D$41:$D$52</c:f>
              <c:numCache>
                <c:formatCode>0.000</c:formatCode>
                <c:ptCount val="12"/>
                <c:pt idx="0">
                  <c:v>-5.8000000000000003E-2</c:v>
                </c:pt>
                <c:pt idx="1">
                  <c:v>-0.25760079840319378</c:v>
                </c:pt>
                <c:pt idx="2">
                  <c:v>-0.40677927254609453</c:v>
                </c:pt>
                <c:pt idx="3">
                  <c:v>-0.35710269192422389</c:v>
                </c:pt>
                <c:pt idx="4">
                  <c:v>-0.38294717169199854</c:v>
                </c:pt>
                <c:pt idx="5">
                  <c:v>-0.51098407167745363</c:v>
                </c:pt>
                <c:pt idx="6">
                  <c:v>-5.8000000000000003E-2</c:v>
                </c:pt>
                <c:pt idx="7">
                  <c:v>-0.25760079840319378</c:v>
                </c:pt>
                <c:pt idx="8">
                  <c:v>-0.40677927254609453</c:v>
                </c:pt>
                <c:pt idx="9">
                  <c:v>-0.35710269192422389</c:v>
                </c:pt>
                <c:pt idx="10">
                  <c:v>-0.38294717169199854</c:v>
                </c:pt>
                <c:pt idx="11">
                  <c:v>-0.51098407167745363</c:v>
                </c:pt>
              </c:numCache>
            </c:numRef>
          </c:val>
          <c:smooth val="0"/>
          <c:extLst>
            <c:ext xmlns:c16="http://schemas.microsoft.com/office/drawing/2014/chart" uri="{C3380CC4-5D6E-409C-BE32-E72D297353CC}">
              <c16:uniqueId val="{00000001-C635-4DC3-8A03-474597DECD0B}"/>
            </c:ext>
          </c:extLst>
        </c:ser>
        <c:ser>
          <c:idx val="2"/>
          <c:order val="2"/>
          <c:tx>
            <c:strRef>
              <c:f>'LUXOMETRO (INCLINACION)'!$E$40</c:f>
              <c:strCache>
                <c:ptCount val="1"/>
                <c:pt idx="0">
                  <c:v>EXACTITUD DE ACUERDO A NTC: 5385:2011 (+) [mm]</c:v>
                </c:pt>
              </c:strCache>
            </c:strRef>
          </c:tx>
          <c:val>
            <c:numRef>
              <c:f>'LUXOMETRO (INCLINACION)'!$E$41:$E$52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2-C635-4DC3-8A03-474597DECD0B}"/>
            </c:ext>
          </c:extLst>
        </c:ser>
        <c:ser>
          <c:idx val="3"/>
          <c:order val="3"/>
          <c:tx>
            <c:strRef>
              <c:f>'LUXOMETRO (INCLINACION)'!$F$40</c:f>
              <c:strCache>
                <c:ptCount val="1"/>
                <c:pt idx="0">
                  <c:v>EXACTITUD DE ACUERDO A NTC: 5385:2011 (-) [mm]</c:v>
                </c:pt>
              </c:strCache>
            </c:strRef>
          </c:tx>
          <c:val>
            <c:numRef>
              <c:f>'LUXOMETRO (INCLINACION)'!$F$41:$F$52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C635-4DC3-8A03-474597DECD0B}"/>
            </c:ext>
          </c:extLst>
        </c:ser>
        <c:dLbls>
          <c:showLegendKey val="0"/>
          <c:showVal val="0"/>
          <c:showCatName val="0"/>
          <c:showSerName val="0"/>
          <c:showPercent val="0"/>
          <c:showBubbleSize val="0"/>
        </c:dLbls>
        <c:marker val="1"/>
        <c:smooth val="0"/>
        <c:axId val="413370280"/>
        <c:axId val="413370672"/>
      </c:lineChart>
      <c:catAx>
        <c:axId val="413370280"/>
        <c:scaling>
          <c:orientation val="minMax"/>
        </c:scaling>
        <c:delete val="0"/>
        <c:axPos val="b"/>
        <c:numFmt formatCode="General" sourceLinked="1"/>
        <c:majorTickMark val="none"/>
        <c:minorTickMark val="none"/>
        <c:tickLblPos val="nextTo"/>
        <c:crossAx val="413370672"/>
        <c:crosses val="autoZero"/>
        <c:auto val="1"/>
        <c:lblAlgn val="ctr"/>
        <c:lblOffset val="100"/>
        <c:noMultiLvlLbl val="0"/>
      </c:catAx>
      <c:valAx>
        <c:axId val="413370672"/>
        <c:scaling>
          <c:orientation val="minMax"/>
        </c:scaling>
        <c:delete val="0"/>
        <c:axPos val="l"/>
        <c:majorGridlines/>
        <c:title>
          <c:overlay val="0"/>
        </c:title>
        <c:numFmt formatCode="0.000" sourceLinked="1"/>
        <c:majorTickMark val="none"/>
        <c:minorTickMark val="none"/>
        <c:tickLblPos val="nextTo"/>
        <c:crossAx val="4133702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PROFUNDIMETRO!$C$30</c:f>
              <c:strCache>
                <c:ptCount val="1"/>
                <c:pt idx="0">
                  <c:v>ERROR + U EXPANDIDA CAL 2 [%]</c:v>
                </c:pt>
              </c:strCache>
            </c:strRef>
          </c:tx>
          <c:val>
            <c:numRef>
              <c:f>PROFUNDIMETRO!$C$31:$C$41</c:f>
              <c:numCache>
                <c:formatCode>0.000</c:formatCode>
                <c:ptCount val="11"/>
                <c:pt idx="0">
                  <c:v>6.0000000000000001E-3</c:v>
                </c:pt>
                <c:pt idx="1">
                  <c:v>1.5900000000000001E-2</c:v>
                </c:pt>
                <c:pt idx="2">
                  <c:v>1.5900000000000001E-2</c:v>
                </c:pt>
                <c:pt idx="3">
                  <c:v>1.61E-2</c:v>
                </c:pt>
                <c:pt idx="4">
                  <c:v>1.6E-2</c:v>
                </c:pt>
                <c:pt idx="5">
                  <c:v>1.21E-2</c:v>
                </c:pt>
                <c:pt idx="6">
                  <c:v>6.0000000000000001E-3</c:v>
                </c:pt>
                <c:pt idx="7">
                  <c:v>2.1999999999999988E-3</c:v>
                </c:pt>
                <c:pt idx="8">
                  <c:v>3.56E-2</c:v>
                </c:pt>
                <c:pt idx="9">
                  <c:v>4.0999999999999995E-3</c:v>
                </c:pt>
                <c:pt idx="10">
                  <c:v>1.2199999999999999E-2</c:v>
                </c:pt>
              </c:numCache>
            </c:numRef>
          </c:val>
          <c:smooth val="0"/>
          <c:extLst>
            <c:ext xmlns:c16="http://schemas.microsoft.com/office/drawing/2014/chart" uri="{C3380CC4-5D6E-409C-BE32-E72D297353CC}">
              <c16:uniqueId val="{00000000-8C78-44EA-B071-32CC77B9B08A}"/>
            </c:ext>
          </c:extLst>
        </c:ser>
        <c:ser>
          <c:idx val="1"/>
          <c:order val="1"/>
          <c:tx>
            <c:strRef>
              <c:f>PROFUNDIMETRO!$D$30</c:f>
              <c:strCache>
                <c:ptCount val="1"/>
                <c:pt idx="0">
                  <c:v>ERROR - U EXPANDIDA CAL 2 [%]</c:v>
                </c:pt>
              </c:strCache>
            </c:strRef>
          </c:tx>
          <c:val>
            <c:numRef>
              <c:f>PROFUNDIMETRO!$D$31:$D$41</c:f>
              <c:numCache>
                <c:formatCode>0.000</c:formatCode>
                <c:ptCount val="11"/>
                <c:pt idx="0">
                  <c:v>6.0000000000000001E-3</c:v>
                </c:pt>
                <c:pt idx="1">
                  <c:v>-3.9000000000000007E-3</c:v>
                </c:pt>
                <c:pt idx="2">
                  <c:v>-3.9000000000000007E-3</c:v>
                </c:pt>
                <c:pt idx="3">
                  <c:v>-4.0999999999999995E-3</c:v>
                </c:pt>
                <c:pt idx="4">
                  <c:v>-4.0000000000000001E-3</c:v>
                </c:pt>
                <c:pt idx="5">
                  <c:v>4.0999999999999995E-3</c:v>
                </c:pt>
                <c:pt idx="6">
                  <c:v>6.0000000000000001E-3</c:v>
                </c:pt>
                <c:pt idx="7">
                  <c:v>1.4E-2</c:v>
                </c:pt>
                <c:pt idx="8">
                  <c:v>-2.0799999999999999E-2</c:v>
                </c:pt>
                <c:pt idx="9">
                  <c:v>1.21E-2</c:v>
                </c:pt>
                <c:pt idx="10">
                  <c:v>4.0000000000000001E-3</c:v>
                </c:pt>
              </c:numCache>
            </c:numRef>
          </c:val>
          <c:smooth val="0"/>
          <c:extLst>
            <c:ext xmlns:c16="http://schemas.microsoft.com/office/drawing/2014/chart" uri="{C3380CC4-5D6E-409C-BE32-E72D297353CC}">
              <c16:uniqueId val="{00000001-8C78-44EA-B071-32CC77B9B08A}"/>
            </c:ext>
          </c:extLst>
        </c:ser>
        <c:ser>
          <c:idx val="2"/>
          <c:order val="2"/>
          <c:tx>
            <c:strRef>
              <c:f>PROFUNDIMETRO!$E$30</c:f>
              <c:strCache>
                <c:ptCount val="1"/>
                <c:pt idx="0">
                  <c:v>Exactitud NTC 5365 Numeral 5.2.7.1 (+) [%]</c:v>
                </c:pt>
              </c:strCache>
            </c:strRef>
          </c:tx>
          <c:val>
            <c:numRef>
              <c:f>PROFUNDIMETRO!$E$31:$E$41</c:f>
              <c:numCache>
                <c:formatCode>0.00</c:formatCode>
                <c:ptCount val="11"/>
                <c:pt idx="0">
                  <c:v>0.1</c:v>
                </c:pt>
                <c:pt idx="1">
                  <c:v>0.1</c:v>
                </c:pt>
                <c:pt idx="2">
                  <c:v>0.1</c:v>
                </c:pt>
                <c:pt idx="3">
                  <c:v>0.1</c:v>
                </c:pt>
                <c:pt idx="4">
                  <c:v>0.1</c:v>
                </c:pt>
                <c:pt idx="5">
                  <c:v>0.1</c:v>
                </c:pt>
                <c:pt idx="6">
                  <c:v>0.1</c:v>
                </c:pt>
                <c:pt idx="7">
                  <c:v>0.1</c:v>
                </c:pt>
                <c:pt idx="8">
                  <c:v>0.1</c:v>
                </c:pt>
                <c:pt idx="9">
                  <c:v>0.1</c:v>
                </c:pt>
                <c:pt idx="10">
                  <c:v>0.1</c:v>
                </c:pt>
              </c:numCache>
            </c:numRef>
          </c:val>
          <c:smooth val="0"/>
          <c:extLst>
            <c:ext xmlns:c16="http://schemas.microsoft.com/office/drawing/2014/chart" uri="{C3380CC4-5D6E-409C-BE32-E72D297353CC}">
              <c16:uniqueId val="{00000002-8C78-44EA-B071-32CC77B9B08A}"/>
            </c:ext>
          </c:extLst>
        </c:ser>
        <c:ser>
          <c:idx val="3"/>
          <c:order val="3"/>
          <c:tx>
            <c:strRef>
              <c:f>PROFUNDIMETRO!$F$30</c:f>
              <c:strCache>
                <c:ptCount val="1"/>
                <c:pt idx="0">
                  <c:v>Exactitud NTC 5365 Numeral 5.2.7.1 (-) [%]</c:v>
                </c:pt>
              </c:strCache>
            </c:strRef>
          </c:tx>
          <c:val>
            <c:numRef>
              <c:f>PROFUNDIMETRO!$F$31:$F$41</c:f>
              <c:numCache>
                <c:formatCode>0.00</c:formatCode>
                <c:ptCount val="11"/>
                <c:pt idx="0">
                  <c:v>-0.1</c:v>
                </c:pt>
                <c:pt idx="1">
                  <c:v>-0.1</c:v>
                </c:pt>
                <c:pt idx="2">
                  <c:v>-0.1</c:v>
                </c:pt>
                <c:pt idx="3">
                  <c:v>-0.1</c:v>
                </c:pt>
                <c:pt idx="4">
                  <c:v>-0.1</c:v>
                </c:pt>
                <c:pt idx="5">
                  <c:v>-0.1</c:v>
                </c:pt>
                <c:pt idx="6">
                  <c:v>-0.1</c:v>
                </c:pt>
                <c:pt idx="7">
                  <c:v>-0.1</c:v>
                </c:pt>
                <c:pt idx="8">
                  <c:v>-0.1</c:v>
                </c:pt>
                <c:pt idx="9">
                  <c:v>-0.1</c:v>
                </c:pt>
                <c:pt idx="10">
                  <c:v>-0.1</c:v>
                </c:pt>
              </c:numCache>
            </c:numRef>
          </c:val>
          <c:smooth val="0"/>
          <c:extLst>
            <c:ext xmlns:c16="http://schemas.microsoft.com/office/drawing/2014/chart" uri="{C3380CC4-5D6E-409C-BE32-E72D297353CC}">
              <c16:uniqueId val="{00000003-8C78-44EA-B071-32CC77B9B08A}"/>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1(CO2)  '!$C$88</c:f>
              <c:strCache>
                <c:ptCount val="1"/>
                <c:pt idx="0">
                  <c:v>REPETIBILIDAD  CAL 2</c:v>
                </c:pt>
              </c:strCache>
            </c:strRef>
          </c:tx>
          <c:val>
            <c:numRef>
              <c:f>'DIOXIDO 1(CO2)  '!$C$89:$C$96</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DDDC-4EFB-AC08-93BE747A6804}"/>
            </c:ext>
          </c:extLst>
        </c:ser>
        <c:ser>
          <c:idx val="4"/>
          <c:order val="1"/>
          <c:tx>
            <c:strRef>
              <c:f>'DIOXIDO 1(CO2)  '!$D$88</c:f>
              <c:strCache>
                <c:ptCount val="1"/>
                <c:pt idx="0">
                  <c:v>Repetibilidad NTC 4983 Numeral 5.2.7.1 (+) [%]</c:v>
                </c:pt>
              </c:strCache>
            </c:strRef>
          </c:tx>
          <c:val>
            <c:numRef>
              <c:f>'DIOXIDO 1(CO2)  '!$D$89:$D$96</c:f>
              <c:numCache>
                <c:formatCode>0.00</c:formatCode>
                <c:ptCount val="8"/>
                <c:pt idx="0">
                  <c:v>0.3</c:v>
                </c:pt>
                <c:pt idx="1">
                  <c:v>0.3</c:v>
                </c:pt>
                <c:pt idx="2">
                  <c:v>0.3</c:v>
                </c:pt>
                <c:pt idx="3">
                  <c:v>0.3</c:v>
                </c:pt>
                <c:pt idx="4">
                  <c:v>0.3</c:v>
                </c:pt>
                <c:pt idx="5">
                  <c:v>0.3</c:v>
                </c:pt>
                <c:pt idx="6">
                  <c:v>0.3</c:v>
                </c:pt>
                <c:pt idx="7">
                  <c:v>0.3</c:v>
                </c:pt>
              </c:numCache>
            </c:numRef>
          </c:val>
          <c:smooth val="0"/>
          <c:extLst>
            <c:ext xmlns:c16="http://schemas.microsoft.com/office/drawing/2014/chart" uri="{C3380CC4-5D6E-409C-BE32-E72D297353CC}">
              <c16:uniqueId val="{00000001-DDDC-4EFB-AC08-93BE747A680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SONOMETRO!$C$39</c:f>
              <c:strCache>
                <c:ptCount val="1"/>
                <c:pt idx="0">
                  <c:v>ERROR + U EXPANDIDA CAL 2 [%]</c:v>
                </c:pt>
              </c:strCache>
            </c:strRef>
          </c:tx>
          <c:val>
            <c:numRef>
              <c:f>SONOMETRO!$C$40:$C$41</c:f>
              <c:numCache>
                <c:formatCode>0.000</c:formatCode>
                <c:ptCount val="2"/>
                <c:pt idx="0">
                  <c:v>0.3299999999999943</c:v>
                </c:pt>
                <c:pt idx="1">
                  <c:v>0</c:v>
                </c:pt>
              </c:numCache>
            </c:numRef>
          </c:val>
          <c:smooth val="0"/>
          <c:extLst>
            <c:ext xmlns:c16="http://schemas.microsoft.com/office/drawing/2014/chart" uri="{C3380CC4-5D6E-409C-BE32-E72D297353CC}">
              <c16:uniqueId val="{00000000-A5A9-4587-9E1B-5267A4D215A7}"/>
            </c:ext>
          </c:extLst>
        </c:ser>
        <c:ser>
          <c:idx val="1"/>
          <c:order val="1"/>
          <c:tx>
            <c:strRef>
              <c:f>SONOMETRO!$D$39</c:f>
              <c:strCache>
                <c:ptCount val="1"/>
                <c:pt idx="0">
                  <c:v>ERROR - U EXPANDIDA CAL 2 [%]</c:v>
                </c:pt>
              </c:strCache>
            </c:strRef>
          </c:tx>
          <c:val>
            <c:numRef>
              <c:f>SONOMETRO!$D$40:$D$41</c:f>
              <c:numCache>
                <c:formatCode>0.000</c:formatCode>
                <c:ptCount val="2"/>
                <c:pt idx="0">
                  <c:v>-0.13000000000000569</c:v>
                </c:pt>
                <c:pt idx="1">
                  <c:v>0</c:v>
                </c:pt>
              </c:numCache>
            </c:numRef>
          </c:val>
          <c:smooth val="0"/>
          <c:extLst>
            <c:ext xmlns:c16="http://schemas.microsoft.com/office/drawing/2014/chart" uri="{C3380CC4-5D6E-409C-BE32-E72D297353CC}">
              <c16:uniqueId val="{00000001-A5A9-4587-9E1B-5267A4D215A7}"/>
            </c:ext>
          </c:extLst>
        </c:ser>
        <c:ser>
          <c:idx val="2"/>
          <c:order val="2"/>
          <c:tx>
            <c:strRef>
              <c:f>SONOMETRO!$E$39</c:f>
              <c:strCache>
                <c:ptCount val="1"/>
                <c:pt idx="0">
                  <c:v>Exactitud NTC 5365 Numeral 5.2.7.1 (+) [%]</c:v>
                </c:pt>
              </c:strCache>
            </c:strRef>
          </c:tx>
          <c:val>
            <c:numRef>
              <c:f>SONOMETRO!$E$40:$E$41</c:f>
              <c:numCache>
                <c:formatCode>0.00</c:formatCode>
                <c:ptCount val="2"/>
                <c:pt idx="0">
                  <c:v>1.5</c:v>
                </c:pt>
                <c:pt idx="1">
                  <c:v>1.5</c:v>
                </c:pt>
              </c:numCache>
            </c:numRef>
          </c:val>
          <c:smooth val="0"/>
          <c:extLst>
            <c:ext xmlns:c16="http://schemas.microsoft.com/office/drawing/2014/chart" uri="{C3380CC4-5D6E-409C-BE32-E72D297353CC}">
              <c16:uniqueId val="{00000002-A5A9-4587-9E1B-5267A4D215A7}"/>
            </c:ext>
          </c:extLst>
        </c:ser>
        <c:ser>
          <c:idx val="3"/>
          <c:order val="3"/>
          <c:tx>
            <c:strRef>
              <c:f>SONOMETRO!$F$39</c:f>
              <c:strCache>
                <c:ptCount val="1"/>
                <c:pt idx="0">
                  <c:v>Exactitud NTC 5365 Numeral 5.2.7.1 (-) [%]</c:v>
                </c:pt>
              </c:strCache>
            </c:strRef>
          </c:tx>
          <c:val>
            <c:numRef>
              <c:f>SONOMETRO!$F$40:$F$41</c:f>
              <c:numCache>
                <c:formatCode>0.00</c:formatCode>
                <c:ptCount val="2"/>
                <c:pt idx="0">
                  <c:v>-1.5</c:v>
                </c:pt>
                <c:pt idx="1">
                  <c:v>-1.5</c:v>
                </c:pt>
              </c:numCache>
            </c:numRef>
          </c:val>
          <c:smooth val="0"/>
          <c:extLst>
            <c:ext xmlns:c16="http://schemas.microsoft.com/office/drawing/2014/chart" uri="{C3380CC4-5D6E-409C-BE32-E72D297353CC}">
              <c16:uniqueId val="{00000003-A5A9-4587-9E1B-5267A4D215A7}"/>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AMBIENTE'!$C$31</c:f>
              <c:strCache>
                <c:ptCount val="1"/>
                <c:pt idx="0">
                  <c:v>ERROR + U EXPANDIDA CAL 2 [%]</c:v>
                </c:pt>
              </c:strCache>
            </c:strRef>
          </c:tx>
          <c:val>
            <c:numRef>
              <c:f>'TEMPERATURA AMBIENTE'!$C$32:$C$34</c:f>
              <c:numCache>
                <c:formatCode>0.000</c:formatCode>
                <c:ptCount val="3"/>
                <c:pt idx="0">
                  <c:v>1.2</c:v>
                </c:pt>
                <c:pt idx="1">
                  <c:v>1.2</c:v>
                </c:pt>
                <c:pt idx="2">
                  <c:v>1.3</c:v>
                </c:pt>
              </c:numCache>
            </c:numRef>
          </c:val>
          <c:smooth val="0"/>
          <c:extLst>
            <c:ext xmlns:c16="http://schemas.microsoft.com/office/drawing/2014/chart" uri="{C3380CC4-5D6E-409C-BE32-E72D297353CC}">
              <c16:uniqueId val="{00000000-7468-480A-9AFE-B1FD6F49098B}"/>
            </c:ext>
          </c:extLst>
        </c:ser>
        <c:ser>
          <c:idx val="1"/>
          <c:order val="1"/>
          <c:tx>
            <c:strRef>
              <c:f>'TEMPERATURA AMBIENTE'!$D$31</c:f>
              <c:strCache>
                <c:ptCount val="1"/>
                <c:pt idx="0">
                  <c:v>ERROR - U EXPANDIDA CAL 2 [%]</c:v>
                </c:pt>
              </c:strCache>
            </c:strRef>
          </c:tx>
          <c:val>
            <c:numRef>
              <c:f>'TEMPERATURA AMBIENTE'!$D$32:$D$34</c:f>
              <c:numCache>
                <c:formatCode>0.000</c:formatCode>
                <c:ptCount val="3"/>
                <c:pt idx="0">
                  <c:v>-1.2</c:v>
                </c:pt>
                <c:pt idx="1">
                  <c:v>-1.2</c:v>
                </c:pt>
                <c:pt idx="2">
                  <c:v>-1.3</c:v>
                </c:pt>
              </c:numCache>
            </c:numRef>
          </c:val>
          <c:smooth val="0"/>
          <c:extLst>
            <c:ext xmlns:c16="http://schemas.microsoft.com/office/drawing/2014/chart" uri="{C3380CC4-5D6E-409C-BE32-E72D297353CC}">
              <c16:uniqueId val="{00000001-7468-480A-9AFE-B1FD6F49098B}"/>
            </c:ext>
          </c:extLst>
        </c:ser>
        <c:ser>
          <c:idx val="2"/>
          <c:order val="2"/>
          <c:tx>
            <c:strRef>
              <c:f>'TEMPERATURA AMBIENTE'!$E$31</c:f>
              <c:strCache>
                <c:ptCount val="1"/>
                <c:pt idx="0">
                  <c:v>Exactitud NTC 5365 Numeral 5.2.7.1 (+) [%]</c:v>
                </c:pt>
              </c:strCache>
            </c:strRef>
          </c:tx>
          <c:val>
            <c:numRef>
              <c:f>'TEMPERATURA AMBIENTE'!$E$32:$E$34</c:f>
              <c:numCache>
                <c:formatCode>0.00</c:formatCode>
                <c:ptCount val="3"/>
                <c:pt idx="0">
                  <c:v>2</c:v>
                </c:pt>
                <c:pt idx="1">
                  <c:v>2</c:v>
                </c:pt>
                <c:pt idx="2">
                  <c:v>2</c:v>
                </c:pt>
              </c:numCache>
            </c:numRef>
          </c:val>
          <c:smooth val="0"/>
          <c:extLst>
            <c:ext xmlns:c16="http://schemas.microsoft.com/office/drawing/2014/chart" uri="{C3380CC4-5D6E-409C-BE32-E72D297353CC}">
              <c16:uniqueId val="{00000002-7468-480A-9AFE-B1FD6F49098B}"/>
            </c:ext>
          </c:extLst>
        </c:ser>
        <c:ser>
          <c:idx val="3"/>
          <c:order val="3"/>
          <c:tx>
            <c:strRef>
              <c:f>'TEMPERATURA AMBIENTE'!$F$31</c:f>
              <c:strCache>
                <c:ptCount val="1"/>
                <c:pt idx="0">
                  <c:v>Exactitud NTC 5365 Numeral 5.2.7.1 (-) [%]</c:v>
                </c:pt>
              </c:strCache>
            </c:strRef>
          </c:tx>
          <c:val>
            <c:numRef>
              <c:f>'TEMPERATURA AMBIENTE'!$F$32:$F$34</c:f>
              <c:numCache>
                <c:formatCode>0.00</c:formatCode>
                <c:ptCount val="3"/>
                <c:pt idx="0">
                  <c:v>-2</c:v>
                </c:pt>
                <c:pt idx="1">
                  <c:v>-2</c:v>
                </c:pt>
                <c:pt idx="2">
                  <c:v>-2</c:v>
                </c:pt>
              </c:numCache>
            </c:numRef>
          </c:val>
          <c:smooth val="0"/>
          <c:extLst>
            <c:ext xmlns:c16="http://schemas.microsoft.com/office/drawing/2014/chart" uri="{C3380CC4-5D6E-409C-BE32-E72D297353CC}">
              <c16:uniqueId val="{00000003-7468-480A-9AFE-B1FD6F49098B}"/>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'HUMEDAD RELATIVA'!$C$31</c:f>
              <c:strCache>
                <c:ptCount val="1"/>
                <c:pt idx="0">
                  <c:v>ERROR + U EXPANDIDA CAL 2 [%]</c:v>
                </c:pt>
              </c:strCache>
            </c:strRef>
          </c:tx>
          <c:val>
            <c:numRef>
              <c:f>'HUMEDAD RELATIVA'!$C$32:$C$34</c:f>
              <c:numCache>
                <c:formatCode>0.000</c:formatCode>
                <c:ptCount val="3"/>
                <c:pt idx="0">
                  <c:v>1.3999999999999986</c:v>
                </c:pt>
                <c:pt idx="1">
                  <c:v>1.9</c:v>
                </c:pt>
                <c:pt idx="2">
                  <c:v>1.7999999999999914</c:v>
                </c:pt>
              </c:numCache>
            </c:numRef>
          </c:val>
          <c:smooth val="0"/>
          <c:extLst>
            <c:ext xmlns:c16="http://schemas.microsoft.com/office/drawing/2014/chart" uri="{C3380CC4-5D6E-409C-BE32-E72D297353CC}">
              <c16:uniqueId val="{00000000-A910-4609-A683-D27A627FF3E6}"/>
            </c:ext>
          </c:extLst>
        </c:ser>
        <c:ser>
          <c:idx val="1"/>
          <c:order val="1"/>
          <c:tx>
            <c:strRef>
              <c:f>'HUMEDAD RELATIVA'!$D$31</c:f>
              <c:strCache>
                <c:ptCount val="1"/>
                <c:pt idx="0">
                  <c:v>ERROR - U EXPANDIDA CAL 2 [%]</c:v>
                </c:pt>
              </c:strCache>
            </c:strRef>
          </c:tx>
          <c:val>
            <c:numRef>
              <c:f>'HUMEDAD RELATIVA'!$D$32:$D$34</c:f>
              <c:numCache>
                <c:formatCode>0.000</c:formatCode>
                <c:ptCount val="3"/>
                <c:pt idx="0">
                  <c:v>-1.6000000000000014</c:v>
                </c:pt>
                <c:pt idx="1">
                  <c:v>-1.9</c:v>
                </c:pt>
                <c:pt idx="2">
                  <c:v>-2.0000000000000084</c:v>
                </c:pt>
              </c:numCache>
            </c:numRef>
          </c:val>
          <c:smooth val="0"/>
          <c:extLst>
            <c:ext xmlns:c16="http://schemas.microsoft.com/office/drawing/2014/chart" uri="{C3380CC4-5D6E-409C-BE32-E72D297353CC}">
              <c16:uniqueId val="{00000001-A910-4609-A683-D27A627FF3E6}"/>
            </c:ext>
          </c:extLst>
        </c:ser>
        <c:ser>
          <c:idx val="2"/>
          <c:order val="2"/>
          <c:tx>
            <c:strRef>
              <c:f>'HUMEDAD RELATIVA'!$E$31</c:f>
              <c:strCache>
                <c:ptCount val="1"/>
                <c:pt idx="0">
                  <c:v>Exactitud NTC 5365 Numeral 5.2.7.1 (+) [%]</c:v>
                </c:pt>
              </c:strCache>
            </c:strRef>
          </c:tx>
          <c:val>
            <c:numRef>
              <c:f>'HUMEDAD RELATIVA'!$E$32:$E$34</c:f>
              <c:numCache>
                <c:formatCode>0.00</c:formatCode>
                <c:ptCount val="3"/>
                <c:pt idx="0">
                  <c:v>3</c:v>
                </c:pt>
                <c:pt idx="1">
                  <c:v>3</c:v>
                </c:pt>
                <c:pt idx="2">
                  <c:v>3</c:v>
                </c:pt>
              </c:numCache>
            </c:numRef>
          </c:val>
          <c:smooth val="0"/>
          <c:extLst>
            <c:ext xmlns:c16="http://schemas.microsoft.com/office/drawing/2014/chart" uri="{C3380CC4-5D6E-409C-BE32-E72D297353CC}">
              <c16:uniqueId val="{00000002-A910-4609-A683-D27A627FF3E6}"/>
            </c:ext>
          </c:extLst>
        </c:ser>
        <c:ser>
          <c:idx val="3"/>
          <c:order val="3"/>
          <c:tx>
            <c:strRef>
              <c:f>'HUMEDAD RELATIVA'!$F$31</c:f>
              <c:strCache>
                <c:ptCount val="1"/>
                <c:pt idx="0">
                  <c:v>Exactitud NTC 5365 Numeral 5.2.7.1 (-) [%]</c:v>
                </c:pt>
              </c:strCache>
            </c:strRef>
          </c:tx>
          <c:val>
            <c:numRef>
              <c:f>'HUMEDAD RELATIVA'!$F$32:$F$34</c:f>
              <c:numCache>
                <c:formatCode>0.00</c:formatCode>
                <c:ptCount val="3"/>
                <c:pt idx="0">
                  <c:v>-3</c:v>
                </c:pt>
                <c:pt idx="1">
                  <c:v>-3</c:v>
                </c:pt>
                <c:pt idx="2">
                  <c:v>-3</c:v>
                </c:pt>
              </c:numCache>
            </c:numRef>
          </c:val>
          <c:smooth val="0"/>
          <c:extLst>
            <c:ext xmlns:c16="http://schemas.microsoft.com/office/drawing/2014/chart" uri="{C3380CC4-5D6E-409C-BE32-E72D297353CC}">
              <c16:uniqueId val="{00000003-A910-4609-A683-D27A627FF3E6}"/>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layout/>
      <c:overlay val="0"/>
    </c:title>
    <c:autoTitleDeleted val="0"/>
    <c:plotArea>
      <c:layout/>
      <c:lineChart>
        <c:grouping val="standard"/>
        <c:varyColors val="0"/>
        <c:ser>
          <c:idx val="0"/>
          <c:order val="0"/>
          <c:tx>
            <c:strRef>
              <c:f>'HIDROCARBUROS 1(HC) '!$C$39</c:f>
              <c:strCache>
                <c:ptCount val="1"/>
                <c:pt idx="0">
                  <c:v>ERROR + U EXPANDIDA CAL 2 [%]</c:v>
                </c:pt>
              </c:strCache>
            </c:strRef>
          </c:tx>
          <c:val>
            <c:numRef>
              <c:f>'HIDROCARBUROS 1(HC) '!$C$40:$C$47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0-7DFA-470A-A88E-46FB542D9909}"/>
            </c:ext>
          </c:extLst>
        </c:ser>
        <c:ser>
          <c:idx val="1"/>
          <c:order val="1"/>
          <c:tx>
            <c:strRef>
              <c:f>'HIDROCARBUROS 1(HC) '!$D$39</c:f>
              <c:strCache>
                <c:ptCount val="1"/>
                <c:pt idx="0">
                  <c:v>ERROR - U EXPANDIDA CAL 2 [%]</c:v>
                </c:pt>
              </c:strCache>
            </c:strRef>
          </c:tx>
          <c:val>
            <c:numRef>
              <c:f>'HIDROCARBUROS 1(HC) '!$D$40:$D$47</c:f>
              <c:numCache>
                <c:formatCode>0.000</c:formatCode>
                <c:ptCount val="8"/>
                <c:pt idx="0">
                  <c:v>-3.3</c:v>
                </c:pt>
                <c:pt idx="1">
                  <c:v>-13</c:v>
                </c:pt>
                <c:pt idx="2">
                  <c:v>-35</c:v>
                </c:pt>
                <c:pt idx="3">
                  <c:v>-0.57999999999999996</c:v>
                </c:pt>
                <c:pt idx="4">
                  <c:v>-3.3</c:v>
                </c:pt>
                <c:pt idx="5">
                  <c:v>-13</c:v>
                </c:pt>
                <c:pt idx="6">
                  <c:v>-35</c:v>
                </c:pt>
                <c:pt idx="7">
                  <c:v>-0.57999999999999996</c:v>
                </c:pt>
              </c:numCache>
            </c:numRef>
          </c:val>
          <c:smooth val="0"/>
          <c:extLst>
            <c:ext xmlns:c16="http://schemas.microsoft.com/office/drawing/2014/chart" uri="{C3380CC4-5D6E-409C-BE32-E72D297353CC}">
              <c16:uniqueId val="{00000001-7DFA-470A-A88E-46FB542D9909}"/>
            </c:ext>
          </c:extLst>
        </c:ser>
        <c:ser>
          <c:idx val="2"/>
          <c:order val="2"/>
          <c:tx>
            <c:strRef>
              <c:f>'HIDROCARBUROS 1(HC) '!$E$39</c:f>
              <c:strCache>
                <c:ptCount val="1"/>
                <c:pt idx="0">
                  <c:v>Exactitud NTC 5365 Numeral 5.2.7.1 (+) [%]</c:v>
                </c:pt>
              </c:strCache>
            </c:strRef>
          </c:tx>
          <c:val>
            <c:numRef>
              <c:f>'HIDROCARBUROS 1(HC) '!$E$40:$E$47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2-7DFA-470A-A88E-46FB542D9909}"/>
            </c:ext>
          </c:extLst>
        </c:ser>
        <c:ser>
          <c:idx val="3"/>
          <c:order val="3"/>
          <c:tx>
            <c:strRef>
              <c:f>'HIDROCARBUROS 1(HC) '!$F$39</c:f>
              <c:strCache>
                <c:ptCount val="1"/>
                <c:pt idx="0">
                  <c:v>Exactitud NTC 5365 Numeral 5.2.7.1 (-) [%]</c:v>
                </c:pt>
              </c:strCache>
            </c:strRef>
          </c:tx>
          <c:val>
            <c:numRef>
              <c:f>'HIDROCARBUROS 1(HC) '!$F$40:$F$47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3-7DFA-470A-A88E-46FB542D9909}"/>
            </c:ext>
          </c:extLst>
        </c:ser>
        <c:dLbls>
          <c:showLegendKey val="0"/>
          <c:showVal val="0"/>
          <c:showCatName val="0"/>
          <c:showSerName val="0"/>
          <c:showPercent val="0"/>
          <c:showBubbleSize val="0"/>
        </c:dLbls>
        <c:marker val="1"/>
        <c:smooth val="0"/>
        <c:axId val="413402528"/>
        <c:axId val="413402920"/>
      </c:lineChart>
      <c:catAx>
        <c:axId val="413402528"/>
        <c:scaling>
          <c:orientation val="minMax"/>
        </c:scaling>
        <c:delete val="0"/>
        <c:axPos val="b"/>
        <c:numFmt formatCode="General" sourceLinked="1"/>
        <c:majorTickMark val="none"/>
        <c:minorTickMark val="none"/>
        <c:tickLblPos val="nextTo"/>
        <c:crossAx val="413402920"/>
        <c:crosses val="autoZero"/>
        <c:auto val="1"/>
        <c:lblAlgn val="ctr"/>
        <c:lblOffset val="100"/>
        <c:noMultiLvlLbl val="0"/>
      </c:catAx>
      <c:valAx>
        <c:axId val="413402920"/>
        <c:scaling>
          <c:orientation val="minMax"/>
        </c:scaling>
        <c:delete val="0"/>
        <c:axPos val="l"/>
        <c:majorGridlines/>
        <c:title>
          <c:layout/>
          <c:overlay val="0"/>
        </c:title>
        <c:numFmt formatCode="0.000" sourceLinked="1"/>
        <c:majorTickMark val="none"/>
        <c:minorTickMark val="none"/>
        <c:tickLblPos val="nextTo"/>
        <c:crossAx val="41340252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layout/>
      <c:overlay val="0"/>
    </c:title>
    <c:autoTitleDeleted val="0"/>
    <c:plotArea>
      <c:layout/>
      <c:lineChart>
        <c:grouping val="standard"/>
        <c:varyColors val="0"/>
        <c:ser>
          <c:idx val="0"/>
          <c:order val="0"/>
          <c:tx>
            <c:strRef>
              <c:f>'HIDROCARBUROS 1(HC) '!$C$88</c:f>
              <c:strCache>
                <c:ptCount val="1"/>
                <c:pt idx="0">
                  <c:v>REPETIBILIDAD  CAL 2</c:v>
                </c:pt>
              </c:strCache>
            </c:strRef>
          </c:tx>
          <c:val>
            <c:numRef>
              <c:f>'HIDROCARBUROS 1(HC) '!$C$89:$C$96</c:f>
              <c:numCache>
                <c:formatCode>0.000</c:formatCode>
                <c:ptCount val="8"/>
                <c:pt idx="0">
                  <c:v>0</c:v>
                </c:pt>
                <c:pt idx="1">
                  <c:v>0</c:v>
                </c:pt>
                <c:pt idx="2">
                  <c:v>2</c:v>
                </c:pt>
                <c:pt idx="3">
                  <c:v>0</c:v>
                </c:pt>
                <c:pt idx="4">
                  <c:v>0</c:v>
                </c:pt>
                <c:pt idx="5">
                  <c:v>0</c:v>
                </c:pt>
                <c:pt idx="6">
                  <c:v>0</c:v>
                </c:pt>
                <c:pt idx="7">
                  <c:v>0</c:v>
                </c:pt>
              </c:numCache>
            </c:numRef>
          </c:val>
          <c:smooth val="0"/>
          <c:extLst>
            <c:ext xmlns:c16="http://schemas.microsoft.com/office/drawing/2014/chart" uri="{C3380CC4-5D6E-409C-BE32-E72D297353CC}">
              <c16:uniqueId val="{00000000-0E58-4098-B638-D9B7C6D2D4A4}"/>
            </c:ext>
          </c:extLst>
        </c:ser>
        <c:ser>
          <c:idx val="1"/>
          <c:order val="1"/>
          <c:tx>
            <c:strRef>
              <c:f>'HIDROCARBUROS 1(HC) '!$D$88</c:f>
              <c:strCache>
                <c:ptCount val="1"/>
                <c:pt idx="0">
                  <c:v>Ruido NTC 4983 Numeral 5.2.7.1 (+) [%]</c:v>
                </c:pt>
              </c:strCache>
            </c:strRef>
          </c:tx>
          <c:val>
            <c:numRef>
              <c:f>'HIDROCARBUROS 1(HC) '!$D$89:$D$96</c:f>
              <c:numCache>
                <c:formatCode>0.00</c:formatCode>
                <c:ptCount val="8"/>
                <c:pt idx="0">
                  <c:v>8</c:v>
                </c:pt>
                <c:pt idx="1">
                  <c:v>15</c:v>
                </c:pt>
                <c:pt idx="2">
                  <c:v>30</c:v>
                </c:pt>
                <c:pt idx="3">
                  <c:v>8</c:v>
                </c:pt>
                <c:pt idx="4">
                  <c:v>8</c:v>
                </c:pt>
                <c:pt idx="5">
                  <c:v>15</c:v>
                </c:pt>
                <c:pt idx="6">
                  <c:v>30</c:v>
                </c:pt>
                <c:pt idx="7">
                  <c:v>8</c:v>
                </c:pt>
              </c:numCache>
            </c:numRef>
          </c:val>
          <c:smooth val="0"/>
          <c:extLst>
            <c:ext xmlns:c16="http://schemas.microsoft.com/office/drawing/2014/chart" uri="{C3380CC4-5D6E-409C-BE32-E72D297353CC}">
              <c16:uniqueId val="{00000001-0E58-4098-B638-D9B7C6D2D4A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layout/>
          <c:overlay val="0"/>
        </c:title>
        <c:numFmt formatCode="0.000" sourceLinked="1"/>
        <c:majorTickMark val="none"/>
        <c:minorTickMark val="none"/>
        <c:tickLblPos val="nextTo"/>
        <c:crossAx val="244763632"/>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layout/>
      <c:overlay val="0"/>
    </c:title>
    <c:autoTitleDeleted val="0"/>
    <c:plotArea>
      <c:layout/>
      <c:lineChart>
        <c:grouping val="standard"/>
        <c:varyColors val="0"/>
        <c:ser>
          <c:idx val="3"/>
          <c:order val="0"/>
          <c:tx>
            <c:strRef>
              <c:f>'HIDROCARBUROS 1(HC) '!$C$68</c:f>
              <c:strCache>
                <c:ptCount val="1"/>
                <c:pt idx="0">
                  <c:v>RUIDO CAL 2</c:v>
                </c:pt>
              </c:strCache>
            </c:strRef>
          </c:tx>
          <c:val>
            <c:numRef>
              <c:f>'HIDROCARBUROS 1(HC) '!$C$69:$C$72</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3AD6-4C35-A47E-2BE5915C32D0}"/>
            </c:ext>
          </c:extLst>
        </c:ser>
        <c:ser>
          <c:idx val="4"/>
          <c:order val="1"/>
          <c:tx>
            <c:strRef>
              <c:f>'HIDROCARBUROS 1(HC) '!$D$68</c:f>
              <c:strCache>
                <c:ptCount val="1"/>
                <c:pt idx="0">
                  <c:v>Ruido NTC 4983 Numeral 5.2.7.1 (+) [%]</c:v>
                </c:pt>
              </c:strCache>
            </c:strRef>
          </c:tx>
          <c:val>
            <c:numRef>
              <c:f>'HIDROCARBUROS 1(HC) '!$D$69:$D$72</c:f>
              <c:numCache>
                <c:formatCode>0.00</c:formatCode>
                <c:ptCount val="4"/>
                <c:pt idx="0">
                  <c:v>6</c:v>
                </c:pt>
                <c:pt idx="1">
                  <c:v>10</c:v>
                </c:pt>
                <c:pt idx="2">
                  <c:v>20</c:v>
                </c:pt>
                <c:pt idx="3">
                  <c:v>6</c:v>
                </c:pt>
              </c:numCache>
            </c:numRef>
          </c:val>
          <c:smooth val="0"/>
          <c:extLst>
            <c:ext xmlns:c16="http://schemas.microsoft.com/office/drawing/2014/chart" uri="{C3380CC4-5D6E-409C-BE32-E72D297353CC}">
              <c16:uniqueId val="{00000001-3AD6-4C35-A47E-2BE5915C32D0}"/>
            </c:ext>
          </c:extLst>
        </c:ser>
        <c:ser>
          <c:idx val="5"/>
          <c:order val="2"/>
          <c:tx>
            <c:strRef>
              <c:f>'HIDROCARBUROS 1(HC) '!$E$68</c:f>
              <c:strCache>
                <c:ptCount val="1"/>
                <c:pt idx="0">
                  <c:v>CONFORMIDAD DE ACUERDO A NTC 4983 Numeral 5.2.7.
</c:v>
                </c:pt>
              </c:strCache>
            </c:strRef>
          </c:tx>
          <c:val>
            <c:numRef>
              <c:f>'HIDROCARBUROS 1(HC) '!$E$69:$E$72</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3AD6-4C35-A47E-2BE5915C32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layout/>
          <c:overlay val="0"/>
        </c:title>
        <c:numFmt formatCode="0.000" sourceLinked="1"/>
        <c:majorTickMark val="none"/>
        <c:minorTickMark val="none"/>
        <c:tickLblPos val="nextTo"/>
        <c:crossAx val="244763632"/>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9.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image" Target="../media/image1.jpeg"/><Relationship Id="rId7" Type="http://schemas.openxmlformats.org/officeDocument/2006/relationships/chart" Target="../charts/chart37.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3.xml"/><Relationship Id="rId4" Type="http://schemas.openxmlformats.org/officeDocument/2006/relationships/chart" Target="../charts/chart42.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50.xml"/><Relationship Id="rId3" Type="http://schemas.openxmlformats.org/officeDocument/2006/relationships/image" Target="../media/image1.jpeg"/><Relationship Id="rId7" Type="http://schemas.openxmlformats.org/officeDocument/2006/relationships/chart" Target="../charts/chart49.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 Id="rId9"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53.xml"/><Relationship Id="rId1" Type="http://schemas.openxmlformats.org/officeDocument/2006/relationships/chart" Target="../charts/chart52.xml"/><Relationship Id="rId5" Type="http://schemas.openxmlformats.org/officeDocument/2006/relationships/chart" Target="../charts/chart55.xml"/><Relationship Id="rId4" Type="http://schemas.openxmlformats.org/officeDocument/2006/relationships/chart" Target="../charts/chart54.xml"/></Relationships>
</file>

<file path=xl/drawings/_rels/drawing2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57.xml"/></Relationships>
</file>

<file path=xl/drawings/_rels/drawing2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58.xml"/></Relationships>
</file>

<file path=xl/drawings/_rels/drawing2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59.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60.xml"/></Relationships>
</file>

<file path=xl/drawings/_rels/drawing2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61.xml"/></Relationships>
</file>

<file path=xl/drawings/_rels/drawing2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6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54428</xdr:colOff>
      <xdr:row>0</xdr:row>
      <xdr:rowOff>0</xdr:rowOff>
    </xdr:from>
    <xdr:to>
      <xdr:col>45</xdr:col>
      <xdr:colOff>602116</xdr:colOff>
      <xdr:row>5</xdr:row>
      <xdr:rowOff>130968</xdr:rowOff>
    </xdr:to>
    <xdr:grpSp>
      <xdr:nvGrpSpPr>
        <xdr:cNvPr id="2" name="Grupo 1"/>
        <xdr:cNvGrpSpPr>
          <a:grpSpLocks/>
        </xdr:cNvGrpSpPr>
      </xdr:nvGrpSpPr>
      <xdr:grpSpPr bwMode="auto">
        <a:xfrm>
          <a:off x="421821" y="0"/>
          <a:ext cx="53125688" cy="1083468"/>
          <a:chOff x="0" y="0"/>
          <a:chExt cx="6142161" cy="665216"/>
        </a:xfrm>
      </xdr:grpSpPr>
      <xdr:sp macro="" textlink="">
        <xdr:nvSpPr>
          <xdr:cNvPr id="3" name="Rectángulo 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ESTIMACIÓN DE FRECUENCIA</a:t>
            </a:r>
            <a:r>
              <a:rPr lang="es-CO"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S DE CALIBRACIÓN</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4" name="Grupo 3"/>
          <xdr:cNvGrpSpPr>
            <a:grpSpLocks/>
          </xdr:cNvGrpSpPr>
        </xdr:nvGrpSpPr>
        <xdr:grpSpPr bwMode="auto">
          <a:xfrm>
            <a:off x="3614046" y="0"/>
            <a:ext cx="2528115" cy="665216"/>
            <a:chOff x="-422" y="0"/>
            <a:chExt cx="2528115" cy="665216"/>
          </a:xfrm>
        </xdr:grpSpPr>
        <xdr:sp macro="" textlink="">
          <xdr:nvSpPr>
            <xdr:cNvPr id="5" name="Rectángulo 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6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2021-02-15</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6" name="Rectángulo 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600">
                <a:latin typeface="Arial" panose="020B0604020202020204" pitchFamily="34" charset="0"/>
                <a:cs typeface="Arial" panose="020B0604020202020204" pitchFamily="34" charset="0"/>
              </a:endParaRPr>
            </a:p>
          </xdr:txBody>
        </xdr:sp>
        <xdr:pic>
          <xdr:nvPicPr>
            <xdr:cNvPr id="7" name="Imagen 6" descr="D:\CENTRO DE INSPECCIÓN TOTAL BOYACÁ\logo\CITB Entregas final_Mesa de trabajo 1 sol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9411" y="0"/>
              <a:ext cx="148793"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Rectángulo 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.02</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03</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66675</xdr:colOff>
      <xdr:row>42</xdr:row>
      <xdr:rowOff>152400</xdr:rowOff>
    </xdr:from>
    <xdr:to>
      <xdr:col>7</xdr:col>
      <xdr:colOff>9525</xdr:colOff>
      <xdr:row>58</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66675</xdr:colOff>
      <xdr:row>42</xdr:row>
      <xdr:rowOff>152400</xdr:rowOff>
    </xdr:from>
    <xdr:to>
      <xdr:col>7</xdr:col>
      <xdr:colOff>9525</xdr:colOff>
      <xdr:row>58</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228601</xdr:colOff>
      <xdr:row>52</xdr:row>
      <xdr:rowOff>66675</xdr:rowOff>
    </xdr:from>
    <xdr:to>
      <xdr:col>6</xdr:col>
      <xdr:colOff>609601</xdr:colOff>
      <xdr:row>68</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xdr:colOff>
      <xdr:row>46</xdr:row>
      <xdr:rowOff>38100</xdr:rowOff>
    </xdr:from>
    <xdr:to>
      <xdr:col>6</xdr:col>
      <xdr:colOff>742951</xdr:colOff>
      <xdr:row>63</xdr:row>
      <xdr:rowOff>85725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73</xdr:row>
      <xdr:rowOff>0</xdr:rowOff>
    </xdr:from>
    <xdr:to>
      <xdr:col>4</xdr:col>
      <xdr:colOff>1419225</xdr:colOff>
      <xdr:row>84</xdr:row>
      <xdr:rowOff>47626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4" name="Grupo 3"/>
        <xdr:cNvGrpSpPr>
          <a:grpSpLocks/>
        </xdr:cNvGrpSpPr>
      </xdr:nvGrpSpPr>
      <xdr:grpSpPr bwMode="auto">
        <a:xfrm>
          <a:off x="0" y="50939"/>
          <a:ext cx="7983537" cy="914400"/>
          <a:chOff x="0" y="0"/>
          <a:chExt cx="6142161" cy="665216"/>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14046" y="0"/>
            <a:ext cx="2528115" cy="665216"/>
            <a:chOff x="-422" y="0"/>
            <a:chExt cx="2528115" cy="665216"/>
          </a:xfrm>
        </xdr:grpSpPr>
        <xdr:sp macro="" textlink="">
          <xdr:nvSpPr>
            <xdr:cNvPr id="7" name="Rectángulo 6"/>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2" name="Grupo 11"/>
        <xdr:cNvGrpSpPr>
          <a:grpSpLocks/>
        </xdr:cNvGrpSpPr>
      </xdr:nvGrpSpPr>
      <xdr:grpSpPr bwMode="auto">
        <a:xfrm>
          <a:off x="0" y="50939"/>
          <a:ext cx="7983537" cy="914400"/>
          <a:chOff x="0" y="0"/>
          <a:chExt cx="6142161" cy="665216"/>
        </a:xfrm>
      </xdr:grpSpPr>
      <xdr:sp macro="" textlink="">
        <xdr:nvSpPr>
          <xdr:cNvPr id="13" name="Rectángulo 1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4" name="Grupo 13"/>
          <xdr:cNvGrpSpPr>
            <a:grpSpLocks/>
          </xdr:cNvGrpSpPr>
        </xdr:nvGrpSpPr>
        <xdr:grpSpPr bwMode="auto">
          <a:xfrm>
            <a:off x="3614046" y="0"/>
            <a:ext cx="2528115" cy="665216"/>
            <a:chOff x="-422" y="0"/>
            <a:chExt cx="2528115" cy="665216"/>
          </a:xfrm>
        </xdr:grpSpPr>
        <xdr:sp macro="" textlink="">
          <xdr:nvSpPr>
            <xdr:cNvPr id="15" name="Rectángulo 1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6" name="Rectángulo 1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7" name="Imagen 16"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Rectángulo 1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9" name="Rectángulo 1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93</xdr:row>
      <xdr:rowOff>38100</xdr:rowOff>
    </xdr:from>
    <xdr:to>
      <xdr:col>6</xdr:col>
      <xdr:colOff>742951</xdr:colOff>
      <xdr:row>110</xdr:row>
      <xdr:rowOff>85725</xdr:rowOff>
    </xdr:to>
    <xdr:graphicFrame macro="">
      <xdr:nvGraphicFramePr>
        <xdr:cNvPr id="2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120</xdr:row>
      <xdr:rowOff>0</xdr:rowOff>
    </xdr:from>
    <xdr:to>
      <xdr:col>4</xdr:col>
      <xdr:colOff>1419225</xdr:colOff>
      <xdr:row>131</xdr:row>
      <xdr:rowOff>47626</xdr:rowOff>
    </xdr:to>
    <xdr:graphicFrame macro="">
      <xdr:nvGraphicFramePr>
        <xdr:cNvPr id="21"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304801</xdr:colOff>
      <xdr:row>141</xdr:row>
      <xdr:rowOff>28575</xdr:rowOff>
    </xdr:from>
    <xdr:to>
      <xdr:col>6</xdr:col>
      <xdr:colOff>704851</xdr:colOff>
      <xdr:row>158</xdr:row>
      <xdr:rowOff>76200</xdr:rowOff>
    </xdr:to>
    <xdr:graphicFrame macro="">
      <xdr:nvGraphicFramePr>
        <xdr:cNvPr id="2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161925</xdr:colOff>
      <xdr:row>168</xdr:row>
      <xdr:rowOff>0</xdr:rowOff>
    </xdr:from>
    <xdr:to>
      <xdr:col>4</xdr:col>
      <xdr:colOff>1419225</xdr:colOff>
      <xdr:row>179</xdr:row>
      <xdr:rowOff>47626</xdr:rowOff>
    </xdr:to>
    <xdr:graphicFrame macro="">
      <xdr:nvGraphicFramePr>
        <xdr:cNvPr id="2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188</xdr:row>
      <xdr:rowOff>38100</xdr:rowOff>
    </xdr:from>
    <xdr:to>
      <xdr:col>6</xdr:col>
      <xdr:colOff>742951</xdr:colOff>
      <xdr:row>205</xdr:row>
      <xdr:rowOff>85725</xdr:rowOff>
    </xdr:to>
    <xdr:graphicFrame macro="">
      <xdr:nvGraphicFramePr>
        <xdr:cNvPr id="2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161925</xdr:colOff>
      <xdr:row>215</xdr:row>
      <xdr:rowOff>0</xdr:rowOff>
    </xdr:from>
    <xdr:to>
      <xdr:col>4</xdr:col>
      <xdr:colOff>1419225</xdr:colOff>
      <xdr:row>226</xdr:row>
      <xdr:rowOff>47626</xdr:rowOff>
    </xdr:to>
    <xdr:graphicFrame macro="">
      <xdr:nvGraphicFramePr>
        <xdr:cNvPr id="2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xdr:colOff>
      <xdr:row>49</xdr:row>
      <xdr:rowOff>38100</xdr:rowOff>
    </xdr:from>
    <xdr:to>
      <xdr:col>6</xdr:col>
      <xdr:colOff>752475</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77</xdr:row>
      <xdr:rowOff>9525</xdr:rowOff>
    </xdr:from>
    <xdr:to>
      <xdr:col>6</xdr:col>
      <xdr:colOff>104775</xdr:colOff>
      <xdr:row>88</xdr:row>
      <xdr:rowOff>57151</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41414</xdr:rowOff>
    </xdr:from>
    <xdr:to>
      <xdr:col>7</xdr:col>
      <xdr:colOff>230187</xdr:colOff>
      <xdr:row>5</xdr:row>
      <xdr:rowOff>12839</xdr:rowOff>
    </xdr:to>
    <xdr:grpSp>
      <xdr:nvGrpSpPr>
        <xdr:cNvPr id="4" name="Grupo 3"/>
        <xdr:cNvGrpSpPr>
          <a:grpSpLocks/>
        </xdr:cNvGrpSpPr>
      </xdr:nvGrpSpPr>
      <xdr:grpSpPr bwMode="auto">
        <a:xfrm>
          <a:off x="0" y="41414"/>
          <a:ext cx="8107362" cy="923925"/>
          <a:chOff x="0" y="-6929"/>
          <a:chExt cx="6142161" cy="672145"/>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08084" y="-6929"/>
            <a:ext cx="2534077" cy="672145"/>
            <a:chOff x="-6384" y="-6929"/>
            <a:chExt cx="2534077" cy="672145"/>
          </a:xfrm>
        </xdr:grpSpPr>
        <xdr:sp macro="" textlink="">
          <xdr:nvSpPr>
            <xdr:cNvPr id="7" name="Rectángulo 6"/>
            <xdr:cNvSpPr/>
          </xdr:nvSpPr>
          <xdr:spPr>
            <a:xfrm>
              <a:off x="-6384" y="-6929"/>
              <a:ext cx="1830342"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100</xdr:row>
      <xdr:rowOff>38100</xdr:rowOff>
    </xdr:from>
    <xdr:to>
      <xdr:col>6</xdr:col>
      <xdr:colOff>752475</xdr:colOff>
      <xdr:row>116</xdr:row>
      <xdr:rowOff>0</xdr:rowOff>
    </xdr:to>
    <xdr:graphicFrame macro="">
      <xdr:nvGraphicFramePr>
        <xdr:cNvPr id="1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128</xdr:row>
      <xdr:rowOff>9525</xdr:rowOff>
    </xdr:from>
    <xdr:to>
      <xdr:col>6</xdr:col>
      <xdr:colOff>104775</xdr:colOff>
      <xdr:row>139</xdr:row>
      <xdr:rowOff>57151</xdr:rowOff>
    </xdr:to>
    <xdr:graphicFrame macro="">
      <xdr:nvGraphicFramePr>
        <xdr:cNvPr id="1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xdr:colOff>
      <xdr:row>46</xdr:row>
      <xdr:rowOff>38100</xdr:rowOff>
    </xdr:from>
    <xdr:to>
      <xdr:col>6</xdr:col>
      <xdr:colOff>742951</xdr:colOff>
      <xdr:row>63</xdr:row>
      <xdr:rowOff>85725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73</xdr:row>
      <xdr:rowOff>0</xdr:rowOff>
    </xdr:from>
    <xdr:to>
      <xdr:col>4</xdr:col>
      <xdr:colOff>1419225</xdr:colOff>
      <xdr:row>84</xdr:row>
      <xdr:rowOff>47626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4" name="Grupo 3"/>
        <xdr:cNvGrpSpPr>
          <a:grpSpLocks/>
        </xdr:cNvGrpSpPr>
      </xdr:nvGrpSpPr>
      <xdr:grpSpPr bwMode="auto">
        <a:xfrm>
          <a:off x="0" y="50939"/>
          <a:ext cx="7983537" cy="914400"/>
          <a:chOff x="0" y="0"/>
          <a:chExt cx="6142161" cy="665216"/>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14046" y="0"/>
            <a:ext cx="2528115" cy="665216"/>
            <a:chOff x="-422" y="0"/>
            <a:chExt cx="2528115" cy="665216"/>
          </a:xfrm>
        </xdr:grpSpPr>
        <xdr:sp macro="" textlink="">
          <xdr:nvSpPr>
            <xdr:cNvPr id="7" name="Rectángulo 6"/>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2" name="Grupo 11"/>
        <xdr:cNvGrpSpPr>
          <a:grpSpLocks/>
        </xdr:cNvGrpSpPr>
      </xdr:nvGrpSpPr>
      <xdr:grpSpPr bwMode="auto">
        <a:xfrm>
          <a:off x="0" y="50939"/>
          <a:ext cx="7983537" cy="914400"/>
          <a:chOff x="0" y="0"/>
          <a:chExt cx="6142161" cy="665216"/>
        </a:xfrm>
      </xdr:grpSpPr>
      <xdr:sp macro="" textlink="">
        <xdr:nvSpPr>
          <xdr:cNvPr id="13" name="Rectángulo 1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4" name="Grupo 13"/>
          <xdr:cNvGrpSpPr>
            <a:grpSpLocks/>
          </xdr:cNvGrpSpPr>
        </xdr:nvGrpSpPr>
        <xdr:grpSpPr bwMode="auto">
          <a:xfrm>
            <a:off x="3614046" y="0"/>
            <a:ext cx="2528115" cy="665216"/>
            <a:chOff x="-422" y="0"/>
            <a:chExt cx="2528115" cy="665216"/>
          </a:xfrm>
        </xdr:grpSpPr>
        <xdr:sp macro="" textlink="">
          <xdr:nvSpPr>
            <xdr:cNvPr id="15" name="Rectángulo 1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6" name="Rectángulo 1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7" name="Imagen 16"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Rectángulo 1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9" name="Rectángulo 1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97</xdr:row>
      <xdr:rowOff>38100</xdr:rowOff>
    </xdr:from>
    <xdr:to>
      <xdr:col>6</xdr:col>
      <xdr:colOff>742951</xdr:colOff>
      <xdr:row>114</xdr:row>
      <xdr:rowOff>85725</xdr:rowOff>
    </xdr:to>
    <xdr:graphicFrame macro="">
      <xdr:nvGraphicFramePr>
        <xdr:cNvPr id="2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128</xdr:row>
      <xdr:rowOff>0</xdr:rowOff>
    </xdr:from>
    <xdr:to>
      <xdr:col>4</xdr:col>
      <xdr:colOff>1419225</xdr:colOff>
      <xdr:row>139</xdr:row>
      <xdr:rowOff>47626</xdr:rowOff>
    </xdr:to>
    <xdr:graphicFrame macro="">
      <xdr:nvGraphicFramePr>
        <xdr:cNvPr id="21"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149</xdr:row>
      <xdr:rowOff>38100</xdr:rowOff>
    </xdr:from>
    <xdr:to>
      <xdr:col>6</xdr:col>
      <xdr:colOff>742951</xdr:colOff>
      <xdr:row>166</xdr:row>
      <xdr:rowOff>85725</xdr:rowOff>
    </xdr:to>
    <xdr:graphicFrame macro="">
      <xdr:nvGraphicFramePr>
        <xdr:cNvPr id="2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175</xdr:row>
      <xdr:rowOff>9525</xdr:rowOff>
    </xdr:from>
    <xdr:to>
      <xdr:col>5</xdr:col>
      <xdr:colOff>66675</xdr:colOff>
      <xdr:row>186</xdr:row>
      <xdr:rowOff>57151</xdr:rowOff>
    </xdr:to>
    <xdr:graphicFrame macro="">
      <xdr:nvGraphicFramePr>
        <xdr:cNvPr id="2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200</xdr:row>
      <xdr:rowOff>38100</xdr:rowOff>
    </xdr:from>
    <xdr:to>
      <xdr:col>6</xdr:col>
      <xdr:colOff>742951</xdr:colOff>
      <xdr:row>217</xdr:row>
      <xdr:rowOff>85725</xdr:rowOff>
    </xdr:to>
    <xdr:graphicFrame macro="">
      <xdr:nvGraphicFramePr>
        <xdr:cNvPr id="2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161925</xdr:colOff>
      <xdr:row>231</xdr:row>
      <xdr:rowOff>0</xdr:rowOff>
    </xdr:from>
    <xdr:to>
      <xdr:col>4</xdr:col>
      <xdr:colOff>1419225</xdr:colOff>
      <xdr:row>242</xdr:row>
      <xdr:rowOff>47626</xdr:rowOff>
    </xdr:to>
    <xdr:graphicFrame macro="">
      <xdr:nvGraphicFramePr>
        <xdr:cNvPr id="2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49</xdr:row>
      <xdr:rowOff>19050</xdr:rowOff>
    </xdr:from>
    <xdr:to>
      <xdr:col>7</xdr:col>
      <xdr:colOff>7937</xdr:colOff>
      <xdr:row>63</xdr:row>
      <xdr:rowOff>150811</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1047750</xdr:colOff>
      <xdr:row>73</xdr:row>
      <xdr:rowOff>19050</xdr:rowOff>
    </xdr:from>
    <xdr:to>
      <xdr:col>6</xdr:col>
      <xdr:colOff>133349</xdr:colOff>
      <xdr:row>82</xdr:row>
      <xdr:rowOff>95250</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95</xdr:row>
      <xdr:rowOff>9524</xdr:rowOff>
    </xdr:from>
    <xdr:to>
      <xdr:col>6</xdr:col>
      <xdr:colOff>57148</xdr:colOff>
      <xdr:row>104</xdr:row>
      <xdr:rowOff>152399</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13" name="Grupo 12"/>
        <xdr:cNvGrpSpPr>
          <a:grpSpLocks/>
        </xdr:cNvGrpSpPr>
      </xdr:nvGrpSpPr>
      <xdr:grpSpPr bwMode="auto">
        <a:xfrm>
          <a:off x="0" y="50939"/>
          <a:ext cx="7747000" cy="914400"/>
          <a:chOff x="0" y="0"/>
          <a:chExt cx="6142161" cy="665216"/>
        </a:xfrm>
      </xdr:grpSpPr>
      <xdr:sp macro="" textlink="">
        <xdr:nvSpPr>
          <xdr:cNvPr id="14" name="Rectángulo 1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5" name="Grupo 14"/>
          <xdr:cNvGrpSpPr>
            <a:grpSpLocks/>
          </xdr:cNvGrpSpPr>
        </xdr:nvGrpSpPr>
        <xdr:grpSpPr bwMode="auto">
          <a:xfrm>
            <a:off x="3614046" y="0"/>
            <a:ext cx="2528115" cy="665216"/>
            <a:chOff x="-422" y="0"/>
            <a:chExt cx="2528115" cy="665216"/>
          </a:xfrm>
        </xdr:grpSpPr>
        <xdr:sp macro="" textlink="">
          <xdr:nvSpPr>
            <xdr:cNvPr id="16" name="Rectángulo 1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7" name="Rectángulo 1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8" name="Imagen 17"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Rectángulo 1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20" name="Rectángulo 1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390526</xdr:colOff>
      <xdr:row>51</xdr:row>
      <xdr:rowOff>76200</xdr:rowOff>
    </xdr:from>
    <xdr:to>
      <xdr:col>6</xdr:col>
      <xdr:colOff>600075</xdr:colOff>
      <xdr:row>65</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457201</xdr:colOff>
      <xdr:row>79</xdr:row>
      <xdr:rowOff>152400</xdr:rowOff>
    </xdr:from>
    <xdr:to>
      <xdr:col>5</xdr:col>
      <xdr:colOff>276226</xdr:colOff>
      <xdr:row>87</xdr:row>
      <xdr:rowOff>180975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41414</xdr:rowOff>
    </xdr:from>
    <xdr:to>
      <xdr:col>7</xdr:col>
      <xdr:colOff>230187</xdr:colOff>
      <xdr:row>5</xdr:row>
      <xdr:rowOff>12839</xdr:rowOff>
    </xdr:to>
    <xdr:grpSp>
      <xdr:nvGrpSpPr>
        <xdr:cNvPr id="4" name="Grupo 3"/>
        <xdr:cNvGrpSpPr>
          <a:grpSpLocks/>
        </xdr:cNvGrpSpPr>
      </xdr:nvGrpSpPr>
      <xdr:grpSpPr bwMode="auto">
        <a:xfrm>
          <a:off x="0" y="41414"/>
          <a:ext cx="8107362" cy="923925"/>
          <a:chOff x="0" y="-6929"/>
          <a:chExt cx="6142161" cy="672145"/>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08084" y="-6929"/>
            <a:ext cx="2534077" cy="672145"/>
            <a:chOff x="-6384" y="-6929"/>
            <a:chExt cx="2534077" cy="672145"/>
          </a:xfrm>
        </xdr:grpSpPr>
        <xdr:sp macro="" textlink="">
          <xdr:nvSpPr>
            <xdr:cNvPr id="7" name="Rectángulo 6"/>
            <xdr:cNvSpPr/>
          </xdr:nvSpPr>
          <xdr:spPr>
            <a:xfrm>
              <a:off x="-6384" y="-6929"/>
              <a:ext cx="1830342"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333376</xdr:colOff>
      <xdr:row>103</xdr:row>
      <xdr:rowOff>0</xdr:rowOff>
    </xdr:from>
    <xdr:to>
      <xdr:col>6</xdr:col>
      <xdr:colOff>619125</xdr:colOff>
      <xdr:row>115</xdr:row>
      <xdr:rowOff>152400</xdr:rowOff>
    </xdr:to>
    <xdr:graphicFrame macro="">
      <xdr:nvGraphicFramePr>
        <xdr:cNvPr id="1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238125</xdr:colOff>
      <xdr:row>131</xdr:row>
      <xdr:rowOff>123825</xdr:rowOff>
    </xdr:from>
    <xdr:to>
      <xdr:col>5</xdr:col>
      <xdr:colOff>619125</xdr:colOff>
      <xdr:row>143</xdr:row>
      <xdr:rowOff>1</xdr:rowOff>
    </xdr:to>
    <xdr:graphicFrame macro="">
      <xdr:nvGraphicFramePr>
        <xdr:cNvPr id="1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28575</xdr:colOff>
      <xdr:row>45</xdr:row>
      <xdr:rowOff>9525</xdr:rowOff>
    </xdr:from>
    <xdr:to>
      <xdr:col>6</xdr:col>
      <xdr:colOff>733425</xdr:colOff>
      <xdr:row>61</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1042147</xdr:colOff>
      <xdr:row>48</xdr:row>
      <xdr:rowOff>44823</xdr:rowOff>
    </xdr:from>
    <xdr:to>
      <xdr:col>7</xdr:col>
      <xdr:colOff>22412</xdr:colOff>
      <xdr:row>64</xdr:row>
      <xdr:rowOff>49866</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253599"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253599"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53</xdr:row>
      <xdr:rowOff>47625</xdr:rowOff>
    </xdr:from>
    <xdr:to>
      <xdr:col>7</xdr:col>
      <xdr:colOff>9525</xdr:colOff>
      <xdr:row>69</xdr:row>
      <xdr:rowOff>19050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025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025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42</xdr:row>
      <xdr:rowOff>19050</xdr:rowOff>
    </xdr:from>
    <xdr:to>
      <xdr:col>6</xdr:col>
      <xdr:colOff>714375</xdr:colOff>
      <xdr:row>57</xdr:row>
      <xdr:rowOff>180975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406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66675</xdr:colOff>
      <xdr:row>41</xdr:row>
      <xdr:rowOff>152400</xdr:rowOff>
    </xdr:from>
    <xdr:to>
      <xdr:col>7</xdr:col>
      <xdr:colOff>9525</xdr:colOff>
      <xdr:row>57</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38101</xdr:colOff>
      <xdr:row>35</xdr:row>
      <xdr:rowOff>66675</xdr:rowOff>
    </xdr:from>
    <xdr:to>
      <xdr:col>6</xdr:col>
      <xdr:colOff>742951</xdr:colOff>
      <xdr:row>51</xdr:row>
      <xdr:rowOff>38100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306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3062"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38101</xdr:colOff>
      <xdr:row>35</xdr:row>
      <xdr:rowOff>66675</xdr:rowOff>
    </xdr:from>
    <xdr:to>
      <xdr:col>6</xdr:col>
      <xdr:colOff>742951</xdr:colOff>
      <xdr:row>51</xdr:row>
      <xdr:rowOff>38100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306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3062"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266701</xdr:colOff>
      <xdr:row>48</xdr:row>
      <xdr:rowOff>161925</xdr:rowOff>
    </xdr:from>
    <xdr:to>
      <xdr:col>7</xdr:col>
      <xdr:colOff>38101</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74</xdr:row>
      <xdr:rowOff>123826</xdr:rowOff>
    </xdr:from>
    <xdr:to>
      <xdr:col>5</xdr:col>
      <xdr:colOff>590550</xdr:colOff>
      <xdr:row>84</xdr:row>
      <xdr:rowOff>9525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97</xdr:row>
      <xdr:rowOff>47625</xdr:rowOff>
    </xdr:from>
    <xdr:to>
      <xdr:col>6</xdr:col>
      <xdr:colOff>0</xdr:colOff>
      <xdr:row>106</xdr:row>
      <xdr:rowOff>152401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2638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290879</xdr:colOff>
      <xdr:row>47</xdr:row>
      <xdr:rowOff>178776</xdr:rowOff>
    </xdr:from>
    <xdr:to>
      <xdr:col>6</xdr:col>
      <xdr:colOff>671879</xdr:colOff>
      <xdr:row>64</xdr:row>
      <xdr:rowOff>8059</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xdr:colOff>
      <xdr:row>97</xdr:row>
      <xdr:rowOff>29309</xdr:rowOff>
    </xdr:from>
    <xdr:to>
      <xdr:col>6</xdr:col>
      <xdr:colOff>42495</xdr:colOff>
      <xdr:row>106</xdr:row>
      <xdr:rowOff>73271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190500</xdr:rowOff>
    </xdr:from>
    <xdr:to>
      <xdr:col>6</xdr:col>
      <xdr:colOff>136279</xdr:colOff>
      <xdr:row>82</xdr:row>
      <xdr:rowOff>98913</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6" name="Grupo 5"/>
        <xdr:cNvGrpSpPr>
          <a:grpSpLocks/>
        </xdr:cNvGrpSpPr>
      </xdr:nvGrpSpPr>
      <xdr:grpSpPr bwMode="auto">
        <a:xfrm>
          <a:off x="0" y="50939"/>
          <a:ext cx="8018706" cy="914400"/>
          <a:chOff x="0" y="0"/>
          <a:chExt cx="6142161" cy="665216"/>
        </a:xfrm>
      </xdr:grpSpPr>
      <xdr:sp macro="" textlink="">
        <xdr:nvSpPr>
          <xdr:cNvPr id="7" name="Rectángulo 6"/>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8" name="Grupo 7"/>
          <xdr:cNvGrpSpPr>
            <a:grpSpLocks/>
          </xdr:cNvGrpSpPr>
        </xdr:nvGrpSpPr>
        <xdr:grpSpPr bwMode="auto">
          <a:xfrm>
            <a:off x="3614046" y="0"/>
            <a:ext cx="2528115" cy="665216"/>
            <a:chOff x="-422" y="0"/>
            <a:chExt cx="2528115" cy="665216"/>
          </a:xfrm>
        </xdr:grpSpPr>
        <xdr:sp macro="" textlink="">
          <xdr:nvSpPr>
            <xdr:cNvPr id="9" name="Rectángulo 8"/>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1" name="Imagen 10"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 name="Rectángulo 11"/>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3" name="Rectángulo 12"/>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48</xdr:row>
      <xdr:rowOff>38100</xdr:rowOff>
    </xdr:from>
    <xdr:to>
      <xdr:col>7</xdr:col>
      <xdr:colOff>9526</xdr:colOff>
      <xdr:row>64</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171451</xdr:colOff>
      <xdr:row>72</xdr:row>
      <xdr:rowOff>19050</xdr:rowOff>
    </xdr:from>
    <xdr:to>
      <xdr:col>5</xdr:col>
      <xdr:colOff>342901</xdr:colOff>
      <xdr:row>81</xdr:row>
      <xdr:rowOff>47625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94</xdr:row>
      <xdr:rowOff>0</xdr:rowOff>
    </xdr:from>
    <xdr:to>
      <xdr:col>5</xdr:col>
      <xdr:colOff>676275</xdr:colOff>
      <xdr:row>105</xdr:row>
      <xdr:rowOff>47626</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0733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49</xdr:row>
      <xdr:rowOff>19050</xdr:rowOff>
    </xdr:from>
    <xdr:to>
      <xdr:col>7</xdr:col>
      <xdr:colOff>7937</xdr:colOff>
      <xdr:row>63</xdr:row>
      <xdr:rowOff>150811</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1047750</xdr:colOff>
      <xdr:row>73</xdr:row>
      <xdr:rowOff>19050</xdr:rowOff>
    </xdr:from>
    <xdr:to>
      <xdr:col>6</xdr:col>
      <xdr:colOff>133349</xdr:colOff>
      <xdr:row>82</xdr:row>
      <xdr:rowOff>95250</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95</xdr:row>
      <xdr:rowOff>9524</xdr:rowOff>
    </xdr:from>
    <xdr:to>
      <xdr:col>6</xdr:col>
      <xdr:colOff>57148</xdr:colOff>
      <xdr:row>104</xdr:row>
      <xdr:rowOff>152399</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747000"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266701</xdr:colOff>
      <xdr:row>48</xdr:row>
      <xdr:rowOff>161925</xdr:rowOff>
    </xdr:from>
    <xdr:to>
      <xdr:col>7</xdr:col>
      <xdr:colOff>38101</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74</xdr:row>
      <xdr:rowOff>123826</xdr:rowOff>
    </xdr:from>
    <xdr:to>
      <xdr:col>5</xdr:col>
      <xdr:colOff>590550</xdr:colOff>
      <xdr:row>84</xdr:row>
      <xdr:rowOff>9525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97</xdr:row>
      <xdr:rowOff>47625</xdr:rowOff>
    </xdr:from>
    <xdr:to>
      <xdr:col>6</xdr:col>
      <xdr:colOff>0</xdr:colOff>
      <xdr:row>106</xdr:row>
      <xdr:rowOff>152401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2638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290879</xdr:colOff>
      <xdr:row>47</xdr:row>
      <xdr:rowOff>178776</xdr:rowOff>
    </xdr:from>
    <xdr:to>
      <xdr:col>6</xdr:col>
      <xdr:colOff>671879</xdr:colOff>
      <xdr:row>64</xdr:row>
      <xdr:rowOff>8059</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xdr:colOff>
      <xdr:row>97</xdr:row>
      <xdr:rowOff>29309</xdr:rowOff>
    </xdr:from>
    <xdr:to>
      <xdr:col>6</xdr:col>
      <xdr:colOff>42495</xdr:colOff>
      <xdr:row>106</xdr:row>
      <xdr:rowOff>73271</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190500</xdr:rowOff>
    </xdr:from>
    <xdr:to>
      <xdr:col>6</xdr:col>
      <xdr:colOff>136279</xdr:colOff>
      <xdr:row>82</xdr:row>
      <xdr:rowOff>98913</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8018706"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xdr:colOff>
      <xdr:row>48</xdr:row>
      <xdr:rowOff>38100</xdr:rowOff>
    </xdr:from>
    <xdr:to>
      <xdr:col>7</xdr:col>
      <xdr:colOff>9526</xdr:colOff>
      <xdr:row>64</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171451</xdr:colOff>
      <xdr:row>72</xdr:row>
      <xdr:rowOff>19050</xdr:rowOff>
    </xdr:from>
    <xdr:to>
      <xdr:col>5</xdr:col>
      <xdr:colOff>342901</xdr:colOff>
      <xdr:row>81</xdr:row>
      <xdr:rowOff>47625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94</xdr:row>
      <xdr:rowOff>0</xdr:rowOff>
    </xdr:from>
    <xdr:to>
      <xdr:col>5</xdr:col>
      <xdr:colOff>676275</xdr:colOff>
      <xdr:row>105</xdr:row>
      <xdr:rowOff>47626</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0733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D292"/>
  <sheetViews>
    <sheetView zoomScale="70" zoomScaleNormal="70" workbookViewId="0">
      <pane xSplit="3" ySplit="9" topLeftCell="AH10" activePane="bottomRight" state="frozen"/>
      <selection pane="topRight" activeCell="D1" sqref="D1"/>
      <selection pane="bottomLeft" activeCell="A6" sqref="A6"/>
      <selection pane="bottomRight" activeCell="AQ20" sqref="AQ20"/>
    </sheetView>
  </sheetViews>
  <sheetFormatPr baseColWidth="10" defaultRowHeight="15" x14ac:dyDescent="0.25"/>
  <cols>
    <col min="1" max="1" width="5.5703125" style="321" customWidth="1"/>
    <col min="2" max="2" width="22" customWidth="1"/>
    <col min="3" max="3" width="28.7109375" customWidth="1"/>
    <col min="4" max="4" width="18" customWidth="1"/>
    <col min="5" max="5" width="21.5703125" customWidth="1"/>
    <col min="6" max="6" width="20.85546875" customWidth="1"/>
    <col min="7" max="7" width="12.85546875" customWidth="1"/>
    <col min="8" max="8" width="13.7109375" customWidth="1"/>
    <col min="9" max="9" width="10.7109375" customWidth="1"/>
    <col min="10" max="10" width="9.85546875" customWidth="1"/>
    <col min="11" max="11" width="13.5703125" customWidth="1"/>
    <col min="12" max="16" width="11.28515625" customWidth="1"/>
    <col min="17" max="18" width="10" customWidth="1"/>
    <col min="19" max="19" width="13.85546875" customWidth="1"/>
    <col min="20" max="29" width="20.42578125" customWidth="1"/>
    <col min="30" max="31" width="21.42578125" customWidth="1"/>
    <col min="32" max="34" width="18" customWidth="1"/>
    <col min="35" max="41" width="20" customWidth="1"/>
    <col min="42" max="45" width="21.42578125" customWidth="1"/>
    <col min="46" max="46" width="17.140625" customWidth="1"/>
    <col min="47" max="47" width="11.28515625" customWidth="1"/>
    <col min="48" max="48" width="14.28515625" customWidth="1"/>
    <col min="49" max="49" width="13" customWidth="1"/>
    <col min="50" max="50" width="19.85546875" customWidth="1"/>
    <col min="51" max="51" width="14.28515625" customWidth="1"/>
    <col min="52" max="52" width="21.85546875" customWidth="1"/>
    <col min="53" max="53" width="20.42578125" customWidth="1"/>
    <col min="54" max="54" width="15.5703125" customWidth="1"/>
    <col min="55" max="55" width="16.42578125" customWidth="1"/>
    <col min="56" max="56" width="24" customWidth="1"/>
  </cols>
  <sheetData>
    <row r="2" spans="2:56" ht="15" customHeight="1" x14ac:dyDescent="0.25">
      <c r="AP2" s="615"/>
      <c r="AQ2" s="615"/>
      <c r="AR2" s="615"/>
      <c r="AS2" s="615"/>
      <c r="AT2" s="615"/>
      <c r="AU2" s="615"/>
      <c r="AV2" s="615"/>
    </row>
    <row r="3" spans="2:56" ht="15" customHeight="1" x14ac:dyDescent="0.25">
      <c r="AP3" s="615"/>
      <c r="AQ3" s="615"/>
      <c r="AR3" s="615"/>
      <c r="AS3" s="615"/>
      <c r="AT3" s="615"/>
      <c r="AU3" s="615"/>
      <c r="AV3" s="615"/>
    </row>
    <row r="4" spans="2:56" ht="15" customHeight="1" x14ac:dyDescent="0.25">
      <c r="AP4" s="615"/>
      <c r="AQ4" s="615"/>
      <c r="AR4" s="615"/>
      <c r="AS4" s="615"/>
      <c r="AT4" s="615"/>
      <c r="AU4" s="615"/>
      <c r="AV4" s="615"/>
    </row>
    <row r="5" spans="2:56" ht="15" customHeight="1" x14ac:dyDescent="0.25">
      <c r="AP5" s="615"/>
      <c r="AQ5" s="615"/>
      <c r="AR5" s="615"/>
      <c r="AS5" s="615"/>
      <c r="AT5" s="615"/>
      <c r="AU5" s="615"/>
      <c r="AV5" s="615"/>
    </row>
    <row r="6" spans="2:56" ht="15" customHeight="1" x14ac:dyDescent="0.25">
      <c r="AP6" s="615"/>
      <c r="AQ6" s="615"/>
      <c r="AR6" s="615"/>
      <c r="AS6" s="615"/>
      <c r="AT6" s="615"/>
      <c r="AU6" s="615"/>
      <c r="AV6" s="615"/>
    </row>
    <row r="7" spans="2:56" ht="15.75" thickBot="1" x14ac:dyDescent="0.3">
      <c r="AP7" s="186"/>
      <c r="AQ7" s="186"/>
      <c r="AR7" s="186"/>
      <c r="AS7" s="186"/>
      <c r="AT7" s="186"/>
      <c r="AU7" s="186"/>
      <c r="AV7" s="186"/>
    </row>
    <row r="8" spans="2:56" ht="15.75" thickBot="1" x14ac:dyDescent="0.3">
      <c r="B8" s="644" t="s">
        <v>30</v>
      </c>
      <c r="C8" s="645"/>
      <c r="D8" s="645"/>
      <c r="E8" s="645"/>
      <c r="F8" s="645"/>
      <c r="G8" s="645"/>
      <c r="H8" s="645"/>
      <c r="I8" s="645"/>
      <c r="J8" s="645"/>
      <c r="K8" s="645"/>
      <c r="L8" s="645"/>
      <c r="M8" s="645"/>
      <c r="N8" s="645"/>
      <c r="O8" s="645"/>
      <c r="P8" s="645"/>
      <c r="Q8" s="645"/>
      <c r="R8" s="646"/>
      <c r="S8" s="636" t="s">
        <v>106</v>
      </c>
      <c r="T8" s="637"/>
      <c r="U8" s="637"/>
      <c r="V8" s="637"/>
      <c r="W8" s="637"/>
      <c r="X8" s="637"/>
      <c r="Y8" s="637"/>
      <c r="Z8" s="637"/>
      <c r="AA8" s="637"/>
      <c r="AB8" s="637"/>
      <c r="AC8" s="637"/>
      <c r="AD8" s="637"/>
      <c r="AE8" s="637"/>
      <c r="AF8" s="638"/>
      <c r="AG8" s="671" t="s">
        <v>105</v>
      </c>
      <c r="AH8" s="672"/>
      <c r="AI8" s="672"/>
      <c r="AJ8" s="672"/>
      <c r="AK8" s="672"/>
      <c r="AL8" s="672"/>
      <c r="AM8" s="672"/>
      <c r="AN8" s="672"/>
      <c r="AO8" s="672"/>
      <c r="AP8" s="672"/>
      <c r="AQ8" s="672"/>
      <c r="AR8" s="672"/>
      <c r="AS8" s="672"/>
      <c r="AT8" s="673"/>
      <c r="AU8" s="661" t="s">
        <v>41</v>
      </c>
      <c r="AV8" s="662"/>
      <c r="AW8" s="662"/>
      <c r="AX8" s="662"/>
      <c r="AY8" s="662"/>
      <c r="AZ8" s="663"/>
      <c r="BA8" s="662" t="s">
        <v>42</v>
      </c>
      <c r="BB8" s="662"/>
      <c r="BC8" s="662"/>
      <c r="BD8" s="663"/>
    </row>
    <row r="9" spans="2:56" ht="79.5" customHeight="1" thickBot="1" x14ac:dyDescent="0.3">
      <c r="B9" s="319" t="s">
        <v>3</v>
      </c>
      <c r="C9" s="17" t="s">
        <v>2</v>
      </c>
      <c r="D9" s="17" t="s">
        <v>0</v>
      </c>
      <c r="E9" s="17" t="s">
        <v>1</v>
      </c>
      <c r="F9" s="18" t="s">
        <v>4</v>
      </c>
      <c r="G9" s="185" t="s">
        <v>5</v>
      </c>
      <c r="H9" s="19" t="s">
        <v>27</v>
      </c>
      <c r="I9" s="621" t="s">
        <v>21</v>
      </c>
      <c r="J9" s="622"/>
      <c r="K9" s="669" t="s">
        <v>65</v>
      </c>
      <c r="L9" s="670"/>
      <c r="M9" s="642" t="s">
        <v>66</v>
      </c>
      <c r="N9" s="643"/>
      <c r="O9" s="674" t="s">
        <v>67</v>
      </c>
      <c r="P9" s="675"/>
      <c r="Q9" s="667" t="s">
        <v>110</v>
      </c>
      <c r="R9" s="668"/>
      <c r="S9" s="25" t="s">
        <v>25</v>
      </c>
      <c r="T9" s="26" t="s">
        <v>69</v>
      </c>
      <c r="U9" s="25" t="s">
        <v>70</v>
      </c>
      <c r="V9" s="25" t="s">
        <v>71</v>
      </c>
      <c r="W9" s="25" t="s">
        <v>72</v>
      </c>
      <c r="X9" s="34" t="s">
        <v>73</v>
      </c>
      <c r="Y9" s="34" t="s">
        <v>74</v>
      </c>
      <c r="Z9" s="35" t="s">
        <v>75</v>
      </c>
      <c r="AA9" s="36" t="s">
        <v>76</v>
      </c>
      <c r="AB9" s="25" t="s">
        <v>77</v>
      </c>
      <c r="AC9" s="25" t="s">
        <v>78</v>
      </c>
      <c r="AD9" s="25" t="s">
        <v>28</v>
      </c>
      <c r="AE9" s="25" t="s">
        <v>29</v>
      </c>
      <c r="AF9" s="28" t="s">
        <v>36</v>
      </c>
      <c r="AG9" s="16" t="s">
        <v>51</v>
      </c>
      <c r="AH9" s="27" t="s">
        <v>79</v>
      </c>
      <c r="AI9" s="16" t="s">
        <v>80</v>
      </c>
      <c r="AJ9" s="16" t="s">
        <v>71</v>
      </c>
      <c r="AK9" s="16" t="s">
        <v>72</v>
      </c>
      <c r="AL9" s="34" t="s">
        <v>73</v>
      </c>
      <c r="AM9" s="34" t="s">
        <v>74</v>
      </c>
      <c r="AN9" s="35" t="s">
        <v>75</v>
      </c>
      <c r="AO9" s="36" t="s">
        <v>76</v>
      </c>
      <c r="AP9" s="16" t="s">
        <v>77</v>
      </c>
      <c r="AQ9" s="16" t="s">
        <v>78</v>
      </c>
      <c r="AR9" s="16" t="s">
        <v>28</v>
      </c>
      <c r="AS9" s="16" t="s">
        <v>29</v>
      </c>
      <c r="AT9" s="29" t="s">
        <v>36</v>
      </c>
      <c r="AU9" s="31" t="s">
        <v>24</v>
      </c>
      <c r="AV9" s="31" t="s">
        <v>53</v>
      </c>
      <c r="AW9" s="31" t="s">
        <v>26</v>
      </c>
      <c r="AX9" s="31" t="s">
        <v>43</v>
      </c>
      <c r="AY9" s="31" t="s">
        <v>37</v>
      </c>
      <c r="AZ9" s="9" t="s">
        <v>3</v>
      </c>
      <c r="BA9" s="15" t="s">
        <v>32</v>
      </c>
      <c r="BB9" s="15" t="s">
        <v>33</v>
      </c>
      <c r="BC9" s="15" t="s">
        <v>40</v>
      </c>
      <c r="BD9" s="15" t="s">
        <v>57</v>
      </c>
    </row>
    <row r="10" spans="2:56" ht="15.75" customHeight="1" x14ac:dyDescent="0.25">
      <c r="B10" s="557" t="s">
        <v>210</v>
      </c>
      <c r="C10" s="562" t="s">
        <v>160</v>
      </c>
      <c r="D10" s="563" t="s">
        <v>115</v>
      </c>
      <c r="E10" s="563" t="s">
        <v>116</v>
      </c>
      <c r="F10" s="568" t="s">
        <v>209</v>
      </c>
      <c r="G10" s="573">
        <v>1E-4</v>
      </c>
      <c r="H10" s="575" t="s">
        <v>45</v>
      </c>
      <c r="I10" s="76">
        <v>0.06</v>
      </c>
      <c r="J10" s="77" t="s">
        <v>44</v>
      </c>
      <c r="K10" s="258" t="s">
        <v>68</v>
      </c>
      <c r="L10" s="271" t="s">
        <v>68</v>
      </c>
      <c r="M10" s="78">
        <v>0.02</v>
      </c>
      <c r="N10" s="79" t="s">
        <v>44</v>
      </c>
      <c r="O10" s="80">
        <v>0.03</v>
      </c>
      <c r="P10" s="81" t="s">
        <v>44</v>
      </c>
      <c r="Q10" s="82">
        <v>1.01</v>
      </c>
      <c r="R10" s="82">
        <v>0.99399999999999999</v>
      </c>
      <c r="S10" s="58"/>
      <c r="T10" s="527"/>
      <c r="U10" s="83">
        <v>0.98499999999999999</v>
      </c>
      <c r="V10" s="83">
        <f t="shared" ref="V10:V17" si="0">U10-Q10</f>
        <v>-2.5000000000000022E-2</v>
      </c>
      <c r="W10" s="83" t="s">
        <v>68</v>
      </c>
      <c r="X10" s="83" t="s">
        <v>68</v>
      </c>
      <c r="Y10" s="83" t="s">
        <v>68</v>
      </c>
      <c r="Z10" s="83">
        <v>0.01</v>
      </c>
      <c r="AA10" s="83">
        <v>0.01</v>
      </c>
      <c r="AB10" s="83">
        <v>1.2E-2</v>
      </c>
      <c r="AC10" s="83" t="s">
        <v>68</v>
      </c>
      <c r="AD10" s="59">
        <f>(V10+AB10)</f>
        <v>-1.3000000000000022E-2</v>
      </c>
      <c r="AE10" s="59">
        <f>(V10-AB10)</f>
        <v>-3.7000000000000019E-2</v>
      </c>
      <c r="AF10" s="59">
        <f>MAX(AD10:AE10)</f>
        <v>-1.3000000000000022E-2</v>
      </c>
      <c r="AG10" s="60">
        <v>44421</v>
      </c>
      <c r="AH10" s="530">
        <v>66164</v>
      </c>
      <c r="AI10" s="84">
        <v>0.98</v>
      </c>
      <c r="AJ10" s="84">
        <f>AI10-R10</f>
        <v>-1.4000000000000012E-2</v>
      </c>
      <c r="AK10" s="84"/>
      <c r="AL10" s="84" t="s">
        <v>68</v>
      </c>
      <c r="AM10" s="84" t="s">
        <v>68</v>
      </c>
      <c r="AN10" s="84">
        <v>0</v>
      </c>
      <c r="AO10" s="84">
        <v>0</v>
      </c>
      <c r="AP10" s="84">
        <v>2.1000000000000001E-2</v>
      </c>
      <c r="AQ10" s="84"/>
      <c r="AR10" s="59">
        <f t="shared" ref="AR10:AR15" si="1">(AJ10+AP10)</f>
        <v>6.9999999999999889E-3</v>
      </c>
      <c r="AS10" s="59">
        <f t="shared" ref="AS10:AS15" si="2">(AJ10-AP10)</f>
        <v>-3.5000000000000017E-2</v>
      </c>
      <c r="AT10" s="59">
        <f t="shared" ref="AT10:AT16" si="3">MAX(AR10:AS10)</f>
        <v>6.9999999999999889E-3</v>
      </c>
      <c r="AU10" s="62">
        <f t="shared" ref="AU10:AU255" si="4">YEARFRAC(S10,AG10)</f>
        <v>121.61944444444444</v>
      </c>
      <c r="AV10" s="63">
        <f t="shared" ref="AV10:AV76" si="5">ABS(AT10-AF10)</f>
        <v>2.0000000000000011E-2</v>
      </c>
      <c r="AW10" s="85">
        <f>(AV10/AU10)</f>
        <v>1.6444738825571579E-4</v>
      </c>
      <c r="AX10" s="65">
        <f t="shared" ref="AX10:AX257" si="6">(I10/AW10)</f>
        <v>364.85833333333306</v>
      </c>
      <c r="AY10" s="66" t="str">
        <f t="shared" ref="AY10:AY255" si="7">IF(AX10&lt;=1,"UN AÑO",IF(AX10&gt;=1,"DOS AÑOS"))</f>
        <v>DOS AÑOS</v>
      </c>
      <c r="AZ10" s="479" t="s">
        <v>9</v>
      </c>
      <c r="BA10" s="676" t="s">
        <v>35</v>
      </c>
      <c r="BB10" s="679" t="s">
        <v>34</v>
      </c>
      <c r="BC10" s="533" t="e">
        <f>MIN(AX10:AX25)</f>
        <v>#DIV/0!</v>
      </c>
      <c r="BD10" s="536" t="e">
        <f>#REF!</f>
        <v>#REF!</v>
      </c>
    </row>
    <row r="11" spans="2:56" ht="15.75" customHeight="1" x14ac:dyDescent="0.25">
      <c r="B11" s="558"/>
      <c r="C11" s="541"/>
      <c r="D11" s="564"/>
      <c r="E11" s="564"/>
      <c r="F11" s="569"/>
      <c r="G11" s="574"/>
      <c r="H11" s="576"/>
      <c r="I11" s="238">
        <v>0.15</v>
      </c>
      <c r="J11" s="87" t="s">
        <v>44</v>
      </c>
      <c r="K11" s="259" t="s">
        <v>68</v>
      </c>
      <c r="L11" s="260" t="s">
        <v>68</v>
      </c>
      <c r="M11" s="239">
        <v>0.06</v>
      </c>
      <c r="N11" s="89" t="s">
        <v>44</v>
      </c>
      <c r="O11" s="240">
        <v>0.08</v>
      </c>
      <c r="P11" s="91" t="s">
        <v>44</v>
      </c>
      <c r="Q11" s="242">
        <v>4</v>
      </c>
      <c r="R11" s="242">
        <v>4.01</v>
      </c>
      <c r="S11" s="243"/>
      <c r="T11" s="528"/>
      <c r="U11" s="244">
        <v>3.9</v>
      </c>
      <c r="V11" s="93">
        <f t="shared" si="0"/>
        <v>-0.10000000000000009</v>
      </c>
      <c r="W11" s="244" t="s">
        <v>68</v>
      </c>
      <c r="X11" s="244" t="s">
        <v>68</v>
      </c>
      <c r="Y11" s="244" t="s">
        <v>68</v>
      </c>
      <c r="Z11" s="244">
        <v>0</v>
      </c>
      <c r="AA11" s="244">
        <v>0</v>
      </c>
      <c r="AB11" s="244">
        <v>4.1000000000000002E-2</v>
      </c>
      <c r="AC11" s="244"/>
      <c r="AD11" s="40">
        <f t="shared" ref="AD11:AD24" si="8">(V11+AB11)</f>
        <v>-5.9000000000000087E-2</v>
      </c>
      <c r="AE11" s="40">
        <f t="shared" ref="AE11:AE24" si="9">(V11-AB11)</f>
        <v>-0.1410000000000001</v>
      </c>
      <c r="AF11" s="40">
        <f t="shared" ref="AF11:AF24" si="10">MAX(AD11:AE11)</f>
        <v>-5.9000000000000087E-2</v>
      </c>
      <c r="AG11" s="246">
        <v>44421</v>
      </c>
      <c r="AH11" s="531"/>
      <c r="AI11" s="247">
        <v>3.97</v>
      </c>
      <c r="AJ11" s="94">
        <f>AI11-R11</f>
        <v>-3.9999999999999591E-2</v>
      </c>
      <c r="AK11" s="247"/>
      <c r="AL11" s="247"/>
      <c r="AM11" s="247"/>
      <c r="AN11" s="247">
        <v>0</v>
      </c>
      <c r="AO11" s="247">
        <v>0</v>
      </c>
      <c r="AP11" s="247">
        <v>0.09</v>
      </c>
      <c r="AQ11" s="247"/>
      <c r="AR11" s="40">
        <f t="shared" si="1"/>
        <v>5.0000000000000405E-2</v>
      </c>
      <c r="AS11" s="40">
        <f t="shared" si="2"/>
        <v>-0.12999999999999959</v>
      </c>
      <c r="AT11" s="40">
        <f t="shared" si="3"/>
        <v>5.0000000000000405E-2</v>
      </c>
      <c r="AU11" s="43">
        <f t="shared" ref="AU11:AU18" si="11">YEARFRAC(S11,AG11)</f>
        <v>121.61944444444444</v>
      </c>
      <c r="AV11" s="44">
        <f t="shared" ref="AV11:AV18" si="12">ABS(AT11-AF11)</f>
        <v>0.10900000000000049</v>
      </c>
      <c r="AW11" s="95">
        <f t="shared" ref="AW11:AW13" si="13">(AV11/AU11)</f>
        <v>8.9623826599365456E-4</v>
      </c>
      <c r="AX11" s="46">
        <f t="shared" ref="AX11:AX13" si="14">(I11/AW11)</f>
        <v>167.36620795106958</v>
      </c>
      <c r="AY11" s="72" t="str">
        <f t="shared" ref="AY11:AY21" si="15">IF(AX11&lt;=1,"UN AÑO",IF(AX11&gt;=1,"DOS AÑOS"))</f>
        <v>DOS AÑOS</v>
      </c>
      <c r="AZ11" s="480"/>
      <c r="BA11" s="677"/>
      <c r="BB11" s="680"/>
      <c r="BC11" s="534"/>
      <c r="BD11" s="537"/>
    </row>
    <row r="12" spans="2:56" ht="15.75" customHeight="1" x14ac:dyDescent="0.25">
      <c r="B12" s="558"/>
      <c r="C12" s="541"/>
      <c r="D12" s="564"/>
      <c r="E12" s="564"/>
      <c r="F12" s="569"/>
      <c r="G12" s="574"/>
      <c r="H12" s="576"/>
      <c r="I12" s="238">
        <v>0.4</v>
      </c>
      <c r="J12" s="87" t="s">
        <v>44</v>
      </c>
      <c r="K12" s="259" t="s">
        <v>68</v>
      </c>
      <c r="L12" s="260" t="s">
        <v>68</v>
      </c>
      <c r="M12" s="239">
        <v>0.1</v>
      </c>
      <c r="N12" s="89" t="s">
        <v>44</v>
      </c>
      <c r="O12" s="240">
        <v>0.15</v>
      </c>
      <c r="P12" s="91" t="s">
        <v>44</v>
      </c>
      <c r="Q12" s="242">
        <v>8</v>
      </c>
      <c r="R12" s="242">
        <v>7.97</v>
      </c>
      <c r="S12" s="243"/>
      <c r="T12" s="528"/>
      <c r="U12" s="244">
        <v>7.95</v>
      </c>
      <c r="V12" s="93">
        <f t="shared" si="0"/>
        <v>-4.9999999999999822E-2</v>
      </c>
      <c r="W12" s="244" t="s">
        <v>68</v>
      </c>
      <c r="X12" s="244" t="s">
        <v>68</v>
      </c>
      <c r="Y12" s="244" t="s">
        <v>68</v>
      </c>
      <c r="Z12" s="244">
        <v>0.05</v>
      </c>
      <c r="AA12" s="244">
        <v>0.1</v>
      </c>
      <c r="AB12" s="244">
        <v>0.11</v>
      </c>
      <c r="AC12" s="244"/>
      <c r="AD12" s="40">
        <f t="shared" si="8"/>
        <v>6.0000000000000178E-2</v>
      </c>
      <c r="AE12" s="40">
        <f t="shared" si="9"/>
        <v>-0.15999999999999981</v>
      </c>
      <c r="AF12" s="40">
        <f t="shared" si="10"/>
        <v>6.0000000000000178E-2</v>
      </c>
      <c r="AG12" s="246">
        <v>44421</v>
      </c>
      <c r="AH12" s="531"/>
      <c r="AI12" s="247">
        <v>7.93</v>
      </c>
      <c r="AJ12" s="94">
        <f t="shared" ref="AJ12:AJ41" si="16">AI12-R12</f>
        <v>-4.0000000000000036E-2</v>
      </c>
      <c r="AK12" s="247"/>
      <c r="AL12" s="247"/>
      <c r="AM12" s="247"/>
      <c r="AN12" s="247">
        <v>0</v>
      </c>
      <c r="AO12" s="247">
        <v>0</v>
      </c>
      <c r="AP12" s="247">
        <v>0.17</v>
      </c>
      <c r="AQ12" s="247"/>
      <c r="AR12" s="40">
        <f t="shared" si="1"/>
        <v>0.12999999999999998</v>
      </c>
      <c r="AS12" s="40">
        <f t="shared" si="2"/>
        <v>-0.21000000000000005</v>
      </c>
      <c r="AT12" s="40">
        <f t="shared" si="3"/>
        <v>0.12999999999999998</v>
      </c>
      <c r="AU12" s="43">
        <f t="shared" si="11"/>
        <v>121.61944444444444</v>
      </c>
      <c r="AV12" s="44">
        <f t="shared" si="12"/>
        <v>6.9999999999999798E-2</v>
      </c>
      <c r="AW12" s="95">
        <f t="shared" si="13"/>
        <v>5.7556585889500329E-4</v>
      </c>
      <c r="AX12" s="46">
        <f t="shared" si="14"/>
        <v>694.96825396825591</v>
      </c>
      <c r="AY12" s="72" t="str">
        <f t="shared" si="15"/>
        <v>DOS AÑOS</v>
      </c>
      <c r="AZ12" s="480"/>
      <c r="BA12" s="677"/>
      <c r="BB12" s="680"/>
      <c r="BC12" s="534"/>
      <c r="BD12" s="537"/>
    </row>
    <row r="13" spans="2:56" x14ac:dyDescent="0.25">
      <c r="B13" s="559"/>
      <c r="C13" s="547"/>
      <c r="D13" s="565"/>
      <c r="E13" s="565"/>
      <c r="F13" s="570"/>
      <c r="G13" s="548"/>
      <c r="H13" s="577"/>
      <c r="I13" s="86">
        <v>0.06</v>
      </c>
      <c r="J13" s="87" t="s">
        <v>44</v>
      </c>
      <c r="K13" s="261" t="s">
        <v>68</v>
      </c>
      <c r="L13" s="272" t="s">
        <v>68</v>
      </c>
      <c r="M13" s="88">
        <v>0.02</v>
      </c>
      <c r="N13" s="89" t="s">
        <v>44</v>
      </c>
      <c r="O13" s="90">
        <v>0.03</v>
      </c>
      <c r="P13" s="91" t="s">
        <v>44</v>
      </c>
      <c r="Q13" s="92">
        <v>0</v>
      </c>
      <c r="R13" s="92">
        <v>0</v>
      </c>
      <c r="S13" s="38"/>
      <c r="T13" s="529"/>
      <c r="U13" s="93">
        <v>0</v>
      </c>
      <c r="V13" s="93">
        <f t="shared" si="0"/>
        <v>0</v>
      </c>
      <c r="W13" s="93" t="s">
        <v>68</v>
      </c>
      <c r="X13" s="93" t="s">
        <v>68</v>
      </c>
      <c r="Y13" s="93" t="s">
        <v>68</v>
      </c>
      <c r="Z13" s="93">
        <v>0</v>
      </c>
      <c r="AA13" s="93">
        <v>0</v>
      </c>
      <c r="AB13" s="93">
        <v>6.0000000000000001E-3</v>
      </c>
      <c r="AC13" s="93" t="s">
        <v>68</v>
      </c>
      <c r="AD13" s="40">
        <f t="shared" si="8"/>
        <v>6.0000000000000001E-3</v>
      </c>
      <c r="AE13" s="40">
        <f t="shared" si="9"/>
        <v>-6.0000000000000001E-3</v>
      </c>
      <c r="AF13" s="40">
        <f t="shared" si="10"/>
        <v>6.0000000000000001E-3</v>
      </c>
      <c r="AG13" s="41">
        <v>44421</v>
      </c>
      <c r="AH13" s="532"/>
      <c r="AI13" s="94">
        <v>0</v>
      </c>
      <c r="AJ13" s="94">
        <f t="shared" si="16"/>
        <v>0</v>
      </c>
      <c r="AK13" s="94"/>
      <c r="AL13" s="94" t="s">
        <v>68</v>
      </c>
      <c r="AM13" s="94" t="s">
        <v>68</v>
      </c>
      <c r="AN13" s="94">
        <v>0</v>
      </c>
      <c r="AO13" s="94">
        <v>0</v>
      </c>
      <c r="AP13" s="94">
        <v>6.0000000000000001E-3</v>
      </c>
      <c r="AQ13" s="94"/>
      <c r="AR13" s="40">
        <f t="shared" si="1"/>
        <v>6.0000000000000001E-3</v>
      </c>
      <c r="AS13" s="40">
        <f t="shared" si="2"/>
        <v>-6.0000000000000001E-3</v>
      </c>
      <c r="AT13" s="40">
        <f t="shared" si="3"/>
        <v>6.0000000000000001E-3</v>
      </c>
      <c r="AU13" s="43">
        <f t="shared" si="11"/>
        <v>121.61944444444444</v>
      </c>
      <c r="AV13" s="44">
        <f t="shared" si="12"/>
        <v>0</v>
      </c>
      <c r="AW13" s="95">
        <f t="shared" si="13"/>
        <v>0</v>
      </c>
      <c r="AX13" s="46" t="e">
        <f t="shared" si="14"/>
        <v>#DIV/0!</v>
      </c>
      <c r="AY13" s="72" t="e">
        <f t="shared" si="15"/>
        <v>#DIV/0!</v>
      </c>
      <c r="AZ13" s="481"/>
      <c r="BA13" s="677"/>
      <c r="BB13" s="680"/>
      <c r="BC13" s="534"/>
      <c r="BD13" s="537"/>
    </row>
    <row r="14" spans="2:56" x14ac:dyDescent="0.25">
      <c r="B14" s="559"/>
      <c r="C14" s="539" t="s">
        <v>6</v>
      </c>
      <c r="D14" s="565"/>
      <c r="E14" s="565"/>
      <c r="F14" s="570"/>
      <c r="G14" s="542">
        <v>1E-3</v>
      </c>
      <c r="H14" s="545" t="s">
        <v>46</v>
      </c>
      <c r="I14" s="86">
        <v>0.6</v>
      </c>
      <c r="J14" s="87" t="s">
        <v>44</v>
      </c>
      <c r="K14" s="261" t="s">
        <v>68</v>
      </c>
      <c r="L14" s="272" t="s">
        <v>68</v>
      </c>
      <c r="M14" s="88">
        <v>0.2</v>
      </c>
      <c r="N14" s="89" t="s">
        <v>44</v>
      </c>
      <c r="O14" s="90">
        <v>0.3</v>
      </c>
      <c r="P14" s="91" t="s">
        <v>44</v>
      </c>
      <c r="Q14" s="92">
        <v>6</v>
      </c>
      <c r="R14" s="92">
        <v>5.98</v>
      </c>
      <c r="S14" s="38"/>
      <c r="T14" s="529"/>
      <c r="U14" s="96">
        <v>6.05</v>
      </c>
      <c r="V14" s="93">
        <f t="shared" si="0"/>
        <v>4.9999999999999822E-2</v>
      </c>
      <c r="W14" s="96" t="s">
        <v>68</v>
      </c>
      <c r="X14" s="96" t="s">
        <v>68</v>
      </c>
      <c r="Y14" s="96" t="s">
        <v>68</v>
      </c>
      <c r="Z14" s="96">
        <v>0.05</v>
      </c>
      <c r="AA14" s="96">
        <v>0.1</v>
      </c>
      <c r="AB14" s="96">
        <v>0.1</v>
      </c>
      <c r="AC14" s="96" t="s">
        <v>68</v>
      </c>
      <c r="AD14" s="40">
        <f t="shared" si="8"/>
        <v>0.14999999999999983</v>
      </c>
      <c r="AE14" s="40">
        <f t="shared" si="9"/>
        <v>-5.0000000000000183E-2</v>
      </c>
      <c r="AF14" s="40">
        <f t="shared" si="10"/>
        <v>0.14999999999999983</v>
      </c>
      <c r="AG14" s="41">
        <v>44421</v>
      </c>
      <c r="AH14" s="532"/>
      <c r="AI14" s="94">
        <v>5.98</v>
      </c>
      <c r="AJ14" s="94">
        <f t="shared" si="16"/>
        <v>0</v>
      </c>
      <c r="AK14" s="94"/>
      <c r="AL14" s="94"/>
      <c r="AM14" s="94"/>
      <c r="AN14" s="94">
        <v>0.05</v>
      </c>
      <c r="AO14" s="94">
        <v>0</v>
      </c>
      <c r="AP14" s="94">
        <v>0.12</v>
      </c>
      <c r="AQ14" s="94"/>
      <c r="AR14" s="40">
        <f t="shared" si="1"/>
        <v>0.12</v>
      </c>
      <c r="AS14" s="40">
        <f t="shared" si="2"/>
        <v>-0.12</v>
      </c>
      <c r="AT14" s="40">
        <f t="shared" si="3"/>
        <v>0.12</v>
      </c>
      <c r="AU14" s="43">
        <f t="shared" si="11"/>
        <v>121.61944444444444</v>
      </c>
      <c r="AV14" s="44">
        <f t="shared" si="12"/>
        <v>2.9999999999999832E-2</v>
      </c>
      <c r="AW14" s="95">
        <f t="shared" ref="AW14:AW22" si="17">(AV14/AU14)</f>
        <v>2.4667108238357214E-4</v>
      </c>
      <c r="AX14" s="46">
        <f t="shared" ref="AX14:AX22" si="18">(I14/AW14)</f>
        <v>2432.3888888889023</v>
      </c>
      <c r="AY14" s="72" t="str">
        <f t="shared" si="15"/>
        <v>DOS AÑOS</v>
      </c>
      <c r="AZ14" s="481"/>
      <c r="BA14" s="677"/>
      <c r="BB14" s="680"/>
      <c r="BC14" s="534"/>
      <c r="BD14" s="537"/>
    </row>
    <row r="15" spans="2:56" x14ac:dyDescent="0.25">
      <c r="B15" s="559"/>
      <c r="C15" s="540"/>
      <c r="D15" s="565"/>
      <c r="E15" s="565"/>
      <c r="F15" s="570"/>
      <c r="G15" s="543"/>
      <c r="H15" s="546"/>
      <c r="I15" s="86">
        <v>0.6</v>
      </c>
      <c r="J15" s="87" t="s">
        <v>44</v>
      </c>
      <c r="K15" s="261" t="s">
        <v>68</v>
      </c>
      <c r="L15" s="262" t="s">
        <v>68</v>
      </c>
      <c r="M15" s="88">
        <v>0.2</v>
      </c>
      <c r="N15" s="89" t="s">
        <v>44</v>
      </c>
      <c r="O15" s="90">
        <v>0.3</v>
      </c>
      <c r="P15" s="91" t="s">
        <v>44</v>
      </c>
      <c r="Q15" s="92">
        <v>12</v>
      </c>
      <c r="R15" s="92">
        <v>10.5</v>
      </c>
      <c r="S15" s="38"/>
      <c r="T15" s="529"/>
      <c r="U15" s="96">
        <v>12.25</v>
      </c>
      <c r="V15" s="93">
        <f t="shared" si="0"/>
        <v>0.25</v>
      </c>
      <c r="W15" s="96"/>
      <c r="X15" s="96"/>
      <c r="Y15" s="96"/>
      <c r="Z15" s="96">
        <v>0.05</v>
      </c>
      <c r="AA15" s="96">
        <v>0.1</v>
      </c>
      <c r="AB15" s="96">
        <v>0.12</v>
      </c>
      <c r="AC15" s="96"/>
      <c r="AD15" s="40">
        <f t="shared" si="8"/>
        <v>0.37</v>
      </c>
      <c r="AE15" s="40">
        <f t="shared" si="9"/>
        <v>0.13</v>
      </c>
      <c r="AF15" s="40">
        <f t="shared" si="10"/>
        <v>0.37</v>
      </c>
      <c r="AG15" s="41">
        <v>44421</v>
      </c>
      <c r="AH15" s="532"/>
      <c r="AI15" s="94">
        <v>10.4</v>
      </c>
      <c r="AJ15" s="94">
        <f t="shared" si="16"/>
        <v>-9.9999999999999645E-2</v>
      </c>
      <c r="AK15" s="94"/>
      <c r="AL15" s="94"/>
      <c r="AM15" s="94"/>
      <c r="AN15" s="94">
        <v>0.05</v>
      </c>
      <c r="AO15" s="94">
        <v>0</v>
      </c>
      <c r="AP15" s="94">
        <v>0.2</v>
      </c>
      <c r="AQ15" s="94"/>
      <c r="AR15" s="40">
        <f t="shared" si="1"/>
        <v>0.10000000000000037</v>
      </c>
      <c r="AS15" s="40">
        <f t="shared" si="2"/>
        <v>-0.29999999999999966</v>
      </c>
      <c r="AT15" s="40">
        <f t="shared" si="3"/>
        <v>0.10000000000000037</v>
      </c>
      <c r="AU15" s="43">
        <f t="shared" si="11"/>
        <v>121.61944444444444</v>
      </c>
      <c r="AV15" s="44">
        <f t="shared" si="12"/>
        <v>0.26999999999999963</v>
      </c>
      <c r="AW15" s="95">
        <f t="shared" si="17"/>
        <v>2.2200397414521588E-3</v>
      </c>
      <c r="AX15" s="46">
        <f t="shared" si="18"/>
        <v>270.26543209876576</v>
      </c>
      <c r="AY15" s="72" t="str">
        <f t="shared" si="15"/>
        <v>DOS AÑOS</v>
      </c>
      <c r="AZ15" s="481"/>
      <c r="BA15" s="677"/>
      <c r="BB15" s="680"/>
      <c r="BC15" s="534"/>
      <c r="BD15" s="537"/>
    </row>
    <row r="16" spans="2:56" x14ac:dyDescent="0.25">
      <c r="B16" s="559"/>
      <c r="C16" s="540"/>
      <c r="D16" s="565"/>
      <c r="E16" s="565"/>
      <c r="F16" s="570"/>
      <c r="G16" s="543"/>
      <c r="H16" s="546"/>
      <c r="I16" s="86">
        <v>0.6</v>
      </c>
      <c r="J16" s="87" t="s">
        <v>44</v>
      </c>
      <c r="K16" s="261" t="s">
        <v>68</v>
      </c>
      <c r="L16" s="262" t="s">
        <v>68</v>
      </c>
      <c r="M16" s="88">
        <v>0.2</v>
      </c>
      <c r="N16" s="89" t="s">
        <v>44</v>
      </c>
      <c r="O16" s="90">
        <v>0.3</v>
      </c>
      <c r="P16" s="91" t="s">
        <v>44</v>
      </c>
      <c r="Q16" s="92">
        <v>14</v>
      </c>
      <c r="R16" s="92">
        <v>13.02</v>
      </c>
      <c r="S16" s="38"/>
      <c r="T16" s="529"/>
      <c r="U16" s="96">
        <v>14.05</v>
      </c>
      <c r="V16" s="93">
        <f t="shared" si="0"/>
        <v>5.0000000000000711E-2</v>
      </c>
      <c r="W16" s="96"/>
      <c r="X16" s="96"/>
      <c r="Y16" s="96"/>
      <c r="Z16" s="96">
        <v>0.05</v>
      </c>
      <c r="AA16" s="96">
        <v>0.1</v>
      </c>
      <c r="AB16" s="96">
        <v>0.12</v>
      </c>
      <c r="AC16" s="96"/>
      <c r="AD16" s="40">
        <f t="shared" si="8"/>
        <v>0.17000000000000071</v>
      </c>
      <c r="AE16" s="40">
        <f t="shared" si="9"/>
        <v>-6.9999999999999285E-2</v>
      </c>
      <c r="AF16" s="40">
        <f t="shared" si="10"/>
        <v>0.17000000000000071</v>
      </c>
      <c r="AG16" s="41">
        <v>44421</v>
      </c>
      <c r="AH16" s="532"/>
      <c r="AI16" s="94">
        <v>13</v>
      </c>
      <c r="AJ16" s="94">
        <f t="shared" si="16"/>
        <v>-1.9999999999999574E-2</v>
      </c>
      <c r="AK16" s="94"/>
      <c r="AL16" s="94" t="s">
        <v>68</v>
      </c>
      <c r="AM16" s="94" t="s">
        <v>68</v>
      </c>
      <c r="AN16" s="94">
        <v>0</v>
      </c>
      <c r="AO16" s="94">
        <v>0</v>
      </c>
      <c r="AP16" s="94">
        <v>0.15</v>
      </c>
      <c r="AQ16" s="94"/>
      <c r="AR16" s="40">
        <f t="shared" ref="AR16:AR18" si="19">(AK16+AP16)</f>
        <v>0.15</v>
      </c>
      <c r="AS16" s="40">
        <f t="shared" ref="AS16:AS18" si="20">(AK16-AP16)</f>
        <v>-0.15</v>
      </c>
      <c r="AT16" s="40">
        <f t="shared" si="3"/>
        <v>0.15</v>
      </c>
      <c r="AU16" s="43">
        <f t="shared" si="11"/>
        <v>121.61944444444444</v>
      </c>
      <c r="AV16" s="44">
        <f t="shared" si="12"/>
        <v>2.0000000000000712E-2</v>
      </c>
      <c r="AW16" s="95">
        <f t="shared" si="17"/>
        <v>1.6444738825572154E-4</v>
      </c>
      <c r="AX16" s="46">
        <f t="shared" si="18"/>
        <v>3648.5833333332034</v>
      </c>
      <c r="AY16" s="72" t="str">
        <f t="shared" si="15"/>
        <v>DOS AÑOS</v>
      </c>
      <c r="AZ16" s="481"/>
      <c r="BA16" s="677"/>
      <c r="BB16" s="680"/>
      <c r="BC16" s="534"/>
      <c r="BD16" s="537"/>
    </row>
    <row r="17" spans="2:56" x14ac:dyDescent="0.25">
      <c r="B17" s="559"/>
      <c r="C17" s="541"/>
      <c r="D17" s="565"/>
      <c r="E17" s="565"/>
      <c r="F17" s="570"/>
      <c r="G17" s="544"/>
      <c r="H17" s="504"/>
      <c r="I17" s="86">
        <v>0.6</v>
      </c>
      <c r="J17" s="87" t="s">
        <v>44</v>
      </c>
      <c r="K17" s="261" t="s">
        <v>68</v>
      </c>
      <c r="L17" s="272" t="s">
        <v>68</v>
      </c>
      <c r="M17" s="88">
        <v>0.2</v>
      </c>
      <c r="N17" s="89" t="s">
        <v>44</v>
      </c>
      <c r="O17" s="90">
        <v>0.3</v>
      </c>
      <c r="P17" s="91" t="s">
        <v>44</v>
      </c>
      <c r="Q17" s="92">
        <v>0</v>
      </c>
      <c r="R17" s="92">
        <v>0</v>
      </c>
      <c r="S17" s="38"/>
      <c r="T17" s="529"/>
      <c r="U17" s="96">
        <v>0</v>
      </c>
      <c r="V17" s="93">
        <f t="shared" si="0"/>
        <v>0</v>
      </c>
      <c r="W17" s="96" t="s">
        <v>68</v>
      </c>
      <c r="X17" s="96" t="s">
        <v>68</v>
      </c>
      <c r="Y17" s="96" t="s">
        <v>68</v>
      </c>
      <c r="Z17" s="96">
        <v>0</v>
      </c>
      <c r="AA17" s="96">
        <v>0</v>
      </c>
      <c r="AB17" s="96">
        <v>5.8000000000000003E-2</v>
      </c>
      <c r="AC17" s="96" t="s">
        <v>68</v>
      </c>
      <c r="AD17" s="40">
        <f t="shared" si="8"/>
        <v>5.8000000000000003E-2</v>
      </c>
      <c r="AE17" s="40">
        <f t="shared" si="9"/>
        <v>-5.8000000000000003E-2</v>
      </c>
      <c r="AF17" s="40">
        <f t="shared" si="10"/>
        <v>5.8000000000000003E-2</v>
      </c>
      <c r="AG17" s="41">
        <v>44421</v>
      </c>
      <c r="AH17" s="532"/>
      <c r="AI17" s="94">
        <v>0</v>
      </c>
      <c r="AJ17" s="94">
        <f t="shared" si="16"/>
        <v>0</v>
      </c>
      <c r="AK17" s="94"/>
      <c r="AL17" s="94" t="s">
        <v>68</v>
      </c>
      <c r="AM17" s="94" t="s">
        <v>68</v>
      </c>
      <c r="AN17" s="94">
        <v>0</v>
      </c>
      <c r="AO17" s="94">
        <v>0</v>
      </c>
      <c r="AP17" s="94">
        <v>5.8000000000000003E-2</v>
      </c>
      <c r="AQ17" s="94"/>
      <c r="AR17" s="40">
        <f t="shared" si="19"/>
        <v>5.8000000000000003E-2</v>
      </c>
      <c r="AS17" s="40">
        <f t="shared" si="20"/>
        <v>-5.8000000000000003E-2</v>
      </c>
      <c r="AT17" s="40">
        <f t="shared" ref="AT17" si="21">MAX(AR17:AS17)</f>
        <v>5.8000000000000003E-2</v>
      </c>
      <c r="AU17" s="43">
        <f t="shared" si="11"/>
        <v>121.61944444444444</v>
      </c>
      <c r="AV17" s="44">
        <f t="shared" si="12"/>
        <v>0</v>
      </c>
      <c r="AW17" s="95">
        <f t="shared" si="17"/>
        <v>0</v>
      </c>
      <c r="AX17" s="46" t="e">
        <f>(I17/AW17)</f>
        <v>#DIV/0!</v>
      </c>
      <c r="AY17" s="72" t="e">
        <f t="shared" si="15"/>
        <v>#DIV/0!</v>
      </c>
      <c r="AZ17" s="481"/>
      <c r="BA17" s="677"/>
      <c r="BB17" s="680"/>
      <c r="BC17" s="534"/>
      <c r="BD17" s="537"/>
    </row>
    <row r="18" spans="2:56" x14ac:dyDescent="0.25">
      <c r="B18" s="559"/>
      <c r="C18" s="547" t="s">
        <v>7</v>
      </c>
      <c r="D18" s="565"/>
      <c r="E18" s="565"/>
      <c r="F18" s="570"/>
      <c r="G18" s="505" t="s">
        <v>14</v>
      </c>
      <c r="H18" s="505" t="s">
        <v>49</v>
      </c>
      <c r="I18" s="97">
        <v>12</v>
      </c>
      <c r="J18" s="98" t="s">
        <v>47</v>
      </c>
      <c r="K18" s="263" t="s">
        <v>68</v>
      </c>
      <c r="L18" s="270" t="s">
        <v>68</v>
      </c>
      <c r="M18" s="99">
        <v>6</v>
      </c>
      <c r="N18" s="100" t="s">
        <v>47</v>
      </c>
      <c r="O18" s="101">
        <v>8</v>
      </c>
      <c r="P18" s="102" t="s">
        <v>47</v>
      </c>
      <c r="Q18" s="37">
        <v>159.5</v>
      </c>
      <c r="R18" s="37">
        <v>149.80000000000001</v>
      </c>
      <c r="S18" s="38"/>
      <c r="T18" s="529"/>
      <c r="U18" s="96">
        <v>163.80000000000001</v>
      </c>
      <c r="V18" s="93">
        <f t="shared" ref="V18:V24" si="22">U18-Q18</f>
        <v>4.3000000000000114</v>
      </c>
      <c r="W18" s="96" t="s">
        <v>68</v>
      </c>
      <c r="X18" s="96" t="s">
        <v>68</v>
      </c>
      <c r="Y18" s="96" t="s">
        <v>68</v>
      </c>
      <c r="Z18" s="96">
        <v>1.72</v>
      </c>
      <c r="AA18" s="96">
        <v>4</v>
      </c>
      <c r="AB18" s="96">
        <v>2.7</v>
      </c>
      <c r="AC18" s="96" t="s">
        <v>68</v>
      </c>
      <c r="AD18" s="40">
        <f t="shared" si="8"/>
        <v>7.0000000000000115</v>
      </c>
      <c r="AE18" s="40">
        <f t="shared" si="9"/>
        <v>1.6000000000000112</v>
      </c>
      <c r="AF18" s="40">
        <f t="shared" si="10"/>
        <v>7.0000000000000115</v>
      </c>
      <c r="AG18" s="41">
        <v>44421</v>
      </c>
      <c r="AH18" s="532"/>
      <c r="AI18" s="94">
        <v>159</v>
      </c>
      <c r="AJ18" s="94">
        <f t="shared" si="16"/>
        <v>9.1999999999999886</v>
      </c>
      <c r="AK18" s="94"/>
      <c r="AL18" s="94" t="s">
        <v>68</v>
      </c>
      <c r="AM18" s="94" t="s">
        <v>68</v>
      </c>
      <c r="AN18" s="94">
        <v>0</v>
      </c>
      <c r="AO18" s="94">
        <v>0</v>
      </c>
      <c r="AP18" s="94">
        <v>3.3</v>
      </c>
      <c r="AQ18" s="94"/>
      <c r="AR18" s="40">
        <f t="shared" si="19"/>
        <v>3.3</v>
      </c>
      <c r="AS18" s="40">
        <f t="shared" si="20"/>
        <v>-3.3</v>
      </c>
      <c r="AT18" s="40">
        <f t="shared" ref="AT18:AT78" si="23">MAX(AR18:AS18)</f>
        <v>3.3</v>
      </c>
      <c r="AU18" s="43">
        <f t="shared" si="11"/>
        <v>121.61944444444444</v>
      </c>
      <c r="AV18" s="44">
        <f t="shared" si="12"/>
        <v>3.7000000000000117</v>
      </c>
      <c r="AW18" s="95">
        <f t="shared" si="17"/>
        <v>3.0422766827307501E-2</v>
      </c>
      <c r="AX18" s="46">
        <f t="shared" si="18"/>
        <v>394.44144144144019</v>
      </c>
      <c r="AY18" s="72" t="str">
        <f t="shared" si="15"/>
        <v>DOS AÑOS</v>
      </c>
      <c r="AZ18" s="481"/>
      <c r="BA18" s="677"/>
      <c r="BB18" s="680"/>
      <c r="BC18" s="534"/>
      <c r="BD18" s="537"/>
    </row>
    <row r="19" spans="2:56" x14ac:dyDescent="0.25">
      <c r="B19" s="559"/>
      <c r="C19" s="547"/>
      <c r="D19" s="565"/>
      <c r="E19" s="565"/>
      <c r="F19" s="570"/>
      <c r="G19" s="505"/>
      <c r="H19" s="505"/>
      <c r="I19" s="97">
        <v>30</v>
      </c>
      <c r="J19" s="98" t="s">
        <v>47</v>
      </c>
      <c r="K19" s="263" t="s">
        <v>68</v>
      </c>
      <c r="L19" s="264" t="s">
        <v>68</v>
      </c>
      <c r="M19" s="99">
        <v>10</v>
      </c>
      <c r="N19" s="105" t="s">
        <v>19</v>
      </c>
      <c r="O19" s="101">
        <v>15</v>
      </c>
      <c r="P19" s="102" t="s">
        <v>47</v>
      </c>
      <c r="Q19" s="37">
        <v>635</v>
      </c>
      <c r="R19" s="37">
        <v>605</v>
      </c>
      <c r="S19" s="38"/>
      <c r="T19" s="529"/>
      <c r="U19" s="96">
        <v>645</v>
      </c>
      <c r="V19" s="93">
        <f t="shared" si="22"/>
        <v>10</v>
      </c>
      <c r="W19" s="96"/>
      <c r="X19" s="96"/>
      <c r="Y19" s="96"/>
      <c r="Z19" s="96">
        <v>2.76</v>
      </c>
      <c r="AA19" s="96">
        <v>8</v>
      </c>
      <c r="AB19" s="96">
        <v>7</v>
      </c>
      <c r="AC19" s="96"/>
      <c r="AD19" s="40">
        <f t="shared" si="8"/>
        <v>17</v>
      </c>
      <c r="AE19" s="40">
        <f t="shared" si="9"/>
        <v>3</v>
      </c>
      <c r="AF19" s="40">
        <f t="shared" si="10"/>
        <v>17</v>
      </c>
      <c r="AG19" s="41">
        <v>44421</v>
      </c>
      <c r="AH19" s="532"/>
      <c r="AI19" s="94">
        <v>637</v>
      </c>
      <c r="AJ19" s="94">
        <f t="shared" si="16"/>
        <v>32</v>
      </c>
      <c r="AK19" s="94"/>
      <c r="AL19" s="94"/>
      <c r="AM19" s="94"/>
      <c r="AN19" s="94">
        <v>0</v>
      </c>
      <c r="AO19" s="94">
        <v>0</v>
      </c>
      <c r="AP19" s="94">
        <v>13</v>
      </c>
      <c r="AQ19" s="94"/>
      <c r="AR19" s="40">
        <f t="shared" ref="AR19:AR21" si="24">(AK19+AP19)</f>
        <v>13</v>
      </c>
      <c r="AS19" s="40">
        <f t="shared" ref="AS19:AS21" si="25">(AK19-AP19)</f>
        <v>-13</v>
      </c>
      <c r="AT19" s="40">
        <f t="shared" si="23"/>
        <v>13</v>
      </c>
      <c r="AU19" s="43">
        <f t="shared" ref="AU19:AU21" si="26">YEARFRAC(S19,AG19)</f>
        <v>121.61944444444444</v>
      </c>
      <c r="AV19" s="44">
        <f t="shared" ref="AV19:AV21" si="27">ABS(AT19-AF19)</f>
        <v>4</v>
      </c>
      <c r="AW19" s="95">
        <f t="shared" si="17"/>
        <v>3.288947765114314E-2</v>
      </c>
      <c r="AX19" s="46">
        <f t="shared" si="18"/>
        <v>912.14583333333326</v>
      </c>
      <c r="AY19" s="72" t="str">
        <f t="shared" si="15"/>
        <v>DOS AÑOS</v>
      </c>
      <c r="AZ19" s="481"/>
      <c r="BA19" s="677"/>
      <c r="BB19" s="680"/>
      <c r="BC19" s="534"/>
      <c r="BD19" s="537"/>
    </row>
    <row r="20" spans="2:56" x14ac:dyDescent="0.25">
      <c r="B20" s="559"/>
      <c r="C20" s="547"/>
      <c r="D20" s="565"/>
      <c r="E20" s="565"/>
      <c r="F20" s="570"/>
      <c r="G20" s="505"/>
      <c r="H20" s="505"/>
      <c r="I20" s="97">
        <v>80</v>
      </c>
      <c r="J20" s="98" t="s">
        <v>47</v>
      </c>
      <c r="K20" s="263" t="s">
        <v>68</v>
      </c>
      <c r="L20" s="264" t="s">
        <v>68</v>
      </c>
      <c r="M20" s="99">
        <v>20</v>
      </c>
      <c r="N20" s="105" t="s">
        <v>19</v>
      </c>
      <c r="O20" s="101">
        <v>30</v>
      </c>
      <c r="P20" s="102" t="s">
        <v>47</v>
      </c>
      <c r="Q20" s="37">
        <v>1691</v>
      </c>
      <c r="R20" s="37">
        <v>1615</v>
      </c>
      <c r="S20" s="38"/>
      <c r="T20" s="529"/>
      <c r="U20" s="96">
        <v>1713</v>
      </c>
      <c r="V20" s="93">
        <f t="shared" si="22"/>
        <v>22</v>
      </c>
      <c r="W20" s="96"/>
      <c r="X20" s="96"/>
      <c r="Y20" s="96"/>
      <c r="Z20" s="96">
        <v>2.1</v>
      </c>
      <c r="AA20" s="96">
        <v>5</v>
      </c>
      <c r="AB20" s="96">
        <v>16</v>
      </c>
      <c r="AC20" s="96"/>
      <c r="AD20" s="40">
        <f t="shared" si="8"/>
        <v>38</v>
      </c>
      <c r="AE20" s="40">
        <f t="shared" si="9"/>
        <v>6</v>
      </c>
      <c r="AF20" s="40">
        <f t="shared" si="10"/>
        <v>38</v>
      </c>
      <c r="AG20" s="41">
        <v>44421</v>
      </c>
      <c r="AH20" s="532"/>
      <c r="AI20" s="94">
        <v>1716</v>
      </c>
      <c r="AJ20" s="94">
        <f t="shared" si="16"/>
        <v>101</v>
      </c>
      <c r="AK20" s="94"/>
      <c r="AL20" s="94"/>
      <c r="AM20" s="94"/>
      <c r="AN20" s="94">
        <v>0</v>
      </c>
      <c r="AO20" s="94">
        <v>2</v>
      </c>
      <c r="AP20" s="94">
        <v>35</v>
      </c>
      <c r="AQ20" s="94"/>
      <c r="AR20" s="40">
        <f t="shared" si="24"/>
        <v>35</v>
      </c>
      <c r="AS20" s="40">
        <f t="shared" si="25"/>
        <v>-35</v>
      </c>
      <c r="AT20" s="40">
        <f t="shared" ref="AT20:AT25" si="28">MAX(AR20:AS20)</f>
        <v>35</v>
      </c>
      <c r="AU20" s="43">
        <f t="shared" si="26"/>
        <v>121.61944444444444</v>
      </c>
      <c r="AV20" s="44">
        <f t="shared" si="27"/>
        <v>3</v>
      </c>
      <c r="AW20" s="95">
        <f t="shared" si="17"/>
        <v>2.4667108238357355E-2</v>
      </c>
      <c r="AX20" s="46">
        <f t="shared" si="18"/>
        <v>3243.1851851851852</v>
      </c>
      <c r="AY20" s="72" t="str">
        <f t="shared" si="15"/>
        <v>DOS AÑOS</v>
      </c>
      <c r="AZ20" s="481"/>
      <c r="BA20" s="677"/>
      <c r="BB20" s="680"/>
      <c r="BC20" s="534"/>
      <c r="BD20" s="537"/>
    </row>
    <row r="21" spans="2:56" x14ac:dyDescent="0.25">
      <c r="B21" s="559"/>
      <c r="C21" s="547"/>
      <c r="D21" s="565"/>
      <c r="E21" s="565"/>
      <c r="F21" s="570"/>
      <c r="G21" s="505"/>
      <c r="H21" s="505"/>
      <c r="I21" s="233">
        <v>12</v>
      </c>
      <c r="J21" s="103" t="s">
        <v>19</v>
      </c>
      <c r="K21" s="265" t="s">
        <v>68</v>
      </c>
      <c r="L21" s="270" t="s">
        <v>68</v>
      </c>
      <c r="M21" s="104">
        <v>6</v>
      </c>
      <c r="N21" s="105" t="s">
        <v>19</v>
      </c>
      <c r="O21" s="106">
        <v>8</v>
      </c>
      <c r="P21" s="107" t="s">
        <v>19</v>
      </c>
      <c r="Q21" s="37">
        <v>0</v>
      </c>
      <c r="R21" s="37">
        <v>0</v>
      </c>
      <c r="S21" s="38"/>
      <c r="T21" s="529"/>
      <c r="U21" s="96">
        <v>0</v>
      </c>
      <c r="V21" s="93">
        <f t="shared" si="22"/>
        <v>0</v>
      </c>
      <c r="W21" s="96" t="s">
        <v>68</v>
      </c>
      <c r="X21" s="96" t="s">
        <v>68</v>
      </c>
      <c r="Y21" s="96" t="s">
        <v>68</v>
      </c>
      <c r="Z21" s="96">
        <v>0</v>
      </c>
      <c r="AA21" s="96">
        <v>0</v>
      </c>
      <c r="AB21" s="96">
        <v>1.2</v>
      </c>
      <c r="AC21" s="96" t="s">
        <v>68</v>
      </c>
      <c r="AD21" s="40">
        <f t="shared" si="8"/>
        <v>1.2</v>
      </c>
      <c r="AE21" s="40">
        <f t="shared" si="9"/>
        <v>-1.2</v>
      </c>
      <c r="AF21" s="40">
        <f t="shared" si="10"/>
        <v>1.2</v>
      </c>
      <c r="AG21" s="41">
        <v>44421</v>
      </c>
      <c r="AH21" s="532"/>
      <c r="AI21" s="94">
        <v>0.01</v>
      </c>
      <c r="AJ21" s="94">
        <f t="shared" si="16"/>
        <v>0.01</v>
      </c>
      <c r="AK21" s="94"/>
      <c r="AL21" s="94" t="s">
        <v>68</v>
      </c>
      <c r="AM21" s="94" t="s">
        <v>68</v>
      </c>
      <c r="AN21" s="94">
        <v>0</v>
      </c>
      <c r="AO21" s="94">
        <v>0</v>
      </c>
      <c r="AP21" s="94">
        <v>0.57999999999999996</v>
      </c>
      <c r="AQ21" s="94"/>
      <c r="AR21" s="40">
        <f t="shared" si="24"/>
        <v>0.57999999999999996</v>
      </c>
      <c r="AS21" s="40">
        <f t="shared" si="25"/>
        <v>-0.57999999999999996</v>
      </c>
      <c r="AT21" s="40">
        <f t="shared" si="28"/>
        <v>0.57999999999999996</v>
      </c>
      <c r="AU21" s="43">
        <f t="shared" si="26"/>
        <v>121.61944444444444</v>
      </c>
      <c r="AV21" s="44">
        <f t="shared" si="27"/>
        <v>0.62</v>
      </c>
      <c r="AW21" s="95">
        <f t="shared" si="17"/>
        <v>5.0978690359271862E-3</v>
      </c>
      <c r="AX21" s="46">
        <f t="shared" si="18"/>
        <v>2353.9247311827958</v>
      </c>
      <c r="AY21" s="72" t="str">
        <f t="shared" si="15"/>
        <v>DOS AÑOS</v>
      </c>
      <c r="AZ21" s="481"/>
      <c r="BA21" s="677"/>
      <c r="BB21" s="680"/>
      <c r="BC21" s="534"/>
      <c r="BD21" s="537"/>
    </row>
    <row r="22" spans="2:56" x14ac:dyDescent="0.25">
      <c r="B22" s="559"/>
      <c r="C22" s="547" t="s">
        <v>8</v>
      </c>
      <c r="D22" s="565"/>
      <c r="E22" s="565"/>
      <c r="F22" s="570"/>
      <c r="G22" s="548">
        <v>1E-3</v>
      </c>
      <c r="H22" s="505" t="s">
        <v>48</v>
      </c>
      <c r="I22" s="233">
        <v>0.5</v>
      </c>
      <c r="J22" s="103" t="s">
        <v>20</v>
      </c>
      <c r="K22" s="265" t="s">
        <v>68</v>
      </c>
      <c r="L22" s="270" t="s">
        <v>68</v>
      </c>
      <c r="M22" s="104">
        <v>0.3</v>
      </c>
      <c r="N22" s="105" t="s">
        <v>20</v>
      </c>
      <c r="O22" s="106">
        <v>0.4</v>
      </c>
      <c r="P22" s="107" t="s">
        <v>20</v>
      </c>
      <c r="Q22" s="37">
        <v>0</v>
      </c>
      <c r="R22" s="92">
        <v>0</v>
      </c>
      <c r="S22" s="38"/>
      <c r="T22" s="529"/>
      <c r="U22" s="96">
        <v>0.15</v>
      </c>
      <c r="V22" s="93">
        <f t="shared" si="22"/>
        <v>0.15</v>
      </c>
      <c r="W22" s="96" t="s">
        <v>68</v>
      </c>
      <c r="X22" s="96" t="s">
        <v>68</v>
      </c>
      <c r="Y22" s="96" t="s">
        <v>68</v>
      </c>
      <c r="Z22" s="96">
        <v>0.05</v>
      </c>
      <c r="AA22" s="96">
        <v>0.1</v>
      </c>
      <c r="AB22" s="96">
        <v>5.7000000000000002E-2</v>
      </c>
      <c r="AC22" s="96" t="s">
        <v>68</v>
      </c>
      <c r="AD22" s="40">
        <f t="shared" si="8"/>
        <v>0.20699999999999999</v>
      </c>
      <c r="AE22" s="40">
        <f t="shared" si="9"/>
        <v>9.2999999999999999E-2</v>
      </c>
      <c r="AF22" s="40">
        <f t="shared" si="10"/>
        <v>0.20699999999999999</v>
      </c>
      <c r="AG22" s="41">
        <v>44421</v>
      </c>
      <c r="AH22" s="532"/>
      <c r="AI22" s="94">
        <v>0.01</v>
      </c>
      <c r="AJ22" s="94">
        <f t="shared" si="16"/>
        <v>0.01</v>
      </c>
      <c r="AK22" s="94"/>
      <c r="AL22" s="94"/>
      <c r="AM22" s="94"/>
      <c r="AN22" s="94">
        <v>0</v>
      </c>
      <c r="AO22" s="94">
        <v>0</v>
      </c>
      <c r="AP22" s="94">
        <v>5.8000000000000003E-2</v>
      </c>
      <c r="AQ22" s="94"/>
      <c r="AR22" s="40">
        <f t="shared" ref="AR22:AR32" si="29">(AK22+AP22)</f>
        <v>5.8000000000000003E-2</v>
      </c>
      <c r="AS22" s="40">
        <f t="shared" ref="AS22:AS32" si="30">(AK22-AP22)</f>
        <v>-5.8000000000000003E-2</v>
      </c>
      <c r="AT22" s="40">
        <f t="shared" si="28"/>
        <v>5.8000000000000003E-2</v>
      </c>
      <c r="AU22" s="43">
        <f t="shared" ref="AU22:AU23" si="31">YEARFRAC(S22,AG22)</f>
        <v>121.61944444444444</v>
      </c>
      <c r="AV22" s="44">
        <f t="shared" ref="AV22:AV23" si="32">ABS(AT22-AF22)</f>
        <v>0.14899999999999999</v>
      </c>
      <c r="AW22" s="95">
        <f t="shared" si="17"/>
        <v>1.2251330425050819E-3</v>
      </c>
      <c r="AX22" s="46">
        <f t="shared" si="18"/>
        <v>408.11894108873975</v>
      </c>
      <c r="AY22" s="72" t="str">
        <f t="shared" ref="AY22:AY23" si="33">IF(AX22&lt;=1,"UN AÑO",IF(AX22&gt;=1,"DOS AÑOS"))</f>
        <v>DOS AÑOS</v>
      </c>
      <c r="AZ22" s="481"/>
      <c r="BA22" s="677"/>
      <c r="BB22" s="680"/>
      <c r="BC22" s="534"/>
      <c r="BD22" s="537"/>
    </row>
    <row r="23" spans="2:56" x14ac:dyDescent="0.25">
      <c r="B23" s="559"/>
      <c r="C23" s="547"/>
      <c r="D23" s="565"/>
      <c r="E23" s="565"/>
      <c r="F23" s="570"/>
      <c r="G23" s="548"/>
      <c r="H23" s="505"/>
      <c r="I23" s="233">
        <v>0.5</v>
      </c>
      <c r="J23" s="103" t="s">
        <v>20</v>
      </c>
      <c r="K23" s="265" t="s">
        <v>68</v>
      </c>
      <c r="L23" s="270" t="s">
        <v>68</v>
      </c>
      <c r="M23" s="104">
        <v>0.3</v>
      </c>
      <c r="N23" s="105" t="s">
        <v>20</v>
      </c>
      <c r="O23" s="106">
        <v>0.4</v>
      </c>
      <c r="P23" s="107" t="s">
        <v>20</v>
      </c>
      <c r="Q23" s="37">
        <v>0</v>
      </c>
      <c r="R23" s="92">
        <v>0</v>
      </c>
      <c r="S23" s="38"/>
      <c r="T23" s="529"/>
      <c r="U23" s="96">
        <v>0.15</v>
      </c>
      <c r="V23" s="93">
        <f t="shared" si="22"/>
        <v>0.15</v>
      </c>
      <c r="W23" s="96"/>
      <c r="X23" s="96"/>
      <c r="Y23" s="96"/>
      <c r="Z23" s="96">
        <v>0.05</v>
      </c>
      <c r="AA23" s="96">
        <v>0.1</v>
      </c>
      <c r="AB23" s="96">
        <v>5.7000000000000002E-2</v>
      </c>
      <c r="AC23" s="96"/>
      <c r="AD23" s="40">
        <f t="shared" si="8"/>
        <v>0.20699999999999999</v>
      </c>
      <c r="AE23" s="40">
        <f t="shared" si="9"/>
        <v>9.2999999999999999E-2</v>
      </c>
      <c r="AF23" s="40">
        <f t="shared" si="10"/>
        <v>0.20699999999999999</v>
      </c>
      <c r="AG23" s="41">
        <v>44421</v>
      </c>
      <c r="AH23" s="532"/>
      <c r="AI23" s="94">
        <v>0.01</v>
      </c>
      <c r="AJ23" s="94">
        <f t="shared" si="16"/>
        <v>0.01</v>
      </c>
      <c r="AK23" s="94"/>
      <c r="AL23" s="94"/>
      <c r="AM23" s="94"/>
      <c r="AN23" s="94">
        <v>0</v>
      </c>
      <c r="AO23" s="94">
        <v>0</v>
      </c>
      <c r="AP23" s="94">
        <v>5.8000000000000003E-2</v>
      </c>
      <c r="AQ23" s="94"/>
      <c r="AR23" s="40">
        <f t="shared" si="29"/>
        <v>5.8000000000000003E-2</v>
      </c>
      <c r="AS23" s="40">
        <f t="shared" si="30"/>
        <v>-5.8000000000000003E-2</v>
      </c>
      <c r="AT23" s="40">
        <f t="shared" si="28"/>
        <v>5.8000000000000003E-2</v>
      </c>
      <c r="AU23" s="43">
        <f t="shared" si="31"/>
        <v>121.61944444444444</v>
      </c>
      <c r="AV23" s="44">
        <f t="shared" si="32"/>
        <v>0.14899999999999999</v>
      </c>
      <c r="AW23" s="95">
        <f t="shared" ref="AW23:AW24" si="34">(AV23/AU23)</f>
        <v>1.2251330425050819E-3</v>
      </c>
      <c r="AX23" s="46">
        <f t="shared" ref="AX23:AX24" si="35">(I23/AW23)</f>
        <v>408.11894108873975</v>
      </c>
      <c r="AY23" s="72" t="str">
        <f t="shared" si="33"/>
        <v>DOS AÑOS</v>
      </c>
      <c r="AZ23" s="481"/>
      <c r="BA23" s="677"/>
      <c r="BB23" s="680"/>
      <c r="BC23" s="534"/>
      <c r="BD23" s="537"/>
    </row>
    <row r="24" spans="2:56" x14ac:dyDescent="0.25">
      <c r="B24" s="559"/>
      <c r="C24" s="547"/>
      <c r="D24" s="565"/>
      <c r="E24" s="565"/>
      <c r="F24" s="570"/>
      <c r="G24" s="548"/>
      <c r="H24" s="505"/>
      <c r="I24" s="233">
        <v>0.5</v>
      </c>
      <c r="J24" s="103" t="s">
        <v>20</v>
      </c>
      <c r="K24" s="265" t="s">
        <v>68</v>
      </c>
      <c r="L24" s="270" t="s">
        <v>68</v>
      </c>
      <c r="M24" s="104">
        <v>0.3</v>
      </c>
      <c r="N24" s="105" t="s">
        <v>20</v>
      </c>
      <c r="O24" s="106">
        <v>0.4</v>
      </c>
      <c r="P24" s="107" t="s">
        <v>20</v>
      </c>
      <c r="Q24" s="37">
        <v>0</v>
      </c>
      <c r="R24" s="92">
        <v>0</v>
      </c>
      <c r="S24" s="38"/>
      <c r="T24" s="529"/>
      <c r="U24" s="96">
        <v>0.13300000000000001</v>
      </c>
      <c r="V24" s="93">
        <f t="shared" si="22"/>
        <v>0.13300000000000001</v>
      </c>
      <c r="W24" s="96"/>
      <c r="X24" s="96"/>
      <c r="Y24" s="96"/>
      <c r="Z24" s="96">
        <v>0.05</v>
      </c>
      <c r="AA24" s="96">
        <v>0.1</v>
      </c>
      <c r="AB24" s="96">
        <v>5.3999999999999999E-2</v>
      </c>
      <c r="AC24" s="96"/>
      <c r="AD24" s="40">
        <f t="shared" si="8"/>
        <v>0.187</v>
      </c>
      <c r="AE24" s="40">
        <f t="shared" si="9"/>
        <v>7.9000000000000015E-2</v>
      </c>
      <c r="AF24" s="40">
        <f t="shared" si="10"/>
        <v>0.187</v>
      </c>
      <c r="AG24" s="41">
        <v>44421</v>
      </c>
      <c r="AH24" s="532"/>
      <c r="AI24" s="94">
        <v>0.04</v>
      </c>
      <c r="AJ24" s="94">
        <f t="shared" si="16"/>
        <v>0.04</v>
      </c>
      <c r="AK24" s="94"/>
      <c r="AL24" s="94"/>
      <c r="AM24" s="94"/>
      <c r="AN24" s="94">
        <v>0</v>
      </c>
      <c r="AO24" s="94">
        <v>0</v>
      </c>
      <c r="AP24" s="94">
        <v>5.8000000000000003E-2</v>
      </c>
      <c r="AQ24" s="94"/>
      <c r="AR24" s="40">
        <f t="shared" si="29"/>
        <v>5.8000000000000003E-2</v>
      </c>
      <c r="AS24" s="40">
        <f t="shared" si="30"/>
        <v>-5.8000000000000003E-2</v>
      </c>
      <c r="AT24" s="40">
        <f t="shared" si="28"/>
        <v>5.8000000000000003E-2</v>
      </c>
      <c r="AU24" s="43">
        <f t="shared" ref="AU24:AU25" si="36">YEARFRAC(S24,AG24)</f>
        <v>121.61944444444444</v>
      </c>
      <c r="AV24" s="44">
        <f t="shared" ref="AV24:AV25" si="37">ABS(AT24-AF24)</f>
        <v>0.129</v>
      </c>
      <c r="AW24" s="95">
        <f t="shared" si="34"/>
        <v>1.0606856542493663E-3</v>
      </c>
      <c r="AX24" s="46">
        <f t="shared" si="35"/>
        <v>471.39319552110248</v>
      </c>
      <c r="AY24" s="72" t="str">
        <f t="shared" ref="AY24:AY25" si="38">IF(AX24&lt;=1,"UN AÑO",IF(AX24&gt;=1,"DOS AÑOS"))</f>
        <v>DOS AÑOS</v>
      </c>
      <c r="AZ24" s="481"/>
      <c r="BA24" s="677"/>
      <c r="BB24" s="680"/>
      <c r="BC24" s="534"/>
      <c r="BD24" s="537"/>
    </row>
    <row r="25" spans="2:56" ht="15.75" thickBot="1" x14ac:dyDescent="0.3">
      <c r="B25" s="559"/>
      <c r="C25" s="547"/>
      <c r="D25" s="565"/>
      <c r="E25" s="565"/>
      <c r="F25" s="570"/>
      <c r="G25" s="548"/>
      <c r="H25" s="505"/>
      <c r="I25" s="233">
        <v>0.5</v>
      </c>
      <c r="J25" s="103" t="s">
        <v>20</v>
      </c>
      <c r="K25" s="265" t="s">
        <v>68</v>
      </c>
      <c r="L25" s="270" t="s">
        <v>68</v>
      </c>
      <c r="M25" s="104">
        <v>0.3</v>
      </c>
      <c r="N25" s="105" t="s">
        <v>20</v>
      </c>
      <c r="O25" s="106">
        <v>0.4</v>
      </c>
      <c r="P25" s="107" t="s">
        <v>20</v>
      </c>
      <c r="Q25" s="37" t="s">
        <v>68</v>
      </c>
      <c r="R25" s="92">
        <v>0</v>
      </c>
      <c r="S25" s="38"/>
      <c r="T25" s="529"/>
      <c r="U25" s="96" t="s">
        <v>206</v>
      </c>
      <c r="V25" s="93"/>
      <c r="W25" s="96"/>
      <c r="X25" s="96" t="s">
        <v>68</v>
      </c>
      <c r="Y25" s="96" t="s">
        <v>68</v>
      </c>
      <c r="Z25" s="96"/>
      <c r="AA25" s="96"/>
      <c r="AB25" s="96" t="s">
        <v>68</v>
      </c>
      <c r="AC25" s="96"/>
      <c r="AD25" s="40"/>
      <c r="AE25" s="40"/>
      <c r="AF25" s="40"/>
      <c r="AG25" s="41">
        <v>44421</v>
      </c>
      <c r="AH25" s="532"/>
      <c r="AI25" s="94">
        <v>0.23</v>
      </c>
      <c r="AJ25" s="94">
        <f t="shared" si="16"/>
        <v>0.23</v>
      </c>
      <c r="AK25" s="94"/>
      <c r="AL25" s="94" t="s">
        <v>68</v>
      </c>
      <c r="AM25" s="94" t="s">
        <v>68</v>
      </c>
      <c r="AN25" s="94">
        <v>5.0000000000000001E-3</v>
      </c>
      <c r="AO25" s="94">
        <v>0</v>
      </c>
      <c r="AP25" s="94">
        <v>5.8000000000000003E-2</v>
      </c>
      <c r="AQ25" s="94"/>
      <c r="AR25" s="40">
        <f t="shared" si="29"/>
        <v>5.8000000000000003E-2</v>
      </c>
      <c r="AS25" s="40">
        <f t="shared" si="30"/>
        <v>-5.8000000000000003E-2</v>
      </c>
      <c r="AT25" s="40">
        <f t="shared" si="28"/>
        <v>5.8000000000000003E-2</v>
      </c>
      <c r="AU25" s="43">
        <f t="shared" si="36"/>
        <v>121.61944444444444</v>
      </c>
      <c r="AV25" s="44">
        <f t="shared" si="37"/>
        <v>5.8000000000000003E-2</v>
      </c>
      <c r="AW25" s="95">
        <f t="shared" ref="AW25:AW41" si="39">(AV25/AU25)</f>
        <v>4.7689742594157552E-4</v>
      </c>
      <c r="AX25" s="46">
        <f t="shared" ref="AX25:AX48" si="40">(I25/AW25)</f>
        <v>1048.4434865900382</v>
      </c>
      <c r="AY25" s="72" t="str">
        <f t="shared" si="38"/>
        <v>DOS AÑOS</v>
      </c>
      <c r="AZ25" s="481"/>
      <c r="BA25" s="677"/>
      <c r="BB25" s="680"/>
      <c r="BC25" s="534"/>
      <c r="BD25" s="537"/>
    </row>
    <row r="26" spans="2:56" ht="15.75" customHeight="1" x14ac:dyDescent="0.25">
      <c r="B26" s="559"/>
      <c r="C26" s="547" t="s">
        <v>160</v>
      </c>
      <c r="D26" s="565"/>
      <c r="E26" s="565"/>
      <c r="F26" s="570"/>
      <c r="G26" s="548">
        <v>1E-4</v>
      </c>
      <c r="H26" s="505" t="s">
        <v>45</v>
      </c>
      <c r="I26" s="76">
        <v>0.06</v>
      </c>
      <c r="J26" s="77" t="s">
        <v>44</v>
      </c>
      <c r="K26" s="258" t="s">
        <v>68</v>
      </c>
      <c r="L26" s="271" t="s">
        <v>68</v>
      </c>
      <c r="M26" s="78">
        <v>0.04</v>
      </c>
      <c r="N26" s="79" t="s">
        <v>44</v>
      </c>
      <c r="O26" s="80">
        <v>0.03</v>
      </c>
      <c r="P26" s="81" t="s">
        <v>44</v>
      </c>
      <c r="Q26" s="82"/>
      <c r="R26" s="82">
        <v>0.99399999999999999</v>
      </c>
      <c r="S26" s="38"/>
      <c r="T26" s="529"/>
      <c r="U26" s="93"/>
      <c r="V26" s="93"/>
      <c r="W26" s="93"/>
      <c r="X26" s="93"/>
      <c r="Y26" s="93"/>
      <c r="Z26" s="93"/>
      <c r="AA26" s="93"/>
      <c r="AB26" s="93"/>
      <c r="AC26" s="93"/>
      <c r="AD26" s="40"/>
      <c r="AE26" s="40"/>
      <c r="AF26" s="40"/>
      <c r="AG26" s="41">
        <v>44421</v>
      </c>
      <c r="AH26" s="532"/>
      <c r="AI26" s="94">
        <v>0.98</v>
      </c>
      <c r="AJ26" s="94">
        <f t="shared" si="16"/>
        <v>-1.4000000000000012E-2</v>
      </c>
      <c r="AK26" s="94"/>
      <c r="AL26" s="94" t="s">
        <v>68</v>
      </c>
      <c r="AM26" s="94" t="s">
        <v>68</v>
      </c>
      <c r="AN26" s="94" t="s">
        <v>68</v>
      </c>
      <c r="AO26" s="94">
        <v>0</v>
      </c>
      <c r="AP26" s="94">
        <v>2.4E-2</v>
      </c>
      <c r="AQ26" s="94"/>
      <c r="AR26" s="40">
        <f t="shared" si="29"/>
        <v>2.4E-2</v>
      </c>
      <c r="AS26" s="40">
        <f t="shared" si="30"/>
        <v>-2.4E-2</v>
      </c>
      <c r="AT26" s="40">
        <f t="shared" si="23"/>
        <v>2.4E-2</v>
      </c>
      <c r="AU26" s="43">
        <f t="shared" ref="AU26:AU57" si="41">YEARFRAC(S26,AG26)</f>
        <v>121.61944444444444</v>
      </c>
      <c r="AV26" s="44">
        <f t="shared" ref="AV26:AV57" si="42">ABS(AT26-AF26)</f>
        <v>2.4E-2</v>
      </c>
      <c r="AW26" s="95">
        <f t="shared" si="39"/>
        <v>1.9733686590685883E-4</v>
      </c>
      <c r="AX26" s="46">
        <f t="shared" si="40"/>
        <v>304.04861111111109</v>
      </c>
      <c r="AY26" s="72" t="str">
        <f t="shared" ref="AY26:AY57" si="43">IF(AX26&lt;=1,"UN AÑO",IF(AX26&gt;=1,"DOS AÑOS"))</f>
        <v>DOS AÑOS</v>
      </c>
      <c r="AZ26" s="481" t="s">
        <v>9</v>
      </c>
      <c r="BA26" s="677"/>
      <c r="BB26" s="680"/>
      <c r="BC26" s="534"/>
      <c r="BD26" s="537"/>
    </row>
    <row r="27" spans="2:56" ht="15.75" customHeight="1" x14ac:dyDescent="0.25">
      <c r="B27" s="559"/>
      <c r="C27" s="547"/>
      <c r="D27" s="565"/>
      <c r="E27" s="565"/>
      <c r="F27" s="570"/>
      <c r="G27" s="548"/>
      <c r="H27" s="505"/>
      <c r="I27" s="238">
        <v>0.15</v>
      </c>
      <c r="J27" s="87" t="s">
        <v>44</v>
      </c>
      <c r="K27" s="259" t="s">
        <v>68</v>
      </c>
      <c r="L27" s="260" t="s">
        <v>68</v>
      </c>
      <c r="M27" s="239">
        <v>0.08</v>
      </c>
      <c r="N27" s="89" t="s">
        <v>44</v>
      </c>
      <c r="O27" s="240">
        <v>0.08</v>
      </c>
      <c r="P27" s="91" t="s">
        <v>44</v>
      </c>
      <c r="Q27" s="242"/>
      <c r="R27" s="242">
        <v>4.01</v>
      </c>
      <c r="S27" s="38"/>
      <c r="T27" s="529"/>
      <c r="U27" s="93"/>
      <c r="V27" s="93"/>
      <c r="W27" s="93"/>
      <c r="X27" s="93"/>
      <c r="Y27" s="93"/>
      <c r="Z27" s="93"/>
      <c r="AA27" s="93"/>
      <c r="AB27" s="93"/>
      <c r="AC27" s="93"/>
      <c r="AD27" s="40"/>
      <c r="AE27" s="40"/>
      <c r="AF27" s="40"/>
      <c r="AG27" s="41">
        <v>44421</v>
      </c>
      <c r="AH27" s="532"/>
      <c r="AI27" s="94">
        <v>3.99</v>
      </c>
      <c r="AJ27" s="94">
        <f t="shared" si="16"/>
        <v>-1.9999999999999574E-2</v>
      </c>
      <c r="AK27" s="94"/>
      <c r="AL27" s="94"/>
      <c r="AM27" s="94"/>
      <c r="AN27" s="94" t="s">
        <v>68</v>
      </c>
      <c r="AO27" s="94">
        <v>0</v>
      </c>
      <c r="AP27" s="94">
        <v>9.0999999999999998E-2</v>
      </c>
      <c r="AQ27" s="94"/>
      <c r="AR27" s="40">
        <f t="shared" si="29"/>
        <v>9.0999999999999998E-2</v>
      </c>
      <c r="AS27" s="40">
        <f t="shared" si="30"/>
        <v>-9.0999999999999998E-2</v>
      </c>
      <c r="AT27" s="40">
        <f t="shared" si="23"/>
        <v>9.0999999999999998E-2</v>
      </c>
      <c r="AU27" s="43">
        <f t="shared" si="41"/>
        <v>121.61944444444444</v>
      </c>
      <c r="AV27" s="44">
        <f t="shared" si="42"/>
        <v>9.0999999999999998E-2</v>
      </c>
      <c r="AW27" s="95">
        <f t="shared" si="39"/>
        <v>7.4823561656350639E-4</v>
      </c>
      <c r="AX27" s="46">
        <f t="shared" si="40"/>
        <v>200.47161172161171</v>
      </c>
      <c r="AY27" s="72" t="str">
        <f t="shared" si="43"/>
        <v>DOS AÑOS</v>
      </c>
      <c r="AZ27" s="481"/>
      <c r="BA27" s="677"/>
      <c r="BB27" s="680"/>
      <c r="BC27" s="534"/>
      <c r="BD27" s="537"/>
    </row>
    <row r="28" spans="2:56" ht="15.75" customHeight="1" x14ac:dyDescent="0.25">
      <c r="B28" s="559"/>
      <c r="C28" s="547"/>
      <c r="D28" s="565"/>
      <c r="E28" s="565"/>
      <c r="F28" s="570"/>
      <c r="G28" s="548"/>
      <c r="H28" s="505"/>
      <c r="I28" s="238">
        <v>0.4</v>
      </c>
      <c r="J28" s="87" t="s">
        <v>44</v>
      </c>
      <c r="K28" s="259" t="s">
        <v>68</v>
      </c>
      <c r="L28" s="260" t="s">
        <v>68</v>
      </c>
      <c r="M28" s="239">
        <v>0.16</v>
      </c>
      <c r="N28" s="89" t="s">
        <v>44</v>
      </c>
      <c r="O28" s="240">
        <v>0.15</v>
      </c>
      <c r="P28" s="91" t="s">
        <v>44</v>
      </c>
      <c r="Q28" s="242"/>
      <c r="R28" s="242">
        <v>7.97</v>
      </c>
      <c r="S28" s="38"/>
      <c r="T28" s="529"/>
      <c r="U28" s="93"/>
      <c r="V28" s="93"/>
      <c r="W28" s="93"/>
      <c r="X28" s="93"/>
      <c r="Y28" s="93"/>
      <c r="Z28" s="93"/>
      <c r="AA28" s="93"/>
      <c r="AB28" s="93"/>
      <c r="AC28" s="93"/>
      <c r="AD28" s="40"/>
      <c r="AE28" s="40"/>
      <c r="AF28" s="40"/>
      <c r="AG28" s="41">
        <v>44421</v>
      </c>
      <c r="AH28" s="532"/>
      <c r="AI28" s="94">
        <v>7.93</v>
      </c>
      <c r="AJ28" s="94">
        <f t="shared" si="16"/>
        <v>-4.0000000000000036E-2</v>
      </c>
      <c r="AK28" s="94"/>
      <c r="AL28" s="94"/>
      <c r="AM28" s="94"/>
      <c r="AN28" s="94" t="s">
        <v>68</v>
      </c>
      <c r="AO28" s="94">
        <v>0</v>
      </c>
      <c r="AP28" s="94">
        <v>0.19</v>
      </c>
      <c r="AQ28" s="94"/>
      <c r="AR28" s="40">
        <f t="shared" si="29"/>
        <v>0.19</v>
      </c>
      <c r="AS28" s="40">
        <f t="shared" si="30"/>
        <v>-0.19</v>
      </c>
      <c r="AT28" s="40">
        <f t="shared" si="23"/>
        <v>0.19</v>
      </c>
      <c r="AU28" s="43">
        <f t="shared" si="41"/>
        <v>121.61944444444444</v>
      </c>
      <c r="AV28" s="44">
        <f t="shared" si="42"/>
        <v>0.19</v>
      </c>
      <c r="AW28" s="95">
        <f t="shared" si="39"/>
        <v>1.5622501884292991E-3</v>
      </c>
      <c r="AX28" s="46">
        <f t="shared" si="40"/>
        <v>256.04093567251459</v>
      </c>
      <c r="AY28" s="72" t="str">
        <f t="shared" si="43"/>
        <v>DOS AÑOS</v>
      </c>
      <c r="AZ28" s="481"/>
      <c r="BA28" s="677"/>
      <c r="BB28" s="680"/>
      <c r="BC28" s="534"/>
      <c r="BD28" s="537"/>
    </row>
    <row r="29" spans="2:56" x14ac:dyDescent="0.25">
      <c r="B29" s="559"/>
      <c r="C29" s="547"/>
      <c r="D29" s="565"/>
      <c r="E29" s="565"/>
      <c r="F29" s="570"/>
      <c r="G29" s="548"/>
      <c r="H29" s="505"/>
      <c r="I29" s="86">
        <v>0.06</v>
      </c>
      <c r="J29" s="87" t="s">
        <v>44</v>
      </c>
      <c r="K29" s="261" t="s">
        <v>68</v>
      </c>
      <c r="L29" s="272" t="s">
        <v>68</v>
      </c>
      <c r="M29" s="88">
        <v>0.02</v>
      </c>
      <c r="N29" s="89" t="s">
        <v>44</v>
      </c>
      <c r="O29" s="90">
        <v>0.03</v>
      </c>
      <c r="P29" s="91" t="s">
        <v>44</v>
      </c>
      <c r="Q29" s="92"/>
      <c r="R29" s="92">
        <v>0</v>
      </c>
      <c r="S29" s="38"/>
      <c r="T29" s="529"/>
      <c r="U29" s="93"/>
      <c r="V29" s="93"/>
      <c r="W29" s="93"/>
      <c r="X29" s="93"/>
      <c r="Y29" s="93"/>
      <c r="Z29" s="93"/>
      <c r="AA29" s="93"/>
      <c r="AB29" s="93"/>
      <c r="AC29" s="93"/>
      <c r="AD29" s="40"/>
      <c r="AE29" s="40"/>
      <c r="AF29" s="40"/>
      <c r="AG29" s="41">
        <v>44421</v>
      </c>
      <c r="AH29" s="532"/>
      <c r="AI29" s="94">
        <v>0</v>
      </c>
      <c r="AJ29" s="94">
        <f t="shared" si="16"/>
        <v>0</v>
      </c>
      <c r="AK29" s="94"/>
      <c r="AL29" s="94" t="s">
        <v>68</v>
      </c>
      <c r="AM29" s="94" t="s">
        <v>68</v>
      </c>
      <c r="AN29" s="94" t="s">
        <v>68</v>
      </c>
      <c r="AO29" s="94">
        <v>0</v>
      </c>
      <c r="AP29" s="94">
        <v>6.0000000000000001E-3</v>
      </c>
      <c r="AQ29" s="94"/>
      <c r="AR29" s="40">
        <f t="shared" si="29"/>
        <v>6.0000000000000001E-3</v>
      </c>
      <c r="AS29" s="40">
        <f t="shared" si="30"/>
        <v>-6.0000000000000001E-3</v>
      </c>
      <c r="AT29" s="40">
        <f t="shared" si="23"/>
        <v>6.0000000000000001E-3</v>
      </c>
      <c r="AU29" s="43">
        <f t="shared" si="41"/>
        <v>121.61944444444444</v>
      </c>
      <c r="AV29" s="44">
        <f t="shared" si="42"/>
        <v>6.0000000000000001E-3</v>
      </c>
      <c r="AW29" s="95">
        <f t="shared" si="39"/>
        <v>4.9334216476714706E-5</v>
      </c>
      <c r="AX29" s="46">
        <f t="shared" si="40"/>
        <v>1216.1944444444443</v>
      </c>
      <c r="AY29" s="72" t="str">
        <f t="shared" si="43"/>
        <v>DOS AÑOS</v>
      </c>
      <c r="AZ29" s="481"/>
      <c r="BA29" s="677"/>
      <c r="BB29" s="680"/>
      <c r="BC29" s="534"/>
      <c r="BD29" s="537"/>
    </row>
    <row r="30" spans="2:56" x14ac:dyDescent="0.25">
      <c r="B30" s="559"/>
      <c r="C30" s="547" t="s">
        <v>6</v>
      </c>
      <c r="D30" s="565"/>
      <c r="E30" s="565"/>
      <c r="F30" s="570"/>
      <c r="G30" s="551">
        <v>1E-3</v>
      </c>
      <c r="H30" s="505" t="s">
        <v>46</v>
      </c>
      <c r="I30" s="86">
        <v>0.6</v>
      </c>
      <c r="J30" s="87" t="s">
        <v>44</v>
      </c>
      <c r="K30" s="261" t="s">
        <v>68</v>
      </c>
      <c r="L30" s="272" t="s">
        <v>68</v>
      </c>
      <c r="M30" s="88">
        <v>0.2</v>
      </c>
      <c r="N30" s="89" t="s">
        <v>44</v>
      </c>
      <c r="O30" s="90">
        <v>0.3</v>
      </c>
      <c r="P30" s="91" t="s">
        <v>44</v>
      </c>
      <c r="Q30" s="92"/>
      <c r="R30" s="92">
        <v>5.98</v>
      </c>
      <c r="S30" s="38"/>
      <c r="T30" s="529"/>
      <c r="U30" s="96"/>
      <c r="V30" s="93"/>
      <c r="W30" s="96"/>
      <c r="X30" s="96"/>
      <c r="Y30" s="96"/>
      <c r="Z30" s="96"/>
      <c r="AA30" s="96"/>
      <c r="AB30" s="96"/>
      <c r="AC30" s="96"/>
      <c r="AD30" s="40"/>
      <c r="AE30" s="40"/>
      <c r="AF30" s="40"/>
      <c r="AG30" s="41">
        <v>44421</v>
      </c>
      <c r="AH30" s="532"/>
      <c r="AI30" s="94">
        <v>5.98</v>
      </c>
      <c r="AJ30" s="94">
        <f t="shared" si="16"/>
        <v>0</v>
      </c>
      <c r="AK30" s="94"/>
      <c r="AL30" s="94" t="s">
        <v>68</v>
      </c>
      <c r="AM30" s="94" t="s">
        <v>68</v>
      </c>
      <c r="AN30" s="94" t="s">
        <v>68</v>
      </c>
      <c r="AO30" s="94">
        <v>0</v>
      </c>
      <c r="AP30" s="94">
        <v>0.12</v>
      </c>
      <c r="AQ30" s="94"/>
      <c r="AR30" s="40">
        <f t="shared" si="29"/>
        <v>0.12</v>
      </c>
      <c r="AS30" s="40">
        <f t="shared" si="30"/>
        <v>-0.12</v>
      </c>
      <c r="AT30" s="40">
        <f t="shared" si="23"/>
        <v>0.12</v>
      </c>
      <c r="AU30" s="43">
        <f t="shared" si="41"/>
        <v>121.61944444444444</v>
      </c>
      <c r="AV30" s="44">
        <f t="shared" si="42"/>
        <v>0.12</v>
      </c>
      <c r="AW30" s="95">
        <f t="shared" si="39"/>
        <v>9.8668432953429421E-4</v>
      </c>
      <c r="AX30" s="46">
        <f t="shared" si="40"/>
        <v>608.09722222222217</v>
      </c>
      <c r="AY30" s="72" t="str">
        <f t="shared" si="43"/>
        <v>DOS AÑOS</v>
      </c>
      <c r="AZ30" s="481"/>
      <c r="BA30" s="677"/>
      <c r="BB30" s="680"/>
      <c r="BC30" s="534"/>
      <c r="BD30" s="537"/>
    </row>
    <row r="31" spans="2:56" x14ac:dyDescent="0.25">
      <c r="B31" s="559"/>
      <c r="C31" s="547"/>
      <c r="D31" s="565"/>
      <c r="E31" s="565"/>
      <c r="F31" s="570"/>
      <c r="G31" s="551"/>
      <c r="H31" s="505"/>
      <c r="I31" s="86">
        <v>0.6</v>
      </c>
      <c r="J31" s="87" t="s">
        <v>44</v>
      </c>
      <c r="K31" s="261" t="s">
        <v>68</v>
      </c>
      <c r="L31" s="262" t="s">
        <v>68</v>
      </c>
      <c r="M31" s="88">
        <v>0.2</v>
      </c>
      <c r="N31" s="89" t="s">
        <v>44</v>
      </c>
      <c r="O31" s="90">
        <v>0.3</v>
      </c>
      <c r="P31" s="91" t="s">
        <v>44</v>
      </c>
      <c r="Q31" s="92"/>
      <c r="R31" s="92">
        <v>10.5</v>
      </c>
      <c r="S31" s="38"/>
      <c r="T31" s="529"/>
      <c r="U31" s="96"/>
      <c r="V31" s="93"/>
      <c r="W31" s="96"/>
      <c r="X31" s="96"/>
      <c r="Y31" s="96"/>
      <c r="Z31" s="96"/>
      <c r="AA31" s="96"/>
      <c r="AB31" s="96"/>
      <c r="AC31" s="96"/>
      <c r="AD31" s="40"/>
      <c r="AE31" s="40"/>
      <c r="AF31" s="40"/>
      <c r="AG31" s="41">
        <v>44421</v>
      </c>
      <c r="AH31" s="532"/>
      <c r="AI31" s="94">
        <v>10.4</v>
      </c>
      <c r="AJ31" s="94">
        <f t="shared" si="16"/>
        <v>-9.9999999999999645E-2</v>
      </c>
      <c r="AK31" s="94"/>
      <c r="AL31" s="94"/>
      <c r="AM31" s="94"/>
      <c r="AN31" s="94" t="s">
        <v>68</v>
      </c>
      <c r="AO31" s="94">
        <v>0</v>
      </c>
      <c r="AP31" s="94">
        <v>0.2</v>
      </c>
      <c r="AQ31" s="94"/>
      <c r="AR31" s="40">
        <f t="shared" si="29"/>
        <v>0.2</v>
      </c>
      <c r="AS31" s="40">
        <f t="shared" si="30"/>
        <v>-0.2</v>
      </c>
      <c r="AT31" s="40">
        <f t="shared" si="23"/>
        <v>0.2</v>
      </c>
      <c r="AU31" s="43">
        <f t="shared" si="41"/>
        <v>121.61944444444444</v>
      </c>
      <c r="AV31" s="44">
        <f t="shared" si="42"/>
        <v>0.2</v>
      </c>
      <c r="AW31" s="95">
        <f t="shared" si="39"/>
        <v>1.6444738825571569E-3</v>
      </c>
      <c r="AX31" s="46">
        <f t="shared" si="40"/>
        <v>364.85833333333329</v>
      </c>
      <c r="AY31" s="72" t="str">
        <f t="shared" si="43"/>
        <v>DOS AÑOS</v>
      </c>
      <c r="AZ31" s="481"/>
      <c r="BA31" s="677"/>
      <c r="BB31" s="680"/>
      <c r="BC31" s="534"/>
      <c r="BD31" s="537"/>
    </row>
    <row r="32" spans="2:56" x14ac:dyDescent="0.25">
      <c r="B32" s="559"/>
      <c r="C32" s="547"/>
      <c r="D32" s="565"/>
      <c r="E32" s="565"/>
      <c r="F32" s="570"/>
      <c r="G32" s="551"/>
      <c r="H32" s="505"/>
      <c r="I32" s="86">
        <v>0.6</v>
      </c>
      <c r="J32" s="87" t="s">
        <v>44</v>
      </c>
      <c r="K32" s="261" t="s">
        <v>68</v>
      </c>
      <c r="L32" s="262" t="s">
        <v>68</v>
      </c>
      <c r="M32" s="88">
        <v>0.2</v>
      </c>
      <c r="N32" s="89" t="s">
        <v>44</v>
      </c>
      <c r="O32" s="90">
        <v>0.3</v>
      </c>
      <c r="P32" s="91" t="s">
        <v>44</v>
      </c>
      <c r="Q32" s="92"/>
      <c r="R32" s="92">
        <v>13.02</v>
      </c>
      <c r="S32" s="38"/>
      <c r="T32" s="529"/>
      <c r="U32" s="96"/>
      <c r="V32" s="93"/>
      <c r="W32" s="96"/>
      <c r="X32" s="96"/>
      <c r="Y32" s="96"/>
      <c r="Z32" s="96"/>
      <c r="AA32" s="96"/>
      <c r="AB32" s="96"/>
      <c r="AC32" s="96"/>
      <c r="AD32" s="40"/>
      <c r="AE32" s="40"/>
      <c r="AF32" s="40"/>
      <c r="AG32" s="41">
        <v>44421</v>
      </c>
      <c r="AH32" s="532"/>
      <c r="AI32" s="94">
        <v>13</v>
      </c>
      <c r="AJ32" s="94">
        <f t="shared" si="16"/>
        <v>-1.9999999999999574E-2</v>
      </c>
      <c r="AK32" s="94"/>
      <c r="AL32" s="94"/>
      <c r="AM32" s="94"/>
      <c r="AN32" s="94" t="s">
        <v>68</v>
      </c>
      <c r="AO32" s="94">
        <v>0</v>
      </c>
      <c r="AP32" s="94">
        <v>0.15</v>
      </c>
      <c r="AQ32" s="94"/>
      <c r="AR32" s="40">
        <f t="shared" si="29"/>
        <v>0.15</v>
      </c>
      <c r="AS32" s="40">
        <f t="shared" si="30"/>
        <v>-0.15</v>
      </c>
      <c r="AT32" s="40">
        <f t="shared" si="23"/>
        <v>0.15</v>
      </c>
      <c r="AU32" s="43">
        <f t="shared" si="41"/>
        <v>121.61944444444444</v>
      </c>
      <c r="AV32" s="44">
        <f t="shared" si="42"/>
        <v>0.15</v>
      </c>
      <c r="AW32" s="95">
        <f t="shared" si="39"/>
        <v>1.2333554119178677E-3</v>
      </c>
      <c r="AX32" s="46">
        <f t="shared" si="40"/>
        <v>486.47777777777776</v>
      </c>
      <c r="AY32" s="72" t="str">
        <f t="shared" si="43"/>
        <v>DOS AÑOS</v>
      </c>
      <c r="AZ32" s="481"/>
      <c r="BA32" s="677"/>
      <c r="BB32" s="680"/>
      <c r="BC32" s="534"/>
      <c r="BD32" s="537"/>
    </row>
    <row r="33" spans="2:56" x14ac:dyDescent="0.25">
      <c r="B33" s="559"/>
      <c r="C33" s="547"/>
      <c r="D33" s="565"/>
      <c r="E33" s="565"/>
      <c r="F33" s="570"/>
      <c r="G33" s="551"/>
      <c r="H33" s="505"/>
      <c r="I33" s="86">
        <v>0.6</v>
      </c>
      <c r="J33" s="87" t="s">
        <v>44</v>
      </c>
      <c r="K33" s="261" t="s">
        <v>68</v>
      </c>
      <c r="L33" s="272" t="s">
        <v>68</v>
      </c>
      <c r="M33" s="88">
        <v>0.02</v>
      </c>
      <c r="N33" s="89" t="s">
        <v>44</v>
      </c>
      <c r="O33" s="90">
        <v>0.3</v>
      </c>
      <c r="P33" s="91" t="s">
        <v>44</v>
      </c>
      <c r="Q33" s="92"/>
      <c r="R33" s="92">
        <v>0</v>
      </c>
      <c r="S33" s="38"/>
      <c r="T33" s="529"/>
      <c r="U33" s="96"/>
      <c r="V33" s="93"/>
      <c r="W33" s="96"/>
      <c r="X33" s="96"/>
      <c r="Y33" s="96"/>
      <c r="Z33" s="96"/>
      <c r="AA33" s="96"/>
      <c r="AB33" s="96"/>
      <c r="AC33" s="96"/>
      <c r="AD33" s="40"/>
      <c r="AE33" s="40"/>
      <c r="AF33" s="40"/>
      <c r="AG33" s="41">
        <v>44421</v>
      </c>
      <c r="AH33" s="532"/>
      <c r="AI33" s="94">
        <v>0</v>
      </c>
      <c r="AJ33" s="94">
        <f t="shared" si="16"/>
        <v>0</v>
      </c>
      <c r="AK33" s="94"/>
      <c r="AL33" s="94" t="s">
        <v>68</v>
      </c>
      <c r="AM33" s="94" t="s">
        <v>68</v>
      </c>
      <c r="AN33" s="94" t="s">
        <v>68</v>
      </c>
      <c r="AO33" s="94">
        <v>0</v>
      </c>
      <c r="AP33" s="94">
        <v>5.8000000000000003E-2</v>
      </c>
      <c r="AQ33" s="94"/>
      <c r="AR33" s="40">
        <f t="shared" ref="AR33:AR41" si="44">(AK33+AP33)</f>
        <v>5.8000000000000003E-2</v>
      </c>
      <c r="AS33" s="40">
        <f t="shared" ref="AS33:AS41" si="45">(AK33-AP33)</f>
        <v>-5.8000000000000003E-2</v>
      </c>
      <c r="AT33" s="40">
        <f t="shared" si="23"/>
        <v>5.8000000000000003E-2</v>
      </c>
      <c r="AU33" s="43">
        <f t="shared" si="41"/>
        <v>121.61944444444444</v>
      </c>
      <c r="AV33" s="44">
        <f t="shared" si="42"/>
        <v>5.8000000000000003E-2</v>
      </c>
      <c r="AW33" s="95">
        <f t="shared" si="39"/>
        <v>4.7689742594157552E-4</v>
      </c>
      <c r="AX33" s="46">
        <f t="shared" si="40"/>
        <v>1258.1321839080458</v>
      </c>
      <c r="AY33" s="72" t="str">
        <f t="shared" si="43"/>
        <v>DOS AÑOS</v>
      </c>
      <c r="AZ33" s="481"/>
      <c r="BA33" s="677"/>
      <c r="BB33" s="680"/>
      <c r="BC33" s="534"/>
      <c r="BD33" s="537"/>
    </row>
    <row r="34" spans="2:56" x14ac:dyDescent="0.25">
      <c r="B34" s="559"/>
      <c r="C34" s="547" t="s">
        <v>7</v>
      </c>
      <c r="D34" s="565"/>
      <c r="E34" s="565"/>
      <c r="F34" s="570"/>
      <c r="G34" s="505" t="s">
        <v>14</v>
      </c>
      <c r="H34" s="505" t="s">
        <v>49</v>
      </c>
      <c r="I34" s="97">
        <v>12</v>
      </c>
      <c r="J34" s="98" t="s">
        <v>47</v>
      </c>
      <c r="K34" s="263" t="s">
        <v>68</v>
      </c>
      <c r="L34" s="270" t="s">
        <v>68</v>
      </c>
      <c r="M34" s="99">
        <v>8</v>
      </c>
      <c r="N34" s="100" t="s">
        <v>47</v>
      </c>
      <c r="O34" s="101">
        <v>8</v>
      </c>
      <c r="P34" s="102" t="s">
        <v>47</v>
      </c>
      <c r="Q34" s="37"/>
      <c r="R34" s="37">
        <v>158.5</v>
      </c>
      <c r="S34" s="38"/>
      <c r="T34" s="529"/>
      <c r="U34" s="96"/>
      <c r="V34" s="93"/>
      <c r="W34" s="96"/>
      <c r="X34" s="96"/>
      <c r="Y34" s="96"/>
      <c r="Z34" s="96"/>
      <c r="AA34" s="96"/>
      <c r="AB34" s="96"/>
      <c r="AC34" s="96"/>
      <c r="AD34" s="40"/>
      <c r="AE34" s="40"/>
      <c r="AF34" s="40"/>
      <c r="AG34" s="41">
        <v>44421</v>
      </c>
      <c r="AH34" s="532"/>
      <c r="AI34" s="94">
        <v>156</v>
      </c>
      <c r="AJ34" s="94">
        <f t="shared" si="16"/>
        <v>-2.5</v>
      </c>
      <c r="AK34" s="94"/>
      <c r="AL34" s="94" t="s">
        <v>68</v>
      </c>
      <c r="AM34" s="94" t="s">
        <v>68</v>
      </c>
      <c r="AN34" s="94" t="s">
        <v>68</v>
      </c>
      <c r="AO34" s="94">
        <v>0</v>
      </c>
      <c r="AP34" s="94">
        <v>3.3</v>
      </c>
      <c r="AQ34" s="94"/>
      <c r="AR34" s="40">
        <f t="shared" si="44"/>
        <v>3.3</v>
      </c>
      <c r="AS34" s="40">
        <f t="shared" si="45"/>
        <v>-3.3</v>
      </c>
      <c r="AT34" s="40">
        <f t="shared" ref="AT34:AT65" si="46">MAX(AR34:AS34)</f>
        <v>3.3</v>
      </c>
      <c r="AU34" s="43">
        <f t="shared" si="41"/>
        <v>121.61944444444444</v>
      </c>
      <c r="AV34" s="44">
        <f t="shared" si="42"/>
        <v>3.3</v>
      </c>
      <c r="AW34" s="95">
        <f t="shared" si="39"/>
        <v>2.7133819062193087E-2</v>
      </c>
      <c r="AX34" s="46">
        <f t="shared" si="40"/>
        <v>442.25252525252529</v>
      </c>
      <c r="AY34" s="72" t="str">
        <f t="shared" si="43"/>
        <v>DOS AÑOS</v>
      </c>
      <c r="AZ34" s="481"/>
      <c r="BA34" s="677"/>
      <c r="BB34" s="680"/>
      <c r="BC34" s="534"/>
      <c r="BD34" s="537"/>
    </row>
    <row r="35" spans="2:56" x14ac:dyDescent="0.25">
      <c r="B35" s="559"/>
      <c r="C35" s="547"/>
      <c r="D35" s="565"/>
      <c r="E35" s="565"/>
      <c r="F35" s="570"/>
      <c r="G35" s="505"/>
      <c r="H35" s="505"/>
      <c r="I35" s="97">
        <v>30</v>
      </c>
      <c r="J35" s="98" t="s">
        <v>47</v>
      </c>
      <c r="K35" s="263" t="s">
        <v>68</v>
      </c>
      <c r="L35" s="264" t="s">
        <v>68</v>
      </c>
      <c r="M35" s="99">
        <v>8</v>
      </c>
      <c r="N35" s="105" t="s">
        <v>19</v>
      </c>
      <c r="O35" s="101">
        <v>15</v>
      </c>
      <c r="P35" s="102" t="s">
        <v>47</v>
      </c>
      <c r="Q35" s="37"/>
      <c r="R35" s="37">
        <v>640</v>
      </c>
      <c r="S35" s="38"/>
      <c r="T35" s="529"/>
      <c r="U35" s="96"/>
      <c r="V35" s="93"/>
      <c r="W35" s="96"/>
      <c r="X35" s="96"/>
      <c r="Y35" s="96"/>
      <c r="Z35" s="96"/>
      <c r="AA35" s="96"/>
      <c r="AB35" s="96"/>
      <c r="AC35" s="96"/>
      <c r="AD35" s="40"/>
      <c r="AE35" s="40"/>
      <c r="AF35" s="40"/>
      <c r="AG35" s="41">
        <v>44421</v>
      </c>
      <c r="AH35" s="532"/>
      <c r="AI35" s="94">
        <v>645</v>
      </c>
      <c r="AJ35" s="94">
        <f t="shared" si="16"/>
        <v>5</v>
      </c>
      <c r="AK35" s="94"/>
      <c r="AL35" s="94"/>
      <c r="AM35" s="94"/>
      <c r="AN35" s="94" t="s">
        <v>68</v>
      </c>
      <c r="AO35" s="94">
        <v>0</v>
      </c>
      <c r="AP35" s="94">
        <v>13</v>
      </c>
      <c r="AQ35" s="94"/>
      <c r="AR35" s="40">
        <f t="shared" si="44"/>
        <v>13</v>
      </c>
      <c r="AS35" s="40">
        <f t="shared" si="45"/>
        <v>-13</v>
      </c>
      <c r="AT35" s="40">
        <f t="shared" si="46"/>
        <v>13</v>
      </c>
      <c r="AU35" s="43">
        <f t="shared" si="41"/>
        <v>121.61944444444444</v>
      </c>
      <c r="AV35" s="44">
        <f t="shared" si="42"/>
        <v>13</v>
      </c>
      <c r="AW35" s="95">
        <f t="shared" si="39"/>
        <v>0.1068908023662152</v>
      </c>
      <c r="AX35" s="46">
        <f t="shared" si="40"/>
        <v>280.66025641025641</v>
      </c>
      <c r="AY35" s="72" t="str">
        <f t="shared" si="43"/>
        <v>DOS AÑOS</v>
      </c>
      <c r="AZ35" s="481"/>
      <c r="BA35" s="677"/>
      <c r="BB35" s="680"/>
      <c r="BC35" s="534"/>
      <c r="BD35" s="537"/>
    </row>
    <row r="36" spans="2:56" x14ac:dyDescent="0.25">
      <c r="B36" s="559"/>
      <c r="C36" s="547"/>
      <c r="D36" s="565"/>
      <c r="E36" s="565"/>
      <c r="F36" s="570"/>
      <c r="G36" s="505"/>
      <c r="H36" s="505"/>
      <c r="I36" s="97">
        <v>80</v>
      </c>
      <c r="J36" s="98" t="s">
        <v>47</v>
      </c>
      <c r="K36" s="263" t="s">
        <v>68</v>
      </c>
      <c r="L36" s="264" t="s">
        <v>68</v>
      </c>
      <c r="M36" s="99">
        <v>16</v>
      </c>
      <c r="N36" s="105" t="s">
        <v>19</v>
      </c>
      <c r="O36" s="101">
        <v>30</v>
      </c>
      <c r="P36" s="102" t="s">
        <v>47</v>
      </c>
      <c r="Q36" s="37"/>
      <c r="R36" s="37">
        <v>1708</v>
      </c>
      <c r="S36" s="38"/>
      <c r="T36" s="529"/>
      <c r="U36" s="96"/>
      <c r="V36" s="93"/>
      <c r="W36" s="96"/>
      <c r="X36" s="96"/>
      <c r="Y36" s="96"/>
      <c r="Z36" s="96"/>
      <c r="AA36" s="96"/>
      <c r="AB36" s="96"/>
      <c r="AC36" s="96"/>
      <c r="AD36" s="40"/>
      <c r="AE36" s="40"/>
      <c r="AF36" s="40"/>
      <c r="AG36" s="41">
        <v>44421</v>
      </c>
      <c r="AH36" s="532"/>
      <c r="AI36" s="94">
        <v>1717</v>
      </c>
      <c r="AJ36" s="94">
        <f t="shared" si="16"/>
        <v>9</v>
      </c>
      <c r="AK36" s="94"/>
      <c r="AL36" s="94"/>
      <c r="AM36" s="94"/>
      <c r="AN36" s="94" t="s">
        <v>68</v>
      </c>
      <c r="AO36" s="94">
        <v>0</v>
      </c>
      <c r="AP36" s="94">
        <v>35</v>
      </c>
      <c r="AQ36" s="94"/>
      <c r="AR36" s="40">
        <f t="shared" si="44"/>
        <v>35</v>
      </c>
      <c r="AS36" s="40">
        <f t="shared" si="45"/>
        <v>-35</v>
      </c>
      <c r="AT36" s="40">
        <f t="shared" si="46"/>
        <v>35</v>
      </c>
      <c r="AU36" s="43">
        <f t="shared" si="41"/>
        <v>121.61944444444444</v>
      </c>
      <c r="AV36" s="44">
        <f t="shared" si="42"/>
        <v>35</v>
      </c>
      <c r="AW36" s="95">
        <f t="shared" si="39"/>
        <v>0.28778292944750244</v>
      </c>
      <c r="AX36" s="46">
        <f t="shared" si="40"/>
        <v>277.9873015873016</v>
      </c>
      <c r="AY36" s="72" t="str">
        <f t="shared" si="43"/>
        <v>DOS AÑOS</v>
      </c>
      <c r="AZ36" s="481"/>
      <c r="BA36" s="677"/>
      <c r="BB36" s="680"/>
      <c r="BC36" s="534"/>
      <c r="BD36" s="537"/>
    </row>
    <row r="37" spans="2:56" x14ac:dyDescent="0.25">
      <c r="B37" s="559"/>
      <c r="C37" s="547"/>
      <c r="D37" s="565"/>
      <c r="E37" s="565"/>
      <c r="F37" s="570"/>
      <c r="G37" s="505"/>
      <c r="H37" s="505"/>
      <c r="I37" s="327">
        <v>12</v>
      </c>
      <c r="J37" s="103" t="s">
        <v>19</v>
      </c>
      <c r="K37" s="265" t="s">
        <v>68</v>
      </c>
      <c r="L37" s="270" t="s">
        <v>68</v>
      </c>
      <c r="M37" s="104">
        <v>8</v>
      </c>
      <c r="N37" s="105" t="s">
        <v>19</v>
      </c>
      <c r="O37" s="106">
        <v>8</v>
      </c>
      <c r="P37" s="107" t="s">
        <v>19</v>
      </c>
      <c r="Q37" s="37"/>
      <c r="R37" s="37">
        <v>0</v>
      </c>
      <c r="S37" s="38"/>
      <c r="T37" s="529"/>
      <c r="U37" s="96"/>
      <c r="V37" s="93"/>
      <c r="W37" s="96"/>
      <c r="X37" s="96"/>
      <c r="Y37" s="96"/>
      <c r="Z37" s="96"/>
      <c r="AA37" s="96"/>
      <c r="AB37" s="96"/>
      <c r="AC37" s="96"/>
      <c r="AD37" s="40"/>
      <c r="AE37" s="40"/>
      <c r="AF37" s="40"/>
      <c r="AG37" s="41">
        <v>44421</v>
      </c>
      <c r="AH37" s="532"/>
      <c r="AI37" s="94">
        <v>0</v>
      </c>
      <c r="AJ37" s="94">
        <f t="shared" si="16"/>
        <v>0</v>
      </c>
      <c r="AK37" s="94"/>
      <c r="AL37" s="94" t="s">
        <v>68</v>
      </c>
      <c r="AM37" s="94" t="s">
        <v>68</v>
      </c>
      <c r="AN37" s="94" t="s">
        <v>68</v>
      </c>
      <c r="AO37" s="94">
        <v>0</v>
      </c>
      <c r="AP37" s="94">
        <v>0.57999999999999996</v>
      </c>
      <c r="AQ37" s="94"/>
      <c r="AR37" s="40">
        <f t="shared" si="44"/>
        <v>0.57999999999999996</v>
      </c>
      <c r="AS37" s="40">
        <f t="shared" si="45"/>
        <v>-0.57999999999999996</v>
      </c>
      <c r="AT37" s="40">
        <f t="shared" si="46"/>
        <v>0.57999999999999996</v>
      </c>
      <c r="AU37" s="43">
        <f t="shared" si="41"/>
        <v>121.61944444444444</v>
      </c>
      <c r="AV37" s="44">
        <f t="shared" si="42"/>
        <v>0.57999999999999996</v>
      </c>
      <c r="AW37" s="95">
        <f t="shared" si="39"/>
        <v>4.768974259415755E-3</v>
      </c>
      <c r="AX37" s="46">
        <f t="shared" si="40"/>
        <v>2516.2643678160921</v>
      </c>
      <c r="AY37" s="72" t="str">
        <f t="shared" si="43"/>
        <v>DOS AÑOS</v>
      </c>
      <c r="AZ37" s="481"/>
      <c r="BA37" s="677"/>
      <c r="BB37" s="680"/>
      <c r="BC37" s="534"/>
      <c r="BD37" s="537"/>
    </row>
    <row r="38" spans="2:56" x14ac:dyDescent="0.25">
      <c r="B38" s="559"/>
      <c r="C38" s="539" t="s">
        <v>8</v>
      </c>
      <c r="D38" s="565"/>
      <c r="E38" s="565"/>
      <c r="F38" s="570"/>
      <c r="G38" s="553">
        <v>1E-3</v>
      </c>
      <c r="H38" s="545" t="s">
        <v>48</v>
      </c>
      <c r="I38" s="327">
        <v>0.5</v>
      </c>
      <c r="J38" s="103" t="s">
        <v>20</v>
      </c>
      <c r="K38" s="265" t="s">
        <v>68</v>
      </c>
      <c r="L38" s="270" t="s">
        <v>68</v>
      </c>
      <c r="M38" s="104">
        <v>0.3</v>
      </c>
      <c r="N38" s="105" t="s">
        <v>20</v>
      </c>
      <c r="O38" s="106">
        <v>0.4</v>
      </c>
      <c r="P38" s="107" t="s">
        <v>20</v>
      </c>
      <c r="Q38" s="37"/>
      <c r="R38" s="92">
        <v>0</v>
      </c>
      <c r="S38" s="38"/>
      <c r="T38" s="529"/>
      <c r="U38" s="96"/>
      <c r="V38" s="93"/>
      <c r="W38" s="96"/>
      <c r="X38" s="96"/>
      <c r="Y38" s="96"/>
      <c r="Z38" s="96"/>
      <c r="AA38" s="96"/>
      <c r="AB38" s="96"/>
      <c r="AC38" s="96"/>
      <c r="AD38" s="40"/>
      <c r="AE38" s="40"/>
      <c r="AF38" s="40"/>
      <c r="AG38" s="41">
        <v>44421</v>
      </c>
      <c r="AH38" s="532"/>
      <c r="AI38" s="94">
        <v>0.01</v>
      </c>
      <c r="AJ38" s="94">
        <f t="shared" si="16"/>
        <v>0.01</v>
      </c>
      <c r="AK38" s="94"/>
      <c r="AL38" s="94"/>
      <c r="AM38" s="94"/>
      <c r="AN38" s="94" t="s">
        <v>68</v>
      </c>
      <c r="AO38" s="94">
        <v>0</v>
      </c>
      <c r="AP38" s="94">
        <v>5.8000000000000003E-2</v>
      </c>
      <c r="AQ38" s="94"/>
      <c r="AR38" s="40">
        <f t="shared" si="44"/>
        <v>5.8000000000000003E-2</v>
      </c>
      <c r="AS38" s="40">
        <f t="shared" si="45"/>
        <v>-5.8000000000000003E-2</v>
      </c>
      <c r="AT38" s="40">
        <f t="shared" si="46"/>
        <v>5.8000000000000003E-2</v>
      </c>
      <c r="AU38" s="43">
        <f t="shared" si="41"/>
        <v>121.61944444444444</v>
      </c>
      <c r="AV38" s="44">
        <f t="shared" si="42"/>
        <v>5.8000000000000003E-2</v>
      </c>
      <c r="AW38" s="95">
        <f t="shared" si="39"/>
        <v>4.7689742594157552E-4</v>
      </c>
      <c r="AX38" s="46">
        <f t="shared" si="40"/>
        <v>1048.4434865900382</v>
      </c>
      <c r="AY38" s="72" t="str">
        <f t="shared" si="43"/>
        <v>DOS AÑOS</v>
      </c>
      <c r="AZ38" s="481"/>
      <c r="BA38" s="677"/>
      <c r="BB38" s="680"/>
      <c r="BC38" s="534"/>
      <c r="BD38" s="537"/>
    </row>
    <row r="39" spans="2:56" x14ac:dyDescent="0.25">
      <c r="B39" s="559"/>
      <c r="C39" s="540"/>
      <c r="D39" s="565"/>
      <c r="E39" s="565"/>
      <c r="F39" s="570"/>
      <c r="G39" s="554"/>
      <c r="H39" s="546"/>
      <c r="I39" s="327">
        <v>0.5</v>
      </c>
      <c r="J39" s="103" t="s">
        <v>20</v>
      </c>
      <c r="K39" s="265" t="s">
        <v>68</v>
      </c>
      <c r="L39" s="270" t="s">
        <v>68</v>
      </c>
      <c r="M39" s="104">
        <v>0.3</v>
      </c>
      <c r="N39" s="105" t="s">
        <v>20</v>
      </c>
      <c r="O39" s="106">
        <v>0.4</v>
      </c>
      <c r="P39" s="107" t="s">
        <v>20</v>
      </c>
      <c r="Q39" s="37"/>
      <c r="R39" s="92">
        <v>0</v>
      </c>
      <c r="S39" s="38"/>
      <c r="T39" s="529"/>
      <c r="U39" s="96"/>
      <c r="V39" s="93"/>
      <c r="W39" s="96"/>
      <c r="X39" s="96"/>
      <c r="Y39" s="96"/>
      <c r="Z39" s="96"/>
      <c r="AA39" s="96"/>
      <c r="AB39" s="96"/>
      <c r="AC39" s="96"/>
      <c r="AD39" s="40"/>
      <c r="AE39" s="40"/>
      <c r="AF39" s="40"/>
      <c r="AG39" s="41">
        <v>44421</v>
      </c>
      <c r="AH39" s="532"/>
      <c r="AI39" s="94">
        <v>0.01</v>
      </c>
      <c r="AJ39" s="94">
        <f t="shared" si="16"/>
        <v>0.01</v>
      </c>
      <c r="AK39" s="94"/>
      <c r="AL39" s="94"/>
      <c r="AM39" s="94"/>
      <c r="AN39" s="94" t="s">
        <v>68</v>
      </c>
      <c r="AO39" s="94">
        <v>0</v>
      </c>
      <c r="AP39" s="94">
        <v>5.8000000000000003E-2</v>
      </c>
      <c r="AQ39" s="94"/>
      <c r="AR39" s="40">
        <f t="shared" si="44"/>
        <v>5.8000000000000003E-2</v>
      </c>
      <c r="AS39" s="40">
        <f t="shared" si="45"/>
        <v>-5.8000000000000003E-2</v>
      </c>
      <c r="AT39" s="40">
        <f t="shared" si="46"/>
        <v>5.8000000000000003E-2</v>
      </c>
      <c r="AU39" s="43">
        <f t="shared" si="41"/>
        <v>121.61944444444444</v>
      </c>
      <c r="AV39" s="44">
        <f t="shared" si="42"/>
        <v>5.8000000000000003E-2</v>
      </c>
      <c r="AW39" s="95">
        <f t="shared" si="39"/>
        <v>4.7689742594157552E-4</v>
      </c>
      <c r="AX39" s="46">
        <f t="shared" si="40"/>
        <v>1048.4434865900382</v>
      </c>
      <c r="AY39" s="72" t="str">
        <f t="shared" si="43"/>
        <v>DOS AÑOS</v>
      </c>
      <c r="AZ39" s="481"/>
      <c r="BA39" s="677"/>
      <c r="BB39" s="680"/>
      <c r="BC39" s="534"/>
      <c r="BD39" s="537"/>
    </row>
    <row r="40" spans="2:56" x14ac:dyDescent="0.25">
      <c r="B40" s="560"/>
      <c r="C40" s="540"/>
      <c r="D40" s="566"/>
      <c r="E40" s="566"/>
      <c r="F40" s="571"/>
      <c r="G40" s="554"/>
      <c r="H40" s="546"/>
      <c r="I40" s="327">
        <v>0.5</v>
      </c>
      <c r="J40" s="103" t="s">
        <v>20</v>
      </c>
      <c r="K40" s="265" t="s">
        <v>68</v>
      </c>
      <c r="L40" s="270" t="s">
        <v>68</v>
      </c>
      <c r="M40" s="104">
        <v>0.3</v>
      </c>
      <c r="N40" s="105" t="s">
        <v>20</v>
      </c>
      <c r="O40" s="106">
        <v>0.4</v>
      </c>
      <c r="P40" s="107" t="s">
        <v>20</v>
      </c>
      <c r="Q40" s="37"/>
      <c r="R40" s="92">
        <v>0</v>
      </c>
      <c r="S40" s="252"/>
      <c r="T40" s="578"/>
      <c r="U40" s="253"/>
      <c r="V40" s="254"/>
      <c r="W40" s="253"/>
      <c r="X40" s="253"/>
      <c r="Y40" s="253"/>
      <c r="Z40" s="253"/>
      <c r="AA40" s="253"/>
      <c r="AB40" s="253"/>
      <c r="AC40" s="253"/>
      <c r="AD40" s="255"/>
      <c r="AE40" s="255"/>
      <c r="AF40" s="255"/>
      <c r="AG40" s="256">
        <v>44421</v>
      </c>
      <c r="AH40" s="580"/>
      <c r="AI40" s="257">
        <v>0</v>
      </c>
      <c r="AJ40" s="94">
        <f t="shared" si="16"/>
        <v>0</v>
      </c>
      <c r="AK40" s="257"/>
      <c r="AL40" s="257"/>
      <c r="AM40" s="257"/>
      <c r="AN40" s="257" t="s">
        <v>68</v>
      </c>
      <c r="AO40" s="257">
        <v>0</v>
      </c>
      <c r="AP40" s="257">
        <v>5.8000000000000003E-2</v>
      </c>
      <c r="AQ40" s="257"/>
      <c r="AR40" s="255">
        <f t="shared" si="44"/>
        <v>5.8000000000000003E-2</v>
      </c>
      <c r="AS40" s="255">
        <f t="shared" si="45"/>
        <v>-5.8000000000000003E-2</v>
      </c>
      <c r="AT40" s="255">
        <f t="shared" si="46"/>
        <v>5.8000000000000003E-2</v>
      </c>
      <c r="AU40" s="43">
        <f t="shared" si="41"/>
        <v>121.61944444444444</v>
      </c>
      <c r="AV40" s="44">
        <f t="shared" si="42"/>
        <v>5.8000000000000003E-2</v>
      </c>
      <c r="AW40" s="95">
        <f t="shared" si="39"/>
        <v>4.7689742594157552E-4</v>
      </c>
      <c r="AX40" s="46">
        <f t="shared" si="40"/>
        <v>1048.4434865900382</v>
      </c>
      <c r="AY40" s="72" t="str">
        <f t="shared" si="43"/>
        <v>DOS AÑOS</v>
      </c>
      <c r="AZ40" s="549"/>
      <c r="BA40" s="677"/>
      <c r="BB40" s="680"/>
      <c r="BC40" s="534"/>
      <c r="BD40" s="537"/>
    </row>
    <row r="41" spans="2:56" ht="15.75" thickBot="1" x14ac:dyDescent="0.3">
      <c r="B41" s="561"/>
      <c r="C41" s="552"/>
      <c r="D41" s="567"/>
      <c r="E41" s="567"/>
      <c r="F41" s="572"/>
      <c r="G41" s="555"/>
      <c r="H41" s="556"/>
      <c r="I41" s="327">
        <v>0.5</v>
      </c>
      <c r="J41" s="103" t="s">
        <v>20</v>
      </c>
      <c r="K41" s="265" t="s">
        <v>68</v>
      </c>
      <c r="L41" s="270" t="s">
        <v>68</v>
      </c>
      <c r="M41" s="104">
        <v>0.3</v>
      </c>
      <c r="N41" s="105" t="s">
        <v>20</v>
      </c>
      <c r="O41" s="106">
        <v>0.4</v>
      </c>
      <c r="P41" s="107" t="s">
        <v>20</v>
      </c>
      <c r="Q41" s="37"/>
      <c r="R41" s="92">
        <v>0</v>
      </c>
      <c r="S41" s="111"/>
      <c r="T41" s="579"/>
      <c r="U41" s="112"/>
      <c r="V41" s="113"/>
      <c r="W41" s="112"/>
      <c r="X41" s="112"/>
      <c r="Y41" s="112"/>
      <c r="Z41" s="112"/>
      <c r="AA41" s="112"/>
      <c r="AB41" s="112"/>
      <c r="AC41" s="112"/>
      <c r="AD41" s="49"/>
      <c r="AE41" s="49"/>
      <c r="AF41" s="49"/>
      <c r="AG41" s="114">
        <v>44421</v>
      </c>
      <c r="AH41" s="581"/>
      <c r="AI41" s="115">
        <v>0.02</v>
      </c>
      <c r="AJ41" s="115">
        <f t="shared" si="16"/>
        <v>0.02</v>
      </c>
      <c r="AK41" s="115"/>
      <c r="AL41" s="115" t="s">
        <v>68</v>
      </c>
      <c r="AM41" s="115" t="s">
        <v>68</v>
      </c>
      <c r="AN41" s="115" t="s">
        <v>68</v>
      </c>
      <c r="AO41" s="115">
        <v>0</v>
      </c>
      <c r="AP41" s="115">
        <v>5.8000000000000003E-2</v>
      </c>
      <c r="AQ41" s="115"/>
      <c r="AR41" s="49">
        <f t="shared" si="44"/>
        <v>5.8000000000000003E-2</v>
      </c>
      <c r="AS41" s="49">
        <f t="shared" si="45"/>
        <v>-5.8000000000000003E-2</v>
      </c>
      <c r="AT41" s="49">
        <f t="shared" si="46"/>
        <v>5.8000000000000003E-2</v>
      </c>
      <c r="AU41" s="43">
        <f t="shared" si="41"/>
        <v>121.61944444444444</v>
      </c>
      <c r="AV41" s="44">
        <f t="shared" si="42"/>
        <v>5.8000000000000003E-2</v>
      </c>
      <c r="AW41" s="95">
        <f t="shared" si="39"/>
        <v>4.7689742594157552E-4</v>
      </c>
      <c r="AX41" s="46">
        <f t="shared" si="40"/>
        <v>1048.4434865900382</v>
      </c>
      <c r="AY41" s="72" t="str">
        <f t="shared" si="43"/>
        <v>DOS AÑOS</v>
      </c>
      <c r="AZ41" s="550"/>
      <c r="BA41" s="678"/>
      <c r="BB41" s="681"/>
      <c r="BC41" s="535"/>
      <c r="BD41" s="538"/>
    </row>
    <row r="42" spans="2:56" ht="15.75" customHeight="1" x14ac:dyDescent="0.25">
      <c r="B42" s="557" t="s">
        <v>208</v>
      </c>
      <c r="C42" s="562" t="s">
        <v>160</v>
      </c>
      <c r="D42" s="563" t="s">
        <v>115</v>
      </c>
      <c r="E42" s="563" t="s">
        <v>116</v>
      </c>
      <c r="F42" s="568" t="s">
        <v>207</v>
      </c>
      <c r="G42" s="573">
        <v>1E-4</v>
      </c>
      <c r="H42" s="575" t="s">
        <v>45</v>
      </c>
      <c r="I42" s="76">
        <v>0.06</v>
      </c>
      <c r="J42" s="77" t="s">
        <v>44</v>
      </c>
      <c r="K42" s="258" t="s">
        <v>68</v>
      </c>
      <c r="L42" s="271" t="s">
        <v>68</v>
      </c>
      <c r="M42" s="78">
        <v>0.02</v>
      </c>
      <c r="N42" s="79" t="s">
        <v>44</v>
      </c>
      <c r="O42" s="80">
        <v>0.03</v>
      </c>
      <c r="P42" s="81" t="s">
        <v>44</v>
      </c>
      <c r="Q42" s="82">
        <v>1.01</v>
      </c>
      <c r="R42" s="82">
        <v>0.99399999999999999</v>
      </c>
      <c r="S42" s="58">
        <v>44063</v>
      </c>
      <c r="T42" s="527" t="s">
        <v>159</v>
      </c>
      <c r="U42" s="83">
        <v>0.98499999999999999</v>
      </c>
      <c r="V42" s="83">
        <f t="shared" ref="V42:V56" si="47">U42-Q42</f>
        <v>-2.5000000000000022E-2</v>
      </c>
      <c r="W42" s="83" t="s">
        <v>68</v>
      </c>
      <c r="X42" s="83" t="s">
        <v>68</v>
      </c>
      <c r="Y42" s="83" t="s">
        <v>68</v>
      </c>
      <c r="Z42" s="83">
        <v>0.01</v>
      </c>
      <c r="AA42" s="83">
        <v>0.01</v>
      </c>
      <c r="AB42" s="83">
        <v>1.2E-2</v>
      </c>
      <c r="AC42" s="83" t="s">
        <v>68</v>
      </c>
      <c r="AD42" s="59">
        <f>(V42+AB42)</f>
        <v>-1.3000000000000022E-2</v>
      </c>
      <c r="AE42" s="59">
        <f>(V42-AB42)</f>
        <v>-3.7000000000000019E-2</v>
      </c>
      <c r="AF42" s="59">
        <f>MAX(AD42:AE42)</f>
        <v>-1.3000000000000022E-2</v>
      </c>
      <c r="AG42" s="60">
        <v>44421</v>
      </c>
      <c r="AH42" s="530">
        <v>66134</v>
      </c>
      <c r="AI42" s="84">
        <v>0.98</v>
      </c>
      <c r="AJ42" s="84">
        <f>AI42-R42</f>
        <v>-1.4000000000000012E-2</v>
      </c>
      <c r="AK42" s="84"/>
      <c r="AL42" s="84" t="s">
        <v>68</v>
      </c>
      <c r="AM42" s="84" t="s">
        <v>68</v>
      </c>
      <c r="AN42" s="84">
        <v>0</v>
      </c>
      <c r="AO42" s="84">
        <v>0</v>
      </c>
      <c r="AP42" s="84">
        <v>2.1000000000000001E-2</v>
      </c>
      <c r="AQ42" s="84"/>
      <c r="AR42" s="59">
        <f t="shared" ref="AR42:AR47" si="48">(AJ42+AP42)</f>
        <v>6.9999999999999889E-3</v>
      </c>
      <c r="AS42" s="59">
        <f t="shared" ref="AS42:AS47" si="49">(AJ42-AP42)</f>
        <v>-3.5000000000000017E-2</v>
      </c>
      <c r="AT42" s="59">
        <f t="shared" si="46"/>
        <v>6.9999999999999889E-3</v>
      </c>
      <c r="AU42" s="62">
        <f t="shared" si="41"/>
        <v>0.98055555555555551</v>
      </c>
      <c r="AV42" s="63">
        <f t="shared" si="42"/>
        <v>2.0000000000000011E-2</v>
      </c>
      <c r="AW42" s="85">
        <f>(AV42/AU42)</f>
        <v>2.0396600566572248E-2</v>
      </c>
      <c r="AX42" s="65">
        <f t="shared" si="40"/>
        <v>2.9416666666666651</v>
      </c>
      <c r="AY42" s="66" t="str">
        <f t="shared" si="43"/>
        <v>DOS AÑOS</v>
      </c>
      <c r="AZ42" s="479" t="s">
        <v>9</v>
      </c>
      <c r="BA42" s="676" t="s">
        <v>35</v>
      </c>
      <c r="BB42" s="679" t="s">
        <v>34</v>
      </c>
      <c r="BC42" s="533" t="e">
        <f>MIN(AX42:AX57)</f>
        <v>#DIV/0!</v>
      </c>
      <c r="BD42" s="536" t="e">
        <f>#REF!</f>
        <v>#REF!</v>
      </c>
    </row>
    <row r="43" spans="2:56" ht="15.75" customHeight="1" x14ac:dyDescent="0.25">
      <c r="B43" s="558"/>
      <c r="C43" s="541"/>
      <c r="D43" s="564"/>
      <c r="E43" s="564"/>
      <c r="F43" s="569"/>
      <c r="G43" s="574"/>
      <c r="H43" s="576"/>
      <c r="I43" s="238">
        <v>0.15</v>
      </c>
      <c r="J43" s="87" t="s">
        <v>44</v>
      </c>
      <c r="K43" s="259" t="s">
        <v>68</v>
      </c>
      <c r="L43" s="260" t="s">
        <v>68</v>
      </c>
      <c r="M43" s="239">
        <v>0.06</v>
      </c>
      <c r="N43" s="89" t="s">
        <v>44</v>
      </c>
      <c r="O43" s="240">
        <v>0.08</v>
      </c>
      <c r="P43" s="91" t="s">
        <v>44</v>
      </c>
      <c r="Q43" s="242">
        <v>4</v>
      </c>
      <c r="R43" s="242">
        <v>4.01</v>
      </c>
      <c r="S43" s="243">
        <v>44063</v>
      </c>
      <c r="T43" s="528"/>
      <c r="U43" s="244">
        <v>3.9</v>
      </c>
      <c r="V43" s="93">
        <f t="shared" si="47"/>
        <v>-0.10000000000000009</v>
      </c>
      <c r="W43" s="244" t="s">
        <v>68</v>
      </c>
      <c r="X43" s="244" t="s">
        <v>68</v>
      </c>
      <c r="Y43" s="244" t="s">
        <v>68</v>
      </c>
      <c r="Z43" s="244">
        <v>0</v>
      </c>
      <c r="AA43" s="244">
        <v>0</v>
      </c>
      <c r="AB43" s="244">
        <v>4.1000000000000002E-2</v>
      </c>
      <c r="AC43" s="244"/>
      <c r="AD43" s="40">
        <f t="shared" ref="AD43:AD56" si="50">(V43+AB43)</f>
        <v>-5.9000000000000087E-2</v>
      </c>
      <c r="AE43" s="40">
        <f t="shared" ref="AE43:AE56" si="51">(V43-AB43)</f>
        <v>-0.1410000000000001</v>
      </c>
      <c r="AF43" s="40">
        <f t="shared" ref="AF43:AF56" si="52">MAX(AD43:AE43)</f>
        <v>-5.9000000000000087E-2</v>
      </c>
      <c r="AG43" s="246">
        <v>44421</v>
      </c>
      <c r="AH43" s="531"/>
      <c r="AI43" s="247">
        <v>4.01</v>
      </c>
      <c r="AJ43" s="94">
        <f>AI43-R43</f>
        <v>0</v>
      </c>
      <c r="AK43" s="247"/>
      <c r="AL43" s="247"/>
      <c r="AM43" s="247"/>
      <c r="AN43" s="247">
        <v>0</v>
      </c>
      <c r="AO43" s="247">
        <v>0</v>
      </c>
      <c r="AP43" s="247">
        <v>0.09</v>
      </c>
      <c r="AQ43" s="247"/>
      <c r="AR43" s="40">
        <f t="shared" si="48"/>
        <v>0.09</v>
      </c>
      <c r="AS43" s="40">
        <f t="shared" si="49"/>
        <v>-0.09</v>
      </c>
      <c r="AT43" s="40">
        <f t="shared" si="46"/>
        <v>0.09</v>
      </c>
      <c r="AU43" s="43">
        <f t="shared" si="41"/>
        <v>0.98055555555555551</v>
      </c>
      <c r="AV43" s="44">
        <f t="shared" si="42"/>
        <v>0.14900000000000008</v>
      </c>
      <c r="AW43" s="95">
        <f t="shared" ref="AW43:AW73" si="53">(AV43/AU43)</f>
        <v>0.15195467422096326</v>
      </c>
      <c r="AX43" s="46">
        <f t="shared" si="40"/>
        <v>0.98713646532438415</v>
      </c>
      <c r="AY43" s="72" t="str">
        <f t="shared" si="43"/>
        <v>UN AÑO</v>
      </c>
      <c r="AZ43" s="480"/>
      <c r="BA43" s="677"/>
      <c r="BB43" s="680"/>
      <c r="BC43" s="534"/>
      <c r="BD43" s="537"/>
    </row>
    <row r="44" spans="2:56" ht="15.75" customHeight="1" x14ac:dyDescent="0.25">
      <c r="B44" s="558"/>
      <c r="C44" s="541"/>
      <c r="D44" s="564"/>
      <c r="E44" s="564"/>
      <c r="F44" s="569"/>
      <c r="G44" s="574"/>
      <c r="H44" s="576"/>
      <c r="I44" s="238">
        <v>0.4</v>
      </c>
      <c r="J44" s="87" t="s">
        <v>44</v>
      </c>
      <c r="K44" s="259" t="s">
        <v>68</v>
      </c>
      <c r="L44" s="260" t="s">
        <v>68</v>
      </c>
      <c r="M44" s="239">
        <v>0.1</v>
      </c>
      <c r="N44" s="89" t="s">
        <v>44</v>
      </c>
      <c r="O44" s="240">
        <v>0.15</v>
      </c>
      <c r="P44" s="91" t="s">
        <v>44</v>
      </c>
      <c r="Q44" s="242">
        <v>8</v>
      </c>
      <c r="R44" s="242">
        <v>7.97</v>
      </c>
      <c r="S44" s="243">
        <v>44063</v>
      </c>
      <c r="T44" s="528"/>
      <c r="U44" s="244">
        <v>7.95</v>
      </c>
      <c r="V44" s="93">
        <f t="shared" si="47"/>
        <v>-4.9999999999999822E-2</v>
      </c>
      <c r="W44" s="244" t="s">
        <v>68</v>
      </c>
      <c r="X44" s="244" t="s">
        <v>68</v>
      </c>
      <c r="Y44" s="244" t="s">
        <v>68</v>
      </c>
      <c r="Z44" s="244">
        <v>0.05</v>
      </c>
      <c r="AA44" s="244">
        <v>0.1</v>
      </c>
      <c r="AB44" s="244">
        <v>0.11</v>
      </c>
      <c r="AC44" s="244"/>
      <c r="AD44" s="40">
        <f t="shared" si="50"/>
        <v>6.0000000000000178E-2</v>
      </c>
      <c r="AE44" s="40">
        <f t="shared" si="51"/>
        <v>-0.15999999999999981</v>
      </c>
      <c r="AF44" s="40">
        <f t="shared" si="52"/>
        <v>6.0000000000000178E-2</v>
      </c>
      <c r="AG44" s="246">
        <v>44421</v>
      </c>
      <c r="AH44" s="531"/>
      <c r="AI44" s="247">
        <v>7.97</v>
      </c>
      <c r="AJ44" s="94">
        <f t="shared" ref="AJ44:AJ73" si="54">AI44-R44</f>
        <v>0</v>
      </c>
      <c r="AK44" s="247"/>
      <c r="AL44" s="247"/>
      <c r="AM44" s="247"/>
      <c r="AN44" s="247">
        <v>0</v>
      </c>
      <c r="AO44" s="247">
        <v>0</v>
      </c>
      <c r="AP44" s="247">
        <v>0.17</v>
      </c>
      <c r="AQ44" s="247"/>
      <c r="AR44" s="40">
        <f t="shared" si="48"/>
        <v>0.17</v>
      </c>
      <c r="AS44" s="40">
        <f t="shared" si="49"/>
        <v>-0.17</v>
      </c>
      <c r="AT44" s="40">
        <f t="shared" si="46"/>
        <v>0.17</v>
      </c>
      <c r="AU44" s="43">
        <f t="shared" si="41"/>
        <v>0.98055555555555551</v>
      </c>
      <c r="AV44" s="44">
        <f t="shared" si="42"/>
        <v>0.10999999999999983</v>
      </c>
      <c r="AW44" s="95">
        <f t="shared" si="53"/>
        <v>0.11218130311614714</v>
      </c>
      <c r="AX44" s="46">
        <f t="shared" si="40"/>
        <v>3.5656565656565711</v>
      </c>
      <c r="AY44" s="72" t="str">
        <f t="shared" si="43"/>
        <v>DOS AÑOS</v>
      </c>
      <c r="AZ44" s="480"/>
      <c r="BA44" s="677"/>
      <c r="BB44" s="680"/>
      <c r="BC44" s="534"/>
      <c r="BD44" s="537"/>
    </row>
    <row r="45" spans="2:56" x14ac:dyDescent="0.25">
      <c r="B45" s="559"/>
      <c r="C45" s="547"/>
      <c r="D45" s="565"/>
      <c r="E45" s="565"/>
      <c r="F45" s="570"/>
      <c r="G45" s="548"/>
      <c r="H45" s="577"/>
      <c r="I45" s="86">
        <v>0.06</v>
      </c>
      <c r="J45" s="87" t="s">
        <v>44</v>
      </c>
      <c r="K45" s="261" t="s">
        <v>68</v>
      </c>
      <c r="L45" s="272" t="s">
        <v>68</v>
      </c>
      <c r="M45" s="88">
        <v>0.02</v>
      </c>
      <c r="N45" s="89" t="s">
        <v>44</v>
      </c>
      <c r="O45" s="90">
        <v>0.03</v>
      </c>
      <c r="P45" s="91" t="s">
        <v>44</v>
      </c>
      <c r="Q45" s="92">
        <v>0</v>
      </c>
      <c r="R45" s="92">
        <v>0</v>
      </c>
      <c r="S45" s="38">
        <v>44063</v>
      </c>
      <c r="T45" s="529"/>
      <c r="U45" s="93">
        <v>0</v>
      </c>
      <c r="V45" s="93">
        <f t="shared" si="47"/>
        <v>0</v>
      </c>
      <c r="W45" s="93" t="s">
        <v>68</v>
      </c>
      <c r="X45" s="93" t="s">
        <v>68</v>
      </c>
      <c r="Y45" s="93" t="s">
        <v>68</v>
      </c>
      <c r="Z45" s="93">
        <v>0</v>
      </c>
      <c r="AA45" s="93">
        <v>0</v>
      </c>
      <c r="AB45" s="93">
        <v>6.0000000000000001E-3</v>
      </c>
      <c r="AC45" s="93" t="s">
        <v>68</v>
      </c>
      <c r="AD45" s="40">
        <f t="shared" si="50"/>
        <v>6.0000000000000001E-3</v>
      </c>
      <c r="AE45" s="40">
        <f t="shared" si="51"/>
        <v>-6.0000000000000001E-3</v>
      </c>
      <c r="AF45" s="40">
        <f t="shared" si="52"/>
        <v>6.0000000000000001E-3</v>
      </c>
      <c r="AG45" s="41">
        <v>44421</v>
      </c>
      <c r="AH45" s="532"/>
      <c r="AI45" s="94">
        <v>0</v>
      </c>
      <c r="AJ45" s="94">
        <f t="shared" si="54"/>
        <v>0</v>
      </c>
      <c r="AK45" s="94"/>
      <c r="AL45" s="94" t="s">
        <v>68</v>
      </c>
      <c r="AM45" s="94" t="s">
        <v>68</v>
      </c>
      <c r="AN45" s="94">
        <v>0</v>
      </c>
      <c r="AO45" s="94">
        <v>0</v>
      </c>
      <c r="AP45" s="94">
        <v>6.0000000000000001E-3</v>
      </c>
      <c r="AQ45" s="94"/>
      <c r="AR45" s="40">
        <f t="shared" si="48"/>
        <v>6.0000000000000001E-3</v>
      </c>
      <c r="AS45" s="40">
        <f t="shared" si="49"/>
        <v>-6.0000000000000001E-3</v>
      </c>
      <c r="AT45" s="40">
        <f t="shared" si="46"/>
        <v>6.0000000000000001E-3</v>
      </c>
      <c r="AU45" s="43">
        <f t="shared" si="41"/>
        <v>0.98055555555555551</v>
      </c>
      <c r="AV45" s="44">
        <f t="shared" si="42"/>
        <v>0</v>
      </c>
      <c r="AW45" s="95">
        <f t="shared" si="53"/>
        <v>0</v>
      </c>
      <c r="AX45" s="46" t="e">
        <f t="shared" si="40"/>
        <v>#DIV/0!</v>
      </c>
      <c r="AY45" s="72" t="e">
        <f t="shared" si="43"/>
        <v>#DIV/0!</v>
      </c>
      <c r="AZ45" s="481"/>
      <c r="BA45" s="677"/>
      <c r="BB45" s="680"/>
      <c r="BC45" s="534"/>
      <c r="BD45" s="537"/>
    </row>
    <row r="46" spans="2:56" x14ac:dyDescent="0.25">
      <c r="B46" s="559"/>
      <c r="C46" s="539" t="s">
        <v>6</v>
      </c>
      <c r="D46" s="565"/>
      <c r="E46" s="565"/>
      <c r="F46" s="570"/>
      <c r="G46" s="542">
        <v>1E-3</v>
      </c>
      <c r="H46" s="545" t="s">
        <v>46</v>
      </c>
      <c r="I46" s="86">
        <v>0.6</v>
      </c>
      <c r="J46" s="87" t="s">
        <v>44</v>
      </c>
      <c r="K46" s="261" t="s">
        <v>68</v>
      </c>
      <c r="L46" s="272" t="s">
        <v>68</v>
      </c>
      <c r="M46" s="88">
        <v>0.2</v>
      </c>
      <c r="N46" s="89" t="s">
        <v>44</v>
      </c>
      <c r="O46" s="90">
        <v>0.3</v>
      </c>
      <c r="P46" s="91" t="s">
        <v>44</v>
      </c>
      <c r="Q46" s="92">
        <v>6</v>
      </c>
      <c r="R46" s="92">
        <v>5.98</v>
      </c>
      <c r="S46" s="38">
        <v>44063</v>
      </c>
      <c r="T46" s="529"/>
      <c r="U46" s="96">
        <v>6.05</v>
      </c>
      <c r="V46" s="93">
        <f t="shared" si="47"/>
        <v>4.9999999999999822E-2</v>
      </c>
      <c r="W46" s="96" t="s">
        <v>68</v>
      </c>
      <c r="X46" s="96" t="s">
        <v>68</v>
      </c>
      <c r="Y46" s="96" t="s">
        <v>68</v>
      </c>
      <c r="Z46" s="96">
        <v>0.05</v>
      </c>
      <c r="AA46" s="96">
        <v>0.1</v>
      </c>
      <c r="AB46" s="96">
        <v>0.1</v>
      </c>
      <c r="AC46" s="96" t="s">
        <v>68</v>
      </c>
      <c r="AD46" s="40">
        <f t="shared" si="50"/>
        <v>0.14999999999999983</v>
      </c>
      <c r="AE46" s="40">
        <f t="shared" si="51"/>
        <v>-5.0000000000000183E-2</v>
      </c>
      <c r="AF46" s="40">
        <f t="shared" si="52"/>
        <v>0.14999999999999983</v>
      </c>
      <c r="AG46" s="41">
        <v>44421</v>
      </c>
      <c r="AH46" s="532"/>
      <c r="AI46" s="94">
        <v>5.98</v>
      </c>
      <c r="AJ46" s="94">
        <f t="shared" si="54"/>
        <v>0</v>
      </c>
      <c r="AK46" s="94"/>
      <c r="AL46" s="94"/>
      <c r="AM46" s="94"/>
      <c r="AN46" s="94">
        <v>0</v>
      </c>
      <c r="AO46" s="94">
        <v>0</v>
      </c>
      <c r="AP46" s="94">
        <v>0.12</v>
      </c>
      <c r="AQ46" s="94"/>
      <c r="AR46" s="40">
        <f t="shared" si="48"/>
        <v>0.12</v>
      </c>
      <c r="AS46" s="40">
        <f t="shared" si="49"/>
        <v>-0.12</v>
      </c>
      <c r="AT46" s="40">
        <f t="shared" si="46"/>
        <v>0.12</v>
      </c>
      <c r="AU46" s="43">
        <f t="shared" si="41"/>
        <v>0.98055555555555551</v>
      </c>
      <c r="AV46" s="44">
        <f t="shared" si="42"/>
        <v>2.9999999999999832E-2</v>
      </c>
      <c r="AW46" s="95">
        <f t="shared" si="53"/>
        <v>3.0594900849858189E-2</v>
      </c>
      <c r="AX46" s="46">
        <f t="shared" si="40"/>
        <v>19.611111111111217</v>
      </c>
      <c r="AY46" s="72" t="str">
        <f t="shared" si="43"/>
        <v>DOS AÑOS</v>
      </c>
      <c r="AZ46" s="481"/>
      <c r="BA46" s="677"/>
      <c r="BB46" s="680"/>
      <c r="BC46" s="534"/>
      <c r="BD46" s="537"/>
    </row>
    <row r="47" spans="2:56" x14ac:dyDescent="0.25">
      <c r="B47" s="559"/>
      <c r="C47" s="540"/>
      <c r="D47" s="565"/>
      <c r="E47" s="565"/>
      <c r="F47" s="570"/>
      <c r="G47" s="543"/>
      <c r="H47" s="546"/>
      <c r="I47" s="86">
        <v>0.6</v>
      </c>
      <c r="J47" s="87" t="s">
        <v>44</v>
      </c>
      <c r="K47" s="261" t="s">
        <v>68</v>
      </c>
      <c r="L47" s="262" t="s">
        <v>68</v>
      </c>
      <c r="M47" s="88">
        <v>0.2</v>
      </c>
      <c r="N47" s="89" t="s">
        <v>44</v>
      </c>
      <c r="O47" s="90">
        <v>0.3</v>
      </c>
      <c r="P47" s="91" t="s">
        <v>44</v>
      </c>
      <c r="Q47" s="92">
        <v>12</v>
      </c>
      <c r="R47" s="92">
        <v>10.5</v>
      </c>
      <c r="S47" s="38">
        <v>44063</v>
      </c>
      <c r="T47" s="529"/>
      <c r="U47" s="96">
        <v>12.25</v>
      </c>
      <c r="V47" s="93">
        <f t="shared" si="47"/>
        <v>0.25</v>
      </c>
      <c r="W47" s="96"/>
      <c r="X47" s="96"/>
      <c r="Y47" s="96"/>
      <c r="Z47" s="96">
        <v>0.05</v>
      </c>
      <c r="AA47" s="96">
        <v>0.1</v>
      </c>
      <c r="AB47" s="96">
        <v>0.12</v>
      </c>
      <c r="AC47" s="96"/>
      <c r="AD47" s="40">
        <f t="shared" si="50"/>
        <v>0.37</v>
      </c>
      <c r="AE47" s="40">
        <f t="shared" si="51"/>
        <v>0.13</v>
      </c>
      <c r="AF47" s="40">
        <f t="shared" si="52"/>
        <v>0.37</v>
      </c>
      <c r="AG47" s="41">
        <v>44421</v>
      </c>
      <c r="AH47" s="532"/>
      <c r="AI47" s="94">
        <v>10.5</v>
      </c>
      <c r="AJ47" s="94">
        <f t="shared" si="54"/>
        <v>0</v>
      </c>
      <c r="AK47" s="94"/>
      <c r="AL47" s="94"/>
      <c r="AM47" s="94"/>
      <c r="AN47" s="94">
        <v>0</v>
      </c>
      <c r="AO47" s="94">
        <v>0</v>
      </c>
      <c r="AP47" s="94">
        <v>0.2</v>
      </c>
      <c r="AQ47" s="94"/>
      <c r="AR47" s="40">
        <f t="shared" si="48"/>
        <v>0.2</v>
      </c>
      <c r="AS47" s="40">
        <f t="shared" si="49"/>
        <v>-0.2</v>
      </c>
      <c r="AT47" s="40">
        <f t="shared" si="46"/>
        <v>0.2</v>
      </c>
      <c r="AU47" s="43">
        <f t="shared" si="41"/>
        <v>0.98055555555555551</v>
      </c>
      <c r="AV47" s="44">
        <f t="shared" si="42"/>
        <v>0.16999999999999998</v>
      </c>
      <c r="AW47" s="95">
        <f t="shared" si="53"/>
        <v>0.17337110481586401</v>
      </c>
      <c r="AX47" s="46">
        <f t="shared" si="40"/>
        <v>3.4607843137254903</v>
      </c>
      <c r="AY47" s="72" t="str">
        <f t="shared" si="43"/>
        <v>DOS AÑOS</v>
      </c>
      <c r="AZ47" s="481"/>
      <c r="BA47" s="677"/>
      <c r="BB47" s="680"/>
      <c r="BC47" s="534"/>
      <c r="BD47" s="537"/>
    </row>
    <row r="48" spans="2:56" x14ac:dyDescent="0.25">
      <c r="B48" s="559"/>
      <c r="C48" s="540"/>
      <c r="D48" s="565"/>
      <c r="E48" s="565"/>
      <c r="F48" s="570"/>
      <c r="G48" s="543"/>
      <c r="H48" s="546"/>
      <c r="I48" s="86">
        <v>0.6</v>
      </c>
      <c r="J48" s="87" t="s">
        <v>44</v>
      </c>
      <c r="K48" s="261" t="s">
        <v>68</v>
      </c>
      <c r="L48" s="262" t="s">
        <v>68</v>
      </c>
      <c r="M48" s="88">
        <v>0.2</v>
      </c>
      <c r="N48" s="89" t="s">
        <v>44</v>
      </c>
      <c r="O48" s="90">
        <v>0.3</v>
      </c>
      <c r="P48" s="91" t="s">
        <v>44</v>
      </c>
      <c r="Q48" s="92">
        <v>14</v>
      </c>
      <c r="R48" s="92">
        <v>13.02</v>
      </c>
      <c r="S48" s="38">
        <v>44063</v>
      </c>
      <c r="T48" s="529"/>
      <c r="U48" s="96">
        <v>14.05</v>
      </c>
      <c r="V48" s="93">
        <f t="shared" si="47"/>
        <v>5.0000000000000711E-2</v>
      </c>
      <c r="W48" s="96"/>
      <c r="X48" s="96"/>
      <c r="Y48" s="96"/>
      <c r="Z48" s="96">
        <v>0.05</v>
      </c>
      <c r="AA48" s="96">
        <v>0.1</v>
      </c>
      <c r="AB48" s="96">
        <v>0.12</v>
      </c>
      <c r="AC48" s="96"/>
      <c r="AD48" s="40">
        <f t="shared" si="50"/>
        <v>0.17000000000000071</v>
      </c>
      <c r="AE48" s="40">
        <f t="shared" si="51"/>
        <v>-6.9999999999999285E-2</v>
      </c>
      <c r="AF48" s="40">
        <f t="shared" si="52"/>
        <v>0.17000000000000071</v>
      </c>
      <c r="AG48" s="41">
        <v>44421</v>
      </c>
      <c r="AH48" s="532"/>
      <c r="AI48" s="94">
        <v>13.2</v>
      </c>
      <c r="AJ48" s="94">
        <f t="shared" si="54"/>
        <v>0.17999999999999972</v>
      </c>
      <c r="AK48" s="94"/>
      <c r="AL48" s="94" t="s">
        <v>68</v>
      </c>
      <c r="AM48" s="94" t="s">
        <v>68</v>
      </c>
      <c r="AN48" s="94">
        <v>0</v>
      </c>
      <c r="AO48" s="94">
        <v>0</v>
      </c>
      <c r="AP48" s="94">
        <v>0.15</v>
      </c>
      <c r="AQ48" s="94"/>
      <c r="AR48" s="40">
        <f t="shared" ref="AR48:AR73" si="55">(AK48+AP48)</f>
        <v>0.15</v>
      </c>
      <c r="AS48" s="40">
        <f t="shared" ref="AS48:AS73" si="56">(AK48-AP48)</f>
        <v>-0.15</v>
      </c>
      <c r="AT48" s="40">
        <f t="shared" si="46"/>
        <v>0.15</v>
      </c>
      <c r="AU48" s="43">
        <f t="shared" si="41"/>
        <v>0.98055555555555551</v>
      </c>
      <c r="AV48" s="44">
        <f t="shared" si="42"/>
        <v>2.0000000000000712E-2</v>
      </c>
      <c r="AW48" s="95">
        <f t="shared" si="53"/>
        <v>2.0396600566572963E-2</v>
      </c>
      <c r="AX48" s="46">
        <f t="shared" si="40"/>
        <v>29.41666666666562</v>
      </c>
      <c r="AY48" s="72" t="str">
        <f t="shared" si="43"/>
        <v>DOS AÑOS</v>
      </c>
      <c r="AZ48" s="481"/>
      <c r="BA48" s="677"/>
      <c r="BB48" s="680"/>
      <c r="BC48" s="534"/>
      <c r="BD48" s="537"/>
    </row>
    <row r="49" spans="2:56" x14ac:dyDescent="0.25">
      <c r="B49" s="559"/>
      <c r="C49" s="541"/>
      <c r="D49" s="565"/>
      <c r="E49" s="565"/>
      <c r="F49" s="570"/>
      <c r="G49" s="544"/>
      <c r="H49" s="504"/>
      <c r="I49" s="86">
        <v>0.6</v>
      </c>
      <c r="J49" s="87" t="s">
        <v>44</v>
      </c>
      <c r="K49" s="261" t="s">
        <v>68</v>
      </c>
      <c r="L49" s="272" t="s">
        <v>68</v>
      </c>
      <c r="M49" s="88">
        <v>0.2</v>
      </c>
      <c r="N49" s="89" t="s">
        <v>44</v>
      </c>
      <c r="O49" s="90">
        <v>0.3</v>
      </c>
      <c r="P49" s="91" t="s">
        <v>44</v>
      </c>
      <c r="Q49" s="92">
        <v>0</v>
      </c>
      <c r="R49" s="92">
        <v>0</v>
      </c>
      <c r="S49" s="38">
        <v>44063</v>
      </c>
      <c r="T49" s="529"/>
      <c r="U49" s="96">
        <v>0</v>
      </c>
      <c r="V49" s="93">
        <f t="shared" si="47"/>
        <v>0</v>
      </c>
      <c r="W49" s="96" t="s">
        <v>68</v>
      </c>
      <c r="X49" s="96" t="s">
        <v>68</v>
      </c>
      <c r="Y49" s="96" t="s">
        <v>68</v>
      </c>
      <c r="Z49" s="96">
        <v>0</v>
      </c>
      <c r="AA49" s="96">
        <v>0</v>
      </c>
      <c r="AB49" s="96">
        <v>5.8000000000000003E-2</v>
      </c>
      <c r="AC49" s="96" t="s">
        <v>68</v>
      </c>
      <c r="AD49" s="40">
        <f t="shared" si="50"/>
        <v>5.8000000000000003E-2</v>
      </c>
      <c r="AE49" s="40">
        <f t="shared" si="51"/>
        <v>-5.8000000000000003E-2</v>
      </c>
      <c r="AF49" s="40">
        <f t="shared" si="52"/>
        <v>5.8000000000000003E-2</v>
      </c>
      <c r="AG49" s="41">
        <v>44421</v>
      </c>
      <c r="AH49" s="532"/>
      <c r="AI49" s="94">
        <v>0</v>
      </c>
      <c r="AJ49" s="94">
        <f t="shared" si="54"/>
        <v>0</v>
      </c>
      <c r="AK49" s="94"/>
      <c r="AL49" s="94" t="s">
        <v>68</v>
      </c>
      <c r="AM49" s="94" t="s">
        <v>68</v>
      </c>
      <c r="AN49" s="94">
        <v>0.05</v>
      </c>
      <c r="AO49" s="94">
        <v>0</v>
      </c>
      <c r="AP49" s="94">
        <v>5.8000000000000003E-2</v>
      </c>
      <c r="AQ49" s="94"/>
      <c r="AR49" s="40">
        <f t="shared" si="55"/>
        <v>5.8000000000000003E-2</v>
      </c>
      <c r="AS49" s="40">
        <f t="shared" si="56"/>
        <v>-5.8000000000000003E-2</v>
      </c>
      <c r="AT49" s="40">
        <f t="shared" si="46"/>
        <v>5.8000000000000003E-2</v>
      </c>
      <c r="AU49" s="43">
        <f t="shared" si="41"/>
        <v>0.98055555555555551</v>
      </c>
      <c r="AV49" s="44">
        <f t="shared" si="42"/>
        <v>0</v>
      </c>
      <c r="AW49" s="95">
        <f t="shared" si="53"/>
        <v>0</v>
      </c>
      <c r="AX49" s="46" t="e">
        <f>(I49/AW49)</f>
        <v>#DIV/0!</v>
      </c>
      <c r="AY49" s="72" t="e">
        <f t="shared" si="43"/>
        <v>#DIV/0!</v>
      </c>
      <c r="AZ49" s="481"/>
      <c r="BA49" s="677"/>
      <c r="BB49" s="680"/>
      <c r="BC49" s="534"/>
      <c r="BD49" s="537"/>
    </row>
    <row r="50" spans="2:56" x14ac:dyDescent="0.25">
      <c r="B50" s="559"/>
      <c r="C50" s="547" t="s">
        <v>7</v>
      </c>
      <c r="D50" s="565"/>
      <c r="E50" s="565"/>
      <c r="F50" s="570"/>
      <c r="G50" s="505" t="s">
        <v>14</v>
      </c>
      <c r="H50" s="505" t="s">
        <v>49</v>
      </c>
      <c r="I50" s="97">
        <v>12</v>
      </c>
      <c r="J50" s="98" t="s">
        <v>47</v>
      </c>
      <c r="K50" s="263" t="s">
        <v>68</v>
      </c>
      <c r="L50" s="411" t="s">
        <v>68</v>
      </c>
      <c r="M50" s="99">
        <v>6</v>
      </c>
      <c r="N50" s="100" t="s">
        <v>47</v>
      </c>
      <c r="O50" s="101">
        <v>8</v>
      </c>
      <c r="P50" s="102" t="s">
        <v>47</v>
      </c>
      <c r="Q50" s="37">
        <v>159.5</v>
      </c>
      <c r="R50" s="37">
        <v>158.5</v>
      </c>
      <c r="S50" s="38">
        <v>44063</v>
      </c>
      <c r="T50" s="529"/>
      <c r="U50" s="96">
        <v>163.80000000000001</v>
      </c>
      <c r="V50" s="93">
        <f t="shared" si="47"/>
        <v>4.3000000000000114</v>
      </c>
      <c r="W50" s="96" t="s">
        <v>68</v>
      </c>
      <c r="X50" s="96" t="s">
        <v>68</v>
      </c>
      <c r="Y50" s="96" t="s">
        <v>68</v>
      </c>
      <c r="Z50" s="96">
        <v>1.72</v>
      </c>
      <c r="AA50" s="96">
        <v>4</v>
      </c>
      <c r="AB50" s="96">
        <v>2.7</v>
      </c>
      <c r="AC50" s="96" t="s">
        <v>68</v>
      </c>
      <c r="AD50" s="40">
        <f t="shared" si="50"/>
        <v>7.0000000000000115</v>
      </c>
      <c r="AE50" s="40">
        <f t="shared" si="51"/>
        <v>1.6000000000000112</v>
      </c>
      <c r="AF50" s="40">
        <f t="shared" si="52"/>
        <v>7.0000000000000115</v>
      </c>
      <c r="AG50" s="41">
        <v>44421</v>
      </c>
      <c r="AH50" s="532"/>
      <c r="AI50" s="94">
        <v>159</v>
      </c>
      <c r="AJ50" s="94">
        <f t="shared" si="54"/>
        <v>0.5</v>
      </c>
      <c r="AK50" s="94"/>
      <c r="AL50" s="94" t="s">
        <v>68</v>
      </c>
      <c r="AM50" s="94" t="s">
        <v>68</v>
      </c>
      <c r="AN50" s="94">
        <v>0</v>
      </c>
      <c r="AO50" s="94">
        <v>0</v>
      </c>
      <c r="AP50" s="94">
        <v>3.3</v>
      </c>
      <c r="AQ50" s="94"/>
      <c r="AR50" s="40">
        <f t="shared" si="55"/>
        <v>3.3</v>
      </c>
      <c r="AS50" s="40">
        <f t="shared" si="56"/>
        <v>-3.3</v>
      </c>
      <c r="AT50" s="40">
        <f t="shared" si="46"/>
        <v>3.3</v>
      </c>
      <c r="AU50" s="43">
        <f t="shared" si="41"/>
        <v>0.98055555555555551</v>
      </c>
      <c r="AV50" s="44">
        <f t="shared" si="42"/>
        <v>3.7000000000000117</v>
      </c>
      <c r="AW50" s="95">
        <f t="shared" si="53"/>
        <v>3.773371104815876</v>
      </c>
      <c r="AX50" s="46">
        <f t="shared" ref="AX50:AX73" si="57">(I50/AW50)</f>
        <v>3.1801801801801699</v>
      </c>
      <c r="AY50" s="72" t="str">
        <f t="shared" si="43"/>
        <v>DOS AÑOS</v>
      </c>
      <c r="AZ50" s="481"/>
      <c r="BA50" s="677"/>
      <c r="BB50" s="680"/>
      <c r="BC50" s="534"/>
      <c r="BD50" s="537"/>
    </row>
    <row r="51" spans="2:56" x14ac:dyDescent="0.25">
      <c r="B51" s="559"/>
      <c r="C51" s="547"/>
      <c r="D51" s="565"/>
      <c r="E51" s="565"/>
      <c r="F51" s="570"/>
      <c r="G51" s="505"/>
      <c r="H51" s="505"/>
      <c r="I51" s="97">
        <v>30</v>
      </c>
      <c r="J51" s="98" t="s">
        <v>47</v>
      </c>
      <c r="K51" s="263" t="s">
        <v>68</v>
      </c>
      <c r="L51" s="264" t="s">
        <v>68</v>
      </c>
      <c r="M51" s="99">
        <v>10</v>
      </c>
      <c r="N51" s="105" t="s">
        <v>19</v>
      </c>
      <c r="O51" s="101">
        <v>15</v>
      </c>
      <c r="P51" s="102" t="s">
        <v>47</v>
      </c>
      <c r="Q51" s="37">
        <v>635</v>
      </c>
      <c r="R51" s="37">
        <v>640</v>
      </c>
      <c r="S51" s="38">
        <v>44063</v>
      </c>
      <c r="T51" s="529"/>
      <c r="U51" s="96">
        <v>645</v>
      </c>
      <c r="V51" s="93">
        <f t="shared" si="47"/>
        <v>10</v>
      </c>
      <c r="W51" s="96"/>
      <c r="X51" s="96"/>
      <c r="Y51" s="96"/>
      <c r="Z51" s="96">
        <v>2.76</v>
      </c>
      <c r="AA51" s="96">
        <v>8</v>
      </c>
      <c r="AB51" s="96">
        <v>7</v>
      </c>
      <c r="AC51" s="96"/>
      <c r="AD51" s="40">
        <f t="shared" si="50"/>
        <v>17</v>
      </c>
      <c r="AE51" s="40">
        <f t="shared" si="51"/>
        <v>3</v>
      </c>
      <c r="AF51" s="40">
        <f t="shared" si="52"/>
        <v>17</v>
      </c>
      <c r="AG51" s="41">
        <v>44421</v>
      </c>
      <c r="AH51" s="532"/>
      <c r="AI51" s="94">
        <v>637</v>
      </c>
      <c r="AJ51" s="94">
        <f t="shared" si="54"/>
        <v>-3</v>
      </c>
      <c r="AK51" s="94"/>
      <c r="AL51" s="94"/>
      <c r="AM51" s="94"/>
      <c r="AN51" s="94">
        <v>0.5</v>
      </c>
      <c r="AO51" s="94">
        <v>0</v>
      </c>
      <c r="AP51" s="94">
        <v>13</v>
      </c>
      <c r="AQ51" s="94"/>
      <c r="AR51" s="40">
        <f t="shared" si="55"/>
        <v>13</v>
      </c>
      <c r="AS51" s="40">
        <f t="shared" si="56"/>
        <v>-13</v>
      </c>
      <c r="AT51" s="40">
        <f t="shared" si="46"/>
        <v>13</v>
      </c>
      <c r="AU51" s="43">
        <f t="shared" si="41"/>
        <v>0.98055555555555551</v>
      </c>
      <c r="AV51" s="44">
        <f t="shared" si="42"/>
        <v>4</v>
      </c>
      <c r="AW51" s="95">
        <f t="shared" si="53"/>
        <v>4.0793201133144477</v>
      </c>
      <c r="AX51" s="46">
        <f t="shared" si="57"/>
        <v>7.354166666666667</v>
      </c>
      <c r="AY51" s="72" t="str">
        <f t="shared" si="43"/>
        <v>DOS AÑOS</v>
      </c>
      <c r="AZ51" s="481"/>
      <c r="BA51" s="677"/>
      <c r="BB51" s="680"/>
      <c r="BC51" s="534"/>
      <c r="BD51" s="537"/>
    </row>
    <row r="52" spans="2:56" x14ac:dyDescent="0.25">
      <c r="B52" s="559"/>
      <c r="C52" s="547"/>
      <c r="D52" s="565"/>
      <c r="E52" s="565"/>
      <c r="F52" s="570"/>
      <c r="G52" s="505"/>
      <c r="H52" s="505"/>
      <c r="I52" s="97">
        <v>80</v>
      </c>
      <c r="J52" s="98" t="s">
        <v>47</v>
      </c>
      <c r="K52" s="263" t="s">
        <v>68</v>
      </c>
      <c r="L52" s="264" t="s">
        <v>68</v>
      </c>
      <c r="M52" s="99">
        <v>20</v>
      </c>
      <c r="N52" s="105" t="s">
        <v>19</v>
      </c>
      <c r="O52" s="101">
        <v>30</v>
      </c>
      <c r="P52" s="102" t="s">
        <v>47</v>
      </c>
      <c r="Q52" s="37">
        <v>1691</v>
      </c>
      <c r="R52" s="37">
        <v>1708</v>
      </c>
      <c r="S52" s="38">
        <v>44063</v>
      </c>
      <c r="T52" s="529"/>
      <c r="U52" s="96">
        <v>1713</v>
      </c>
      <c r="V52" s="93">
        <f t="shared" si="47"/>
        <v>22</v>
      </c>
      <c r="W52" s="96"/>
      <c r="X52" s="96"/>
      <c r="Y52" s="96"/>
      <c r="Z52" s="96">
        <v>2.1</v>
      </c>
      <c r="AA52" s="96">
        <v>5</v>
      </c>
      <c r="AB52" s="96">
        <v>16</v>
      </c>
      <c r="AC52" s="96"/>
      <c r="AD52" s="40">
        <f t="shared" si="50"/>
        <v>38</v>
      </c>
      <c r="AE52" s="40">
        <f t="shared" si="51"/>
        <v>6</v>
      </c>
      <c r="AF52" s="40">
        <f t="shared" si="52"/>
        <v>38</v>
      </c>
      <c r="AG52" s="41">
        <v>44421</v>
      </c>
      <c r="AH52" s="532"/>
      <c r="AI52" s="94">
        <v>1716</v>
      </c>
      <c r="AJ52" s="94">
        <f t="shared" si="54"/>
        <v>8</v>
      </c>
      <c r="AK52" s="94"/>
      <c r="AL52" s="94"/>
      <c r="AM52" s="94"/>
      <c r="AN52" s="94">
        <v>0</v>
      </c>
      <c r="AO52" s="94">
        <v>2</v>
      </c>
      <c r="AP52" s="94">
        <v>35</v>
      </c>
      <c r="AQ52" s="94"/>
      <c r="AR52" s="40">
        <f t="shared" si="55"/>
        <v>35</v>
      </c>
      <c r="AS52" s="40">
        <f t="shared" si="56"/>
        <v>-35</v>
      </c>
      <c r="AT52" s="40">
        <f t="shared" si="46"/>
        <v>35</v>
      </c>
      <c r="AU52" s="43">
        <f t="shared" si="41"/>
        <v>0.98055555555555551</v>
      </c>
      <c r="AV52" s="44">
        <f t="shared" si="42"/>
        <v>3</v>
      </c>
      <c r="AW52" s="95">
        <f t="shared" si="53"/>
        <v>3.059490084985836</v>
      </c>
      <c r="AX52" s="46">
        <f t="shared" si="57"/>
        <v>26.148148148148145</v>
      </c>
      <c r="AY52" s="72" t="str">
        <f t="shared" si="43"/>
        <v>DOS AÑOS</v>
      </c>
      <c r="AZ52" s="481"/>
      <c r="BA52" s="677"/>
      <c r="BB52" s="680"/>
      <c r="BC52" s="534"/>
      <c r="BD52" s="537"/>
    </row>
    <row r="53" spans="2:56" x14ac:dyDescent="0.25">
      <c r="B53" s="559"/>
      <c r="C53" s="547"/>
      <c r="D53" s="565"/>
      <c r="E53" s="565"/>
      <c r="F53" s="570"/>
      <c r="G53" s="505"/>
      <c r="H53" s="505"/>
      <c r="I53" s="409">
        <v>12</v>
      </c>
      <c r="J53" s="412" t="s">
        <v>19</v>
      </c>
      <c r="K53" s="410" t="s">
        <v>68</v>
      </c>
      <c r="L53" s="411" t="s">
        <v>68</v>
      </c>
      <c r="M53" s="104">
        <v>6</v>
      </c>
      <c r="N53" s="105" t="s">
        <v>19</v>
      </c>
      <c r="O53" s="106">
        <v>8</v>
      </c>
      <c r="P53" s="107" t="s">
        <v>19</v>
      </c>
      <c r="Q53" s="37">
        <v>0</v>
      </c>
      <c r="R53" s="37">
        <v>0</v>
      </c>
      <c r="S53" s="38">
        <v>44063</v>
      </c>
      <c r="T53" s="529"/>
      <c r="U53" s="96">
        <v>0</v>
      </c>
      <c r="V53" s="93">
        <f t="shared" si="47"/>
        <v>0</v>
      </c>
      <c r="W53" s="96" t="s">
        <v>68</v>
      </c>
      <c r="X53" s="96" t="s">
        <v>68</v>
      </c>
      <c r="Y53" s="96" t="s">
        <v>68</v>
      </c>
      <c r="Z53" s="96">
        <v>0</v>
      </c>
      <c r="AA53" s="96">
        <v>0</v>
      </c>
      <c r="AB53" s="96">
        <v>1.2</v>
      </c>
      <c r="AC53" s="96" t="s">
        <v>68</v>
      </c>
      <c r="AD53" s="40">
        <f t="shared" si="50"/>
        <v>1.2</v>
      </c>
      <c r="AE53" s="40">
        <f t="shared" si="51"/>
        <v>-1.2</v>
      </c>
      <c r="AF53" s="40">
        <f t="shared" si="52"/>
        <v>1.2</v>
      </c>
      <c r="AG53" s="41">
        <v>44421</v>
      </c>
      <c r="AH53" s="532"/>
      <c r="AI53" s="94">
        <v>0</v>
      </c>
      <c r="AJ53" s="94">
        <f t="shared" si="54"/>
        <v>0</v>
      </c>
      <c r="AK53" s="94"/>
      <c r="AL53" s="94" t="s">
        <v>68</v>
      </c>
      <c r="AM53" s="94" t="s">
        <v>68</v>
      </c>
      <c r="AN53" s="94">
        <v>0</v>
      </c>
      <c r="AO53" s="94">
        <v>0</v>
      </c>
      <c r="AP53" s="94">
        <v>0.57999999999999996</v>
      </c>
      <c r="AQ53" s="94"/>
      <c r="AR53" s="40">
        <f t="shared" si="55"/>
        <v>0.57999999999999996</v>
      </c>
      <c r="AS53" s="40">
        <f t="shared" si="56"/>
        <v>-0.57999999999999996</v>
      </c>
      <c r="AT53" s="40">
        <f t="shared" si="46"/>
        <v>0.57999999999999996</v>
      </c>
      <c r="AU53" s="43">
        <f t="shared" si="41"/>
        <v>0.98055555555555551</v>
      </c>
      <c r="AV53" s="44">
        <f t="shared" si="42"/>
        <v>0.62</v>
      </c>
      <c r="AW53" s="95">
        <f t="shared" si="53"/>
        <v>0.63229461756373939</v>
      </c>
      <c r="AX53" s="46">
        <f t="shared" si="57"/>
        <v>18.978494623655912</v>
      </c>
      <c r="AY53" s="72" t="str">
        <f t="shared" si="43"/>
        <v>DOS AÑOS</v>
      </c>
      <c r="AZ53" s="481"/>
      <c r="BA53" s="677"/>
      <c r="BB53" s="680"/>
      <c r="BC53" s="534"/>
      <c r="BD53" s="537"/>
    </row>
    <row r="54" spans="2:56" x14ac:dyDescent="0.25">
      <c r="B54" s="559"/>
      <c r="C54" s="547" t="s">
        <v>8</v>
      </c>
      <c r="D54" s="565"/>
      <c r="E54" s="565"/>
      <c r="F54" s="570"/>
      <c r="G54" s="548">
        <v>1E-3</v>
      </c>
      <c r="H54" s="505" t="s">
        <v>48</v>
      </c>
      <c r="I54" s="409">
        <v>0.5</v>
      </c>
      <c r="J54" s="412" t="s">
        <v>20</v>
      </c>
      <c r="K54" s="410" t="s">
        <v>68</v>
      </c>
      <c r="L54" s="411" t="s">
        <v>68</v>
      </c>
      <c r="M54" s="104">
        <v>0.3</v>
      </c>
      <c r="N54" s="105" t="s">
        <v>20</v>
      </c>
      <c r="O54" s="106">
        <v>0.4</v>
      </c>
      <c r="P54" s="107" t="s">
        <v>20</v>
      </c>
      <c r="Q54" s="37">
        <v>0</v>
      </c>
      <c r="R54" s="92">
        <v>0</v>
      </c>
      <c r="S54" s="38">
        <v>44063</v>
      </c>
      <c r="T54" s="529"/>
      <c r="U54" s="96">
        <v>0.15</v>
      </c>
      <c r="V54" s="93">
        <f t="shared" si="47"/>
        <v>0.15</v>
      </c>
      <c r="W54" s="96" t="s">
        <v>68</v>
      </c>
      <c r="X54" s="96" t="s">
        <v>68</v>
      </c>
      <c r="Y54" s="96" t="s">
        <v>68</v>
      </c>
      <c r="Z54" s="96">
        <v>0.05</v>
      </c>
      <c r="AA54" s="96">
        <v>0.1</v>
      </c>
      <c r="AB54" s="96">
        <v>5.7000000000000002E-2</v>
      </c>
      <c r="AC54" s="96" t="s">
        <v>68</v>
      </c>
      <c r="AD54" s="40">
        <f t="shared" si="50"/>
        <v>0.20699999999999999</v>
      </c>
      <c r="AE54" s="40">
        <f t="shared" si="51"/>
        <v>9.2999999999999999E-2</v>
      </c>
      <c r="AF54" s="40">
        <f t="shared" si="52"/>
        <v>0.20699999999999999</v>
      </c>
      <c r="AG54" s="41">
        <v>44421</v>
      </c>
      <c r="AH54" s="532"/>
      <c r="AI54" s="94">
        <v>0.2</v>
      </c>
      <c r="AJ54" s="94">
        <f t="shared" si="54"/>
        <v>0.2</v>
      </c>
      <c r="AK54" s="94"/>
      <c r="AL54" s="94"/>
      <c r="AM54" s="94"/>
      <c r="AN54" s="94">
        <v>0</v>
      </c>
      <c r="AO54" s="94">
        <v>0</v>
      </c>
      <c r="AP54" s="94">
        <v>5.7999999999999996E-3</v>
      </c>
      <c r="AQ54" s="94"/>
      <c r="AR54" s="40">
        <f t="shared" si="55"/>
        <v>5.7999999999999996E-3</v>
      </c>
      <c r="AS54" s="40">
        <f t="shared" si="56"/>
        <v>-5.7999999999999996E-3</v>
      </c>
      <c r="AT54" s="40">
        <f t="shared" si="46"/>
        <v>5.7999999999999996E-3</v>
      </c>
      <c r="AU54" s="43">
        <f t="shared" si="41"/>
        <v>0.98055555555555551</v>
      </c>
      <c r="AV54" s="44">
        <f t="shared" si="42"/>
        <v>0.20119999999999999</v>
      </c>
      <c r="AW54" s="95">
        <f t="shared" si="53"/>
        <v>0.20518980169971671</v>
      </c>
      <c r="AX54" s="46">
        <f t="shared" si="57"/>
        <v>2.4367682792136072</v>
      </c>
      <c r="AY54" s="72" t="str">
        <f t="shared" si="43"/>
        <v>DOS AÑOS</v>
      </c>
      <c r="AZ54" s="481"/>
      <c r="BA54" s="677"/>
      <c r="BB54" s="680"/>
      <c r="BC54" s="534"/>
      <c r="BD54" s="537"/>
    </row>
    <row r="55" spans="2:56" x14ac:dyDescent="0.25">
      <c r="B55" s="559"/>
      <c r="C55" s="547"/>
      <c r="D55" s="565"/>
      <c r="E55" s="565"/>
      <c r="F55" s="570"/>
      <c r="G55" s="548"/>
      <c r="H55" s="505"/>
      <c r="I55" s="409">
        <v>0.5</v>
      </c>
      <c r="J55" s="412" t="s">
        <v>20</v>
      </c>
      <c r="K55" s="410" t="s">
        <v>68</v>
      </c>
      <c r="L55" s="411" t="s">
        <v>68</v>
      </c>
      <c r="M55" s="104">
        <v>0.3</v>
      </c>
      <c r="N55" s="105" t="s">
        <v>20</v>
      </c>
      <c r="O55" s="106">
        <v>0.4</v>
      </c>
      <c r="P55" s="107" t="s">
        <v>20</v>
      </c>
      <c r="Q55" s="37">
        <v>0</v>
      </c>
      <c r="R55" s="92">
        <v>0</v>
      </c>
      <c r="S55" s="38">
        <v>44063</v>
      </c>
      <c r="T55" s="529"/>
      <c r="U55" s="96">
        <v>0.15</v>
      </c>
      <c r="V55" s="93">
        <f t="shared" si="47"/>
        <v>0.15</v>
      </c>
      <c r="W55" s="96"/>
      <c r="X55" s="96"/>
      <c r="Y55" s="96"/>
      <c r="Z55" s="96">
        <v>0.05</v>
      </c>
      <c r="AA55" s="96">
        <v>0.1</v>
      </c>
      <c r="AB55" s="96">
        <v>5.7000000000000002E-2</v>
      </c>
      <c r="AC55" s="96"/>
      <c r="AD55" s="40">
        <f t="shared" si="50"/>
        <v>0.20699999999999999</v>
      </c>
      <c r="AE55" s="40">
        <f t="shared" si="51"/>
        <v>9.2999999999999999E-2</v>
      </c>
      <c r="AF55" s="40">
        <f t="shared" si="52"/>
        <v>0.20699999999999999</v>
      </c>
      <c r="AG55" s="41">
        <v>44421</v>
      </c>
      <c r="AH55" s="532"/>
      <c r="AI55" s="94">
        <v>0.3</v>
      </c>
      <c r="AJ55" s="94">
        <f t="shared" si="54"/>
        <v>0.3</v>
      </c>
      <c r="AK55" s="94"/>
      <c r="AL55" s="94"/>
      <c r="AM55" s="94"/>
      <c r="AN55" s="94">
        <v>0</v>
      </c>
      <c r="AO55" s="94">
        <v>0</v>
      </c>
      <c r="AP55" s="94">
        <v>5.7999999999999996E-3</v>
      </c>
      <c r="AQ55" s="94"/>
      <c r="AR55" s="40">
        <f t="shared" si="55"/>
        <v>5.7999999999999996E-3</v>
      </c>
      <c r="AS55" s="40">
        <f t="shared" si="56"/>
        <v>-5.7999999999999996E-3</v>
      </c>
      <c r="AT55" s="40">
        <f t="shared" si="46"/>
        <v>5.7999999999999996E-3</v>
      </c>
      <c r="AU55" s="43">
        <f t="shared" si="41"/>
        <v>0.98055555555555551</v>
      </c>
      <c r="AV55" s="44">
        <f t="shared" si="42"/>
        <v>0.20119999999999999</v>
      </c>
      <c r="AW55" s="95">
        <f t="shared" si="53"/>
        <v>0.20518980169971671</v>
      </c>
      <c r="AX55" s="46">
        <f t="shared" si="57"/>
        <v>2.4367682792136072</v>
      </c>
      <c r="AY55" s="72" t="str">
        <f t="shared" si="43"/>
        <v>DOS AÑOS</v>
      </c>
      <c r="AZ55" s="481"/>
      <c r="BA55" s="677"/>
      <c r="BB55" s="680"/>
      <c r="BC55" s="534"/>
      <c r="BD55" s="537"/>
    </row>
    <row r="56" spans="2:56" x14ac:dyDescent="0.25">
      <c r="B56" s="559"/>
      <c r="C56" s="547"/>
      <c r="D56" s="565"/>
      <c r="E56" s="565"/>
      <c r="F56" s="570"/>
      <c r="G56" s="548"/>
      <c r="H56" s="505"/>
      <c r="I56" s="409">
        <v>0.5</v>
      </c>
      <c r="J56" s="412" t="s">
        <v>20</v>
      </c>
      <c r="K56" s="410" t="s">
        <v>68</v>
      </c>
      <c r="L56" s="411" t="s">
        <v>68</v>
      </c>
      <c r="M56" s="104">
        <v>0.3</v>
      </c>
      <c r="N56" s="105" t="s">
        <v>20</v>
      </c>
      <c r="O56" s="106">
        <v>0.4</v>
      </c>
      <c r="P56" s="107" t="s">
        <v>20</v>
      </c>
      <c r="Q56" s="37">
        <v>0</v>
      </c>
      <c r="R56" s="92">
        <v>0</v>
      </c>
      <c r="S56" s="38">
        <v>44063</v>
      </c>
      <c r="T56" s="529"/>
      <c r="U56" s="96">
        <v>0.13300000000000001</v>
      </c>
      <c r="V56" s="93">
        <f t="shared" si="47"/>
        <v>0.13300000000000001</v>
      </c>
      <c r="W56" s="96"/>
      <c r="X56" s="96"/>
      <c r="Y56" s="96"/>
      <c r="Z56" s="96">
        <v>0.05</v>
      </c>
      <c r="AA56" s="96">
        <v>0.1</v>
      </c>
      <c r="AB56" s="96">
        <v>5.3999999999999999E-2</v>
      </c>
      <c r="AC56" s="96"/>
      <c r="AD56" s="40">
        <f t="shared" si="50"/>
        <v>0.187</v>
      </c>
      <c r="AE56" s="40">
        <f t="shared" si="51"/>
        <v>7.9000000000000015E-2</v>
      </c>
      <c r="AF56" s="40">
        <f t="shared" si="52"/>
        <v>0.187</v>
      </c>
      <c r="AG56" s="41">
        <v>44421</v>
      </c>
      <c r="AH56" s="532"/>
      <c r="AI56" s="94">
        <v>0.23</v>
      </c>
      <c r="AJ56" s="94">
        <f t="shared" si="54"/>
        <v>0.23</v>
      </c>
      <c r="AK56" s="94"/>
      <c r="AL56" s="94"/>
      <c r="AM56" s="94"/>
      <c r="AN56" s="94">
        <v>0</v>
      </c>
      <c r="AO56" s="94">
        <v>0</v>
      </c>
      <c r="AP56" s="94">
        <v>5.7999999999999996E-3</v>
      </c>
      <c r="AQ56" s="94"/>
      <c r="AR56" s="40">
        <f t="shared" si="55"/>
        <v>5.7999999999999996E-3</v>
      </c>
      <c r="AS56" s="40">
        <f t="shared" si="56"/>
        <v>-5.7999999999999996E-3</v>
      </c>
      <c r="AT56" s="40">
        <f t="shared" si="46"/>
        <v>5.7999999999999996E-3</v>
      </c>
      <c r="AU56" s="43">
        <f t="shared" si="41"/>
        <v>0.98055555555555551</v>
      </c>
      <c r="AV56" s="44">
        <f t="shared" si="42"/>
        <v>0.1812</v>
      </c>
      <c r="AW56" s="95">
        <f t="shared" si="53"/>
        <v>0.18479320113314449</v>
      </c>
      <c r="AX56" s="46">
        <f t="shared" si="57"/>
        <v>2.7057272504292369</v>
      </c>
      <c r="AY56" s="72" t="str">
        <f t="shared" si="43"/>
        <v>DOS AÑOS</v>
      </c>
      <c r="AZ56" s="481"/>
      <c r="BA56" s="677"/>
      <c r="BB56" s="680"/>
      <c r="BC56" s="534"/>
      <c r="BD56" s="537"/>
    </row>
    <row r="57" spans="2:56" ht="15.75" thickBot="1" x14ac:dyDescent="0.3">
      <c r="B57" s="559"/>
      <c r="C57" s="547"/>
      <c r="D57" s="565"/>
      <c r="E57" s="565"/>
      <c r="F57" s="570"/>
      <c r="G57" s="548"/>
      <c r="H57" s="505"/>
      <c r="I57" s="409">
        <v>0.5</v>
      </c>
      <c r="J57" s="412" t="s">
        <v>20</v>
      </c>
      <c r="K57" s="410" t="s">
        <v>68</v>
      </c>
      <c r="L57" s="411" t="s">
        <v>68</v>
      </c>
      <c r="M57" s="104">
        <v>0.3</v>
      </c>
      <c r="N57" s="105" t="s">
        <v>20</v>
      </c>
      <c r="O57" s="106">
        <v>0.4</v>
      </c>
      <c r="P57" s="107" t="s">
        <v>20</v>
      </c>
      <c r="Q57" s="37" t="s">
        <v>68</v>
      </c>
      <c r="R57" s="92">
        <v>0</v>
      </c>
      <c r="S57" s="38">
        <v>44063</v>
      </c>
      <c r="T57" s="529"/>
      <c r="U57" s="96" t="s">
        <v>206</v>
      </c>
      <c r="V57" s="93"/>
      <c r="W57" s="96"/>
      <c r="X57" s="96" t="s">
        <v>68</v>
      </c>
      <c r="Y57" s="96" t="s">
        <v>68</v>
      </c>
      <c r="Z57" s="96"/>
      <c r="AA57" s="96"/>
      <c r="AB57" s="96" t="s">
        <v>68</v>
      </c>
      <c r="AC57" s="96"/>
      <c r="AD57" s="40"/>
      <c r="AE57" s="40"/>
      <c r="AF57" s="40"/>
      <c r="AG57" s="41">
        <v>44421</v>
      </c>
      <c r="AH57" s="532"/>
      <c r="AI57" s="94">
        <v>0.23</v>
      </c>
      <c r="AJ57" s="94">
        <f t="shared" si="54"/>
        <v>0.23</v>
      </c>
      <c r="AK57" s="94"/>
      <c r="AL57" s="94" t="s">
        <v>68</v>
      </c>
      <c r="AM57" s="94" t="s">
        <v>68</v>
      </c>
      <c r="AN57" s="94">
        <v>0.02</v>
      </c>
      <c r="AO57" s="94">
        <v>0</v>
      </c>
      <c r="AP57" s="94">
        <v>5.7999999999999996E-3</v>
      </c>
      <c r="AQ57" s="94"/>
      <c r="AR57" s="40">
        <f t="shared" si="55"/>
        <v>5.7999999999999996E-3</v>
      </c>
      <c r="AS57" s="40">
        <f t="shared" si="56"/>
        <v>-5.7999999999999996E-3</v>
      </c>
      <c r="AT57" s="40">
        <f t="shared" si="46"/>
        <v>5.7999999999999996E-3</v>
      </c>
      <c r="AU57" s="43">
        <f t="shared" si="41"/>
        <v>0.98055555555555551</v>
      </c>
      <c r="AV57" s="44">
        <f t="shared" si="42"/>
        <v>5.7999999999999996E-3</v>
      </c>
      <c r="AW57" s="95">
        <f t="shared" si="53"/>
        <v>5.9150141643059487E-3</v>
      </c>
      <c r="AX57" s="46">
        <f t="shared" si="57"/>
        <v>84.530651340996172</v>
      </c>
      <c r="AY57" s="72" t="str">
        <f t="shared" si="43"/>
        <v>DOS AÑOS</v>
      </c>
      <c r="AZ57" s="481"/>
      <c r="BA57" s="677"/>
      <c r="BB57" s="680"/>
      <c r="BC57" s="534"/>
      <c r="BD57" s="537"/>
    </row>
    <row r="58" spans="2:56" ht="15.75" customHeight="1" x14ac:dyDescent="0.25">
      <c r="B58" s="559"/>
      <c r="C58" s="547" t="s">
        <v>160</v>
      </c>
      <c r="D58" s="565"/>
      <c r="E58" s="565"/>
      <c r="F58" s="570"/>
      <c r="G58" s="548">
        <v>1E-4</v>
      </c>
      <c r="H58" s="505" t="s">
        <v>45</v>
      </c>
      <c r="I58" s="76">
        <v>0.06</v>
      </c>
      <c r="J58" s="77" t="s">
        <v>44</v>
      </c>
      <c r="K58" s="258" t="s">
        <v>68</v>
      </c>
      <c r="L58" s="271" t="s">
        <v>68</v>
      </c>
      <c r="M58" s="78">
        <v>0.04</v>
      </c>
      <c r="N58" s="79" t="s">
        <v>44</v>
      </c>
      <c r="O58" s="80">
        <v>0.03</v>
      </c>
      <c r="P58" s="81" t="s">
        <v>44</v>
      </c>
      <c r="Q58" s="82"/>
      <c r="R58" s="82">
        <v>0.99399999999999999</v>
      </c>
      <c r="S58" s="38">
        <v>44063</v>
      </c>
      <c r="T58" s="529"/>
      <c r="U58" s="93"/>
      <c r="V58" s="93"/>
      <c r="W58" s="93"/>
      <c r="X58" s="93"/>
      <c r="Y58" s="93"/>
      <c r="Z58" s="93"/>
      <c r="AA58" s="93"/>
      <c r="AB58" s="93"/>
      <c r="AC58" s="93"/>
      <c r="AD58" s="40"/>
      <c r="AE58" s="40"/>
      <c r="AF58" s="40"/>
      <c r="AG58" s="41">
        <v>44421</v>
      </c>
      <c r="AH58" s="532"/>
      <c r="AI58" s="94">
        <v>0.99399999999999999</v>
      </c>
      <c r="AJ58" s="94">
        <f t="shared" si="54"/>
        <v>0</v>
      </c>
      <c r="AK58" s="94"/>
      <c r="AL58" s="94" t="s">
        <v>68</v>
      </c>
      <c r="AM58" s="94" t="s">
        <v>68</v>
      </c>
      <c r="AN58" s="94" t="s">
        <v>68</v>
      </c>
      <c r="AO58" s="94">
        <v>0</v>
      </c>
      <c r="AP58" s="94">
        <v>2.4E-2</v>
      </c>
      <c r="AQ58" s="94"/>
      <c r="AR58" s="40">
        <f t="shared" si="55"/>
        <v>2.4E-2</v>
      </c>
      <c r="AS58" s="40">
        <f t="shared" si="56"/>
        <v>-2.4E-2</v>
      </c>
      <c r="AT58" s="40">
        <f t="shared" si="46"/>
        <v>2.4E-2</v>
      </c>
      <c r="AU58" s="43">
        <f t="shared" ref="AU58:AU73" si="58">YEARFRAC(S58,AG58)</f>
        <v>0.98055555555555551</v>
      </c>
      <c r="AV58" s="44">
        <f t="shared" ref="AV58:AV73" si="59">ABS(AT58-AF58)</f>
        <v>2.4E-2</v>
      </c>
      <c r="AW58" s="95">
        <f t="shared" si="53"/>
        <v>2.4475920679886687E-2</v>
      </c>
      <c r="AX58" s="46">
        <f t="shared" si="57"/>
        <v>2.4513888888888888</v>
      </c>
      <c r="AY58" s="72" t="str">
        <f t="shared" ref="AY58:AY73" si="60">IF(AX58&lt;=1,"UN AÑO",IF(AX58&gt;=1,"DOS AÑOS"))</f>
        <v>DOS AÑOS</v>
      </c>
      <c r="AZ58" s="481" t="s">
        <v>9</v>
      </c>
      <c r="BA58" s="677"/>
      <c r="BB58" s="680"/>
      <c r="BC58" s="534"/>
      <c r="BD58" s="537"/>
    </row>
    <row r="59" spans="2:56" ht="15.75" customHeight="1" x14ac:dyDescent="0.25">
      <c r="B59" s="559"/>
      <c r="C59" s="547"/>
      <c r="D59" s="565"/>
      <c r="E59" s="565"/>
      <c r="F59" s="570"/>
      <c r="G59" s="548"/>
      <c r="H59" s="505"/>
      <c r="I59" s="238">
        <v>0.15</v>
      </c>
      <c r="J59" s="87" t="s">
        <v>44</v>
      </c>
      <c r="K59" s="259" t="s">
        <v>68</v>
      </c>
      <c r="L59" s="260" t="s">
        <v>68</v>
      </c>
      <c r="M59" s="239">
        <v>0.08</v>
      </c>
      <c r="N59" s="89" t="s">
        <v>44</v>
      </c>
      <c r="O59" s="240">
        <v>0.08</v>
      </c>
      <c r="P59" s="91" t="s">
        <v>44</v>
      </c>
      <c r="Q59" s="242"/>
      <c r="R59" s="242">
        <v>4.01</v>
      </c>
      <c r="S59" s="38">
        <v>44063</v>
      </c>
      <c r="T59" s="529"/>
      <c r="U59" s="93"/>
      <c r="V59" s="93"/>
      <c r="W59" s="93"/>
      <c r="X59" s="93"/>
      <c r="Y59" s="93"/>
      <c r="Z59" s="93"/>
      <c r="AA59" s="93"/>
      <c r="AB59" s="93"/>
      <c r="AC59" s="93"/>
      <c r="AD59" s="40"/>
      <c r="AE59" s="40"/>
      <c r="AF59" s="40"/>
      <c r="AG59" s="41">
        <v>44421</v>
      </c>
      <c r="AH59" s="532"/>
      <c r="AI59" s="94">
        <v>4.01</v>
      </c>
      <c r="AJ59" s="94">
        <f t="shared" si="54"/>
        <v>0</v>
      </c>
      <c r="AK59" s="94"/>
      <c r="AL59" s="94"/>
      <c r="AM59" s="94"/>
      <c r="AN59" s="94" t="s">
        <v>68</v>
      </c>
      <c r="AO59" s="94">
        <v>0</v>
      </c>
      <c r="AP59" s="94">
        <v>9.0999999999999998E-2</v>
      </c>
      <c r="AQ59" s="94"/>
      <c r="AR59" s="40">
        <f t="shared" si="55"/>
        <v>9.0999999999999998E-2</v>
      </c>
      <c r="AS59" s="40">
        <f t="shared" si="56"/>
        <v>-9.0999999999999998E-2</v>
      </c>
      <c r="AT59" s="40">
        <f t="shared" si="46"/>
        <v>9.0999999999999998E-2</v>
      </c>
      <c r="AU59" s="43">
        <f t="shared" si="58"/>
        <v>0.98055555555555551</v>
      </c>
      <c r="AV59" s="44">
        <f t="shared" si="59"/>
        <v>9.0999999999999998E-2</v>
      </c>
      <c r="AW59" s="95">
        <f t="shared" si="53"/>
        <v>9.2804532577903678E-2</v>
      </c>
      <c r="AX59" s="46">
        <f t="shared" si="57"/>
        <v>1.6163003663003663</v>
      </c>
      <c r="AY59" s="72" t="str">
        <f t="shared" si="60"/>
        <v>DOS AÑOS</v>
      </c>
      <c r="AZ59" s="481"/>
      <c r="BA59" s="677"/>
      <c r="BB59" s="680"/>
      <c r="BC59" s="534"/>
      <c r="BD59" s="537"/>
    </row>
    <row r="60" spans="2:56" ht="15.75" customHeight="1" x14ac:dyDescent="0.25">
      <c r="B60" s="559"/>
      <c r="C60" s="547"/>
      <c r="D60" s="565"/>
      <c r="E60" s="565"/>
      <c r="F60" s="570"/>
      <c r="G60" s="548"/>
      <c r="H60" s="505"/>
      <c r="I60" s="238">
        <v>0.4</v>
      </c>
      <c r="J60" s="87" t="s">
        <v>44</v>
      </c>
      <c r="K60" s="259" t="s">
        <v>68</v>
      </c>
      <c r="L60" s="260" t="s">
        <v>68</v>
      </c>
      <c r="M60" s="239">
        <v>0.16</v>
      </c>
      <c r="N60" s="89" t="s">
        <v>44</v>
      </c>
      <c r="O60" s="240">
        <v>0.15</v>
      </c>
      <c r="P60" s="91" t="s">
        <v>44</v>
      </c>
      <c r="Q60" s="242"/>
      <c r="R60" s="242">
        <v>7.97</v>
      </c>
      <c r="S60" s="38">
        <v>44063</v>
      </c>
      <c r="T60" s="529"/>
      <c r="U60" s="93"/>
      <c r="V60" s="93"/>
      <c r="W60" s="93"/>
      <c r="X60" s="93"/>
      <c r="Y60" s="93"/>
      <c r="Z60" s="93"/>
      <c r="AA60" s="93"/>
      <c r="AB60" s="93"/>
      <c r="AC60" s="93"/>
      <c r="AD60" s="40"/>
      <c r="AE60" s="40"/>
      <c r="AF60" s="40"/>
      <c r="AG60" s="41">
        <v>44421</v>
      </c>
      <c r="AH60" s="532"/>
      <c r="AI60" s="94">
        <v>7.97</v>
      </c>
      <c r="AJ60" s="94">
        <f t="shared" si="54"/>
        <v>0</v>
      </c>
      <c r="AK60" s="94"/>
      <c r="AL60" s="94"/>
      <c r="AM60" s="94"/>
      <c r="AN60" s="94" t="s">
        <v>68</v>
      </c>
      <c r="AO60" s="94">
        <v>0</v>
      </c>
      <c r="AP60" s="94">
        <v>0.19</v>
      </c>
      <c r="AQ60" s="94"/>
      <c r="AR60" s="40">
        <f t="shared" si="55"/>
        <v>0.19</v>
      </c>
      <c r="AS60" s="40">
        <f t="shared" si="56"/>
        <v>-0.19</v>
      </c>
      <c r="AT60" s="40">
        <f t="shared" si="46"/>
        <v>0.19</v>
      </c>
      <c r="AU60" s="43">
        <f t="shared" si="58"/>
        <v>0.98055555555555551</v>
      </c>
      <c r="AV60" s="44">
        <f t="shared" si="59"/>
        <v>0.19</v>
      </c>
      <c r="AW60" s="95">
        <f t="shared" si="53"/>
        <v>0.19376770538243626</v>
      </c>
      <c r="AX60" s="46">
        <f t="shared" si="57"/>
        <v>2.064327485380117</v>
      </c>
      <c r="AY60" s="72" t="str">
        <f t="shared" si="60"/>
        <v>DOS AÑOS</v>
      </c>
      <c r="AZ60" s="481"/>
      <c r="BA60" s="677"/>
      <c r="BB60" s="680"/>
      <c r="BC60" s="534"/>
      <c r="BD60" s="537"/>
    </row>
    <row r="61" spans="2:56" x14ac:dyDescent="0.25">
      <c r="B61" s="559"/>
      <c r="C61" s="547"/>
      <c r="D61" s="565"/>
      <c r="E61" s="565"/>
      <c r="F61" s="570"/>
      <c r="G61" s="548"/>
      <c r="H61" s="505"/>
      <c r="I61" s="86">
        <v>0.06</v>
      </c>
      <c r="J61" s="87" t="s">
        <v>44</v>
      </c>
      <c r="K61" s="261" t="s">
        <v>68</v>
      </c>
      <c r="L61" s="272" t="s">
        <v>68</v>
      </c>
      <c r="M61" s="88">
        <v>0.02</v>
      </c>
      <c r="N61" s="89" t="s">
        <v>44</v>
      </c>
      <c r="O61" s="90">
        <v>0.03</v>
      </c>
      <c r="P61" s="91" t="s">
        <v>44</v>
      </c>
      <c r="Q61" s="92"/>
      <c r="R61" s="92">
        <v>0</v>
      </c>
      <c r="S61" s="38">
        <v>44063</v>
      </c>
      <c r="T61" s="529"/>
      <c r="U61" s="93"/>
      <c r="V61" s="93"/>
      <c r="W61" s="93"/>
      <c r="X61" s="93"/>
      <c r="Y61" s="93"/>
      <c r="Z61" s="93"/>
      <c r="AA61" s="93"/>
      <c r="AB61" s="93"/>
      <c r="AC61" s="93"/>
      <c r="AD61" s="40"/>
      <c r="AE61" s="40"/>
      <c r="AF61" s="40"/>
      <c r="AG61" s="41">
        <v>44421</v>
      </c>
      <c r="AH61" s="532"/>
      <c r="AI61" s="94">
        <v>0</v>
      </c>
      <c r="AJ61" s="94">
        <f t="shared" si="54"/>
        <v>0</v>
      </c>
      <c r="AK61" s="94"/>
      <c r="AL61" s="94" t="s">
        <v>68</v>
      </c>
      <c r="AM61" s="94" t="s">
        <v>68</v>
      </c>
      <c r="AN61" s="94" t="s">
        <v>68</v>
      </c>
      <c r="AO61" s="94">
        <v>0</v>
      </c>
      <c r="AP61" s="94">
        <v>6.0000000000000001E-3</v>
      </c>
      <c r="AQ61" s="94"/>
      <c r="AR61" s="40">
        <f t="shared" si="55"/>
        <v>6.0000000000000001E-3</v>
      </c>
      <c r="AS61" s="40">
        <f t="shared" si="56"/>
        <v>-6.0000000000000001E-3</v>
      </c>
      <c r="AT61" s="40">
        <f t="shared" si="46"/>
        <v>6.0000000000000001E-3</v>
      </c>
      <c r="AU61" s="43">
        <f t="shared" si="58"/>
        <v>0.98055555555555551</v>
      </c>
      <c r="AV61" s="44">
        <f t="shared" si="59"/>
        <v>6.0000000000000001E-3</v>
      </c>
      <c r="AW61" s="95">
        <f t="shared" si="53"/>
        <v>6.1189801699716717E-3</v>
      </c>
      <c r="AX61" s="46">
        <f t="shared" si="57"/>
        <v>9.8055555555555554</v>
      </c>
      <c r="AY61" s="72" t="str">
        <f t="shared" si="60"/>
        <v>DOS AÑOS</v>
      </c>
      <c r="AZ61" s="481"/>
      <c r="BA61" s="677"/>
      <c r="BB61" s="680"/>
      <c r="BC61" s="534"/>
      <c r="BD61" s="537"/>
    </row>
    <row r="62" spans="2:56" x14ac:dyDescent="0.25">
      <c r="B62" s="559"/>
      <c r="C62" s="547" t="s">
        <v>6</v>
      </c>
      <c r="D62" s="565"/>
      <c r="E62" s="565"/>
      <c r="F62" s="570"/>
      <c r="G62" s="551">
        <v>1E-3</v>
      </c>
      <c r="H62" s="505" t="s">
        <v>46</v>
      </c>
      <c r="I62" s="86">
        <v>0.6</v>
      </c>
      <c r="J62" s="87" t="s">
        <v>44</v>
      </c>
      <c r="K62" s="261" t="s">
        <v>68</v>
      </c>
      <c r="L62" s="272" t="s">
        <v>68</v>
      </c>
      <c r="M62" s="88">
        <v>0.2</v>
      </c>
      <c r="N62" s="89" t="s">
        <v>44</v>
      </c>
      <c r="O62" s="90">
        <v>0.3</v>
      </c>
      <c r="P62" s="91" t="s">
        <v>44</v>
      </c>
      <c r="Q62" s="92"/>
      <c r="R62" s="92">
        <v>5.98</v>
      </c>
      <c r="S62" s="38">
        <v>44063</v>
      </c>
      <c r="T62" s="529"/>
      <c r="U62" s="96"/>
      <c r="V62" s="93"/>
      <c r="W62" s="96"/>
      <c r="X62" s="96"/>
      <c r="Y62" s="96"/>
      <c r="Z62" s="96"/>
      <c r="AA62" s="96"/>
      <c r="AB62" s="96"/>
      <c r="AC62" s="96"/>
      <c r="AD62" s="40"/>
      <c r="AE62" s="40"/>
      <c r="AF62" s="40"/>
      <c r="AG62" s="41">
        <v>44421</v>
      </c>
      <c r="AH62" s="532"/>
      <c r="AI62" s="94">
        <v>5.98</v>
      </c>
      <c r="AJ62" s="94">
        <f t="shared" si="54"/>
        <v>0</v>
      </c>
      <c r="AK62" s="94"/>
      <c r="AL62" s="94" t="s">
        <v>68</v>
      </c>
      <c r="AM62" s="94" t="s">
        <v>68</v>
      </c>
      <c r="AN62" s="94" t="s">
        <v>68</v>
      </c>
      <c r="AO62" s="94">
        <v>0</v>
      </c>
      <c r="AP62" s="94">
        <v>0.12</v>
      </c>
      <c r="AQ62" s="94"/>
      <c r="AR62" s="40">
        <f t="shared" si="55"/>
        <v>0.12</v>
      </c>
      <c r="AS62" s="40">
        <f t="shared" si="56"/>
        <v>-0.12</v>
      </c>
      <c r="AT62" s="40">
        <f t="shared" si="46"/>
        <v>0.12</v>
      </c>
      <c r="AU62" s="43">
        <f t="shared" si="58"/>
        <v>0.98055555555555551</v>
      </c>
      <c r="AV62" s="44">
        <f t="shared" si="59"/>
        <v>0.12</v>
      </c>
      <c r="AW62" s="95">
        <f t="shared" si="53"/>
        <v>0.12237960339943343</v>
      </c>
      <c r="AX62" s="46">
        <f t="shared" si="57"/>
        <v>4.9027777777777777</v>
      </c>
      <c r="AY62" s="72" t="str">
        <f t="shared" si="60"/>
        <v>DOS AÑOS</v>
      </c>
      <c r="AZ62" s="481"/>
      <c r="BA62" s="677"/>
      <c r="BB62" s="680"/>
      <c r="BC62" s="534"/>
      <c r="BD62" s="537"/>
    </row>
    <row r="63" spans="2:56" x14ac:dyDescent="0.25">
      <c r="B63" s="559"/>
      <c r="C63" s="547"/>
      <c r="D63" s="565"/>
      <c r="E63" s="565"/>
      <c r="F63" s="570"/>
      <c r="G63" s="551"/>
      <c r="H63" s="505"/>
      <c r="I63" s="86">
        <v>0.6</v>
      </c>
      <c r="J63" s="87" t="s">
        <v>44</v>
      </c>
      <c r="K63" s="261" t="s">
        <v>68</v>
      </c>
      <c r="L63" s="262" t="s">
        <v>68</v>
      </c>
      <c r="M63" s="88">
        <v>0.2</v>
      </c>
      <c r="N63" s="89" t="s">
        <v>44</v>
      </c>
      <c r="O63" s="90">
        <v>0.3</v>
      </c>
      <c r="P63" s="91" t="s">
        <v>44</v>
      </c>
      <c r="Q63" s="92"/>
      <c r="R63" s="92">
        <v>10.5</v>
      </c>
      <c r="S63" s="38">
        <v>44063</v>
      </c>
      <c r="T63" s="529"/>
      <c r="U63" s="96"/>
      <c r="V63" s="93"/>
      <c r="W63" s="96"/>
      <c r="X63" s="96"/>
      <c r="Y63" s="96"/>
      <c r="Z63" s="96"/>
      <c r="AA63" s="96"/>
      <c r="AB63" s="96"/>
      <c r="AC63" s="96"/>
      <c r="AD63" s="40"/>
      <c r="AE63" s="40"/>
      <c r="AF63" s="40"/>
      <c r="AG63" s="41">
        <v>44421</v>
      </c>
      <c r="AH63" s="532"/>
      <c r="AI63" s="94">
        <v>10.5</v>
      </c>
      <c r="AJ63" s="94">
        <f t="shared" si="54"/>
        <v>0</v>
      </c>
      <c r="AK63" s="94"/>
      <c r="AL63" s="94"/>
      <c r="AM63" s="94"/>
      <c r="AN63" s="94" t="s">
        <v>68</v>
      </c>
      <c r="AO63" s="94">
        <v>0</v>
      </c>
      <c r="AP63" s="94">
        <v>0.2</v>
      </c>
      <c r="AQ63" s="94"/>
      <c r="AR63" s="40">
        <f t="shared" si="55"/>
        <v>0.2</v>
      </c>
      <c r="AS63" s="40">
        <f t="shared" si="56"/>
        <v>-0.2</v>
      </c>
      <c r="AT63" s="40">
        <f t="shared" si="46"/>
        <v>0.2</v>
      </c>
      <c r="AU63" s="43">
        <f t="shared" si="58"/>
        <v>0.98055555555555551</v>
      </c>
      <c r="AV63" s="44">
        <f t="shared" si="59"/>
        <v>0.2</v>
      </c>
      <c r="AW63" s="95">
        <f t="shared" si="53"/>
        <v>0.2039660056657224</v>
      </c>
      <c r="AX63" s="46">
        <f t="shared" si="57"/>
        <v>2.9416666666666664</v>
      </c>
      <c r="AY63" s="72" t="str">
        <f t="shared" si="60"/>
        <v>DOS AÑOS</v>
      </c>
      <c r="AZ63" s="481"/>
      <c r="BA63" s="677"/>
      <c r="BB63" s="680"/>
      <c r="BC63" s="534"/>
      <c r="BD63" s="537"/>
    </row>
    <row r="64" spans="2:56" x14ac:dyDescent="0.25">
      <c r="B64" s="559"/>
      <c r="C64" s="547"/>
      <c r="D64" s="565"/>
      <c r="E64" s="565"/>
      <c r="F64" s="570"/>
      <c r="G64" s="551"/>
      <c r="H64" s="505"/>
      <c r="I64" s="86">
        <v>0.6</v>
      </c>
      <c r="J64" s="87" t="s">
        <v>44</v>
      </c>
      <c r="K64" s="261" t="s">
        <v>68</v>
      </c>
      <c r="L64" s="262" t="s">
        <v>68</v>
      </c>
      <c r="M64" s="88">
        <v>0.2</v>
      </c>
      <c r="N64" s="89" t="s">
        <v>44</v>
      </c>
      <c r="O64" s="90">
        <v>0.3</v>
      </c>
      <c r="P64" s="91" t="s">
        <v>44</v>
      </c>
      <c r="Q64" s="92"/>
      <c r="R64" s="92">
        <v>13.02</v>
      </c>
      <c r="S64" s="38">
        <v>44063</v>
      </c>
      <c r="T64" s="529"/>
      <c r="U64" s="96"/>
      <c r="V64" s="93"/>
      <c r="W64" s="96"/>
      <c r="X64" s="96"/>
      <c r="Y64" s="96"/>
      <c r="Z64" s="96"/>
      <c r="AA64" s="96"/>
      <c r="AB64" s="96"/>
      <c r="AC64" s="96"/>
      <c r="AD64" s="40"/>
      <c r="AE64" s="40"/>
      <c r="AF64" s="40"/>
      <c r="AG64" s="41">
        <v>44421</v>
      </c>
      <c r="AH64" s="532"/>
      <c r="AI64" s="94">
        <v>13.2</v>
      </c>
      <c r="AJ64" s="94">
        <f t="shared" si="54"/>
        <v>0.17999999999999972</v>
      </c>
      <c r="AK64" s="94"/>
      <c r="AL64" s="94"/>
      <c r="AM64" s="94"/>
      <c r="AN64" s="94" t="s">
        <v>68</v>
      </c>
      <c r="AO64" s="94">
        <v>0</v>
      </c>
      <c r="AP64" s="94">
        <v>0.15</v>
      </c>
      <c r="AQ64" s="94"/>
      <c r="AR64" s="40">
        <f t="shared" si="55"/>
        <v>0.15</v>
      </c>
      <c r="AS64" s="40">
        <f t="shared" si="56"/>
        <v>-0.15</v>
      </c>
      <c r="AT64" s="40">
        <f t="shared" si="46"/>
        <v>0.15</v>
      </c>
      <c r="AU64" s="43">
        <f t="shared" si="58"/>
        <v>0.98055555555555551</v>
      </c>
      <c r="AV64" s="44">
        <f t="shared" si="59"/>
        <v>0.15</v>
      </c>
      <c r="AW64" s="95">
        <f t="shared" si="53"/>
        <v>0.15297450424929179</v>
      </c>
      <c r="AX64" s="46">
        <f t="shared" si="57"/>
        <v>3.9222222222222221</v>
      </c>
      <c r="AY64" s="72" t="str">
        <f t="shared" si="60"/>
        <v>DOS AÑOS</v>
      </c>
      <c r="AZ64" s="481"/>
      <c r="BA64" s="677"/>
      <c r="BB64" s="680"/>
      <c r="BC64" s="534"/>
      <c r="BD64" s="537"/>
    </row>
    <row r="65" spans="1:56" x14ac:dyDescent="0.25">
      <c r="B65" s="559"/>
      <c r="C65" s="547"/>
      <c r="D65" s="565"/>
      <c r="E65" s="565"/>
      <c r="F65" s="570"/>
      <c r="G65" s="551"/>
      <c r="H65" s="505"/>
      <c r="I65" s="86">
        <v>0.6</v>
      </c>
      <c r="J65" s="87" t="s">
        <v>44</v>
      </c>
      <c r="K65" s="261" t="s">
        <v>68</v>
      </c>
      <c r="L65" s="272" t="s">
        <v>68</v>
      </c>
      <c r="M65" s="88">
        <v>0.02</v>
      </c>
      <c r="N65" s="89" t="s">
        <v>44</v>
      </c>
      <c r="O65" s="90">
        <v>0.3</v>
      </c>
      <c r="P65" s="91" t="s">
        <v>44</v>
      </c>
      <c r="Q65" s="92"/>
      <c r="R65" s="92">
        <v>0</v>
      </c>
      <c r="S65" s="38">
        <v>44063</v>
      </c>
      <c r="T65" s="529"/>
      <c r="U65" s="96"/>
      <c r="V65" s="93"/>
      <c r="W65" s="96"/>
      <c r="X65" s="96"/>
      <c r="Y65" s="96"/>
      <c r="Z65" s="96"/>
      <c r="AA65" s="96"/>
      <c r="AB65" s="96"/>
      <c r="AC65" s="96"/>
      <c r="AD65" s="40"/>
      <c r="AE65" s="40"/>
      <c r="AF65" s="40"/>
      <c r="AG65" s="41">
        <v>44421</v>
      </c>
      <c r="AH65" s="532"/>
      <c r="AI65" s="94">
        <v>0</v>
      </c>
      <c r="AJ65" s="94">
        <f t="shared" si="54"/>
        <v>0</v>
      </c>
      <c r="AK65" s="94"/>
      <c r="AL65" s="94" t="s">
        <v>68</v>
      </c>
      <c r="AM65" s="94" t="s">
        <v>68</v>
      </c>
      <c r="AN65" s="94" t="s">
        <v>68</v>
      </c>
      <c r="AO65" s="94">
        <v>0</v>
      </c>
      <c r="AP65" s="94">
        <v>5.8000000000000003E-2</v>
      </c>
      <c r="AQ65" s="94"/>
      <c r="AR65" s="40">
        <f t="shared" si="55"/>
        <v>5.8000000000000003E-2</v>
      </c>
      <c r="AS65" s="40">
        <f t="shared" si="56"/>
        <v>-5.8000000000000003E-2</v>
      </c>
      <c r="AT65" s="40">
        <f t="shared" si="46"/>
        <v>5.8000000000000003E-2</v>
      </c>
      <c r="AU65" s="43">
        <f t="shared" si="58"/>
        <v>0.98055555555555551</v>
      </c>
      <c r="AV65" s="44">
        <f t="shared" si="59"/>
        <v>5.8000000000000003E-2</v>
      </c>
      <c r="AW65" s="95">
        <f t="shared" si="53"/>
        <v>5.9150141643059498E-2</v>
      </c>
      <c r="AX65" s="46">
        <f t="shared" si="57"/>
        <v>10.143678160919539</v>
      </c>
      <c r="AY65" s="72" t="str">
        <f t="shared" si="60"/>
        <v>DOS AÑOS</v>
      </c>
      <c r="AZ65" s="481"/>
      <c r="BA65" s="677"/>
      <c r="BB65" s="680"/>
      <c r="BC65" s="534"/>
      <c r="BD65" s="537"/>
    </row>
    <row r="66" spans="1:56" x14ac:dyDescent="0.25">
      <c r="B66" s="559"/>
      <c r="C66" s="547" t="s">
        <v>7</v>
      </c>
      <c r="D66" s="565"/>
      <c r="E66" s="565"/>
      <c r="F66" s="570"/>
      <c r="G66" s="505" t="s">
        <v>14</v>
      </c>
      <c r="H66" s="505" t="s">
        <v>49</v>
      </c>
      <c r="I66" s="97">
        <v>12</v>
      </c>
      <c r="J66" s="98" t="s">
        <v>47</v>
      </c>
      <c r="K66" s="263" t="s">
        <v>68</v>
      </c>
      <c r="L66" s="411" t="s">
        <v>68</v>
      </c>
      <c r="M66" s="99">
        <v>8</v>
      </c>
      <c r="N66" s="100" t="s">
        <v>47</v>
      </c>
      <c r="O66" s="101">
        <v>8</v>
      </c>
      <c r="P66" s="102" t="s">
        <v>47</v>
      </c>
      <c r="Q66" s="37"/>
      <c r="R66" s="37">
        <v>158.5</v>
      </c>
      <c r="S66" s="38">
        <v>44063</v>
      </c>
      <c r="T66" s="529"/>
      <c r="U66" s="96"/>
      <c r="V66" s="93"/>
      <c r="W66" s="96"/>
      <c r="X66" s="96"/>
      <c r="Y66" s="96"/>
      <c r="Z66" s="96"/>
      <c r="AA66" s="96"/>
      <c r="AB66" s="96"/>
      <c r="AC66" s="96"/>
      <c r="AD66" s="40"/>
      <c r="AE66" s="40"/>
      <c r="AF66" s="40"/>
      <c r="AG66" s="41">
        <v>44421</v>
      </c>
      <c r="AH66" s="532"/>
      <c r="AI66" s="94">
        <v>159</v>
      </c>
      <c r="AJ66" s="94">
        <f t="shared" si="54"/>
        <v>0.5</v>
      </c>
      <c r="AK66" s="94"/>
      <c r="AL66" s="94" t="s">
        <v>68</v>
      </c>
      <c r="AM66" s="94" t="s">
        <v>68</v>
      </c>
      <c r="AN66" s="94" t="s">
        <v>68</v>
      </c>
      <c r="AO66" s="94">
        <v>0</v>
      </c>
      <c r="AP66" s="94">
        <v>3.3</v>
      </c>
      <c r="AQ66" s="94"/>
      <c r="AR66" s="40">
        <f t="shared" si="55"/>
        <v>3.3</v>
      </c>
      <c r="AS66" s="40">
        <f t="shared" si="56"/>
        <v>-3.3</v>
      </c>
      <c r="AT66" s="40">
        <f t="shared" ref="AT66:AT73" si="61">MAX(AR66:AS66)</f>
        <v>3.3</v>
      </c>
      <c r="AU66" s="43">
        <f t="shared" si="58"/>
        <v>0.98055555555555551</v>
      </c>
      <c r="AV66" s="44">
        <f t="shared" si="59"/>
        <v>3.3</v>
      </c>
      <c r="AW66" s="95">
        <f t="shared" si="53"/>
        <v>3.3654390934844192</v>
      </c>
      <c r="AX66" s="46">
        <f t="shared" si="57"/>
        <v>3.5656565656565657</v>
      </c>
      <c r="AY66" s="72" t="str">
        <f t="shared" si="60"/>
        <v>DOS AÑOS</v>
      </c>
      <c r="AZ66" s="481"/>
      <c r="BA66" s="677"/>
      <c r="BB66" s="680"/>
      <c r="BC66" s="534"/>
      <c r="BD66" s="537"/>
    </row>
    <row r="67" spans="1:56" x14ac:dyDescent="0.25">
      <c r="B67" s="559"/>
      <c r="C67" s="547"/>
      <c r="D67" s="565"/>
      <c r="E67" s="565"/>
      <c r="F67" s="570"/>
      <c r="G67" s="505"/>
      <c r="H67" s="505"/>
      <c r="I67" s="97">
        <v>30</v>
      </c>
      <c r="J67" s="98" t="s">
        <v>47</v>
      </c>
      <c r="K67" s="263" t="s">
        <v>68</v>
      </c>
      <c r="L67" s="264" t="s">
        <v>68</v>
      </c>
      <c r="M67" s="99">
        <v>8</v>
      </c>
      <c r="N67" s="105" t="s">
        <v>19</v>
      </c>
      <c r="O67" s="101">
        <v>15</v>
      </c>
      <c r="P67" s="102" t="s">
        <v>47</v>
      </c>
      <c r="Q67" s="37"/>
      <c r="R67" s="37">
        <v>640</v>
      </c>
      <c r="S67" s="38">
        <v>44063</v>
      </c>
      <c r="T67" s="529"/>
      <c r="U67" s="96"/>
      <c r="V67" s="93"/>
      <c r="W67" s="96"/>
      <c r="X67" s="96"/>
      <c r="Y67" s="96"/>
      <c r="Z67" s="96"/>
      <c r="AA67" s="96"/>
      <c r="AB67" s="96"/>
      <c r="AC67" s="96"/>
      <c r="AD67" s="40"/>
      <c r="AE67" s="40"/>
      <c r="AF67" s="40"/>
      <c r="AG67" s="41">
        <v>44421</v>
      </c>
      <c r="AH67" s="532"/>
      <c r="AI67" s="94">
        <v>641</v>
      </c>
      <c r="AJ67" s="94">
        <f t="shared" si="54"/>
        <v>1</v>
      </c>
      <c r="AK67" s="94"/>
      <c r="AL67" s="94"/>
      <c r="AM67" s="94"/>
      <c r="AN67" s="94" t="s">
        <v>68</v>
      </c>
      <c r="AO67" s="94">
        <v>0</v>
      </c>
      <c r="AP67" s="94">
        <v>13</v>
      </c>
      <c r="AQ67" s="94"/>
      <c r="AR67" s="40">
        <f t="shared" si="55"/>
        <v>13</v>
      </c>
      <c r="AS67" s="40">
        <f t="shared" si="56"/>
        <v>-13</v>
      </c>
      <c r="AT67" s="40">
        <f t="shared" si="61"/>
        <v>13</v>
      </c>
      <c r="AU67" s="43">
        <f t="shared" si="58"/>
        <v>0.98055555555555551</v>
      </c>
      <c r="AV67" s="44">
        <f t="shared" si="59"/>
        <v>13</v>
      </c>
      <c r="AW67" s="95">
        <f t="shared" si="53"/>
        <v>13.257790368271955</v>
      </c>
      <c r="AX67" s="46">
        <f t="shared" si="57"/>
        <v>2.2628205128205128</v>
      </c>
      <c r="AY67" s="72" t="str">
        <f t="shared" si="60"/>
        <v>DOS AÑOS</v>
      </c>
      <c r="AZ67" s="481"/>
      <c r="BA67" s="677"/>
      <c r="BB67" s="680"/>
      <c r="BC67" s="534"/>
      <c r="BD67" s="537"/>
    </row>
    <row r="68" spans="1:56" x14ac:dyDescent="0.25">
      <c r="B68" s="559"/>
      <c r="C68" s="547"/>
      <c r="D68" s="565"/>
      <c r="E68" s="565"/>
      <c r="F68" s="570"/>
      <c r="G68" s="505"/>
      <c r="H68" s="505"/>
      <c r="I68" s="97">
        <v>80</v>
      </c>
      <c r="J68" s="98" t="s">
        <v>47</v>
      </c>
      <c r="K68" s="263" t="s">
        <v>68</v>
      </c>
      <c r="L68" s="264" t="s">
        <v>68</v>
      </c>
      <c r="M68" s="99">
        <v>16</v>
      </c>
      <c r="N68" s="105" t="s">
        <v>19</v>
      </c>
      <c r="O68" s="101">
        <v>30</v>
      </c>
      <c r="P68" s="102" t="s">
        <v>47</v>
      </c>
      <c r="Q68" s="37"/>
      <c r="R68" s="37">
        <v>1708</v>
      </c>
      <c r="S68" s="38">
        <v>44063</v>
      </c>
      <c r="T68" s="529"/>
      <c r="U68" s="96"/>
      <c r="V68" s="93"/>
      <c r="W68" s="96"/>
      <c r="X68" s="96"/>
      <c r="Y68" s="96"/>
      <c r="Z68" s="96"/>
      <c r="AA68" s="96"/>
      <c r="AB68" s="96"/>
      <c r="AC68" s="96"/>
      <c r="AD68" s="40"/>
      <c r="AE68" s="40"/>
      <c r="AF68" s="40"/>
      <c r="AG68" s="41">
        <v>44421</v>
      </c>
      <c r="AH68" s="532"/>
      <c r="AI68" s="94">
        <v>1719</v>
      </c>
      <c r="AJ68" s="94">
        <f t="shared" si="54"/>
        <v>11</v>
      </c>
      <c r="AK68" s="94"/>
      <c r="AL68" s="94"/>
      <c r="AM68" s="94"/>
      <c r="AN68" s="94" t="s">
        <v>68</v>
      </c>
      <c r="AO68" s="94">
        <v>0</v>
      </c>
      <c r="AP68" s="94">
        <v>35</v>
      </c>
      <c r="AQ68" s="94"/>
      <c r="AR68" s="40">
        <f t="shared" si="55"/>
        <v>35</v>
      </c>
      <c r="AS68" s="40">
        <f t="shared" si="56"/>
        <v>-35</v>
      </c>
      <c r="AT68" s="40">
        <f t="shared" si="61"/>
        <v>35</v>
      </c>
      <c r="AU68" s="43">
        <f t="shared" si="58"/>
        <v>0.98055555555555551</v>
      </c>
      <c r="AV68" s="44">
        <f t="shared" si="59"/>
        <v>35</v>
      </c>
      <c r="AW68" s="95">
        <f t="shared" si="53"/>
        <v>35.69405099150142</v>
      </c>
      <c r="AX68" s="46">
        <f t="shared" si="57"/>
        <v>2.2412698412698409</v>
      </c>
      <c r="AY68" s="72" t="str">
        <f t="shared" si="60"/>
        <v>DOS AÑOS</v>
      </c>
      <c r="AZ68" s="481"/>
      <c r="BA68" s="677"/>
      <c r="BB68" s="680"/>
      <c r="BC68" s="534"/>
      <c r="BD68" s="537"/>
    </row>
    <row r="69" spans="1:56" x14ac:dyDescent="0.25">
      <c r="B69" s="559"/>
      <c r="C69" s="547"/>
      <c r="D69" s="565"/>
      <c r="E69" s="565"/>
      <c r="F69" s="570"/>
      <c r="G69" s="505"/>
      <c r="H69" s="505"/>
      <c r="I69" s="409">
        <v>12</v>
      </c>
      <c r="J69" s="412" t="s">
        <v>19</v>
      </c>
      <c r="K69" s="410" t="s">
        <v>68</v>
      </c>
      <c r="L69" s="411" t="s">
        <v>68</v>
      </c>
      <c r="M69" s="104">
        <v>8</v>
      </c>
      <c r="N69" s="105" t="s">
        <v>19</v>
      </c>
      <c r="O69" s="106">
        <v>8</v>
      </c>
      <c r="P69" s="107" t="s">
        <v>19</v>
      </c>
      <c r="Q69" s="37"/>
      <c r="R69" s="37">
        <v>0</v>
      </c>
      <c r="S69" s="38">
        <v>44063</v>
      </c>
      <c r="T69" s="529"/>
      <c r="U69" s="96"/>
      <c r="V69" s="93"/>
      <c r="W69" s="96"/>
      <c r="X69" s="96"/>
      <c r="Y69" s="96"/>
      <c r="Z69" s="96"/>
      <c r="AA69" s="96"/>
      <c r="AB69" s="96"/>
      <c r="AC69" s="96"/>
      <c r="AD69" s="40"/>
      <c r="AE69" s="40"/>
      <c r="AF69" s="40"/>
      <c r="AG69" s="41">
        <v>44421</v>
      </c>
      <c r="AH69" s="532"/>
      <c r="AI69" s="94">
        <v>0</v>
      </c>
      <c r="AJ69" s="94">
        <f t="shared" si="54"/>
        <v>0</v>
      </c>
      <c r="AK69" s="94"/>
      <c r="AL69" s="94" t="s">
        <v>68</v>
      </c>
      <c r="AM69" s="94" t="s">
        <v>68</v>
      </c>
      <c r="AN69" s="94" t="s">
        <v>68</v>
      </c>
      <c r="AO69" s="94">
        <v>0</v>
      </c>
      <c r="AP69" s="94">
        <v>0.57999999999999996</v>
      </c>
      <c r="AQ69" s="94"/>
      <c r="AR69" s="40">
        <f t="shared" si="55"/>
        <v>0.57999999999999996</v>
      </c>
      <c r="AS69" s="40">
        <f t="shared" si="56"/>
        <v>-0.57999999999999996</v>
      </c>
      <c r="AT69" s="40">
        <f t="shared" si="61"/>
        <v>0.57999999999999996</v>
      </c>
      <c r="AU69" s="43">
        <f t="shared" si="58"/>
        <v>0.98055555555555551</v>
      </c>
      <c r="AV69" s="44">
        <f t="shared" si="59"/>
        <v>0.57999999999999996</v>
      </c>
      <c r="AW69" s="95">
        <f t="shared" si="53"/>
        <v>0.59150141643059484</v>
      </c>
      <c r="AX69" s="46">
        <f t="shared" si="57"/>
        <v>20.287356321839084</v>
      </c>
      <c r="AY69" s="72" t="str">
        <f t="shared" si="60"/>
        <v>DOS AÑOS</v>
      </c>
      <c r="AZ69" s="481"/>
      <c r="BA69" s="677"/>
      <c r="BB69" s="680"/>
      <c r="BC69" s="534"/>
      <c r="BD69" s="537"/>
    </row>
    <row r="70" spans="1:56" x14ac:dyDescent="0.25">
      <c r="B70" s="559"/>
      <c r="C70" s="539" t="s">
        <v>8</v>
      </c>
      <c r="D70" s="565"/>
      <c r="E70" s="565"/>
      <c r="F70" s="570"/>
      <c r="G70" s="553">
        <v>1E-3</v>
      </c>
      <c r="H70" s="545" t="s">
        <v>48</v>
      </c>
      <c r="I70" s="409">
        <v>0.5</v>
      </c>
      <c r="J70" s="412" t="s">
        <v>20</v>
      </c>
      <c r="K70" s="410" t="s">
        <v>68</v>
      </c>
      <c r="L70" s="411" t="s">
        <v>68</v>
      </c>
      <c r="M70" s="104">
        <v>0.3</v>
      </c>
      <c r="N70" s="105" t="s">
        <v>20</v>
      </c>
      <c r="O70" s="106">
        <v>0.4</v>
      </c>
      <c r="P70" s="107" t="s">
        <v>20</v>
      </c>
      <c r="Q70" s="37"/>
      <c r="R70" s="92">
        <v>0</v>
      </c>
      <c r="S70" s="38">
        <v>44063</v>
      </c>
      <c r="T70" s="529"/>
      <c r="U70" s="96"/>
      <c r="V70" s="93"/>
      <c r="W70" s="96"/>
      <c r="X70" s="96"/>
      <c r="Y70" s="96"/>
      <c r="Z70" s="96"/>
      <c r="AA70" s="96"/>
      <c r="AB70" s="96"/>
      <c r="AC70" s="96"/>
      <c r="AD70" s="40"/>
      <c r="AE70" s="40"/>
      <c r="AF70" s="40"/>
      <c r="AG70" s="41">
        <v>44421</v>
      </c>
      <c r="AH70" s="532"/>
      <c r="AI70" s="94">
        <v>8.9999999999999993E-3</v>
      </c>
      <c r="AJ70" s="94">
        <f t="shared" si="54"/>
        <v>8.9999999999999993E-3</v>
      </c>
      <c r="AK70" s="94"/>
      <c r="AL70" s="94"/>
      <c r="AM70" s="94"/>
      <c r="AN70" s="94" t="s">
        <v>68</v>
      </c>
      <c r="AO70" s="94">
        <v>0</v>
      </c>
      <c r="AP70" s="94">
        <v>5.7999999999999996E-3</v>
      </c>
      <c r="AQ70" s="94"/>
      <c r="AR70" s="40">
        <f t="shared" si="55"/>
        <v>5.7999999999999996E-3</v>
      </c>
      <c r="AS70" s="40">
        <f t="shared" si="56"/>
        <v>-5.7999999999999996E-3</v>
      </c>
      <c r="AT70" s="40">
        <f t="shared" si="61"/>
        <v>5.7999999999999996E-3</v>
      </c>
      <c r="AU70" s="43">
        <f t="shared" si="58"/>
        <v>0.98055555555555551</v>
      </c>
      <c r="AV70" s="44">
        <f t="shared" si="59"/>
        <v>5.7999999999999996E-3</v>
      </c>
      <c r="AW70" s="95">
        <f t="shared" si="53"/>
        <v>5.9150141643059487E-3</v>
      </c>
      <c r="AX70" s="46">
        <f t="shared" si="57"/>
        <v>84.530651340996172</v>
      </c>
      <c r="AY70" s="72" t="str">
        <f t="shared" si="60"/>
        <v>DOS AÑOS</v>
      </c>
      <c r="AZ70" s="481"/>
      <c r="BA70" s="677"/>
      <c r="BB70" s="680"/>
      <c r="BC70" s="534"/>
      <c r="BD70" s="537"/>
    </row>
    <row r="71" spans="1:56" x14ac:dyDescent="0.25">
      <c r="B71" s="559"/>
      <c r="C71" s="540"/>
      <c r="D71" s="565"/>
      <c r="E71" s="565"/>
      <c r="F71" s="570"/>
      <c r="G71" s="554"/>
      <c r="H71" s="546"/>
      <c r="I71" s="409">
        <v>0.5</v>
      </c>
      <c r="J71" s="412" t="s">
        <v>20</v>
      </c>
      <c r="K71" s="410" t="s">
        <v>68</v>
      </c>
      <c r="L71" s="411" t="s">
        <v>68</v>
      </c>
      <c r="M71" s="104">
        <v>0.3</v>
      </c>
      <c r="N71" s="105" t="s">
        <v>20</v>
      </c>
      <c r="O71" s="106">
        <v>0.4</v>
      </c>
      <c r="P71" s="107" t="s">
        <v>20</v>
      </c>
      <c r="Q71" s="37"/>
      <c r="R71" s="92">
        <v>0</v>
      </c>
      <c r="S71" s="38">
        <v>44063</v>
      </c>
      <c r="T71" s="529"/>
      <c r="U71" s="96"/>
      <c r="V71" s="93"/>
      <c r="W71" s="96"/>
      <c r="X71" s="96"/>
      <c r="Y71" s="96"/>
      <c r="Z71" s="96"/>
      <c r="AA71" s="96"/>
      <c r="AB71" s="96"/>
      <c r="AC71" s="96"/>
      <c r="AD71" s="40"/>
      <c r="AE71" s="40"/>
      <c r="AF71" s="40"/>
      <c r="AG71" s="41">
        <v>44421</v>
      </c>
      <c r="AH71" s="532"/>
      <c r="AI71" s="94">
        <v>0.21</v>
      </c>
      <c r="AJ71" s="94">
        <f t="shared" si="54"/>
        <v>0.21</v>
      </c>
      <c r="AK71" s="94"/>
      <c r="AL71" s="94"/>
      <c r="AM71" s="94"/>
      <c r="AN71" s="94" t="s">
        <v>68</v>
      </c>
      <c r="AO71" s="94">
        <v>0</v>
      </c>
      <c r="AP71" s="94">
        <v>5.7999999999999996E-3</v>
      </c>
      <c r="AQ71" s="94"/>
      <c r="AR71" s="40">
        <f t="shared" si="55"/>
        <v>5.7999999999999996E-3</v>
      </c>
      <c r="AS71" s="40">
        <f t="shared" si="56"/>
        <v>-5.7999999999999996E-3</v>
      </c>
      <c r="AT71" s="40">
        <f t="shared" si="61"/>
        <v>5.7999999999999996E-3</v>
      </c>
      <c r="AU71" s="43">
        <f t="shared" si="58"/>
        <v>0.98055555555555551</v>
      </c>
      <c r="AV71" s="44">
        <f t="shared" si="59"/>
        <v>5.7999999999999996E-3</v>
      </c>
      <c r="AW71" s="95">
        <f t="shared" si="53"/>
        <v>5.9150141643059487E-3</v>
      </c>
      <c r="AX71" s="46">
        <f t="shared" si="57"/>
        <v>84.530651340996172</v>
      </c>
      <c r="AY71" s="72" t="str">
        <f t="shared" si="60"/>
        <v>DOS AÑOS</v>
      </c>
      <c r="AZ71" s="481"/>
      <c r="BA71" s="677"/>
      <c r="BB71" s="680"/>
      <c r="BC71" s="534"/>
      <c r="BD71" s="537"/>
    </row>
    <row r="72" spans="1:56" x14ac:dyDescent="0.25">
      <c r="B72" s="560"/>
      <c r="C72" s="540"/>
      <c r="D72" s="566"/>
      <c r="E72" s="566"/>
      <c r="F72" s="571"/>
      <c r="G72" s="554"/>
      <c r="H72" s="546"/>
      <c r="I72" s="409">
        <v>0.5</v>
      </c>
      <c r="J72" s="412" t="s">
        <v>20</v>
      </c>
      <c r="K72" s="410" t="s">
        <v>68</v>
      </c>
      <c r="L72" s="411" t="s">
        <v>68</v>
      </c>
      <c r="M72" s="104">
        <v>0.3</v>
      </c>
      <c r="N72" s="105" t="s">
        <v>20</v>
      </c>
      <c r="O72" s="106">
        <v>0.4</v>
      </c>
      <c r="P72" s="107" t="s">
        <v>20</v>
      </c>
      <c r="Q72" s="37"/>
      <c r="R72" s="92">
        <v>0</v>
      </c>
      <c r="S72" s="252">
        <v>44063</v>
      </c>
      <c r="T72" s="578"/>
      <c r="U72" s="253"/>
      <c r="V72" s="254"/>
      <c r="W72" s="253"/>
      <c r="X72" s="253"/>
      <c r="Y72" s="253"/>
      <c r="Z72" s="253"/>
      <c r="AA72" s="253"/>
      <c r="AB72" s="253"/>
      <c r="AC72" s="253"/>
      <c r="AD72" s="255"/>
      <c r="AE72" s="255"/>
      <c r="AF72" s="255"/>
      <c r="AG72" s="256">
        <v>44421</v>
      </c>
      <c r="AH72" s="580"/>
      <c r="AI72" s="257">
        <v>0.21</v>
      </c>
      <c r="AJ72" s="94">
        <f t="shared" si="54"/>
        <v>0.21</v>
      </c>
      <c r="AK72" s="257"/>
      <c r="AL72" s="257"/>
      <c r="AM72" s="257"/>
      <c r="AN72" s="257" t="s">
        <v>68</v>
      </c>
      <c r="AO72" s="257">
        <v>0</v>
      </c>
      <c r="AP72" s="257">
        <v>5.7000000000000002E-2</v>
      </c>
      <c r="AQ72" s="257"/>
      <c r="AR72" s="255">
        <f t="shared" si="55"/>
        <v>5.7000000000000002E-2</v>
      </c>
      <c r="AS72" s="255">
        <f t="shared" si="56"/>
        <v>-5.7000000000000002E-2</v>
      </c>
      <c r="AT72" s="255">
        <f t="shared" si="61"/>
        <v>5.7000000000000002E-2</v>
      </c>
      <c r="AU72" s="43">
        <f t="shared" si="58"/>
        <v>0.98055555555555551</v>
      </c>
      <c r="AV72" s="44">
        <f t="shared" si="59"/>
        <v>5.7000000000000002E-2</v>
      </c>
      <c r="AW72" s="95">
        <f t="shared" si="53"/>
        <v>5.8130311614730881E-2</v>
      </c>
      <c r="AX72" s="46">
        <f t="shared" si="57"/>
        <v>8.6013645224171533</v>
      </c>
      <c r="AY72" s="72" t="str">
        <f t="shared" si="60"/>
        <v>DOS AÑOS</v>
      </c>
      <c r="AZ72" s="549"/>
      <c r="BA72" s="677"/>
      <c r="BB72" s="680"/>
      <c r="BC72" s="534"/>
      <c r="BD72" s="537"/>
    </row>
    <row r="73" spans="1:56" ht="15.75" thickBot="1" x14ac:dyDescent="0.3">
      <c r="B73" s="561"/>
      <c r="C73" s="552"/>
      <c r="D73" s="567"/>
      <c r="E73" s="567"/>
      <c r="F73" s="572"/>
      <c r="G73" s="555"/>
      <c r="H73" s="556"/>
      <c r="I73" s="409">
        <v>0.5</v>
      </c>
      <c r="J73" s="412" t="s">
        <v>20</v>
      </c>
      <c r="K73" s="410" t="s">
        <v>68</v>
      </c>
      <c r="L73" s="411" t="s">
        <v>68</v>
      </c>
      <c r="M73" s="104">
        <v>0.3</v>
      </c>
      <c r="N73" s="105" t="s">
        <v>20</v>
      </c>
      <c r="O73" s="106">
        <v>0.4</v>
      </c>
      <c r="P73" s="107" t="s">
        <v>20</v>
      </c>
      <c r="Q73" s="37"/>
      <c r="R73" s="92">
        <v>0</v>
      </c>
      <c r="S73" s="111">
        <v>44063</v>
      </c>
      <c r="T73" s="579"/>
      <c r="U73" s="112"/>
      <c r="V73" s="113"/>
      <c r="W73" s="112"/>
      <c r="X73" s="112"/>
      <c r="Y73" s="112"/>
      <c r="Z73" s="112"/>
      <c r="AA73" s="112"/>
      <c r="AB73" s="112"/>
      <c r="AC73" s="112"/>
      <c r="AD73" s="49"/>
      <c r="AE73" s="49"/>
      <c r="AF73" s="49"/>
      <c r="AG73" s="114">
        <v>44421</v>
      </c>
      <c r="AH73" s="581"/>
      <c r="AI73" s="115">
        <v>0.21</v>
      </c>
      <c r="AJ73" s="115">
        <f t="shared" si="54"/>
        <v>0.21</v>
      </c>
      <c r="AK73" s="115"/>
      <c r="AL73" s="115" t="s">
        <v>68</v>
      </c>
      <c r="AM73" s="115" t="s">
        <v>68</v>
      </c>
      <c r="AN73" s="115" t="s">
        <v>68</v>
      </c>
      <c r="AO73" s="115">
        <v>0</v>
      </c>
      <c r="AP73" s="115">
        <v>5.7999999999999996E-3</v>
      </c>
      <c r="AQ73" s="115"/>
      <c r="AR73" s="49">
        <f t="shared" si="55"/>
        <v>5.7999999999999996E-3</v>
      </c>
      <c r="AS73" s="49">
        <f t="shared" si="56"/>
        <v>-5.7999999999999996E-3</v>
      </c>
      <c r="AT73" s="49">
        <f t="shared" si="61"/>
        <v>5.7999999999999996E-3</v>
      </c>
      <c r="AU73" s="43">
        <f t="shared" si="58"/>
        <v>0.98055555555555551</v>
      </c>
      <c r="AV73" s="44">
        <f t="shared" si="59"/>
        <v>5.7999999999999996E-3</v>
      </c>
      <c r="AW73" s="95">
        <f t="shared" si="53"/>
        <v>5.9150141643059487E-3</v>
      </c>
      <c r="AX73" s="46">
        <f t="shared" si="57"/>
        <v>84.530651340996172</v>
      </c>
      <c r="AY73" s="72" t="str">
        <f t="shared" si="60"/>
        <v>DOS AÑOS</v>
      </c>
      <c r="AZ73" s="550"/>
      <c r="BA73" s="678"/>
      <c r="BB73" s="681"/>
      <c r="BC73" s="535"/>
      <c r="BD73" s="538"/>
    </row>
    <row r="74" spans="1:56" x14ac:dyDescent="0.25">
      <c r="B74" s="582" t="s">
        <v>216</v>
      </c>
      <c r="C74" s="585" t="s">
        <v>58</v>
      </c>
      <c r="D74" s="588" t="s">
        <v>50</v>
      </c>
      <c r="E74" s="588" t="s">
        <v>55</v>
      </c>
      <c r="F74" s="591">
        <v>180115000416</v>
      </c>
      <c r="G74" s="594" t="s">
        <v>59</v>
      </c>
      <c r="H74" s="594" t="s">
        <v>60</v>
      </c>
      <c r="I74" s="138">
        <v>5</v>
      </c>
      <c r="J74" s="597" t="s">
        <v>20</v>
      </c>
      <c r="K74" s="269" t="s">
        <v>68</v>
      </c>
      <c r="L74" s="600" t="s">
        <v>20</v>
      </c>
      <c r="M74" s="139" t="s">
        <v>68</v>
      </c>
      <c r="N74" s="603" t="s">
        <v>20</v>
      </c>
      <c r="O74" s="139" t="s">
        <v>68</v>
      </c>
      <c r="P74" s="603" t="s">
        <v>20</v>
      </c>
      <c r="Q74" s="140">
        <v>40.89</v>
      </c>
      <c r="R74" s="141">
        <v>39.729999999999997</v>
      </c>
      <c r="S74" s="142">
        <v>44063</v>
      </c>
      <c r="T74" s="606" t="s">
        <v>211</v>
      </c>
      <c r="U74" s="143">
        <v>41</v>
      </c>
      <c r="V74" s="143">
        <f>Q74-U74</f>
        <v>-0.10999999999999943</v>
      </c>
      <c r="W74" s="143">
        <f>V74*100/Q74</f>
        <v>-0.26901442895573352</v>
      </c>
      <c r="X74" s="143" t="s">
        <v>68</v>
      </c>
      <c r="Y74" s="143" t="s">
        <v>68</v>
      </c>
      <c r="Z74" s="143" t="s">
        <v>68</v>
      </c>
      <c r="AA74" s="143" t="s">
        <v>68</v>
      </c>
      <c r="AB74" s="143">
        <v>0.59</v>
      </c>
      <c r="AC74" s="143">
        <f>AB74*100/Q74</f>
        <v>1.4428955734898508</v>
      </c>
      <c r="AD74" s="144">
        <f>(V74+AC74)</f>
        <v>1.3328955734898513</v>
      </c>
      <c r="AE74" s="144">
        <f>(V74-AC74)</f>
        <v>-1.5528955734898502</v>
      </c>
      <c r="AF74" s="144">
        <f t="shared" ref="AF74:AF76" si="62">MAX(AD74:AE74)</f>
        <v>1.3328955734898513</v>
      </c>
      <c r="AG74" s="145">
        <v>44422</v>
      </c>
      <c r="AH74" s="609">
        <v>66131</v>
      </c>
      <c r="AI74" s="349">
        <v>40</v>
      </c>
      <c r="AJ74" s="355">
        <f>AI74-R74</f>
        <v>0.27000000000000313</v>
      </c>
      <c r="AK74" s="352">
        <f>AJ74*100/Q74</f>
        <v>0.66030814380044789</v>
      </c>
      <c r="AL74" s="134" t="s">
        <v>68</v>
      </c>
      <c r="AM74" s="134" t="s">
        <v>68</v>
      </c>
      <c r="AN74" s="134" t="s">
        <v>68</v>
      </c>
      <c r="AO74" s="134" t="s">
        <v>68</v>
      </c>
      <c r="AP74" s="134">
        <v>0.89</v>
      </c>
      <c r="AQ74" s="134">
        <f>AP74*100/Q74</f>
        <v>2.1765712888236735</v>
      </c>
      <c r="AR74" s="144">
        <f>(AJ74+AQ74)</f>
        <v>2.4465712888236766</v>
      </c>
      <c r="AS74" s="144">
        <f>(AJ74-AQ74)</f>
        <v>-1.9065712888236703</v>
      </c>
      <c r="AT74" s="144">
        <f t="shared" ref="AT74:AT76" si="63">MAX(AR74:AS74)</f>
        <v>2.4465712888236766</v>
      </c>
      <c r="AU74" s="146">
        <f t="shared" si="4"/>
        <v>0.98333333333333328</v>
      </c>
      <c r="AV74" s="147">
        <f t="shared" si="5"/>
        <v>1.1136757153338253</v>
      </c>
      <c r="AW74" s="148">
        <f t="shared" ref="AW74:AW76" si="64">(AV74/AU74)</f>
        <v>1.1325515749157546</v>
      </c>
      <c r="AX74" s="149">
        <f t="shared" si="6"/>
        <v>4.4148099837059762</v>
      </c>
      <c r="AY74" s="150" t="str">
        <f t="shared" ref="AY74:AY76" si="65">IF(AX74&lt;=1,"UN AÑO",IF(AX74&gt;=1,"DOS AÑOS"))</f>
        <v>DOS AÑOS</v>
      </c>
      <c r="AZ74" s="612" t="s">
        <v>58</v>
      </c>
      <c r="BA74" s="512" t="s">
        <v>56</v>
      </c>
      <c r="BB74" s="515" t="s">
        <v>34</v>
      </c>
      <c r="BC74" s="151"/>
      <c r="BD74" s="518" t="e">
        <f>BC278</f>
        <v>#DIV/0!</v>
      </c>
    </row>
    <row r="75" spans="1:56" x14ac:dyDescent="0.25">
      <c r="B75" s="583"/>
      <c r="C75" s="586"/>
      <c r="D75" s="589"/>
      <c r="E75" s="589"/>
      <c r="F75" s="592"/>
      <c r="G75" s="595"/>
      <c r="H75" s="595"/>
      <c r="I75" s="152">
        <v>5</v>
      </c>
      <c r="J75" s="598"/>
      <c r="K75" s="266" t="s">
        <v>68</v>
      </c>
      <c r="L75" s="601"/>
      <c r="M75" s="153" t="s">
        <v>68</v>
      </c>
      <c r="N75" s="604"/>
      <c r="O75" s="153" t="s">
        <v>68</v>
      </c>
      <c r="P75" s="604"/>
      <c r="Q75" s="154">
        <v>59.84</v>
      </c>
      <c r="R75" s="155">
        <v>59.64</v>
      </c>
      <c r="S75" s="156">
        <v>44063</v>
      </c>
      <c r="T75" s="607"/>
      <c r="U75" s="157">
        <v>61</v>
      </c>
      <c r="V75" s="157">
        <f t="shared" ref="V75:V76" si="66">Q75-U75</f>
        <v>-1.1599999999999966</v>
      </c>
      <c r="W75" s="157">
        <f t="shared" ref="W75:W76" si="67">V75*100/Q75</f>
        <v>-1.9385026737967856</v>
      </c>
      <c r="X75" s="157" t="s">
        <v>68</v>
      </c>
      <c r="Y75" s="157" t="s">
        <v>68</v>
      </c>
      <c r="Z75" s="157" t="s">
        <v>68</v>
      </c>
      <c r="AA75" s="157" t="s">
        <v>68</v>
      </c>
      <c r="AB75" s="157">
        <v>0.6</v>
      </c>
      <c r="AC75" s="157">
        <f t="shared" ref="AC75:AC76" si="68">AB75*100/Q75</f>
        <v>1.0026737967914439</v>
      </c>
      <c r="AD75" s="158">
        <f t="shared" ref="AD75:AD76" si="69">(V75+AC75)</f>
        <v>-0.15732620320855273</v>
      </c>
      <c r="AE75" s="158">
        <f t="shared" ref="AE75:AE76" si="70">(V75-AC75)</f>
        <v>-2.1626737967914407</v>
      </c>
      <c r="AF75" s="158">
        <f t="shared" si="62"/>
        <v>-0.15732620320855273</v>
      </c>
      <c r="AG75" s="159">
        <v>44422</v>
      </c>
      <c r="AH75" s="610"/>
      <c r="AI75" s="350">
        <v>60</v>
      </c>
      <c r="AJ75" s="135">
        <f t="shared" ref="AJ75:AJ76" si="71">AI75-R75</f>
        <v>0.35999999999999943</v>
      </c>
      <c r="AK75" s="353">
        <f t="shared" ref="AK75:AK76" si="72">AJ75*100/Q75</f>
        <v>0.60160427807486527</v>
      </c>
      <c r="AL75" s="135" t="s">
        <v>68</v>
      </c>
      <c r="AM75" s="135" t="s">
        <v>68</v>
      </c>
      <c r="AN75" s="135" t="s">
        <v>68</v>
      </c>
      <c r="AO75" s="135" t="s">
        <v>68</v>
      </c>
      <c r="AP75" s="135">
        <v>0.95</v>
      </c>
      <c r="AQ75" s="135">
        <f t="shared" ref="AQ75:AQ76" si="73">AP75*100/Q75</f>
        <v>1.5875668449197859</v>
      </c>
      <c r="AR75" s="158">
        <f t="shared" ref="AR75:AR257" si="74">(AJ75+AQ75)</f>
        <v>1.9475668449197854</v>
      </c>
      <c r="AS75" s="158">
        <f t="shared" ref="AS75:AS76" si="75">(AJ75-AQ75)</f>
        <v>-1.2275668449197865</v>
      </c>
      <c r="AT75" s="158">
        <f t="shared" si="63"/>
        <v>1.9475668449197854</v>
      </c>
      <c r="AU75" s="160">
        <f t="shared" si="4"/>
        <v>0.98333333333333328</v>
      </c>
      <c r="AV75" s="161">
        <f t="shared" si="5"/>
        <v>2.1048930481283383</v>
      </c>
      <c r="AW75" s="162">
        <f t="shared" si="64"/>
        <v>2.1405692014864459</v>
      </c>
      <c r="AX75" s="163">
        <f t="shared" si="6"/>
        <v>2.3358273101042091</v>
      </c>
      <c r="AY75" s="164" t="str">
        <f t="shared" si="65"/>
        <v>DOS AÑOS</v>
      </c>
      <c r="AZ75" s="613"/>
      <c r="BA75" s="513"/>
      <c r="BB75" s="516"/>
      <c r="BC75" s="165" t="e">
        <f>MIN(AX16:AX88)</f>
        <v>#DIV/0!</v>
      </c>
      <c r="BD75" s="519"/>
    </row>
    <row r="76" spans="1:56" ht="15.75" thickBot="1" x14ac:dyDescent="0.3">
      <c r="B76" s="584"/>
      <c r="C76" s="587"/>
      <c r="D76" s="590"/>
      <c r="E76" s="590"/>
      <c r="F76" s="593"/>
      <c r="G76" s="596"/>
      <c r="H76" s="596"/>
      <c r="I76" s="284">
        <v>5</v>
      </c>
      <c r="J76" s="599"/>
      <c r="K76" s="267" t="s">
        <v>68</v>
      </c>
      <c r="L76" s="602"/>
      <c r="M76" s="285" t="s">
        <v>68</v>
      </c>
      <c r="N76" s="605"/>
      <c r="O76" s="285" t="s">
        <v>68</v>
      </c>
      <c r="P76" s="605"/>
      <c r="Q76" s="286">
        <v>99.79</v>
      </c>
      <c r="R76" s="287">
        <v>99.5</v>
      </c>
      <c r="S76" s="288">
        <v>44063</v>
      </c>
      <c r="T76" s="608"/>
      <c r="U76" s="289">
        <v>99</v>
      </c>
      <c r="V76" s="289">
        <f t="shared" si="66"/>
        <v>0.79000000000000625</v>
      </c>
      <c r="W76" s="289">
        <f t="shared" si="67"/>
        <v>0.7916624912315926</v>
      </c>
      <c r="X76" s="289" t="s">
        <v>68</v>
      </c>
      <c r="Y76" s="289" t="s">
        <v>68</v>
      </c>
      <c r="Z76" s="289" t="s">
        <v>68</v>
      </c>
      <c r="AA76" s="289" t="s">
        <v>68</v>
      </c>
      <c r="AB76" s="289">
        <v>0.59</v>
      </c>
      <c r="AC76" s="289">
        <f t="shared" si="68"/>
        <v>0.59124160737548848</v>
      </c>
      <c r="AD76" s="290">
        <f t="shared" si="69"/>
        <v>1.3812416073754947</v>
      </c>
      <c r="AE76" s="290">
        <f t="shared" si="70"/>
        <v>0.19875839262451778</v>
      </c>
      <c r="AF76" s="290">
        <f t="shared" si="62"/>
        <v>1.3812416073754947</v>
      </c>
      <c r="AG76" s="291">
        <v>44422</v>
      </c>
      <c r="AH76" s="611"/>
      <c r="AI76" s="351">
        <v>100</v>
      </c>
      <c r="AJ76" s="136">
        <f t="shared" si="71"/>
        <v>0.5</v>
      </c>
      <c r="AK76" s="354">
        <f t="shared" si="72"/>
        <v>0.50105220964024444</v>
      </c>
      <c r="AL76" s="292" t="s">
        <v>68</v>
      </c>
      <c r="AM76" s="292" t="s">
        <v>68</v>
      </c>
      <c r="AN76" s="292" t="s">
        <v>68</v>
      </c>
      <c r="AO76" s="292" t="s">
        <v>68</v>
      </c>
      <c r="AP76" s="292">
        <v>1.3</v>
      </c>
      <c r="AQ76" s="292">
        <f t="shared" si="73"/>
        <v>1.3027357450646357</v>
      </c>
      <c r="AR76" s="290">
        <f t="shared" si="74"/>
        <v>1.8027357450646357</v>
      </c>
      <c r="AS76" s="290">
        <f t="shared" si="75"/>
        <v>-0.80273574506463574</v>
      </c>
      <c r="AT76" s="290">
        <f t="shared" si="63"/>
        <v>1.8027357450646357</v>
      </c>
      <c r="AU76" s="293">
        <f t="shared" si="4"/>
        <v>0.98333333333333328</v>
      </c>
      <c r="AV76" s="294">
        <f t="shared" si="5"/>
        <v>0.42149413768914101</v>
      </c>
      <c r="AW76" s="295">
        <f t="shared" si="64"/>
        <v>0.42863810612455022</v>
      </c>
      <c r="AX76" s="296">
        <f t="shared" si="6"/>
        <v>11.66485183785116</v>
      </c>
      <c r="AY76" s="297" t="str">
        <f t="shared" si="65"/>
        <v>DOS AÑOS</v>
      </c>
      <c r="AZ76" s="614"/>
      <c r="BA76" s="514"/>
      <c r="BB76" s="517"/>
      <c r="BC76" s="298"/>
      <c r="BD76" s="520"/>
    </row>
    <row r="77" spans="1:56" s="68" customFormat="1" x14ac:dyDescent="0.25">
      <c r="A77" s="321"/>
      <c r="B77" s="491" t="s">
        <v>214</v>
      </c>
      <c r="C77" s="521" t="s">
        <v>213</v>
      </c>
      <c r="D77" s="497" t="s">
        <v>50</v>
      </c>
      <c r="E77" s="497" t="s">
        <v>55</v>
      </c>
      <c r="F77" s="500">
        <v>180115000416</v>
      </c>
      <c r="G77" s="503" t="s">
        <v>15</v>
      </c>
      <c r="H77" s="503" t="s">
        <v>22</v>
      </c>
      <c r="I77" s="316">
        <v>2</v>
      </c>
      <c r="J77" s="506" t="s">
        <v>20</v>
      </c>
      <c r="K77" s="306" t="s">
        <v>68</v>
      </c>
      <c r="L77" s="509" t="s">
        <v>20</v>
      </c>
      <c r="M77" s="235" t="s">
        <v>68</v>
      </c>
      <c r="N77" s="524" t="s">
        <v>20</v>
      </c>
      <c r="O77" s="235" t="s">
        <v>68</v>
      </c>
      <c r="P77" s="524" t="s">
        <v>20</v>
      </c>
      <c r="Q77" s="57">
        <v>0</v>
      </c>
      <c r="R77" s="57">
        <v>399.4</v>
      </c>
      <c r="S77" s="58">
        <v>44063</v>
      </c>
      <c r="T77" s="527" t="s">
        <v>212</v>
      </c>
      <c r="U77" s="133"/>
      <c r="V77" s="133"/>
      <c r="W77" s="133"/>
      <c r="X77" s="133" t="s">
        <v>68</v>
      </c>
      <c r="Y77" s="133" t="s">
        <v>68</v>
      </c>
      <c r="Z77" s="133" t="s">
        <v>68</v>
      </c>
      <c r="AA77" s="133" t="s">
        <v>68</v>
      </c>
      <c r="AB77" s="133"/>
      <c r="AC77" s="133"/>
      <c r="AD77" s="59"/>
      <c r="AE77" s="59"/>
      <c r="AF77" s="59"/>
      <c r="AG77" s="60">
        <v>44422</v>
      </c>
      <c r="AH77" s="530">
        <v>66133</v>
      </c>
      <c r="AI77" s="84">
        <v>400</v>
      </c>
      <c r="AJ77" s="355">
        <f>AI77-R77</f>
        <v>0.60000000000002274</v>
      </c>
      <c r="AK77" s="84">
        <f>(AJ77*100)/R77</f>
        <v>0.15022533800701621</v>
      </c>
      <c r="AL77" s="84" t="s">
        <v>68</v>
      </c>
      <c r="AM77" s="84" t="s">
        <v>68</v>
      </c>
      <c r="AN77" s="84" t="s">
        <v>68</v>
      </c>
      <c r="AO77" s="84" t="s">
        <v>68</v>
      </c>
      <c r="AP77" s="134">
        <v>5.9</v>
      </c>
      <c r="AQ77" s="134">
        <f>(AP77*100)/R77</f>
        <v>1.4772158237356035</v>
      </c>
      <c r="AR77" s="59">
        <f>(AK77+AQ77)</f>
        <v>1.6274411617426197</v>
      </c>
      <c r="AS77" s="59">
        <f>(AK77-AQ77)</f>
        <v>-1.3269904857285872</v>
      </c>
      <c r="AT77" s="59">
        <f t="shared" si="23"/>
        <v>1.6274411617426197</v>
      </c>
      <c r="AU77" s="62">
        <f t="shared" si="4"/>
        <v>0.98333333333333328</v>
      </c>
      <c r="AV77" s="63">
        <f>ABS(AT77+AF77)</f>
        <v>1.6274411617426197</v>
      </c>
      <c r="AW77" s="85">
        <f t="shared" ref="AW77:AW89" si="76">(AV77/AU77)</f>
        <v>1.655024910246732</v>
      </c>
      <c r="AX77" s="65">
        <f t="shared" si="6"/>
        <v>1.2084410256410212</v>
      </c>
      <c r="AY77" s="66" t="str">
        <f t="shared" si="7"/>
        <v>DOS AÑOS</v>
      </c>
      <c r="AZ77" s="479" t="s">
        <v>10</v>
      </c>
      <c r="BA77" s="482" t="s">
        <v>56</v>
      </c>
      <c r="BB77" s="485" t="s">
        <v>34</v>
      </c>
      <c r="BC77" s="124"/>
      <c r="BD77" s="488" t="e">
        <f>#REF!</f>
        <v>#REF!</v>
      </c>
    </row>
    <row r="78" spans="1:56" s="299" customFormat="1" x14ac:dyDescent="0.25">
      <c r="A78" s="321"/>
      <c r="B78" s="492"/>
      <c r="C78" s="522"/>
      <c r="D78" s="498"/>
      <c r="E78" s="498"/>
      <c r="F78" s="501"/>
      <c r="G78" s="504"/>
      <c r="H78" s="504"/>
      <c r="I78" s="317">
        <v>2.4</v>
      </c>
      <c r="J78" s="507"/>
      <c r="K78" s="313"/>
      <c r="L78" s="510"/>
      <c r="M78" s="302"/>
      <c r="N78" s="525"/>
      <c r="O78" s="302"/>
      <c r="P78" s="525"/>
      <c r="Q78" s="241">
        <v>500</v>
      </c>
      <c r="R78" s="37">
        <v>498.8</v>
      </c>
      <c r="S78" s="243">
        <v>44063</v>
      </c>
      <c r="T78" s="528"/>
      <c r="U78" s="314">
        <v>500</v>
      </c>
      <c r="V78" s="314">
        <f>U78-Q78</f>
        <v>0</v>
      </c>
      <c r="W78" s="314">
        <f>V78*100/Q78</f>
        <v>0</v>
      </c>
      <c r="X78" s="314"/>
      <c r="Y78" s="314"/>
      <c r="Z78" s="314"/>
      <c r="AA78" s="314"/>
      <c r="AB78" s="314">
        <v>5.8</v>
      </c>
      <c r="AC78" s="314">
        <f>AB78*100/Q78</f>
        <v>1.1599999999999999</v>
      </c>
      <c r="AD78" s="245">
        <f>(W78+AC78)</f>
        <v>1.1599999999999999</v>
      </c>
      <c r="AE78" s="245">
        <f>(W78-AC78)</f>
        <v>-1.1599999999999999</v>
      </c>
      <c r="AF78" s="245">
        <f t="shared" ref="AF78" si="77">MAX(AD78:AE78)</f>
        <v>1.1599999999999999</v>
      </c>
      <c r="AG78" s="41">
        <v>44422</v>
      </c>
      <c r="AH78" s="531"/>
      <c r="AI78" s="94">
        <v>500</v>
      </c>
      <c r="AJ78" s="135">
        <f t="shared" ref="AJ78" si="78">AI78-R78</f>
        <v>1.1999999999999886</v>
      </c>
      <c r="AK78" s="94">
        <f>(AJ78*100)/R78</f>
        <v>0.2405773857257395</v>
      </c>
      <c r="AL78" s="247"/>
      <c r="AM78" s="247"/>
      <c r="AN78" s="247"/>
      <c r="AO78" s="247"/>
      <c r="AP78" s="135">
        <v>6</v>
      </c>
      <c r="AQ78" s="135">
        <f t="shared" ref="AQ78" si="79">(AP78*100)/R78</f>
        <v>1.2028869286287089</v>
      </c>
      <c r="AR78" s="40">
        <f t="shared" ref="AR78" si="80">(AK78+AQ78)</f>
        <v>1.4434643143544483</v>
      </c>
      <c r="AS78" s="40">
        <f t="shared" ref="AS78" si="81">(AK78-AQ78)</f>
        <v>-0.96230954290296944</v>
      </c>
      <c r="AT78" s="40">
        <f t="shared" si="23"/>
        <v>1.4434643143544483</v>
      </c>
      <c r="AU78" s="248">
        <f t="shared" si="4"/>
        <v>0.98333333333333328</v>
      </c>
      <c r="AV78" s="249">
        <f>ABS(AT78+AF78)</f>
        <v>2.603464314354448</v>
      </c>
      <c r="AW78" s="250">
        <f t="shared" ref="AW78" si="82">(AV78/AU78)</f>
        <v>2.6475908281570661</v>
      </c>
      <c r="AX78" s="318">
        <f>(I78/AW78)</f>
        <v>0.90648448184517649</v>
      </c>
      <c r="AY78" s="283" t="str">
        <f t="shared" si="7"/>
        <v>UN AÑO</v>
      </c>
      <c r="AZ78" s="480"/>
      <c r="BA78" s="483"/>
      <c r="BB78" s="486"/>
      <c r="BC78" s="315"/>
      <c r="BD78" s="489"/>
    </row>
    <row r="79" spans="1:56" s="73" customFormat="1" x14ac:dyDescent="0.25">
      <c r="A79" s="321"/>
      <c r="B79" s="493"/>
      <c r="C79" s="523"/>
      <c r="D79" s="499"/>
      <c r="E79" s="499"/>
      <c r="F79" s="502"/>
      <c r="G79" s="505"/>
      <c r="H79" s="505"/>
      <c r="I79" s="233">
        <v>2</v>
      </c>
      <c r="J79" s="508"/>
      <c r="K79" s="265" t="s">
        <v>68</v>
      </c>
      <c r="L79" s="511"/>
      <c r="M79" s="236"/>
      <c r="N79" s="526"/>
      <c r="O79" s="236"/>
      <c r="P79" s="526"/>
      <c r="Q79" s="37">
        <v>700</v>
      </c>
      <c r="R79" s="37"/>
      <c r="S79" s="38">
        <v>44063</v>
      </c>
      <c r="T79" s="529"/>
      <c r="U79" s="96">
        <v>700</v>
      </c>
      <c r="V79" s="96">
        <f>U79-Q79</f>
        <v>0</v>
      </c>
      <c r="W79" s="96">
        <f>V79*100/Q79</f>
        <v>0</v>
      </c>
      <c r="X79" s="96"/>
      <c r="Y79" s="96"/>
      <c r="Z79" s="96"/>
      <c r="AA79" s="96"/>
      <c r="AB79" s="96">
        <v>5.8</v>
      </c>
      <c r="AC79" s="96">
        <f>AB79*100/Q79</f>
        <v>0.82857142857142863</v>
      </c>
      <c r="AD79" s="40">
        <f t="shared" ref="AD79:AD87" si="83">(W79+AC79)</f>
        <v>0.82857142857142863</v>
      </c>
      <c r="AE79" s="40">
        <f t="shared" ref="AE79:AE87" si="84">(W79-AC79)</f>
        <v>-0.82857142857142863</v>
      </c>
      <c r="AF79" s="40">
        <f t="shared" ref="AF79:AF87" si="85">MAX(AD79:AE79)</f>
        <v>0.82857142857142863</v>
      </c>
      <c r="AG79" s="41">
        <v>44422</v>
      </c>
      <c r="AH79" s="532"/>
      <c r="AI79" s="94"/>
      <c r="AJ79" s="135"/>
      <c r="AK79" s="94"/>
      <c r="AL79" s="94"/>
      <c r="AM79" s="94"/>
      <c r="AN79" s="94"/>
      <c r="AO79" s="94"/>
      <c r="AP79" s="135"/>
      <c r="AQ79" s="135"/>
      <c r="AR79" s="40"/>
      <c r="AS79" s="40"/>
      <c r="AT79" s="40"/>
      <c r="AU79" s="43">
        <f t="shared" ref="AU79:AU86" si="86">YEARFRAC(S79,AG79)</f>
        <v>0.98333333333333328</v>
      </c>
      <c r="AV79" s="44">
        <f t="shared" ref="AV79:AV86" si="87">ABS(AT79+AF79)</f>
        <v>0.82857142857142863</v>
      </c>
      <c r="AW79" s="95">
        <f t="shared" ref="AW79:AW86" si="88">(AV79/AU79)</f>
        <v>0.84261501210653766</v>
      </c>
      <c r="AX79" s="46">
        <f t="shared" ref="AX79:AX86" si="89">(I79/AW79)</f>
        <v>2.3735632183908044</v>
      </c>
      <c r="AY79" s="72" t="str">
        <f t="shared" ref="AY79:AY86" si="90">IF(AX79&lt;=1,"UN AÑO",IF(AX79&gt;=1,"DOS AÑOS"))</f>
        <v>DOS AÑOS</v>
      </c>
      <c r="AZ79" s="481"/>
      <c r="BA79" s="484"/>
      <c r="BB79" s="487"/>
      <c r="BC79" s="119"/>
      <c r="BD79" s="490"/>
    </row>
    <row r="80" spans="1:56" s="73" customFormat="1" x14ac:dyDescent="0.25">
      <c r="A80" s="321"/>
      <c r="B80" s="493"/>
      <c r="C80" s="523"/>
      <c r="D80" s="499"/>
      <c r="E80" s="499"/>
      <c r="F80" s="502"/>
      <c r="G80" s="505"/>
      <c r="H80" s="505"/>
      <c r="I80" s="233">
        <v>2</v>
      </c>
      <c r="J80" s="508"/>
      <c r="K80" s="265" t="s">
        <v>68</v>
      </c>
      <c r="L80" s="511"/>
      <c r="M80" s="236"/>
      <c r="N80" s="526"/>
      <c r="O80" s="236"/>
      <c r="P80" s="526"/>
      <c r="Q80" s="37">
        <v>900.1</v>
      </c>
      <c r="R80" s="37">
        <v>800.7</v>
      </c>
      <c r="S80" s="38">
        <v>44063</v>
      </c>
      <c r="T80" s="529"/>
      <c r="U80" s="96">
        <v>900</v>
      </c>
      <c r="V80" s="96">
        <f t="shared" ref="V80:V89" si="91">U80-Q80</f>
        <v>-0.10000000000002274</v>
      </c>
      <c r="W80" s="96">
        <f t="shared" ref="W80:W89" si="92">V80*100/Q80</f>
        <v>-1.1109876680371373E-2</v>
      </c>
      <c r="X80" s="96"/>
      <c r="Y80" s="96"/>
      <c r="Z80" s="96"/>
      <c r="AA80" s="96"/>
      <c r="AB80" s="96">
        <v>5.8</v>
      </c>
      <c r="AC80" s="96">
        <f t="shared" ref="AC80:AC89" si="93">AB80*100/Q80</f>
        <v>0.64437284746139312</v>
      </c>
      <c r="AD80" s="40">
        <f t="shared" si="83"/>
        <v>0.63326297078102178</v>
      </c>
      <c r="AE80" s="40">
        <f t="shared" si="84"/>
        <v>-0.65548272414176445</v>
      </c>
      <c r="AF80" s="40">
        <f t="shared" si="85"/>
        <v>0.63326297078102178</v>
      </c>
      <c r="AG80" s="41">
        <v>44422</v>
      </c>
      <c r="AH80" s="532"/>
      <c r="AI80" s="94">
        <v>800</v>
      </c>
      <c r="AJ80" s="135">
        <f t="shared" ref="AJ80:AJ88" si="94">AI80-R80</f>
        <v>-0.70000000000004547</v>
      </c>
      <c r="AK80" s="94">
        <f t="shared" ref="AK80:AK88" si="95">(AJ80*100)/R80</f>
        <v>-8.7423504433626259E-2</v>
      </c>
      <c r="AL80" s="94"/>
      <c r="AM80" s="94"/>
      <c r="AN80" s="94"/>
      <c r="AO80" s="94"/>
      <c r="AP80" s="135">
        <v>6.5</v>
      </c>
      <c r="AQ80" s="135">
        <f t="shared" ref="AQ80:AQ88" si="96">(AP80*100)/R80</f>
        <v>0.81178968402647678</v>
      </c>
      <c r="AR80" s="245">
        <f t="shared" ref="AR80:AR86" si="97">(AK80+AQ80)</f>
        <v>0.72436617959285055</v>
      </c>
      <c r="AS80" s="245">
        <f t="shared" ref="AS80:AS86" si="98">(AK80-AQ80)</f>
        <v>-0.89921318846010301</v>
      </c>
      <c r="AT80" s="245">
        <f t="shared" ref="AT80:AT86" si="99">MAX(AR80:AS80)</f>
        <v>0.72436617959285055</v>
      </c>
      <c r="AU80" s="248">
        <f t="shared" si="86"/>
        <v>0.98333333333333328</v>
      </c>
      <c r="AV80" s="249">
        <f t="shared" si="87"/>
        <v>1.3576291503738722</v>
      </c>
      <c r="AW80" s="250">
        <f t="shared" si="88"/>
        <v>1.3806398139395311</v>
      </c>
      <c r="AX80" s="251">
        <f t="shared" si="89"/>
        <v>1.4486037414010107</v>
      </c>
      <c r="AY80" s="283" t="str">
        <f t="shared" si="90"/>
        <v>DOS AÑOS</v>
      </c>
      <c r="AZ80" s="481"/>
      <c r="BA80" s="484"/>
      <c r="BB80" s="487"/>
      <c r="BC80" s="119"/>
      <c r="BD80" s="490"/>
    </row>
    <row r="81" spans="1:56" s="73" customFormat="1" x14ac:dyDescent="0.25">
      <c r="A81" s="321"/>
      <c r="B81" s="493"/>
      <c r="C81" s="523"/>
      <c r="D81" s="499"/>
      <c r="E81" s="499"/>
      <c r="F81" s="502"/>
      <c r="G81" s="505"/>
      <c r="H81" s="505"/>
      <c r="I81" s="233">
        <v>2</v>
      </c>
      <c r="J81" s="508"/>
      <c r="K81" s="265" t="s">
        <v>68</v>
      </c>
      <c r="L81" s="511"/>
      <c r="M81" s="236"/>
      <c r="N81" s="526"/>
      <c r="O81" s="236"/>
      <c r="P81" s="526"/>
      <c r="Q81" s="37">
        <v>1799.7</v>
      </c>
      <c r="R81" s="37">
        <v>997.5</v>
      </c>
      <c r="S81" s="38">
        <v>44063</v>
      </c>
      <c r="T81" s="529"/>
      <c r="U81" s="96">
        <v>1800</v>
      </c>
      <c r="V81" s="96">
        <f t="shared" si="91"/>
        <v>0.29999999999995453</v>
      </c>
      <c r="W81" s="96">
        <f t="shared" si="92"/>
        <v>1.6669444907482053E-2</v>
      </c>
      <c r="X81" s="96"/>
      <c r="Y81" s="96"/>
      <c r="Z81" s="96"/>
      <c r="AA81" s="96"/>
      <c r="AB81" s="96">
        <v>5.8</v>
      </c>
      <c r="AC81" s="96">
        <f t="shared" si="93"/>
        <v>0.32227593487803524</v>
      </c>
      <c r="AD81" s="40">
        <f t="shared" si="83"/>
        <v>0.33894537978551731</v>
      </c>
      <c r="AE81" s="40">
        <f t="shared" si="84"/>
        <v>-0.30560648997055317</v>
      </c>
      <c r="AF81" s="40">
        <f t="shared" si="85"/>
        <v>0.33894537978551731</v>
      </c>
      <c r="AG81" s="41">
        <v>44422</v>
      </c>
      <c r="AH81" s="532"/>
      <c r="AI81" s="94">
        <v>1000</v>
      </c>
      <c r="AJ81" s="135">
        <f t="shared" si="94"/>
        <v>2.5</v>
      </c>
      <c r="AK81" s="94">
        <f t="shared" si="95"/>
        <v>0.25062656641604009</v>
      </c>
      <c r="AL81" s="94"/>
      <c r="AM81" s="94"/>
      <c r="AN81" s="94"/>
      <c r="AO81" s="94"/>
      <c r="AP81" s="135">
        <v>7</v>
      </c>
      <c r="AQ81" s="135">
        <f t="shared" si="96"/>
        <v>0.70175438596491224</v>
      </c>
      <c r="AR81" s="40">
        <f t="shared" si="97"/>
        <v>0.95238095238095233</v>
      </c>
      <c r="AS81" s="40">
        <f t="shared" si="98"/>
        <v>-0.45112781954887216</v>
      </c>
      <c r="AT81" s="40">
        <f t="shared" si="99"/>
        <v>0.95238095238095233</v>
      </c>
      <c r="AU81" s="43">
        <f t="shared" si="86"/>
        <v>0.98333333333333328</v>
      </c>
      <c r="AV81" s="44">
        <f t="shared" si="87"/>
        <v>1.2913263321664696</v>
      </c>
      <c r="AW81" s="95">
        <f t="shared" si="88"/>
        <v>1.313213219152342</v>
      </c>
      <c r="AX81" s="46">
        <f t="shared" si="89"/>
        <v>1.5229819277108463</v>
      </c>
      <c r="AY81" s="72" t="str">
        <f t="shared" si="90"/>
        <v>DOS AÑOS</v>
      </c>
      <c r="AZ81" s="481"/>
      <c r="BA81" s="484"/>
      <c r="BB81" s="487"/>
      <c r="BC81" s="119"/>
      <c r="BD81" s="490"/>
    </row>
    <row r="82" spans="1:56" s="73" customFormat="1" x14ac:dyDescent="0.25">
      <c r="A82" s="321"/>
      <c r="B82" s="493"/>
      <c r="C82" s="523"/>
      <c r="D82" s="499"/>
      <c r="E82" s="499"/>
      <c r="F82" s="502"/>
      <c r="G82" s="505"/>
      <c r="H82" s="505"/>
      <c r="I82" s="233">
        <v>2</v>
      </c>
      <c r="J82" s="508"/>
      <c r="K82" s="265" t="s">
        <v>68</v>
      </c>
      <c r="L82" s="511"/>
      <c r="M82" s="236"/>
      <c r="N82" s="526"/>
      <c r="O82" s="236"/>
      <c r="P82" s="526"/>
      <c r="Q82" s="37">
        <v>2801.2</v>
      </c>
      <c r="R82" s="37">
        <v>1800</v>
      </c>
      <c r="S82" s="38">
        <v>44063</v>
      </c>
      <c r="T82" s="529"/>
      <c r="U82" s="96">
        <v>2800</v>
      </c>
      <c r="V82" s="96">
        <f t="shared" si="91"/>
        <v>-1.1999999999998181</v>
      </c>
      <c r="W82" s="96">
        <f t="shared" si="92"/>
        <v>-4.2838783378545561E-2</v>
      </c>
      <c r="X82" s="96"/>
      <c r="Y82" s="96"/>
      <c r="Z82" s="96"/>
      <c r="AA82" s="96"/>
      <c r="AB82" s="96">
        <v>5.8</v>
      </c>
      <c r="AC82" s="96">
        <f t="shared" si="93"/>
        <v>0.20705411966300158</v>
      </c>
      <c r="AD82" s="40">
        <f t="shared" si="83"/>
        <v>0.164215336284456</v>
      </c>
      <c r="AE82" s="40">
        <f t="shared" si="84"/>
        <v>-0.24989290304154715</v>
      </c>
      <c r="AF82" s="40">
        <f t="shared" si="85"/>
        <v>0.164215336284456</v>
      </c>
      <c r="AG82" s="41">
        <v>44422</v>
      </c>
      <c r="AH82" s="532"/>
      <c r="AI82" s="94">
        <v>1800</v>
      </c>
      <c r="AJ82" s="135">
        <f t="shared" si="94"/>
        <v>0</v>
      </c>
      <c r="AK82" s="94">
        <f t="shared" si="95"/>
        <v>0</v>
      </c>
      <c r="AL82" s="94"/>
      <c r="AM82" s="94"/>
      <c r="AN82" s="94"/>
      <c r="AO82" s="94"/>
      <c r="AP82" s="135">
        <v>9.1999999999999993</v>
      </c>
      <c r="AQ82" s="135">
        <f t="shared" si="96"/>
        <v>0.51111111111111107</v>
      </c>
      <c r="AR82" s="40">
        <f t="shared" si="97"/>
        <v>0.51111111111111107</v>
      </c>
      <c r="AS82" s="40">
        <f t="shared" si="98"/>
        <v>-0.51111111111111107</v>
      </c>
      <c r="AT82" s="40">
        <f t="shared" si="99"/>
        <v>0.51111111111111107</v>
      </c>
      <c r="AU82" s="43">
        <f t="shared" si="86"/>
        <v>0.98333333333333328</v>
      </c>
      <c r="AV82" s="44">
        <f t="shared" si="87"/>
        <v>0.67532644739556713</v>
      </c>
      <c r="AW82" s="95">
        <f t="shared" si="88"/>
        <v>0.68677265836837342</v>
      </c>
      <c r="AX82" s="46">
        <f t="shared" si="89"/>
        <v>2.9121718455588739</v>
      </c>
      <c r="AY82" s="72" t="str">
        <f t="shared" si="90"/>
        <v>DOS AÑOS</v>
      </c>
      <c r="AZ82" s="481"/>
      <c r="BA82" s="484"/>
      <c r="BB82" s="487"/>
      <c r="BC82" s="119"/>
      <c r="BD82" s="490"/>
    </row>
    <row r="83" spans="1:56" s="73" customFormat="1" x14ac:dyDescent="0.25">
      <c r="A83" s="321"/>
      <c r="B83" s="493"/>
      <c r="C83" s="523"/>
      <c r="D83" s="499"/>
      <c r="E83" s="499"/>
      <c r="F83" s="502"/>
      <c r="G83" s="505"/>
      <c r="H83" s="505"/>
      <c r="I83" s="233">
        <v>2</v>
      </c>
      <c r="J83" s="508"/>
      <c r="K83" s="265" t="s">
        <v>68</v>
      </c>
      <c r="L83" s="511"/>
      <c r="M83" s="236"/>
      <c r="N83" s="526"/>
      <c r="O83" s="236"/>
      <c r="P83" s="526"/>
      <c r="Q83" s="37">
        <v>3802.3</v>
      </c>
      <c r="R83" s="37">
        <v>2499</v>
      </c>
      <c r="S83" s="38">
        <v>44063</v>
      </c>
      <c r="T83" s="529"/>
      <c r="U83" s="96">
        <v>3800</v>
      </c>
      <c r="V83" s="96">
        <f t="shared" si="91"/>
        <v>-2.3000000000001819</v>
      </c>
      <c r="W83" s="96">
        <f t="shared" si="92"/>
        <v>-6.0489703600457141E-2</v>
      </c>
      <c r="X83" s="96"/>
      <c r="Y83" s="96"/>
      <c r="Z83" s="96"/>
      <c r="AA83" s="96"/>
      <c r="AB83" s="96">
        <v>5.8</v>
      </c>
      <c r="AC83" s="96">
        <f t="shared" si="93"/>
        <v>0.15253925255766246</v>
      </c>
      <c r="AD83" s="40">
        <f t="shared" si="83"/>
        <v>9.2049548957205324E-2</v>
      </c>
      <c r="AE83" s="40">
        <f t="shared" si="84"/>
        <v>-0.21302895615811959</v>
      </c>
      <c r="AF83" s="40">
        <f t="shared" si="85"/>
        <v>9.2049548957205324E-2</v>
      </c>
      <c r="AG83" s="41">
        <v>44422</v>
      </c>
      <c r="AH83" s="532"/>
      <c r="AI83" s="94">
        <v>2500</v>
      </c>
      <c r="AJ83" s="135">
        <f t="shared" si="94"/>
        <v>1</v>
      </c>
      <c r="AK83" s="94">
        <f t="shared" si="95"/>
        <v>4.0016006402561026E-2</v>
      </c>
      <c r="AL83" s="94"/>
      <c r="AM83" s="94"/>
      <c r="AN83" s="94"/>
      <c r="AO83" s="94"/>
      <c r="AP83" s="135">
        <v>12</v>
      </c>
      <c r="AQ83" s="135">
        <f t="shared" si="96"/>
        <v>0.48019207683073228</v>
      </c>
      <c r="AR83" s="40">
        <f t="shared" si="97"/>
        <v>0.52020808323329326</v>
      </c>
      <c r="AS83" s="40">
        <f t="shared" si="98"/>
        <v>-0.44017607042817125</v>
      </c>
      <c r="AT83" s="40">
        <f t="shared" si="99"/>
        <v>0.52020808323329326</v>
      </c>
      <c r="AU83" s="43">
        <f t="shared" si="86"/>
        <v>0.98333333333333328</v>
      </c>
      <c r="AV83" s="44">
        <f t="shared" si="87"/>
        <v>0.61225763219049856</v>
      </c>
      <c r="AW83" s="95">
        <f t="shared" si="88"/>
        <v>0.62263488019372737</v>
      </c>
      <c r="AX83" s="46">
        <f t="shared" si="89"/>
        <v>3.212155411816501</v>
      </c>
      <c r="AY83" s="72" t="str">
        <f t="shared" si="90"/>
        <v>DOS AÑOS</v>
      </c>
      <c r="AZ83" s="481"/>
      <c r="BA83" s="484"/>
      <c r="BB83" s="487"/>
      <c r="BC83" s="119"/>
      <c r="BD83" s="490"/>
    </row>
    <row r="84" spans="1:56" s="73" customFormat="1" x14ac:dyDescent="0.25">
      <c r="A84" s="321"/>
      <c r="B84" s="493"/>
      <c r="C84" s="523"/>
      <c r="D84" s="499"/>
      <c r="E84" s="499"/>
      <c r="F84" s="502"/>
      <c r="G84" s="505"/>
      <c r="H84" s="505"/>
      <c r="I84" s="233">
        <v>2</v>
      </c>
      <c r="J84" s="508"/>
      <c r="K84" s="265" t="s">
        <v>68</v>
      </c>
      <c r="L84" s="511"/>
      <c r="M84" s="236"/>
      <c r="N84" s="526"/>
      <c r="O84" s="236"/>
      <c r="P84" s="526"/>
      <c r="Q84" s="37">
        <v>4800.1000000000004</v>
      </c>
      <c r="R84" s="37">
        <v>3000</v>
      </c>
      <c r="S84" s="38">
        <v>44063</v>
      </c>
      <c r="T84" s="529"/>
      <c r="U84" s="96">
        <v>4810</v>
      </c>
      <c r="V84" s="96">
        <f t="shared" si="91"/>
        <v>9.8999999999996362</v>
      </c>
      <c r="W84" s="96">
        <f t="shared" si="92"/>
        <v>0.20624570321450877</v>
      </c>
      <c r="X84" s="96"/>
      <c r="Y84" s="96"/>
      <c r="Z84" s="96"/>
      <c r="AA84" s="96"/>
      <c r="AB84" s="96">
        <v>5.8</v>
      </c>
      <c r="AC84" s="96">
        <f t="shared" si="93"/>
        <v>0.12083081602466614</v>
      </c>
      <c r="AD84" s="40">
        <f t="shared" si="83"/>
        <v>0.32707651923917491</v>
      </c>
      <c r="AE84" s="40">
        <f t="shared" si="84"/>
        <v>8.5414887189842637E-2</v>
      </c>
      <c r="AF84" s="40">
        <f t="shared" si="85"/>
        <v>0.32707651923917491</v>
      </c>
      <c r="AG84" s="41">
        <v>44412</v>
      </c>
      <c r="AH84" s="532"/>
      <c r="AI84" s="94">
        <v>3000</v>
      </c>
      <c r="AJ84" s="135">
        <f t="shared" si="94"/>
        <v>0</v>
      </c>
      <c r="AK84" s="94">
        <f t="shared" si="95"/>
        <v>0</v>
      </c>
      <c r="AL84" s="94"/>
      <c r="AM84" s="94"/>
      <c r="AN84" s="94"/>
      <c r="AO84" s="94"/>
      <c r="AP84" s="135">
        <v>13</v>
      </c>
      <c r="AQ84" s="135">
        <f t="shared" si="96"/>
        <v>0.43333333333333335</v>
      </c>
      <c r="AR84" s="40">
        <f t="shared" si="97"/>
        <v>0.43333333333333335</v>
      </c>
      <c r="AS84" s="40">
        <f t="shared" si="98"/>
        <v>-0.43333333333333335</v>
      </c>
      <c r="AT84" s="40">
        <f t="shared" si="99"/>
        <v>0.43333333333333335</v>
      </c>
      <c r="AU84" s="43">
        <f t="shared" si="86"/>
        <v>0.9555555555555556</v>
      </c>
      <c r="AV84" s="44">
        <f t="shared" si="87"/>
        <v>0.76040985257250826</v>
      </c>
      <c r="AW84" s="95">
        <f t="shared" si="88"/>
        <v>0.79577775269215978</v>
      </c>
      <c r="AX84" s="46">
        <f t="shared" si="89"/>
        <v>2.5132645304972279</v>
      </c>
      <c r="AY84" s="72" t="str">
        <f t="shared" si="90"/>
        <v>DOS AÑOS</v>
      </c>
      <c r="AZ84" s="481"/>
      <c r="BA84" s="484"/>
      <c r="BB84" s="487"/>
      <c r="BC84" s="119"/>
      <c r="BD84" s="490"/>
    </row>
    <row r="85" spans="1:56" s="73" customFormat="1" x14ac:dyDescent="0.25">
      <c r="A85" s="321"/>
      <c r="B85" s="493"/>
      <c r="C85" s="523"/>
      <c r="D85" s="499"/>
      <c r="E85" s="499"/>
      <c r="F85" s="502"/>
      <c r="G85" s="505"/>
      <c r="H85" s="505"/>
      <c r="I85" s="233">
        <v>2</v>
      </c>
      <c r="J85" s="508"/>
      <c r="K85" s="265" t="s">
        <v>68</v>
      </c>
      <c r="L85" s="511"/>
      <c r="M85" s="236"/>
      <c r="N85" s="526"/>
      <c r="O85" s="236"/>
      <c r="P85" s="526"/>
      <c r="Q85" s="37">
        <v>5802.8</v>
      </c>
      <c r="R85" s="37">
        <v>3999</v>
      </c>
      <c r="S85" s="38">
        <v>44063</v>
      </c>
      <c r="T85" s="529"/>
      <c r="U85" s="96">
        <v>5800</v>
      </c>
      <c r="V85" s="96">
        <f t="shared" si="91"/>
        <v>-2.8000000000001819</v>
      </c>
      <c r="W85" s="96">
        <f t="shared" si="92"/>
        <v>-4.825256772592855E-2</v>
      </c>
      <c r="X85" s="96"/>
      <c r="Y85" s="96"/>
      <c r="Z85" s="96"/>
      <c r="AA85" s="96"/>
      <c r="AB85" s="96">
        <v>7.8</v>
      </c>
      <c r="AC85" s="96">
        <f t="shared" si="93"/>
        <v>0.13441786723650651</v>
      </c>
      <c r="AD85" s="40">
        <f t="shared" si="83"/>
        <v>8.6165299510577956E-2</v>
      </c>
      <c r="AE85" s="40">
        <f t="shared" si="84"/>
        <v>-0.18267043496243507</v>
      </c>
      <c r="AF85" s="40">
        <f t="shared" si="85"/>
        <v>8.6165299510577956E-2</v>
      </c>
      <c r="AG85" s="41">
        <v>44422</v>
      </c>
      <c r="AH85" s="532"/>
      <c r="AI85" s="94">
        <v>4000</v>
      </c>
      <c r="AJ85" s="135">
        <f t="shared" si="94"/>
        <v>1</v>
      </c>
      <c r="AK85" s="94">
        <f t="shared" si="95"/>
        <v>2.5006251562890724E-2</v>
      </c>
      <c r="AL85" s="94"/>
      <c r="AM85" s="94"/>
      <c r="AN85" s="94"/>
      <c r="AO85" s="94"/>
      <c r="AP85" s="135">
        <v>17</v>
      </c>
      <c r="AQ85" s="135">
        <f t="shared" si="96"/>
        <v>0.42510627656914229</v>
      </c>
      <c r="AR85" s="40">
        <f t="shared" si="97"/>
        <v>0.45011252813203301</v>
      </c>
      <c r="AS85" s="40">
        <f t="shared" si="98"/>
        <v>-0.40010002500625158</v>
      </c>
      <c r="AT85" s="40">
        <f t="shared" si="99"/>
        <v>0.45011252813203301</v>
      </c>
      <c r="AU85" s="43">
        <f t="shared" si="86"/>
        <v>0.98333333333333328</v>
      </c>
      <c r="AV85" s="44">
        <f t="shared" si="87"/>
        <v>0.536277827642611</v>
      </c>
      <c r="AW85" s="95">
        <f t="shared" si="88"/>
        <v>0.54536728234841803</v>
      </c>
      <c r="AX85" s="46">
        <f t="shared" si="89"/>
        <v>3.6672533625188444</v>
      </c>
      <c r="AY85" s="72" t="str">
        <f t="shared" si="90"/>
        <v>DOS AÑOS</v>
      </c>
      <c r="AZ85" s="481"/>
      <c r="BA85" s="484"/>
      <c r="BB85" s="487"/>
      <c r="BC85" s="119"/>
      <c r="BD85" s="490"/>
    </row>
    <row r="86" spans="1:56" s="73" customFormat="1" x14ac:dyDescent="0.25">
      <c r="A86" s="321"/>
      <c r="B86" s="493"/>
      <c r="C86" s="523"/>
      <c r="D86" s="499"/>
      <c r="E86" s="499"/>
      <c r="F86" s="502"/>
      <c r="G86" s="505"/>
      <c r="H86" s="505"/>
      <c r="I86" s="233">
        <v>2</v>
      </c>
      <c r="J86" s="508"/>
      <c r="K86" s="265" t="s">
        <v>68</v>
      </c>
      <c r="L86" s="511"/>
      <c r="M86" s="236"/>
      <c r="N86" s="526"/>
      <c r="O86" s="236"/>
      <c r="P86" s="526"/>
      <c r="Q86" s="37">
        <v>6802.9</v>
      </c>
      <c r="R86" s="37">
        <v>7001</v>
      </c>
      <c r="S86" s="38">
        <v>44063</v>
      </c>
      <c r="T86" s="529"/>
      <c r="U86" s="96">
        <v>6810</v>
      </c>
      <c r="V86" s="96">
        <f t="shared" si="91"/>
        <v>7.1000000000003638</v>
      </c>
      <c r="W86" s="96">
        <f t="shared" si="92"/>
        <v>0.10436725514119514</v>
      </c>
      <c r="X86" s="96"/>
      <c r="Y86" s="96"/>
      <c r="Z86" s="96"/>
      <c r="AA86" s="96"/>
      <c r="AB86" s="96">
        <v>7.8</v>
      </c>
      <c r="AC86" s="96">
        <f t="shared" si="93"/>
        <v>0.1146569845213071</v>
      </c>
      <c r="AD86" s="40">
        <f t="shared" si="83"/>
        <v>0.21902423966250223</v>
      </c>
      <c r="AE86" s="40">
        <f t="shared" si="84"/>
        <v>-1.0289729380111953E-2</v>
      </c>
      <c r="AF86" s="40">
        <f t="shared" si="85"/>
        <v>0.21902423966250223</v>
      </c>
      <c r="AG86" s="41">
        <v>44422</v>
      </c>
      <c r="AH86" s="532"/>
      <c r="AI86" s="94">
        <v>7000</v>
      </c>
      <c r="AJ86" s="135">
        <f t="shared" si="94"/>
        <v>-1</v>
      </c>
      <c r="AK86" s="94">
        <f t="shared" si="95"/>
        <v>-1.4283673760891302E-2</v>
      </c>
      <c r="AL86" s="94"/>
      <c r="AM86" s="94"/>
      <c r="AN86" s="94"/>
      <c r="AO86" s="94"/>
      <c r="AP86" s="135">
        <v>29</v>
      </c>
      <c r="AQ86" s="135">
        <f t="shared" si="96"/>
        <v>0.41422653906584772</v>
      </c>
      <c r="AR86" s="40">
        <f t="shared" si="97"/>
        <v>0.39994286530495643</v>
      </c>
      <c r="AS86" s="40">
        <f t="shared" si="98"/>
        <v>-0.42851021282673901</v>
      </c>
      <c r="AT86" s="40">
        <f t="shared" si="99"/>
        <v>0.39994286530495643</v>
      </c>
      <c r="AU86" s="43">
        <f t="shared" si="86"/>
        <v>0.98333333333333328</v>
      </c>
      <c r="AV86" s="44">
        <f t="shared" si="87"/>
        <v>0.61896710496745866</v>
      </c>
      <c r="AW86" s="95">
        <f t="shared" si="88"/>
        <v>0.62945807284826305</v>
      </c>
      <c r="AX86" s="46">
        <f t="shared" si="89"/>
        <v>3.1773363251187017</v>
      </c>
      <c r="AY86" s="72" t="str">
        <f t="shared" si="90"/>
        <v>DOS AÑOS</v>
      </c>
      <c r="AZ86" s="481"/>
      <c r="BA86" s="484"/>
      <c r="BB86" s="487"/>
      <c r="BC86" s="119"/>
      <c r="BD86" s="490"/>
    </row>
    <row r="87" spans="1:56" s="73" customFormat="1" x14ac:dyDescent="0.25">
      <c r="A87" s="321"/>
      <c r="B87" s="493"/>
      <c r="C87" s="523"/>
      <c r="D87" s="499"/>
      <c r="E87" s="499"/>
      <c r="F87" s="502"/>
      <c r="G87" s="505"/>
      <c r="H87" s="505"/>
      <c r="I87" s="233">
        <v>2</v>
      </c>
      <c r="J87" s="508"/>
      <c r="K87" s="265" t="s">
        <v>68</v>
      </c>
      <c r="L87" s="511"/>
      <c r="M87" s="236"/>
      <c r="N87" s="526"/>
      <c r="O87" s="236"/>
      <c r="P87" s="526"/>
      <c r="Q87" s="37">
        <v>7807.7</v>
      </c>
      <c r="R87" s="37"/>
      <c r="S87" s="38">
        <v>44063</v>
      </c>
      <c r="T87" s="529"/>
      <c r="U87" s="96">
        <v>7800</v>
      </c>
      <c r="V87" s="96">
        <f t="shared" si="91"/>
        <v>-7.6999999999998181</v>
      </c>
      <c r="W87" s="96">
        <f t="shared" si="92"/>
        <v>-9.8620592492024775E-2</v>
      </c>
      <c r="X87" s="96"/>
      <c r="Y87" s="96"/>
      <c r="Z87" s="96"/>
      <c r="AA87" s="96"/>
      <c r="AB87" s="96">
        <v>7.8</v>
      </c>
      <c r="AC87" s="96">
        <f t="shared" si="93"/>
        <v>9.990137940750797E-2</v>
      </c>
      <c r="AD87" s="40">
        <f t="shared" si="83"/>
        <v>1.2807869154831952E-3</v>
      </c>
      <c r="AE87" s="40">
        <f t="shared" si="84"/>
        <v>-0.19852197189953275</v>
      </c>
      <c r="AF87" s="40">
        <f t="shared" si="85"/>
        <v>1.2807869154831952E-3</v>
      </c>
      <c r="AG87" s="41">
        <v>44422</v>
      </c>
      <c r="AH87" s="532"/>
      <c r="AI87" s="94"/>
      <c r="AJ87" s="135" t="s">
        <v>68</v>
      </c>
      <c r="AK87" s="94" t="s">
        <v>68</v>
      </c>
      <c r="AL87" s="94"/>
      <c r="AM87" s="94"/>
      <c r="AN87" s="94"/>
      <c r="AO87" s="94"/>
      <c r="AP87" s="135" t="s">
        <v>68</v>
      </c>
      <c r="AQ87" s="135" t="s">
        <v>68</v>
      </c>
      <c r="AR87" s="40"/>
      <c r="AS87" s="40"/>
      <c r="AT87" s="40">
        <v>0</v>
      </c>
      <c r="AU87" s="43">
        <f t="shared" ref="AU87" si="100">YEARFRAC(S87,AG87)</f>
        <v>0.98333333333333328</v>
      </c>
      <c r="AV87" s="44">
        <f t="shared" ref="AV87" si="101">ABS(AT87+AF87)</f>
        <v>1.2807869154831952E-3</v>
      </c>
      <c r="AW87" s="95">
        <f t="shared" ref="AW87" si="102">(AV87/AU87)</f>
        <v>1.3024951682879952E-3</v>
      </c>
      <c r="AX87" s="46">
        <f t="shared" ref="AX87" si="103">(I87/AW87)</f>
        <v>1535.5143333305473</v>
      </c>
      <c r="AY87" s="72" t="str">
        <f t="shared" ref="AY87" si="104">IF(AX87&lt;=1,"UN AÑO",IF(AX87&gt;=1,"DOS AÑOS"))</f>
        <v>DOS AÑOS</v>
      </c>
      <c r="AZ87" s="481"/>
      <c r="BA87" s="484"/>
      <c r="BB87" s="487"/>
      <c r="BC87" s="119"/>
      <c r="BD87" s="490"/>
    </row>
    <row r="88" spans="1:56" s="73" customFormat="1" x14ac:dyDescent="0.25">
      <c r="A88" s="321"/>
      <c r="B88" s="493"/>
      <c r="C88" s="523"/>
      <c r="D88" s="499"/>
      <c r="E88" s="499"/>
      <c r="F88" s="502"/>
      <c r="G88" s="505"/>
      <c r="H88" s="505"/>
      <c r="I88" s="233">
        <v>2</v>
      </c>
      <c r="J88" s="508"/>
      <c r="K88" s="265" t="s">
        <v>68</v>
      </c>
      <c r="L88" s="511"/>
      <c r="M88" s="236" t="s">
        <v>68</v>
      </c>
      <c r="N88" s="526"/>
      <c r="O88" s="236" t="s">
        <v>68</v>
      </c>
      <c r="P88" s="526"/>
      <c r="Q88" s="37">
        <v>9009.1</v>
      </c>
      <c r="R88" s="37">
        <v>9004</v>
      </c>
      <c r="S88" s="38">
        <v>44063</v>
      </c>
      <c r="T88" s="529"/>
      <c r="U88" s="96">
        <v>9000</v>
      </c>
      <c r="V88" s="96">
        <f t="shared" si="91"/>
        <v>-9.1000000000003638</v>
      </c>
      <c r="W88" s="96">
        <f t="shared" si="92"/>
        <v>-0.10100897980930797</v>
      </c>
      <c r="X88" s="96" t="s">
        <v>68</v>
      </c>
      <c r="Y88" s="96" t="s">
        <v>68</v>
      </c>
      <c r="Z88" s="96" t="s">
        <v>68</v>
      </c>
      <c r="AA88" s="96" t="s">
        <v>68</v>
      </c>
      <c r="AB88" s="96">
        <v>7.8</v>
      </c>
      <c r="AC88" s="96">
        <f t="shared" si="93"/>
        <v>8.6579125550831929E-2</v>
      </c>
      <c r="AD88" s="40">
        <f>(W88+AC88)</f>
        <v>-1.4429854258476038E-2</v>
      </c>
      <c r="AE88" s="40">
        <f t="shared" ref="AE88:AE243" si="105">(W88-AC88)</f>
        <v>-0.1875881053601399</v>
      </c>
      <c r="AF88" s="40">
        <f t="shared" ref="AF88:AF89" si="106">MAX(AD88:AE88)</f>
        <v>-1.4429854258476038E-2</v>
      </c>
      <c r="AG88" s="41">
        <v>44422</v>
      </c>
      <c r="AH88" s="532"/>
      <c r="AI88" s="94">
        <v>9000</v>
      </c>
      <c r="AJ88" s="135">
        <f t="shared" si="94"/>
        <v>-4</v>
      </c>
      <c r="AK88" s="94">
        <f t="shared" si="95"/>
        <v>-4.4424700133274098E-2</v>
      </c>
      <c r="AL88" s="94" t="s">
        <v>68</v>
      </c>
      <c r="AM88" s="94" t="s">
        <v>68</v>
      </c>
      <c r="AN88" s="94" t="s">
        <v>68</v>
      </c>
      <c r="AO88" s="94" t="s">
        <v>68</v>
      </c>
      <c r="AP88" s="94">
        <v>37</v>
      </c>
      <c r="AQ88" s="292">
        <f t="shared" si="96"/>
        <v>0.41092847623278544</v>
      </c>
      <c r="AR88" s="40">
        <f t="shared" ref="AR88" si="107">(AK88+AQ88)</f>
        <v>0.36650377609951135</v>
      </c>
      <c r="AS88" s="40">
        <f t="shared" ref="AS88" si="108">(AK88-AQ88)</f>
        <v>-0.45535317636605954</v>
      </c>
      <c r="AT88" s="40">
        <f t="shared" ref="AT88" si="109">MAX(AR88:AS88)</f>
        <v>0.36650377609951135</v>
      </c>
      <c r="AU88" s="43">
        <f t="shared" ref="AU88" si="110">YEARFRAC(S88,AG88)</f>
        <v>0.98333333333333328</v>
      </c>
      <c r="AV88" s="44">
        <f t="shared" ref="AV88" si="111">ABS(AT88+AF88)</f>
        <v>0.35207392184103531</v>
      </c>
      <c r="AW88" s="95">
        <f t="shared" ref="AW88" si="112">(AV88/AU88)</f>
        <v>0.35804127644851053</v>
      </c>
      <c r="AX88" s="46">
        <f t="shared" ref="AX88" si="113">(I88/AW88)</f>
        <v>5.5859481337974106</v>
      </c>
      <c r="AY88" s="72" t="str">
        <f t="shared" ref="AY88" si="114">IF(AX88&lt;=1,"UN AÑO",IF(AX88&gt;=1,"DOS AÑOS"))</f>
        <v>DOS AÑOS</v>
      </c>
      <c r="AZ88" s="481"/>
      <c r="BA88" s="484"/>
      <c r="BB88" s="487"/>
      <c r="BC88" s="119" t="e">
        <f>MIN(AX21:AX164)</f>
        <v>#DIV/0!</v>
      </c>
      <c r="BD88" s="490"/>
    </row>
    <row r="89" spans="1:56" s="310" customFormat="1" ht="15.75" thickBot="1" x14ac:dyDescent="0.3">
      <c r="A89" s="321"/>
      <c r="B89" s="690"/>
      <c r="C89" s="726"/>
      <c r="D89" s="687"/>
      <c r="E89" s="687"/>
      <c r="F89" s="696"/>
      <c r="G89" s="616"/>
      <c r="H89" s="616"/>
      <c r="I89" s="234">
        <v>2</v>
      </c>
      <c r="J89" s="617"/>
      <c r="K89" s="268" t="s">
        <v>68</v>
      </c>
      <c r="L89" s="664"/>
      <c r="M89" s="237" t="s">
        <v>68</v>
      </c>
      <c r="N89" s="658"/>
      <c r="O89" s="237" t="s">
        <v>68</v>
      </c>
      <c r="P89" s="658"/>
      <c r="Q89" s="47">
        <v>9804.1</v>
      </c>
      <c r="R89" s="47" t="s">
        <v>23</v>
      </c>
      <c r="S89" s="111">
        <v>44063</v>
      </c>
      <c r="T89" s="579"/>
      <c r="U89" s="112">
        <v>9800</v>
      </c>
      <c r="V89" s="112">
        <f t="shared" si="91"/>
        <v>-4.1000000000003638</v>
      </c>
      <c r="W89" s="112">
        <f t="shared" si="92"/>
        <v>-4.1819238889855913E-2</v>
      </c>
      <c r="X89" s="112" t="s">
        <v>68</v>
      </c>
      <c r="Y89" s="112" t="s">
        <v>68</v>
      </c>
      <c r="Z89" s="112" t="s">
        <v>68</v>
      </c>
      <c r="AA89" s="112" t="s">
        <v>68</v>
      </c>
      <c r="AB89" s="112">
        <v>7.8</v>
      </c>
      <c r="AC89" s="112">
        <f t="shared" si="93"/>
        <v>7.955855203435297E-2</v>
      </c>
      <c r="AD89" s="49">
        <f t="shared" ref="AD89:AD235" si="115">(W89+AC89)</f>
        <v>3.7739313144497057E-2</v>
      </c>
      <c r="AE89" s="49">
        <f t="shared" si="105"/>
        <v>-0.12137779092420889</v>
      </c>
      <c r="AF89" s="49">
        <f t="shared" si="106"/>
        <v>3.7739313144497057E-2</v>
      </c>
      <c r="AG89" s="114">
        <v>44422</v>
      </c>
      <c r="AH89" s="581"/>
      <c r="AI89" s="115"/>
      <c r="AJ89" s="135" t="s">
        <v>68</v>
      </c>
      <c r="AK89" s="115" t="s">
        <v>68</v>
      </c>
      <c r="AL89" s="115" t="s">
        <v>68</v>
      </c>
      <c r="AM89" s="115" t="s">
        <v>68</v>
      </c>
      <c r="AN89" s="115" t="s">
        <v>68</v>
      </c>
      <c r="AO89" s="115" t="s">
        <v>68</v>
      </c>
      <c r="AP89" s="115" t="s">
        <v>68</v>
      </c>
      <c r="AQ89" s="136" t="s">
        <v>68</v>
      </c>
      <c r="AR89" s="49" t="s">
        <v>68</v>
      </c>
      <c r="AS89" s="49" t="s">
        <v>68</v>
      </c>
      <c r="AT89" s="49">
        <f t="shared" ref="AT89:AT91" si="116">MAX(AR89:AS89)</f>
        <v>0</v>
      </c>
      <c r="AU89" s="51">
        <f t="shared" si="4"/>
        <v>0.98333333333333328</v>
      </c>
      <c r="AV89" s="52">
        <f t="shared" ref="AV89:AV257" si="117">ABS(AT89-AF89)</f>
        <v>3.7739313144497057E-2</v>
      </c>
      <c r="AW89" s="116">
        <f t="shared" si="76"/>
        <v>3.8378962519827517E-2</v>
      </c>
      <c r="AX89" s="53">
        <f t="shared" si="6"/>
        <v>52.111882882888011</v>
      </c>
      <c r="AY89" s="120" t="str">
        <f t="shared" si="7"/>
        <v>DOS AÑOS</v>
      </c>
      <c r="AZ89" s="550"/>
      <c r="BA89" s="665"/>
      <c r="BB89" s="666"/>
      <c r="BC89" s="125"/>
      <c r="BD89" s="708"/>
    </row>
    <row r="90" spans="1:56" s="68" customFormat="1" x14ac:dyDescent="0.25">
      <c r="A90" s="321"/>
      <c r="B90" s="491" t="s">
        <v>215</v>
      </c>
      <c r="C90" s="494" t="s">
        <v>10</v>
      </c>
      <c r="D90" s="497" t="s">
        <v>50</v>
      </c>
      <c r="E90" s="497" t="s">
        <v>55</v>
      </c>
      <c r="F90" s="500">
        <v>180115000416</v>
      </c>
      <c r="G90" s="503" t="s">
        <v>15</v>
      </c>
      <c r="H90" s="503" t="s">
        <v>22</v>
      </c>
      <c r="I90" s="316">
        <v>2</v>
      </c>
      <c r="J90" s="506" t="s">
        <v>20</v>
      </c>
      <c r="K90" s="307" t="s">
        <v>68</v>
      </c>
      <c r="L90" s="509" t="s">
        <v>20</v>
      </c>
      <c r="M90" s="273" t="s">
        <v>68</v>
      </c>
      <c r="N90" s="524" t="s">
        <v>20</v>
      </c>
      <c r="O90" s="273" t="s">
        <v>68</v>
      </c>
      <c r="P90" s="524" t="s">
        <v>20</v>
      </c>
      <c r="Q90" s="57">
        <v>0</v>
      </c>
      <c r="R90" s="57">
        <v>399.4</v>
      </c>
      <c r="S90" s="58">
        <v>44063</v>
      </c>
      <c r="T90" s="527" t="s">
        <v>169</v>
      </c>
      <c r="U90" s="133"/>
      <c r="V90" s="133"/>
      <c r="W90" s="133"/>
      <c r="X90" s="133" t="s">
        <v>68</v>
      </c>
      <c r="Y90" s="133" t="s">
        <v>68</v>
      </c>
      <c r="Z90" s="133" t="s">
        <v>68</v>
      </c>
      <c r="AA90" s="133" t="s">
        <v>68</v>
      </c>
      <c r="AB90" s="133"/>
      <c r="AC90" s="133"/>
      <c r="AD90" s="59"/>
      <c r="AE90" s="59"/>
      <c r="AF90" s="59"/>
      <c r="AG90" s="60">
        <v>44422</v>
      </c>
      <c r="AH90" s="530">
        <v>66132</v>
      </c>
      <c r="AI90" s="84">
        <v>400</v>
      </c>
      <c r="AJ90" s="135">
        <f>AI90-R90</f>
        <v>0.60000000000002274</v>
      </c>
      <c r="AK90" s="84">
        <f>(AJ90*100)/R90</f>
        <v>0.15022533800701621</v>
      </c>
      <c r="AL90" s="84" t="s">
        <v>68</v>
      </c>
      <c r="AM90" s="84" t="s">
        <v>68</v>
      </c>
      <c r="AN90" s="84" t="s">
        <v>68</v>
      </c>
      <c r="AO90" s="84" t="s">
        <v>68</v>
      </c>
      <c r="AP90" s="134">
        <v>5.9</v>
      </c>
      <c r="AQ90" s="134">
        <f>(AP90*100)/R90</f>
        <v>1.4772158237356035</v>
      </c>
      <c r="AR90" s="59">
        <f>(AK90+AQ90)</f>
        <v>1.6274411617426197</v>
      </c>
      <c r="AS90" s="59">
        <f>(AK90-AQ90)</f>
        <v>-1.3269904857285872</v>
      </c>
      <c r="AT90" s="59">
        <f t="shared" si="116"/>
        <v>1.6274411617426197</v>
      </c>
      <c r="AU90" s="62">
        <f t="shared" ref="AU90:AU136" si="118">YEARFRAC(S90,AG90)</f>
        <v>0.98333333333333328</v>
      </c>
      <c r="AV90" s="63">
        <f>ABS(AT90+AF90)</f>
        <v>1.6274411617426197</v>
      </c>
      <c r="AW90" s="85">
        <f t="shared" ref="AW90:AW136" si="119">(AV90/AU90)</f>
        <v>1.655024910246732</v>
      </c>
      <c r="AX90" s="65">
        <f t="shared" ref="AX90" si="120">(I90/AW90)</f>
        <v>1.2084410256410212</v>
      </c>
      <c r="AY90" s="66" t="str">
        <f t="shared" ref="AY90:AY146" si="121">IF(AX90&lt;=1,"UN AÑO",IF(AX90&gt;=1,"DOS AÑOS"))</f>
        <v>DOS AÑOS</v>
      </c>
      <c r="AZ90" s="479" t="s">
        <v>10</v>
      </c>
      <c r="BA90" s="482" t="s">
        <v>56</v>
      </c>
      <c r="BB90" s="485" t="s">
        <v>34</v>
      </c>
      <c r="BC90" s="124"/>
      <c r="BD90" s="488" t="e">
        <f>#REF!</f>
        <v>#REF!</v>
      </c>
    </row>
    <row r="91" spans="1:56" s="299" customFormat="1" x14ac:dyDescent="0.25">
      <c r="A91" s="321"/>
      <c r="B91" s="492"/>
      <c r="C91" s="495"/>
      <c r="D91" s="498"/>
      <c r="E91" s="498"/>
      <c r="F91" s="501"/>
      <c r="G91" s="504"/>
      <c r="H91" s="504"/>
      <c r="I91" s="317">
        <v>2.4</v>
      </c>
      <c r="J91" s="507"/>
      <c r="K91" s="313"/>
      <c r="L91" s="510"/>
      <c r="M91" s="302"/>
      <c r="N91" s="525"/>
      <c r="O91" s="302"/>
      <c r="P91" s="525"/>
      <c r="Q91" s="241">
        <v>499.8</v>
      </c>
      <c r="R91" s="37">
        <v>500.6</v>
      </c>
      <c r="S91" s="243">
        <v>44063</v>
      </c>
      <c r="T91" s="528"/>
      <c r="U91" s="314">
        <v>500</v>
      </c>
      <c r="V91" s="314">
        <f>U91-Q91</f>
        <v>0.19999999999998863</v>
      </c>
      <c r="W91" s="314">
        <f>V91*100/Q91</f>
        <v>4.001600640255875E-2</v>
      </c>
      <c r="X91" s="314"/>
      <c r="Y91" s="314"/>
      <c r="Z91" s="314"/>
      <c r="AA91" s="314"/>
      <c r="AB91" s="314">
        <v>5.8</v>
      </c>
      <c r="AC91" s="314">
        <f>AB91*100/Q91</f>
        <v>1.1604641856742697</v>
      </c>
      <c r="AD91" s="245">
        <f>(W91+AC91)</f>
        <v>1.2004801920768284</v>
      </c>
      <c r="AE91" s="245">
        <f>(W91-AC91)</f>
        <v>-1.1204481792717109</v>
      </c>
      <c r="AF91" s="245">
        <f t="shared" ref="AF91:AF136" si="122">MAX(AD91:AE91)</f>
        <v>1.2004801920768284</v>
      </c>
      <c r="AG91" s="41">
        <v>44422</v>
      </c>
      <c r="AH91" s="531"/>
      <c r="AI91" s="94">
        <v>500</v>
      </c>
      <c r="AJ91" s="135">
        <f t="shared" ref="AJ91" si="123">AI91-R91</f>
        <v>-0.60000000000002274</v>
      </c>
      <c r="AK91" s="94">
        <f>(AJ91*100)/R91</f>
        <v>-0.11985617259289306</v>
      </c>
      <c r="AL91" s="247"/>
      <c r="AM91" s="247"/>
      <c r="AN91" s="247"/>
      <c r="AO91" s="247"/>
      <c r="AP91" s="135">
        <v>6</v>
      </c>
      <c r="AQ91" s="135">
        <f t="shared" ref="AQ91" si="124">(AP91*100)/R91</f>
        <v>1.1985617259288852</v>
      </c>
      <c r="AR91" s="40">
        <f t="shared" ref="AR91" si="125">(AK91+AQ91)</f>
        <v>1.0787055533359922</v>
      </c>
      <c r="AS91" s="40">
        <f t="shared" ref="AS91" si="126">(AK91-AQ91)</f>
        <v>-1.3184178985217783</v>
      </c>
      <c r="AT91" s="40">
        <f t="shared" si="116"/>
        <v>1.0787055533359922</v>
      </c>
      <c r="AU91" s="248">
        <f t="shared" si="118"/>
        <v>0.98333333333333328</v>
      </c>
      <c r="AV91" s="249">
        <f>ABS(AT91+AF91)</f>
        <v>2.2791857454128204</v>
      </c>
      <c r="AW91" s="250">
        <f t="shared" si="119"/>
        <v>2.3178160122842244</v>
      </c>
      <c r="AX91" s="251">
        <f>(I91/AW91)</f>
        <v>1.0354575114160087</v>
      </c>
      <c r="AY91" s="283" t="str">
        <f t="shared" si="121"/>
        <v>DOS AÑOS</v>
      </c>
      <c r="AZ91" s="480"/>
      <c r="BA91" s="483"/>
      <c r="BB91" s="486"/>
      <c r="BC91" s="315"/>
      <c r="BD91" s="489"/>
    </row>
    <row r="92" spans="1:56" s="73" customFormat="1" x14ac:dyDescent="0.25">
      <c r="A92" s="321"/>
      <c r="B92" s="493"/>
      <c r="C92" s="496"/>
      <c r="D92" s="499"/>
      <c r="E92" s="499"/>
      <c r="F92" s="502"/>
      <c r="G92" s="505"/>
      <c r="H92" s="505"/>
      <c r="I92" s="276">
        <v>2</v>
      </c>
      <c r="J92" s="508"/>
      <c r="K92" s="308" t="s">
        <v>68</v>
      </c>
      <c r="L92" s="511"/>
      <c r="M92" s="274"/>
      <c r="N92" s="526"/>
      <c r="O92" s="274"/>
      <c r="P92" s="526"/>
      <c r="Q92" s="37">
        <v>700.8</v>
      </c>
      <c r="R92" s="37"/>
      <c r="S92" s="38">
        <v>44063</v>
      </c>
      <c r="T92" s="529"/>
      <c r="U92" s="96">
        <v>700</v>
      </c>
      <c r="V92" s="96">
        <f>U92-Q92</f>
        <v>-0.79999999999995453</v>
      </c>
      <c r="W92" s="96">
        <f>V92*100/Q92</f>
        <v>-0.11415525114154602</v>
      </c>
      <c r="X92" s="96"/>
      <c r="Y92" s="96"/>
      <c r="Z92" s="96"/>
      <c r="AA92" s="96"/>
      <c r="AB92" s="96">
        <v>5.8</v>
      </c>
      <c r="AC92" s="96">
        <f>AB92*100/Q92</f>
        <v>0.82762557077625576</v>
      </c>
      <c r="AD92" s="40">
        <f t="shared" ref="AD92:AD100" si="127">(W92+AC92)</f>
        <v>0.71347031963470975</v>
      </c>
      <c r="AE92" s="40">
        <f t="shared" ref="AE92:AE102" si="128">(W92-AC92)</f>
        <v>-0.94178082191780177</v>
      </c>
      <c r="AF92" s="40">
        <f t="shared" si="122"/>
        <v>0.71347031963470975</v>
      </c>
      <c r="AG92" s="41">
        <v>44422</v>
      </c>
      <c r="AH92" s="532"/>
      <c r="AI92" s="94"/>
      <c r="AJ92" s="135"/>
      <c r="AK92" s="94"/>
      <c r="AL92" s="94"/>
      <c r="AM92" s="94"/>
      <c r="AN92" s="94"/>
      <c r="AO92" s="94"/>
      <c r="AP92" s="135"/>
      <c r="AQ92" s="135"/>
      <c r="AR92" s="40"/>
      <c r="AS92" s="40"/>
      <c r="AT92" s="40"/>
      <c r="AU92" s="43">
        <f t="shared" si="118"/>
        <v>0.98333333333333328</v>
      </c>
      <c r="AV92" s="44">
        <f t="shared" ref="AV92:AV101" si="129">ABS(AT92+AF92)</f>
        <v>0.71347031963470975</v>
      </c>
      <c r="AW92" s="95">
        <f t="shared" si="119"/>
        <v>0.72556303691665402</v>
      </c>
      <c r="AX92" s="46">
        <f t="shared" ref="AX92:AX136" si="130">(I92/AW92)</f>
        <v>2.7564799999999745</v>
      </c>
      <c r="AY92" s="72" t="str">
        <f t="shared" si="121"/>
        <v>DOS AÑOS</v>
      </c>
      <c r="AZ92" s="481"/>
      <c r="BA92" s="484"/>
      <c r="BB92" s="487"/>
      <c r="BC92" s="119"/>
      <c r="BD92" s="490"/>
    </row>
    <row r="93" spans="1:56" s="73" customFormat="1" x14ac:dyDescent="0.25">
      <c r="A93" s="321"/>
      <c r="B93" s="493"/>
      <c r="C93" s="496"/>
      <c r="D93" s="499"/>
      <c r="E93" s="499"/>
      <c r="F93" s="502"/>
      <c r="G93" s="505"/>
      <c r="H93" s="505"/>
      <c r="I93" s="276">
        <v>2</v>
      </c>
      <c r="J93" s="508"/>
      <c r="K93" s="308" t="s">
        <v>68</v>
      </c>
      <c r="L93" s="511"/>
      <c r="M93" s="274"/>
      <c r="N93" s="526"/>
      <c r="O93" s="274"/>
      <c r="P93" s="526"/>
      <c r="Q93" s="37">
        <v>898.2</v>
      </c>
      <c r="R93" s="37">
        <v>800.7</v>
      </c>
      <c r="S93" s="38">
        <v>44063</v>
      </c>
      <c r="T93" s="529"/>
      <c r="U93" s="96">
        <v>900</v>
      </c>
      <c r="V93" s="96">
        <f t="shared" ref="V93:V102" si="131">U93-Q93</f>
        <v>1.7999999999999545</v>
      </c>
      <c r="W93" s="96">
        <f t="shared" ref="W93:W102" si="132">V93*100/Q93</f>
        <v>0.20040080160320134</v>
      </c>
      <c r="X93" s="96"/>
      <c r="Y93" s="96"/>
      <c r="Z93" s="96"/>
      <c r="AA93" s="96"/>
      <c r="AB93" s="96">
        <v>5.8</v>
      </c>
      <c r="AC93" s="96">
        <f t="shared" ref="AC93:AC102" si="133">AB93*100/Q93</f>
        <v>0.64573591627699845</v>
      </c>
      <c r="AD93" s="40">
        <f t="shared" si="127"/>
        <v>0.84613671788019973</v>
      </c>
      <c r="AE93" s="40">
        <f t="shared" si="128"/>
        <v>-0.44533511467379711</v>
      </c>
      <c r="AF93" s="40">
        <f t="shared" si="122"/>
        <v>0.84613671788019973</v>
      </c>
      <c r="AG93" s="41">
        <v>44422</v>
      </c>
      <c r="AH93" s="532"/>
      <c r="AI93" s="94">
        <v>800</v>
      </c>
      <c r="AJ93" s="135">
        <f t="shared" ref="AJ93:AJ99" si="134">AI93-R93</f>
        <v>-0.70000000000004547</v>
      </c>
      <c r="AK93" s="94">
        <f t="shared" ref="AK93:AK99" si="135">(AJ93*100)/R93</f>
        <v>-8.7423504433626259E-2</v>
      </c>
      <c r="AL93" s="94"/>
      <c r="AM93" s="94"/>
      <c r="AN93" s="94"/>
      <c r="AO93" s="94"/>
      <c r="AP93" s="135">
        <v>6.5</v>
      </c>
      <c r="AQ93" s="135">
        <f t="shared" ref="AQ93:AQ99" si="136">(AP93*100)/R93</f>
        <v>0.81178968402647678</v>
      </c>
      <c r="AR93" s="245">
        <f t="shared" ref="AR93:AR99" si="137">(AK93+AQ93)</f>
        <v>0.72436617959285055</v>
      </c>
      <c r="AS93" s="245">
        <f t="shared" ref="AS93:AS99" si="138">(AK93-AQ93)</f>
        <v>-0.89921318846010301</v>
      </c>
      <c r="AT93" s="245">
        <f t="shared" ref="AT93:AT99" si="139">MAX(AR93:AS93)</f>
        <v>0.72436617959285055</v>
      </c>
      <c r="AU93" s="248">
        <f t="shared" si="118"/>
        <v>0.98333333333333328</v>
      </c>
      <c r="AV93" s="249">
        <f t="shared" si="129"/>
        <v>1.5705028974730504</v>
      </c>
      <c r="AW93" s="250">
        <f t="shared" si="119"/>
        <v>1.5971215906505598</v>
      </c>
      <c r="AX93" s="251">
        <f t="shared" si="130"/>
        <v>1.2522528101228252</v>
      </c>
      <c r="AY93" s="283" t="str">
        <f t="shared" si="121"/>
        <v>DOS AÑOS</v>
      </c>
      <c r="AZ93" s="481"/>
      <c r="BA93" s="484"/>
      <c r="BB93" s="487"/>
      <c r="BC93" s="119"/>
      <c r="BD93" s="490"/>
    </row>
    <row r="94" spans="1:56" s="73" customFormat="1" x14ac:dyDescent="0.25">
      <c r="A94" s="321"/>
      <c r="B94" s="493"/>
      <c r="C94" s="496"/>
      <c r="D94" s="499"/>
      <c r="E94" s="499"/>
      <c r="F94" s="502"/>
      <c r="G94" s="505"/>
      <c r="H94" s="505"/>
      <c r="I94" s="276">
        <v>2</v>
      </c>
      <c r="J94" s="508"/>
      <c r="K94" s="308" t="s">
        <v>68</v>
      </c>
      <c r="L94" s="511"/>
      <c r="M94" s="274"/>
      <c r="N94" s="526"/>
      <c r="O94" s="274"/>
      <c r="P94" s="526"/>
      <c r="Q94" s="37">
        <v>1792.8</v>
      </c>
      <c r="R94" s="37">
        <v>997.5</v>
      </c>
      <c r="S94" s="38">
        <v>44063</v>
      </c>
      <c r="T94" s="529"/>
      <c r="U94" s="96">
        <v>1800</v>
      </c>
      <c r="V94" s="96">
        <f t="shared" si="131"/>
        <v>7.2000000000000455</v>
      </c>
      <c r="W94" s="96">
        <f t="shared" si="132"/>
        <v>0.4016064257028138</v>
      </c>
      <c r="X94" s="96"/>
      <c r="Y94" s="96"/>
      <c r="Z94" s="96"/>
      <c r="AA94" s="96"/>
      <c r="AB94" s="96">
        <v>5.8</v>
      </c>
      <c r="AC94" s="96">
        <f t="shared" si="133"/>
        <v>0.32351628737170907</v>
      </c>
      <c r="AD94" s="40">
        <f t="shared" si="127"/>
        <v>0.72512271307452281</v>
      </c>
      <c r="AE94" s="40">
        <f t="shared" si="128"/>
        <v>7.809013833110473E-2</v>
      </c>
      <c r="AF94" s="40">
        <f t="shared" si="122"/>
        <v>0.72512271307452281</v>
      </c>
      <c r="AG94" s="41">
        <v>44422</v>
      </c>
      <c r="AH94" s="532"/>
      <c r="AI94" s="94">
        <v>1000</v>
      </c>
      <c r="AJ94" s="135">
        <f t="shared" si="134"/>
        <v>2.5</v>
      </c>
      <c r="AK94" s="94">
        <f t="shared" si="135"/>
        <v>0.25062656641604009</v>
      </c>
      <c r="AL94" s="94"/>
      <c r="AM94" s="94"/>
      <c r="AN94" s="94"/>
      <c r="AO94" s="94"/>
      <c r="AP94" s="135">
        <v>7</v>
      </c>
      <c r="AQ94" s="135">
        <f t="shared" si="136"/>
        <v>0.70175438596491224</v>
      </c>
      <c r="AR94" s="40">
        <f t="shared" si="137"/>
        <v>0.95238095238095233</v>
      </c>
      <c r="AS94" s="40">
        <f t="shared" si="138"/>
        <v>-0.45112781954887216</v>
      </c>
      <c r="AT94" s="40">
        <f t="shared" si="139"/>
        <v>0.95238095238095233</v>
      </c>
      <c r="AU94" s="43">
        <f t="shared" si="118"/>
        <v>0.98333333333333328</v>
      </c>
      <c r="AV94" s="44">
        <f t="shared" si="129"/>
        <v>1.6775036654554751</v>
      </c>
      <c r="AW94" s="95">
        <f t="shared" si="119"/>
        <v>1.7059359309716697</v>
      </c>
      <c r="AX94" s="46">
        <f t="shared" si="130"/>
        <v>1.1723769713091374</v>
      </c>
      <c r="AY94" s="72" t="str">
        <f t="shared" si="121"/>
        <v>DOS AÑOS</v>
      </c>
      <c r="AZ94" s="481"/>
      <c r="BA94" s="484"/>
      <c r="BB94" s="487"/>
      <c r="BC94" s="119"/>
      <c r="BD94" s="490"/>
    </row>
    <row r="95" spans="1:56" s="73" customFormat="1" x14ac:dyDescent="0.25">
      <c r="A95" s="321"/>
      <c r="B95" s="493"/>
      <c r="C95" s="496"/>
      <c r="D95" s="499"/>
      <c r="E95" s="499"/>
      <c r="F95" s="502"/>
      <c r="G95" s="505"/>
      <c r="H95" s="505"/>
      <c r="I95" s="276">
        <v>2</v>
      </c>
      <c r="J95" s="508"/>
      <c r="K95" s="308" t="s">
        <v>68</v>
      </c>
      <c r="L95" s="511"/>
      <c r="M95" s="274"/>
      <c r="N95" s="526"/>
      <c r="O95" s="274"/>
      <c r="P95" s="526"/>
      <c r="Q95" s="37">
        <v>2798.4</v>
      </c>
      <c r="R95" s="37">
        <v>1800</v>
      </c>
      <c r="S95" s="38">
        <v>44063</v>
      </c>
      <c r="T95" s="529"/>
      <c r="U95" s="96">
        <v>2800</v>
      </c>
      <c r="V95" s="96">
        <f t="shared" si="131"/>
        <v>1.5999999999999091</v>
      </c>
      <c r="W95" s="96">
        <f t="shared" si="132"/>
        <v>5.7175528873638831E-2</v>
      </c>
      <c r="X95" s="96"/>
      <c r="Y95" s="96"/>
      <c r="Z95" s="96"/>
      <c r="AA95" s="96"/>
      <c r="AB95" s="96">
        <v>5.8</v>
      </c>
      <c r="AC95" s="96">
        <f t="shared" si="133"/>
        <v>0.20726129216695255</v>
      </c>
      <c r="AD95" s="40">
        <f t="shared" si="127"/>
        <v>0.26443682104059141</v>
      </c>
      <c r="AE95" s="40">
        <f t="shared" si="128"/>
        <v>-0.15008576329331372</v>
      </c>
      <c r="AF95" s="40">
        <f t="shared" si="122"/>
        <v>0.26443682104059141</v>
      </c>
      <c r="AG95" s="41">
        <v>44422</v>
      </c>
      <c r="AH95" s="532"/>
      <c r="AI95" s="94">
        <v>1810</v>
      </c>
      <c r="AJ95" s="135">
        <f t="shared" si="134"/>
        <v>10</v>
      </c>
      <c r="AK95" s="94">
        <f t="shared" si="135"/>
        <v>0.55555555555555558</v>
      </c>
      <c r="AL95" s="94"/>
      <c r="AM95" s="94"/>
      <c r="AN95" s="94"/>
      <c r="AO95" s="94"/>
      <c r="AP95" s="135">
        <v>9.1999999999999993</v>
      </c>
      <c r="AQ95" s="135">
        <f t="shared" si="136"/>
        <v>0.51111111111111107</v>
      </c>
      <c r="AR95" s="40">
        <f t="shared" si="137"/>
        <v>1.0666666666666667</v>
      </c>
      <c r="AS95" s="40">
        <f t="shared" si="138"/>
        <v>4.4444444444444509E-2</v>
      </c>
      <c r="AT95" s="40">
        <f t="shared" si="139"/>
        <v>1.0666666666666667</v>
      </c>
      <c r="AU95" s="43">
        <f t="shared" si="118"/>
        <v>0.98333333333333328</v>
      </c>
      <c r="AV95" s="44">
        <f t="shared" si="129"/>
        <v>1.3311034877072581</v>
      </c>
      <c r="AW95" s="95">
        <f t="shared" si="119"/>
        <v>1.353664563770093</v>
      </c>
      <c r="AX95" s="46">
        <f t="shared" si="130"/>
        <v>1.4774708990163687</v>
      </c>
      <c r="AY95" s="72" t="str">
        <f t="shared" si="121"/>
        <v>DOS AÑOS</v>
      </c>
      <c r="AZ95" s="481"/>
      <c r="BA95" s="484"/>
      <c r="BB95" s="487"/>
      <c r="BC95" s="119"/>
      <c r="BD95" s="490"/>
    </row>
    <row r="96" spans="1:56" s="73" customFormat="1" x14ac:dyDescent="0.25">
      <c r="A96" s="321"/>
      <c r="B96" s="493"/>
      <c r="C96" s="496"/>
      <c r="D96" s="499"/>
      <c r="E96" s="499"/>
      <c r="F96" s="502"/>
      <c r="G96" s="505"/>
      <c r="H96" s="505"/>
      <c r="I96" s="276">
        <v>2</v>
      </c>
      <c r="J96" s="508"/>
      <c r="K96" s="308" t="s">
        <v>68</v>
      </c>
      <c r="L96" s="511"/>
      <c r="M96" s="274"/>
      <c r="N96" s="526"/>
      <c r="O96" s="274"/>
      <c r="P96" s="526"/>
      <c r="Q96" s="37">
        <v>3800.1</v>
      </c>
      <c r="R96" s="37">
        <v>2499</v>
      </c>
      <c r="S96" s="38">
        <v>44063</v>
      </c>
      <c r="T96" s="529"/>
      <c r="U96" s="96">
        <v>3800</v>
      </c>
      <c r="V96" s="96">
        <f t="shared" si="131"/>
        <v>-9.9999999999909051E-2</v>
      </c>
      <c r="W96" s="96">
        <f t="shared" si="132"/>
        <v>-2.6315096971108406E-3</v>
      </c>
      <c r="X96" s="96"/>
      <c r="Y96" s="96"/>
      <c r="Z96" s="96"/>
      <c r="AA96" s="96"/>
      <c r="AB96" s="96">
        <v>5.8</v>
      </c>
      <c r="AC96" s="96">
        <f t="shared" si="133"/>
        <v>0.15262756243256756</v>
      </c>
      <c r="AD96" s="40">
        <f t="shared" si="127"/>
        <v>0.14999605273545671</v>
      </c>
      <c r="AE96" s="40">
        <f t="shared" si="128"/>
        <v>-0.1552590721296784</v>
      </c>
      <c r="AF96" s="40">
        <f t="shared" si="122"/>
        <v>0.14999605273545671</v>
      </c>
      <c r="AG96" s="41">
        <v>44422</v>
      </c>
      <c r="AH96" s="532"/>
      <c r="AI96" s="94">
        <v>2530</v>
      </c>
      <c r="AJ96" s="135">
        <f t="shared" si="134"/>
        <v>31</v>
      </c>
      <c r="AK96" s="94">
        <f t="shared" si="135"/>
        <v>1.2404961984793919</v>
      </c>
      <c r="AL96" s="94"/>
      <c r="AM96" s="94"/>
      <c r="AN96" s="94"/>
      <c r="AO96" s="94"/>
      <c r="AP96" s="135">
        <v>12</v>
      </c>
      <c r="AQ96" s="135">
        <f t="shared" si="136"/>
        <v>0.48019207683073228</v>
      </c>
      <c r="AR96" s="40">
        <f t="shared" si="137"/>
        <v>1.720688275310124</v>
      </c>
      <c r="AS96" s="40">
        <f t="shared" si="138"/>
        <v>0.76030412164865957</v>
      </c>
      <c r="AT96" s="40">
        <f t="shared" si="139"/>
        <v>1.720688275310124</v>
      </c>
      <c r="AU96" s="43">
        <f t="shared" si="118"/>
        <v>0.98333333333333328</v>
      </c>
      <c r="AV96" s="44">
        <f t="shared" si="129"/>
        <v>1.8706843280455807</v>
      </c>
      <c r="AW96" s="95">
        <f t="shared" si="119"/>
        <v>1.9023908420802518</v>
      </c>
      <c r="AX96" s="46">
        <f t="shared" si="130"/>
        <v>1.0513086773551819</v>
      </c>
      <c r="AY96" s="72" t="str">
        <f t="shared" si="121"/>
        <v>DOS AÑOS</v>
      </c>
      <c r="AZ96" s="481"/>
      <c r="BA96" s="484"/>
      <c r="BB96" s="487"/>
      <c r="BC96" s="119"/>
      <c r="BD96" s="490"/>
    </row>
    <row r="97" spans="1:56" s="73" customFormat="1" x14ac:dyDescent="0.25">
      <c r="A97" s="321"/>
      <c r="B97" s="493"/>
      <c r="C97" s="496"/>
      <c r="D97" s="499"/>
      <c r="E97" s="499"/>
      <c r="F97" s="502"/>
      <c r="G97" s="505"/>
      <c r="H97" s="505"/>
      <c r="I97" s="276">
        <v>2</v>
      </c>
      <c r="J97" s="508"/>
      <c r="K97" s="308" t="s">
        <v>68</v>
      </c>
      <c r="L97" s="511"/>
      <c r="M97" s="274"/>
      <c r="N97" s="526"/>
      <c r="O97" s="274"/>
      <c r="P97" s="526"/>
      <c r="Q97" s="37">
        <v>4800</v>
      </c>
      <c r="R97" s="37">
        <v>3000</v>
      </c>
      <c r="S97" s="38">
        <v>44063</v>
      </c>
      <c r="T97" s="529"/>
      <c r="U97" s="96">
        <v>4800</v>
      </c>
      <c r="V97" s="96">
        <f t="shared" si="131"/>
        <v>0</v>
      </c>
      <c r="W97" s="96">
        <f t="shared" si="132"/>
        <v>0</v>
      </c>
      <c r="X97" s="96"/>
      <c r="Y97" s="96"/>
      <c r="Z97" s="96"/>
      <c r="AA97" s="96"/>
      <c r="AB97" s="96">
        <v>5.8</v>
      </c>
      <c r="AC97" s="96">
        <f t="shared" si="133"/>
        <v>0.12083333333333333</v>
      </c>
      <c r="AD97" s="40">
        <f t="shared" si="127"/>
        <v>0.12083333333333333</v>
      </c>
      <c r="AE97" s="40">
        <f t="shared" si="128"/>
        <v>-0.12083333333333333</v>
      </c>
      <c r="AF97" s="40">
        <f t="shared" si="122"/>
        <v>0.12083333333333333</v>
      </c>
      <c r="AG97" s="41">
        <v>44412</v>
      </c>
      <c r="AH97" s="532"/>
      <c r="AI97" s="94">
        <v>3030</v>
      </c>
      <c r="AJ97" s="135">
        <f t="shared" si="134"/>
        <v>30</v>
      </c>
      <c r="AK97" s="94">
        <f t="shared" si="135"/>
        <v>1</v>
      </c>
      <c r="AL97" s="94"/>
      <c r="AM97" s="94"/>
      <c r="AN97" s="94"/>
      <c r="AO97" s="94"/>
      <c r="AP97" s="135">
        <v>13</v>
      </c>
      <c r="AQ97" s="135">
        <f t="shared" si="136"/>
        <v>0.43333333333333335</v>
      </c>
      <c r="AR97" s="40">
        <f t="shared" si="137"/>
        <v>1.4333333333333333</v>
      </c>
      <c r="AS97" s="40">
        <f t="shared" si="138"/>
        <v>0.56666666666666665</v>
      </c>
      <c r="AT97" s="40">
        <f t="shared" si="139"/>
        <v>1.4333333333333333</v>
      </c>
      <c r="AU97" s="43">
        <f t="shared" si="118"/>
        <v>0.9555555555555556</v>
      </c>
      <c r="AV97" s="44">
        <f t="shared" si="129"/>
        <v>1.5541666666666667</v>
      </c>
      <c r="AW97" s="95">
        <f t="shared" si="119"/>
        <v>1.6264534883720929</v>
      </c>
      <c r="AX97" s="46">
        <f t="shared" si="130"/>
        <v>1.2296693476318141</v>
      </c>
      <c r="AY97" s="72" t="str">
        <f t="shared" si="121"/>
        <v>DOS AÑOS</v>
      </c>
      <c r="AZ97" s="481"/>
      <c r="BA97" s="484"/>
      <c r="BB97" s="487"/>
      <c r="BC97" s="119"/>
      <c r="BD97" s="490"/>
    </row>
    <row r="98" spans="1:56" s="73" customFormat="1" x14ac:dyDescent="0.25">
      <c r="A98" s="321"/>
      <c r="B98" s="493"/>
      <c r="C98" s="496"/>
      <c r="D98" s="499"/>
      <c r="E98" s="499"/>
      <c r="F98" s="502"/>
      <c r="G98" s="505"/>
      <c r="H98" s="505"/>
      <c r="I98" s="276">
        <v>2</v>
      </c>
      <c r="J98" s="508"/>
      <c r="K98" s="308" t="s">
        <v>68</v>
      </c>
      <c r="L98" s="511"/>
      <c r="M98" s="274"/>
      <c r="N98" s="526"/>
      <c r="O98" s="274"/>
      <c r="P98" s="526"/>
      <c r="Q98" s="37">
        <v>5800.1</v>
      </c>
      <c r="R98" s="37">
        <v>3999</v>
      </c>
      <c r="S98" s="38">
        <v>44063</v>
      </c>
      <c r="T98" s="529"/>
      <c r="U98" s="96">
        <v>5800</v>
      </c>
      <c r="V98" s="96">
        <f t="shared" si="131"/>
        <v>-0.1000000000003638</v>
      </c>
      <c r="W98" s="96">
        <f t="shared" si="132"/>
        <v>-1.7241082050372199E-3</v>
      </c>
      <c r="X98" s="96"/>
      <c r="Y98" s="96"/>
      <c r="Z98" s="96"/>
      <c r="AA98" s="96"/>
      <c r="AB98" s="96">
        <v>7.8</v>
      </c>
      <c r="AC98" s="96">
        <f t="shared" si="133"/>
        <v>0.13448043999241391</v>
      </c>
      <c r="AD98" s="40">
        <f t="shared" si="127"/>
        <v>0.1327563317873767</v>
      </c>
      <c r="AE98" s="40">
        <f t="shared" si="128"/>
        <v>-0.13620454819745112</v>
      </c>
      <c r="AF98" s="40">
        <f t="shared" si="122"/>
        <v>0.1327563317873767</v>
      </c>
      <c r="AG98" s="41">
        <v>44422</v>
      </c>
      <c r="AH98" s="532"/>
      <c r="AI98" s="94">
        <v>4050</v>
      </c>
      <c r="AJ98" s="135">
        <f t="shared" si="134"/>
        <v>51</v>
      </c>
      <c r="AK98" s="94">
        <f t="shared" si="135"/>
        <v>1.2753188297074269</v>
      </c>
      <c r="AL98" s="94"/>
      <c r="AM98" s="94"/>
      <c r="AN98" s="94"/>
      <c r="AO98" s="94"/>
      <c r="AP98" s="135">
        <v>17</v>
      </c>
      <c r="AQ98" s="135">
        <f t="shared" si="136"/>
        <v>0.42510627656914229</v>
      </c>
      <c r="AR98" s="40">
        <f t="shared" si="137"/>
        <v>1.7004251062765692</v>
      </c>
      <c r="AS98" s="40">
        <f t="shared" si="138"/>
        <v>0.8502125531382847</v>
      </c>
      <c r="AT98" s="40">
        <f t="shared" si="139"/>
        <v>1.7004251062765692</v>
      </c>
      <c r="AU98" s="43">
        <f t="shared" si="118"/>
        <v>0.98333333333333328</v>
      </c>
      <c r="AV98" s="44">
        <f t="shared" si="129"/>
        <v>1.833181438063946</v>
      </c>
      <c r="AW98" s="95">
        <f t="shared" si="119"/>
        <v>1.8642523098955384</v>
      </c>
      <c r="AX98" s="46">
        <f t="shared" si="130"/>
        <v>1.0728161576541473</v>
      </c>
      <c r="AY98" s="72" t="str">
        <f t="shared" si="121"/>
        <v>DOS AÑOS</v>
      </c>
      <c r="AZ98" s="481"/>
      <c r="BA98" s="484"/>
      <c r="BB98" s="487"/>
      <c r="BC98" s="119"/>
      <c r="BD98" s="490"/>
    </row>
    <row r="99" spans="1:56" s="73" customFormat="1" x14ac:dyDescent="0.25">
      <c r="A99" s="321"/>
      <c r="B99" s="493"/>
      <c r="C99" s="496"/>
      <c r="D99" s="499"/>
      <c r="E99" s="499"/>
      <c r="F99" s="502"/>
      <c r="G99" s="505"/>
      <c r="H99" s="505"/>
      <c r="I99" s="276">
        <v>2</v>
      </c>
      <c r="J99" s="508"/>
      <c r="K99" s="308" t="s">
        <v>68</v>
      </c>
      <c r="L99" s="511"/>
      <c r="M99" s="274"/>
      <c r="N99" s="526"/>
      <c r="O99" s="274"/>
      <c r="P99" s="526"/>
      <c r="Q99" s="37">
        <v>6800</v>
      </c>
      <c r="R99" s="37">
        <v>7001</v>
      </c>
      <c r="S99" s="38">
        <v>44063</v>
      </c>
      <c r="T99" s="529"/>
      <c r="U99" s="96">
        <v>6790</v>
      </c>
      <c r="V99" s="96">
        <f t="shared" si="131"/>
        <v>-10</v>
      </c>
      <c r="W99" s="96">
        <f t="shared" si="132"/>
        <v>-0.14705882352941177</v>
      </c>
      <c r="X99" s="96"/>
      <c r="Y99" s="96"/>
      <c r="Z99" s="96"/>
      <c r="AA99" s="96"/>
      <c r="AB99" s="96">
        <v>7.8</v>
      </c>
      <c r="AC99" s="96">
        <f t="shared" si="133"/>
        <v>0.11470588235294117</v>
      </c>
      <c r="AD99" s="40">
        <f t="shared" si="127"/>
        <v>-3.2352941176470598E-2</v>
      </c>
      <c r="AE99" s="40">
        <f t="shared" si="128"/>
        <v>-0.26176470588235295</v>
      </c>
      <c r="AF99" s="40">
        <f t="shared" si="122"/>
        <v>-3.2352941176470598E-2</v>
      </c>
      <c r="AG99" s="41">
        <v>44422</v>
      </c>
      <c r="AH99" s="532"/>
      <c r="AI99" s="94">
        <v>7030</v>
      </c>
      <c r="AJ99" s="135">
        <f t="shared" si="134"/>
        <v>29</v>
      </c>
      <c r="AK99" s="94">
        <f t="shared" si="135"/>
        <v>0.41422653906584772</v>
      </c>
      <c r="AL99" s="94"/>
      <c r="AM99" s="94"/>
      <c r="AN99" s="94"/>
      <c r="AO99" s="94"/>
      <c r="AP99" s="135">
        <v>29</v>
      </c>
      <c r="AQ99" s="135">
        <f t="shared" si="136"/>
        <v>0.41422653906584772</v>
      </c>
      <c r="AR99" s="40">
        <f t="shared" si="137"/>
        <v>0.82845307813169544</v>
      </c>
      <c r="AS99" s="40">
        <f t="shared" si="138"/>
        <v>0</v>
      </c>
      <c r="AT99" s="40">
        <f t="shared" si="139"/>
        <v>0.82845307813169544</v>
      </c>
      <c r="AU99" s="43">
        <f t="shared" si="118"/>
        <v>0.98333333333333328</v>
      </c>
      <c r="AV99" s="44">
        <f t="shared" si="129"/>
        <v>0.79610013695522486</v>
      </c>
      <c r="AW99" s="95">
        <f t="shared" si="119"/>
        <v>0.80959335961548295</v>
      </c>
      <c r="AX99" s="46">
        <f t="shared" si="130"/>
        <v>2.4703759933874725</v>
      </c>
      <c r="AY99" s="72" t="str">
        <f t="shared" si="121"/>
        <v>DOS AÑOS</v>
      </c>
      <c r="AZ99" s="481"/>
      <c r="BA99" s="484"/>
      <c r="BB99" s="487"/>
      <c r="BC99" s="119"/>
      <c r="BD99" s="490"/>
    </row>
    <row r="100" spans="1:56" s="73" customFormat="1" x14ac:dyDescent="0.25">
      <c r="A100" s="321"/>
      <c r="B100" s="493"/>
      <c r="C100" s="496"/>
      <c r="D100" s="499"/>
      <c r="E100" s="499"/>
      <c r="F100" s="502"/>
      <c r="G100" s="505"/>
      <c r="H100" s="505"/>
      <c r="I100" s="276">
        <v>2</v>
      </c>
      <c r="J100" s="508"/>
      <c r="K100" s="308" t="s">
        <v>68</v>
      </c>
      <c r="L100" s="511"/>
      <c r="M100" s="274"/>
      <c r="N100" s="526"/>
      <c r="O100" s="274"/>
      <c r="P100" s="526"/>
      <c r="Q100" s="37">
        <v>7799.9</v>
      </c>
      <c r="R100" s="37"/>
      <c r="S100" s="38">
        <v>44063</v>
      </c>
      <c r="T100" s="529"/>
      <c r="U100" s="96">
        <v>7790</v>
      </c>
      <c r="V100" s="96">
        <f t="shared" si="131"/>
        <v>-9.8999999999996362</v>
      </c>
      <c r="W100" s="96">
        <f t="shared" si="132"/>
        <v>-0.12692470416286922</v>
      </c>
      <c r="X100" s="96"/>
      <c r="Y100" s="96"/>
      <c r="Z100" s="96"/>
      <c r="AA100" s="96"/>
      <c r="AB100" s="96">
        <v>7.8</v>
      </c>
      <c r="AC100" s="96">
        <f t="shared" si="133"/>
        <v>0.10000128206771883</v>
      </c>
      <c r="AD100" s="40">
        <f t="shared" si="127"/>
        <v>-2.692342209515039E-2</v>
      </c>
      <c r="AE100" s="40">
        <f t="shared" si="128"/>
        <v>-0.22692598623058804</v>
      </c>
      <c r="AF100" s="40">
        <f t="shared" si="122"/>
        <v>-2.692342209515039E-2</v>
      </c>
      <c r="AG100" s="41">
        <v>44422</v>
      </c>
      <c r="AH100" s="532"/>
      <c r="AI100" s="94"/>
      <c r="AJ100" s="135" t="s">
        <v>68</v>
      </c>
      <c r="AK100" s="94" t="s">
        <v>68</v>
      </c>
      <c r="AL100" s="94"/>
      <c r="AM100" s="94"/>
      <c r="AN100" s="94"/>
      <c r="AO100" s="94"/>
      <c r="AP100" s="135" t="s">
        <v>68</v>
      </c>
      <c r="AQ100" s="135" t="s">
        <v>68</v>
      </c>
      <c r="AR100" s="40"/>
      <c r="AS100" s="40"/>
      <c r="AT100" s="40">
        <v>0</v>
      </c>
      <c r="AU100" s="43">
        <f t="shared" si="118"/>
        <v>0.98333333333333328</v>
      </c>
      <c r="AV100" s="44">
        <f t="shared" si="129"/>
        <v>2.692342209515039E-2</v>
      </c>
      <c r="AW100" s="95">
        <f t="shared" si="119"/>
        <v>2.7379751283203788E-2</v>
      </c>
      <c r="AX100" s="46">
        <f t="shared" si="130"/>
        <v>73.046682539695226</v>
      </c>
      <c r="AY100" s="72" t="str">
        <f t="shared" si="121"/>
        <v>DOS AÑOS</v>
      </c>
      <c r="AZ100" s="481"/>
      <c r="BA100" s="484"/>
      <c r="BB100" s="487"/>
      <c r="BC100" s="119"/>
      <c r="BD100" s="490"/>
    </row>
    <row r="101" spans="1:56" s="73" customFormat="1" x14ac:dyDescent="0.25">
      <c r="A101" s="321"/>
      <c r="B101" s="493"/>
      <c r="C101" s="496"/>
      <c r="D101" s="499"/>
      <c r="E101" s="499"/>
      <c r="F101" s="502"/>
      <c r="G101" s="505"/>
      <c r="H101" s="505"/>
      <c r="I101" s="276">
        <v>2</v>
      </c>
      <c r="J101" s="508"/>
      <c r="K101" s="308" t="s">
        <v>68</v>
      </c>
      <c r="L101" s="511"/>
      <c r="M101" s="274" t="s">
        <v>68</v>
      </c>
      <c r="N101" s="526"/>
      <c r="O101" s="274" t="s">
        <v>68</v>
      </c>
      <c r="P101" s="526"/>
      <c r="Q101" s="37">
        <v>9000.2000000000007</v>
      </c>
      <c r="R101" s="37">
        <v>9004</v>
      </c>
      <c r="S101" s="38">
        <v>44063</v>
      </c>
      <c r="T101" s="529"/>
      <c r="U101" s="96">
        <v>9000</v>
      </c>
      <c r="V101" s="96">
        <f t="shared" si="131"/>
        <v>-0.2000000000007276</v>
      </c>
      <c r="W101" s="96">
        <f t="shared" si="132"/>
        <v>-2.222172840611626E-3</v>
      </c>
      <c r="X101" s="96" t="s">
        <v>68</v>
      </c>
      <c r="Y101" s="96" t="s">
        <v>68</v>
      </c>
      <c r="Z101" s="96" t="s">
        <v>68</v>
      </c>
      <c r="AA101" s="96" t="s">
        <v>68</v>
      </c>
      <c r="AB101" s="96">
        <v>7.8</v>
      </c>
      <c r="AC101" s="96">
        <f t="shared" si="133"/>
        <v>8.6664740783538141E-2</v>
      </c>
      <c r="AD101" s="40">
        <f>(W101+AC101)</f>
        <v>8.4442567942926511E-2</v>
      </c>
      <c r="AE101" s="40">
        <f t="shared" si="128"/>
        <v>-8.8886913624149771E-2</v>
      </c>
      <c r="AF101" s="40">
        <f t="shared" si="122"/>
        <v>8.4442567942926511E-2</v>
      </c>
      <c r="AG101" s="41">
        <v>44422</v>
      </c>
      <c r="AH101" s="532"/>
      <c r="AI101" s="94">
        <v>9030</v>
      </c>
      <c r="AJ101" s="135">
        <f t="shared" ref="AJ101" si="140">AI101-R101</f>
        <v>26</v>
      </c>
      <c r="AK101" s="94">
        <f t="shared" ref="AK101" si="141">(AJ101*100)/R101</f>
        <v>0.28876055086628166</v>
      </c>
      <c r="AL101" s="94" t="s">
        <v>68</v>
      </c>
      <c r="AM101" s="94" t="s">
        <v>68</v>
      </c>
      <c r="AN101" s="94" t="s">
        <v>68</v>
      </c>
      <c r="AO101" s="94" t="s">
        <v>68</v>
      </c>
      <c r="AP101" s="94">
        <v>37</v>
      </c>
      <c r="AQ101" s="292">
        <f t="shared" ref="AQ101" si="142">(AP101*100)/R101</f>
        <v>0.41092847623278544</v>
      </c>
      <c r="AR101" s="40">
        <f t="shared" ref="AR101" si="143">(AK101+AQ101)</f>
        <v>0.69968902709906711</v>
      </c>
      <c r="AS101" s="40">
        <f t="shared" ref="AS101" si="144">(AK101-AQ101)</f>
        <v>-0.12216792536650378</v>
      </c>
      <c r="AT101" s="40">
        <f t="shared" ref="AT101:AT146" si="145">MAX(AR101:AS101)</f>
        <v>0.69968902709906711</v>
      </c>
      <c r="AU101" s="43">
        <f t="shared" si="118"/>
        <v>0.98333333333333328</v>
      </c>
      <c r="AV101" s="44">
        <f t="shared" si="129"/>
        <v>0.78413159504199359</v>
      </c>
      <c r="AW101" s="95">
        <f t="shared" si="119"/>
        <v>0.79742196105965457</v>
      </c>
      <c r="AX101" s="46">
        <f t="shared" si="130"/>
        <v>2.5080824176729455</v>
      </c>
      <c r="AY101" s="72" t="str">
        <f t="shared" si="121"/>
        <v>DOS AÑOS</v>
      </c>
      <c r="AZ101" s="481"/>
      <c r="BA101" s="484"/>
      <c r="BB101" s="487"/>
      <c r="BC101" s="119" t="e">
        <f>MIN(AX34:AX191)</f>
        <v>#DIV/0!</v>
      </c>
      <c r="BD101" s="490"/>
    </row>
    <row r="102" spans="1:56" s="310" customFormat="1" ht="15.75" thickBot="1" x14ac:dyDescent="0.3">
      <c r="A102" s="321"/>
      <c r="B102" s="690"/>
      <c r="C102" s="697"/>
      <c r="D102" s="687"/>
      <c r="E102" s="687"/>
      <c r="F102" s="696"/>
      <c r="G102" s="616"/>
      <c r="H102" s="616"/>
      <c r="I102" s="277">
        <v>2</v>
      </c>
      <c r="J102" s="617"/>
      <c r="K102" s="309" t="s">
        <v>68</v>
      </c>
      <c r="L102" s="664"/>
      <c r="M102" s="275" t="s">
        <v>68</v>
      </c>
      <c r="N102" s="658"/>
      <c r="O102" s="275" t="s">
        <v>68</v>
      </c>
      <c r="P102" s="658"/>
      <c r="Q102" s="47">
        <v>9800.1</v>
      </c>
      <c r="R102" s="47" t="s">
        <v>23</v>
      </c>
      <c r="S102" s="111">
        <v>44063</v>
      </c>
      <c r="T102" s="579"/>
      <c r="U102" s="112">
        <v>9790</v>
      </c>
      <c r="V102" s="112">
        <f t="shared" si="131"/>
        <v>-10.100000000000364</v>
      </c>
      <c r="W102" s="112">
        <f t="shared" si="132"/>
        <v>-0.10306017285538273</v>
      </c>
      <c r="X102" s="112" t="s">
        <v>68</v>
      </c>
      <c r="Y102" s="112" t="s">
        <v>68</v>
      </c>
      <c r="Z102" s="112" t="s">
        <v>68</v>
      </c>
      <c r="AA102" s="112" t="s">
        <v>68</v>
      </c>
      <c r="AB102" s="112">
        <v>7.8</v>
      </c>
      <c r="AC102" s="112">
        <f t="shared" si="133"/>
        <v>7.9591024581381814E-2</v>
      </c>
      <c r="AD102" s="49">
        <f t="shared" ref="AD102" si="146">(W102+AC102)</f>
        <v>-2.3469148274000914E-2</v>
      </c>
      <c r="AE102" s="49">
        <f t="shared" si="128"/>
        <v>-0.18265119743676456</v>
      </c>
      <c r="AF102" s="49">
        <f t="shared" si="122"/>
        <v>-2.3469148274000914E-2</v>
      </c>
      <c r="AG102" s="114">
        <v>44422</v>
      </c>
      <c r="AH102" s="581"/>
      <c r="AI102" s="115"/>
      <c r="AJ102" s="135" t="s">
        <v>68</v>
      </c>
      <c r="AK102" s="115" t="s">
        <v>68</v>
      </c>
      <c r="AL102" s="115" t="s">
        <v>68</v>
      </c>
      <c r="AM102" s="115" t="s">
        <v>68</v>
      </c>
      <c r="AN102" s="115" t="s">
        <v>68</v>
      </c>
      <c r="AO102" s="115" t="s">
        <v>68</v>
      </c>
      <c r="AP102" s="115" t="s">
        <v>68</v>
      </c>
      <c r="AQ102" s="136" t="s">
        <v>68</v>
      </c>
      <c r="AR102" s="49" t="s">
        <v>68</v>
      </c>
      <c r="AS102" s="49" t="s">
        <v>68</v>
      </c>
      <c r="AT102" s="49">
        <f t="shared" si="145"/>
        <v>0</v>
      </c>
      <c r="AU102" s="51">
        <f t="shared" si="118"/>
        <v>0.98333333333333328</v>
      </c>
      <c r="AV102" s="52">
        <f t="shared" ref="AV102:AV136" si="147">ABS(AT102-AF102)</f>
        <v>2.3469148274000914E-2</v>
      </c>
      <c r="AW102" s="116">
        <f t="shared" si="119"/>
        <v>2.3866930448136526E-2</v>
      </c>
      <c r="AX102" s="53">
        <f t="shared" si="130"/>
        <v>83.797956521725879</v>
      </c>
      <c r="AY102" s="120" t="str">
        <f t="shared" si="121"/>
        <v>DOS AÑOS</v>
      </c>
      <c r="AZ102" s="550"/>
      <c r="BA102" s="665"/>
      <c r="BB102" s="666"/>
      <c r="BC102" s="125"/>
      <c r="BD102" s="708"/>
    </row>
    <row r="103" spans="1:56" x14ac:dyDescent="0.25">
      <c r="B103" s="582" t="s">
        <v>217</v>
      </c>
      <c r="C103" s="585" t="s">
        <v>58</v>
      </c>
      <c r="D103" s="588" t="s">
        <v>50</v>
      </c>
      <c r="E103" s="588" t="s">
        <v>55</v>
      </c>
      <c r="F103" s="591">
        <v>180522000304</v>
      </c>
      <c r="G103" s="594" t="s">
        <v>59</v>
      </c>
      <c r="H103" s="594" t="s">
        <v>60</v>
      </c>
      <c r="I103" s="430">
        <v>5</v>
      </c>
      <c r="J103" s="597" t="s">
        <v>20</v>
      </c>
      <c r="K103" s="432" t="s">
        <v>68</v>
      </c>
      <c r="L103" s="600" t="s">
        <v>20</v>
      </c>
      <c r="M103" s="422" t="s">
        <v>68</v>
      </c>
      <c r="N103" s="603" t="s">
        <v>20</v>
      </c>
      <c r="O103" s="422" t="s">
        <v>68</v>
      </c>
      <c r="P103" s="603" t="s">
        <v>20</v>
      </c>
      <c r="Q103" s="140" t="s">
        <v>218</v>
      </c>
      <c r="R103" s="141">
        <v>39.799999999999997</v>
      </c>
      <c r="S103" s="142"/>
      <c r="T103" s="606"/>
      <c r="U103" s="143"/>
      <c r="V103" s="143"/>
      <c r="W103" s="143"/>
      <c r="X103" s="143"/>
      <c r="Y103" s="143"/>
      <c r="Z103" s="143"/>
      <c r="AA103" s="143"/>
      <c r="AB103" s="143"/>
      <c r="AC103" s="143"/>
      <c r="AD103" s="144"/>
      <c r="AE103" s="144"/>
      <c r="AF103" s="144"/>
      <c r="AG103" s="145">
        <v>44422</v>
      </c>
      <c r="AH103" s="609">
        <v>66158</v>
      </c>
      <c r="AI103" s="349">
        <v>40</v>
      </c>
      <c r="AJ103" s="355">
        <f>AI103-R103</f>
        <v>0.20000000000000284</v>
      </c>
      <c r="AK103" s="134">
        <f>AJ103*100/R103</f>
        <v>0.50251256281407752</v>
      </c>
      <c r="AL103" s="134" t="s">
        <v>68</v>
      </c>
      <c r="AM103" s="134" t="s">
        <v>68</v>
      </c>
      <c r="AN103" s="134" t="s">
        <v>68</v>
      </c>
      <c r="AO103" s="134" t="s">
        <v>68</v>
      </c>
      <c r="AP103" s="134">
        <v>0.89</v>
      </c>
      <c r="AQ103" s="134">
        <f>AP103*100/R103</f>
        <v>2.2361809045226133</v>
      </c>
      <c r="AR103" s="144">
        <f>(AJ103+AQ103)</f>
        <v>2.4361809045226162</v>
      </c>
      <c r="AS103" s="144">
        <f>(AJ103-AQ103)</f>
        <v>-2.0361809045226105</v>
      </c>
      <c r="AT103" s="144">
        <f t="shared" si="145"/>
        <v>2.4361809045226162</v>
      </c>
      <c r="AU103" s="146">
        <f t="shared" si="118"/>
        <v>121.62222222222222</v>
      </c>
      <c r="AV103" s="147">
        <f t="shared" si="147"/>
        <v>2.4361809045226162</v>
      </c>
      <c r="AW103" s="148">
        <f t="shared" si="119"/>
        <v>2.0030721853374334E-2</v>
      </c>
      <c r="AX103" s="149">
        <f t="shared" si="130"/>
        <v>249.61656582324866</v>
      </c>
      <c r="AY103" s="150" t="str">
        <f t="shared" si="121"/>
        <v>DOS AÑOS</v>
      </c>
      <c r="AZ103" s="612" t="s">
        <v>58</v>
      </c>
      <c r="BA103" s="512" t="s">
        <v>56</v>
      </c>
      <c r="BB103" s="515" t="s">
        <v>34</v>
      </c>
      <c r="BC103" s="151"/>
      <c r="BD103" s="518">
        <f>BC307</f>
        <v>0</v>
      </c>
    </row>
    <row r="104" spans="1:56" x14ac:dyDescent="0.25">
      <c r="B104" s="583"/>
      <c r="C104" s="586"/>
      <c r="D104" s="589"/>
      <c r="E104" s="589"/>
      <c r="F104" s="592"/>
      <c r="G104" s="595"/>
      <c r="H104" s="595"/>
      <c r="I104" s="431">
        <v>5</v>
      </c>
      <c r="J104" s="598"/>
      <c r="K104" s="433" t="s">
        <v>68</v>
      </c>
      <c r="L104" s="601"/>
      <c r="M104" s="423" t="s">
        <v>68</v>
      </c>
      <c r="N104" s="604"/>
      <c r="O104" s="423" t="s">
        <v>68</v>
      </c>
      <c r="P104" s="604"/>
      <c r="Q104" s="154" t="s">
        <v>218</v>
      </c>
      <c r="R104" s="155">
        <v>59.74</v>
      </c>
      <c r="S104" s="156"/>
      <c r="T104" s="607"/>
      <c r="U104" s="157"/>
      <c r="V104" s="157"/>
      <c r="W104" s="157"/>
      <c r="X104" s="157"/>
      <c r="Y104" s="157"/>
      <c r="Z104" s="157"/>
      <c r="AA104" s="157"/>
      <c r="AB104" s="157"/>
      <c r="AC104" s="157"/>
      <c r="AD104" s="158"/>
      <c r="AE104" s="158"/>
      <c r="AF104" s="158"/>
      <c r="AG104" s="159">
        <v>44422</v>
      </c>
      <c r="AH104" s="610"/>
      <c r="AI104" s="350">
        <v>60</v>
      </c>
      <c r="AJ104" s="135">
        <f t="shared" ref="AJ104:AJ105" si="148">AI104-R104</f>
        <v>0.25999999999999801</v>
      </c>
      <c r="AK104" s="135">
        <f t="shared" ref="AK104:AK105" si="149">AJ104*100/R104</f>
        <v>0.4352192835620991</v>
      </c>
      <c r="AL104" s="135" t="s">
        <v>68</v>
      </c>
      <c r="AM104" s="135" t="s">
        <v>68</v>
      </c>
      <c r="AN104" s="135" t="s">
        <v>68</v>
      </c>
      <c r="AO104" s="135" t="s">
        <v>68</v>
      </c>
      <c r="AP104" s="135">
        <v>0.95</v>
      </c>
      <c r="AQ104" s="135">
        <f>AP104*100/R104</f>
        <v>1.5902243053230665</v>
      </c>
      <c r="AR104" s="158">
        <f t="shared" ref="AR104:AR105" si="150">(AJ104+AQ104)</f>
        <v>1.8502243053230645</v>
      </c>
      <c r="AS104" s="158">
        <f t="shared" ref="AS104:AS105" si="151">(AJ104-AQ104)</f>
        <v>-1.3302243053230685</v>
      </c>
      <c r="AT104" s="158">
        <f t="shared" si="145"/>
        <v>1.8502243053230645</v>
      </c>
      <c r="AU104" s="160">
        <f t="shared" si="118"/>
        <v>121.62222222222222</v>
      </c>
      <c r="AV104" s="161">
        <f t="shared" si="147"/>
        <v>1.8502243053230645</v>
      </c>
      <c r="AW104" s="162">
        <f t="shared" si="119"/>
        <v>1.5212880273988288E-2</v>
      </c>
      <c r="AX104" s="163">
        <f t="shared" si="130"/>
        <v>328.66885888461502</v>
      </c>
      <c r="AY104" s="164" t="str">
        <f t="shared" si="121"/>
        <v>DOS AÑOS</v>
      </c>
      <c r="AZ104" s="613"/>
      <c r="BA104" s="513"/>
      <c r="BB104" s="516"/>
      <c r="BC104" s="165" t="e">
        <f>MIN(AX45:AX115)</f>
        <v>#DIV/0!</v>
      </c>
      <c r="BD104" s="519"/>
    </row>
    <row r="105" spans="1:56" ht="15.75" thickBot="1" x14ac:dyDescent="0.3">
      <c r="B105" s="584"/>
      <c r="C105" s="587"/>
      <c r="D105" s="590"/>
      <c r="E105" s="590"/>
      <c r="F105" s="593"/>
      <c r="G105" s="596"/>
      <c r="H105" s="596"/>
      <c r="I105" s="284">
        <v>5</v>
      </c>
      <c r="J105" s="599"/>
      <c r="K105" s="267" t="s">
        <v>68</v>
      </c>
      <c r="L105" s="602"/>
      <c r="M105" s="285" t="s">
        <v>68</v>
      </c>
      <c r="N105" s="605"/>
      <c r="O105" s="285" t="s">
        <v>68</v>
      </c>
      <c r="P105" s="605"/>
      <c r="Q105" s="286" t="s">
        <v>218</v>
      </c>
      <c r="R105" s="287">
        <v>99.5</v>
      </c>
      <c r="S105" s="288"/>
      <c r="T105" s="608"/>
      <c r="U105" s="289"/>
      <c r="V105" s="289"/>
      <c r="W105" s="289"/>
      <c r="X105" s="289"/>
      <c r="Y105" s="289"/>
      <c r="Z105" s="289"/>
      <c r="AA105" s="289"/>
      <c r="AB105" s="289"/>
      <c r="AC105" s="289"/>
      <c r="AD105" s="290"/>
      <c r="AE105" s="290"/>
      <c r="AF105" s="290"/>
      <c r="AG105" s="291">
        <v>44422</v>
      </c>
      <c r="AH105" s="611"/>
      <c r="AI105" s="351">
        <v>100</v>
      </c>
      <c r="AJ105" s="136">
        <f t="shared" si="148"/>
        <v>0.5</v>
      </c>
      <c r="AK105" s="136">
        <f t="shared" si="149"/>
        <v>0.50251256281407031</v>
      </c>
      <c r="AL105" s="292" t="s">
        <v>68</v>
      </c>
      <c r="AM105" s="292" t="s">
        <v>68</v>
      </c>
      <c r="AN105" s="292" t="s">
        <v>68</v>
      </c>
      <c r="AO105" s="292" t="s">
        <v>68</v>
      </c>
      <c r="AP105" s="292">
        <v>1.3</v>
      </c>
      <c r="AQ105" s="292">
        <f>AP105*100/R105</f>
        <v>1.306532663316583</v>
      </c>
      <c r="AR105" s="290">
        <f t="shared" si="150"/>
        <v>1.806532663316583</v>
      </c>
      <c r="AS105" s="290">
        <f t="shared" si="151"/>
        <v>-0.80653266331658302</v>
      </c>
      <c r="AT105" s="290">
        <f t="shared" si="145"/>
        <v>1.806532663316583</v>
      </c>
      <c r="AU105" s="293">
        <f t="shared" si="118"/>
        <v>121.62222222222222</v>
      </c>
      <c r="AV105" s="294">
        <f t="shared" si="147"/>
        <v>1.806532663316583</v>
      </c>
      <c r="AW105" s="295">
        <f t="shared" si="119"/>
        <v>1.4853639658184951E-2</v>
      </c>
      <c r="AX105" s="296">
        <f t="shared" si="130"/>
        <v>336.61783341060112</v>
      </c>
      <c r="AY105" s="297" t="str">
        <f t="shared" si="121"/>
        <v>DOS AÑOS</v>
      </c>
      <c r="AZ105" s="614"/>
      <c r="BA105" s="514"/>
      <c r="BB105" s="517"/>
      <c r="BC105" s="298"/>
      <c r="BD105" s="520"/>
    </row>
    <row r="106" spans="1:56" s="68" customFormat="1" x14ac:dyDescent="0.25">
      <c r="A106" s="321"/>
      <c r="B106" s="491" t="s">
        <v>219</v>
      </c>
      <c r="C106" s="521" t="s">
        <v>213</v>
      </c>
      <c r="D106" s="497" t="s">
        <v>50</v>
      </c>
      <c r="E106" s="497" t="s">
        <v>55</v>
      </c>
      <c r="F106" s="500">
        <v>180522000304</v>
      </c>
      <c r="G106" s="503" t="s">
        <v>15</v>
      </c>
      <c r="H106" s="503" t="s">
        <v>22</v>
      </c>
      <c r="I106" s="316">
        <v>2</v>
      </c>
      <c r="J106" s="506" t="s">
        <v>20</v>
      </c>
      <c r="K106" s="427" t="s">
        <v>68</v>
      </c>
      <c r="L106" s="509" t="s">
        <v>20</v>
      </c>
      <c r="M106" s="424" t="s">
        <v>68</v>
      </c>
      <c r="N106" s="524" t="s">
        <v>20</v>
      </c>
      <c r="O106" s="424" t="s">
        <v>68</v>
      </c>
      <c r="P106" s="524" t="s">
        <v>20</v>
      </c>
      <c r="Q106" s="57" t="s">
        <v>23</v>
      </c>
      <c r="R106" s="57">
        <v>399.4</v>
      </c>
      <c r="S106" s="58"/>
      <c r="T106" s="527"/>
      <c r="U106" s="133"/>
      <c r="V106" s="133"/>
      <c r="W106" s="133"/>
      <c r="X106" s="133"/>
      <c r="Y106" s="133"/>
      <c r="Z106" s="133"/>
      <c r="AA106" s="133"/>
      <c r="AB106" s="133"/>
      <c r="AC106" s="133"/>
      <c r="AD106" s="59"/>
      <c r="AE106" s="59"/>
      <c r="AF106" s="59"/>
      <c r="AG106" s="60">
        <v>44422</v>
      </c>
      <c r="AH106" s="530">
        <v>66163</v>
      </c>
      <c r="AI106" s="84">
        <v>400</v>
      </c>
      <c r="AJ106" s="355">
        <f>AI106-R106</f>
        <v>0.60000000000002274</v>
      </c>
      <c r="AK106" s="84">
        <f>(AJ106*100)/R106</f>
        <v>0.15022533800701621</v>
      </c>
      <c r="AL106" s="84" t="s">
        <v>68</v>
      </c>
      <c r="AM106" s="84" t="s">
        <v>68</v>
      </c>
      <c r="AN106" s="84" t="s">
        <v>68</v>
      </c>
      <c r="AO106" s="84" t="s">
        <v>68</v>
      </c>
      <c r="AP106" s="134">
        <v>5.9</v>
      </c>
      <c r="AQ106" s="134">
        <f>(AP106*100)/R106</f>
        <v>1.4772158237356035</v>
      </c>
      <c r="AR106" s="59">
        <f>(AK106+AQ106)</f>
        <v>1.6274411617426197</v>
      </c>
      <c r="AS106" s="59">
        <f>(AK106-AQ106)</f>
        <v>-1.3269904857285872</v>
      </c>
      <c r="AT106" s="59">
        <f t="shared" si="145"/>
        <v>1.6274411617426197</v>
      </c>
      <c r="AU106" s="62">
        <f t="shared" si="118"/>
        <v>121.62222222222222</v>
      </c>
      <c r="AV106" s="63">
        <f>ABS(AT106+AF106)</f>
        <v>1.6274411617426197</v>
      </c>
      <c r="AW106" s="85">
        <f t="shared" si="119"/>
        <v>1.3381116805850152E-2</v>
      </c>
      <c r="AX106" s="65">
        <f t="shared" si="130"/>
        <v>149.46435555555502</v>
      </c>
      <c r="AY106" s="66" t="str">
        <f t="shared" si="121"/>
        <v>DOS AÑOS</v>
      </c>
      <c r="AZ106" s="479" t="s">
        <v>10</v>
      </c>
      <c r="BA106" s="482" t="s">
        <v>56</v>
      </c>
      <c r="BB106" s="485" t="s">
        <v>34</v>
      </c>
      <c r="BC106" s="124"/>
      <c r="BD106" s="488" t="e">
        <f>#REF!</f>
        <v>#REF!</v>
      </c>
    </row>
    <row r="107" spans="1:56" s="299" customFormat="1" x14ac:dyDescent="0.25">
      <c r="A107" s="321"/>
      <c r="B107" s="492"/>
      <c r="C107" s="522"/>
      <c r="D107" s="498"/>
      <c r="E107" s="498"/>
      <c r="F107" s="501"/>
      <c r="G107" s="504"/>
      <c r="H107" s="504"/>
      <c r="I107" s="317">
        <v>2</v>
      </c>
      <c r="J107" s="507"/>
      <c r="K107" s="428"/>
      <c r="L107" s="510"/>
      <c r="M107" s="426"/>
      <c r="N107" s="525"/>
      <c r="O107" s="426"/>
      <c r="P107" s="525"/>
      <c r="Q107" s="241" t="s">
        <v>23</v>
      </c>
      <c r="R107" s="37">
        <v>498.8</v>
      </c>
      <c r="S107" s="243"/>
      <c r="T107" s="528"/>
      <c r="U107" s="314"/>
      <c r="V107" s="314"/>
      <c r="W107" s="314"/>
      <c r="X107" s="314"/>
      <c r="Y107" s="314"/>
      <c r="Z107" s="314"/>
      <c r="AA107" s="314"/>
      <c r="AB107" s="314"/>
      <c r="AC107" s="314"/>
      <c r="AD107" s="245"/>
      <c r="AE107" s="245"/>
      <c r="AF107" s="245"/>
      <c r="AG107" s="41">
        <v>44422</v>
      </c>
      <c r="AH107" s="531"/>
      <c r="AI107" s="94">
        <v>500</v>
      </c>
      <c r="AJ107" s="135">
        <f t="shared" ref="AJ107" si="152">AI107-R107</f>
        <v>1.1999999999999886</v>
      </c>
      <c r="AK107" s="94">
        <f>(AJ107*100)/R107</f>
        <v>0.2405773857257395</v>
      </c>
      <c r="AL107" s="247"/>
      <c r="AM107" s="247"/>
      <c r="AN107" s="247"/>
      <c r="AO107" s="247"/>
      <c r="AP107" s="135">
        <v>6</v>
      </c>
      <c r="AQ107" s="135">
        <f t="shared" ref="AQ107" si="153">(AP107*100)/R107</f>
        <v>1.2028869286287089</v>
      </c>
      <c r="AR107" s="40">
        <f t="shared" ref="AR107" si="154">(AK107+AQ107)</f>
        <v>1.4434643143544483</v>
      </c>
      <c r="AS107" s="40">
        <f t="shared" ref="AS107" si="155">(AK107-AQ107)</f>
        <v>-0.96230954290296944</v>
      </c>
      <c r="AT107" s="40">
        <f t="shared" si="145"/>
        <v>1.4434643143544483</v>
      </c>
      <c r="AU107" s="248">
        <f t="shared" si="118"/>
        <v>121.62222222222222</v>
      </c>
      <c r="AV107" s="249">
        <f>ABS(AT107+AF107)</f>
        <v>1.4434643143544483</v>
      </c>
      <c r="AW107" s="250">
        <f t="shared" si="119"/>
        <v>1.1868425752960017E-2</v>
      </c>
      <c r="AX107" s="318">
        <f>(I107/AW107)</f>
        <v>168.51434567901262</v>
      </c>
      <c r="AY107" s="283" t="str">
        <f t="shared" si="121"/>
        <v>DOS AÑOS</v>
      </c>
      <c r="AZ107" s="480"/>
      <c r="BA107" s="483"/>
      <c r="BB107" s="486"/>
      <c r="BC107" s="315"/>
      <c r="BD107" s="489"/>
    </row>
    <row r="108" spans="1:56" s="73" customFormat="1" x14ac:dyDescent="0.25">
      <c r="A108" s="321"/>
      <c r="B108" s="493"/>
      <c r="C108" s="523"/>
      <c r="D108" s="499"/>
      <c r="E108" s="499"/>
      <c r="F108" s="502"/>
      <c r="G108" s="505"/>
      <c r="H108" s="505"/>
      <c r="I108" s="421">
        <v>2</v>
      </c>
      <c r="J108" s="508"/>
      <c r="K108" s="429" t="s">
        <v>68</v>
      </c>
      <c r="L108" s="511"/>
      <c r="M108" s="425"/>
      <c r="N108" s="526"/>
      <c r="O108" s="425"/>
      <c r="P108" s="526"/>
      <c r="Q108" s="37" t="s">
        <v>23</v>
      </c>
      <c r="R108" s="37">
        <v>800.7</v>
      </c>
      <c r="S108" s="38"/>
      <c r="T108" s="529"/>
      <c r="U108" s="96"/>
      <c r="V108" s="96"/>
      <c r="W108" s="96"/>
      <c r="X108" s="96"/>
      <c r="Y108" s="96"/>
      <c r="Z108" s="96"/>
      <c r="AA108" s="96"/>
      <c r="AB108" s="96"/>
      <c r="AC108" s="96"/>
      <c r="AD108" s="40"/>
      <c r="AE108" s="40"/>
      <c r="AF108" s="40"/>
      <c r="AG108" s="41">
        <v>44422</v>
      </c>
      <c r="AH108" s="532"/>
      <c r="AI108" s="94">
        <v>800</v>
      </c>
      <c r="AJ108" s="135">
        <f t="shared" ref="AJ108:AJ114" si="156">AI108-R108</f>
        <v>-0.70000000000004547</v>
      </c>
      <c r="AK108" s="94">
        <f t="shared" ref="AK108:AK114" si="157">(AJ108*100)/R108</f>
        <v>-8.7423504433626259E-2</v>
      </c>
      <c r="AL108" s="94"/>
      <c r="AM108" s="94"/>
      <c r="AN108" s="94"/>
      <c r="AO108" s="94"/>
      <c r="AP108" s="135">
        <v>6.5</v>
      </c>
      <c r="AQ108" s="135">
        <f t="shared" ref="AQ108:AQ114" si="158">(AP108*100)/R108</f>
        <v>0.81178968402647678</v>
      </c>
      <c r="AR108" s="245">
        <f t="shared" ref="AR108:AR114" si="159">(AK108+AQ108)</f>
        <v>0.72436617959285055</v>
      </c>
      <c r="AS108" s="245">
        <f t="shared" ref="AS108:AS114" si="160">(AK108-AQ108)</f>
        <v>-0.89921318846010301</v>
      </c>
      <c r="AT108" s="245">
        <f t="shared" ref="AT108:AT114" si="161">MAX(AR108:AS108)</f>
        <v>0.72436617959285055</v>
      </c>
      <c r="AU108" s="248">
        <f t="shared" si="118"/>
        <v>121.62222222222222</v>
      </c>
      <c r="AV108" s="249">
        <f t="shared" ref="AV108:AV115" si="162">ABS(AT108+AF108)</f>
        <v>0.72436617959285055</v>
      </c>
      <c r="AW108" s="250">
        <f t="shared" si="119"/>
        <v>5.9558702871694274E-3</v>
      </c>
      <c r="AX108" s="251">
        <f t="shared" ref="AX108:AX116" si="163">(I108/AW108)</f>
        <v>335.80314942528997</v>
      </c>
      <c r="AY108" s="283" t="str">
        <f t="shared" si="121"/>
        <v>DOS AÑOS</v>
      </c>
      <c r="AZ108" s="481"/>
      <c r="BA108" s="484"/>
      <c r="BB108" s="487"/>
      <c r="BC108" s="119"/>
      <c r="BD108" s="490"/>
    </row>
    <row r="109" spans="1:56" s="73" customFormat="1" x14ac:dyDescent="0.25">
      <c r="A109" s="321"/>
      <c r="B109" s="493"/>
      <c r="C109" s="523"/>
      <c r="D109" s="499"/>
      <c r="E109" s="499"/>
      <c r="F109" s="502"/>
      <c r="G109" s="505"/>
      <c r="H109" s="505"/>
      <c r="I109" s="421">
        <v>2</v>
      </c>
      <c r="J109" s="508"/>
      <c r="K109" s="429" t="s">
        <v>68</v>
      </c>
      <c r="L109" s="511"/>
      <c r="M109" s="425"/>
      <c r="N109" s="526"/>
      <c r="O109" s="425"/>
      <c r="P109" s="526"/>
      <c r="Q109" s="37" t="s">
        <v>23</v>
      </c>
      <c r="R109" s="37">
        <v>997.5</v>
      </c>
      <c r="S109" s="38"/>
      <c r="T109" s="529"/>
      <c r="U109" s="96"/>
      <c r="V109" s="96"/>
      <c r="W109" s="96"/>
      <c r="X109" s="96"/>
      <c r="Y109" s="96"/>
      <c r="Z109" s="96"/>
      <c r="AA109" s="96"/>
      <c r="AB109" s="96"/>
      <c r="AC109" s="96"/>
      <c r="AD109" s="40"/>
      <c r="AE109" s="40"/>
      <c r="AF109" s="40"/>
      <c r="AG109" s="41">
        <v>44422</v>
      </c>
      <c r="AH109" s="532"/>
      <c r="AI109" s="94">
        <v>1000</v>
      </c>
      <c r="AJ109" s="135">
        <f t="shared" si="156"/>
        <v>2.5</v>
      </c>
      <c r="AK109" s="94">
        <f t="shared" si="157"/>
        <v>0.25062656641604009</v>
      </c>
      <c r="AL109" s="94"/>
      <c r="AM109" s="94"/>
      <c r="AN109" s="94"/>
      <c r="AO109" s="94"/>
      <c r="AP109" s="135">
        <v>7</v>
      </c>
      <c r="AQ109" s="135">
        <f t="shared" si="158"/>
        <v>0.70175438596491224</v>
      </c>
      <c r="AR109" s="40">
        <f t="shared" si="159"/>
        <v>0.95238095238095233</v>
      </c>
      <c r="AS109" s="40">
        <f t="shared" si="160"/>
        <v>-0.45112781954887216</v>
      </c>
      <c r="AT109" s="40">
        <f t="shared" si="161"/>
        <v>0.95238095238095233</v>
      </c>
      <c r="AU109" s="43">
        <f t="shared" si="118"/>
        <v>121.62222222222222</v>
      </c>
      <c r="AV109" s="44">
        <f t="shared" si="162"/>
        <v>0.95238095238095233</v>
      </c>
      <c r="AW109" s="95">
        <f t="shared" si="119"/>
        <v>7.8306491608154307E-3</v>
      </c>
      <c r="AX109" s="46">
        <f t="shared" si="163"/>
        <v>255.40666666666669</v>
      </c>
      <c r="AY109" s="72" t="str">
        <f t="shared" si="121"/>
        <v>DOS AÑOS</v>
      </c>
      <c r="AZ109" s="481"/>
      <c r="BA109" s="484"/>
      <c r="BB109" s="487"/>
      <c r="BC109" s="119"/>
      <c r="BD109" s="490"/>
    </row>
    <row r="110" spans="1:56" s="73" customFormat="1" x14ac:dyDescent="0.25">
      <c r="A110" s="321"/>
      <c r="B110" s="493"/>
      <c r="C110" s="523"/>
      <c r="D110" s="499"/>
      <c r="E110" s="499"/>
      <c r="F110" s="502"/>
      <c r="G110" s="505"/>
      <c r="H110" s="505"/>
      <c r="I110" s="421">
        <v>2</v>
      </c>
      <c r="J110" s="508"/>
      <c r="K110" s="429" t="s">
        <v>68</v>
      </c>
      <c r="L110" s="511"/>
      <c r="M110" s="425"/>
      <c r="N110" s="526"/>
      <c r="O110" s="425"/>
      <c r="P110" s="526"/>
      <c r="Q110" s="37" t="s">
        <v>23</v>
      </c>
      <c r="R110" s="37">
        <v>1800</v>
      </c>
      <c r="S110" s="38"/>
      <c r="T110" s="529"/>
      <c r="U110" s="96"/>
      <c r="V110" s="96"/>
      <c r="W110" s="96"/>
      <c r="X110" s="96"/>
      <c r="Y110" s="96"/>
      <c r="Z110" s="96"/>
      <c r="AA110" s="96"/>
      <c r="AB110" s="96"/>
      <c r="AC110" s="96"/>
      <c r="AD110" s="40"/>
      <c r="AE110" s="40"/>
      <c r="AF110" s="40"/>
      <c r="AG110" s="41">
        <v>44422</v>
      </c>
      <c r="AH110" s="532"/>
      <c r="AI110" s="94">
        <v>1800</v>
      </c>
      <c r="AJ110" s="135">
        <f t="shared" si="156"/>
        <v>0</v>
      </c>
      <c r="AK110" s="94">
        <f t="shared" si="157"/>
        <v>0</v>
      </c>
      <c r="AL110" s="94"/>
      <c r="AM110" s="94"/>
      <c r="AN110" s="94"/>
      <c r="AO110" s="94"/>
      <c r="AP110" s="135">
        <v>9.1999999999999993</v>
      </c>
      <c r="AQ110" s="135">
        <f t="shared" si="158"/>
        <v>0.51111111111111107</v>
      </c>
      <c r="AR110" s="40">
        <f t="shared" si="159"/>
        <v>0.51111111111111107</v>
      </c>
      <c r="AS110" s="40">
        <f t="shared" si="160"/>
        <v>-0.51111111111111107</v>
      </c>
      <c r="AT110" s="40">
        <f t="shared" si="161"/>
        <v>0.51111111111111107</v>
      </c>
      <c r="AU110" s="43">
        <f t="shared" si="118"/>
        <v>121.62222222222222</v>
      </c>
      <c r="AV110" s="44">
        <f t="shared" si="162"/>
        <v>0.51111111111111107</v>
      </c>
      <c r="AW110" s="95">
        <f t="shared" si="119"/>
        <v>4.2024483829709476E-3</v>
      </c>
      <c r="AX110" s="46">
        <f t="shared" si="163"/>
        <v>475.91304347826093</v>
      </c>
      <c r="AY110" s="72" t="str">
        <f t="shared" si="121"/>
        <v>DOS AÑOS</v>
      </c>
      <c r="AZ110" s="481"/>
      <c r="BA110" s="484"/>
      <c r="BB110" s="487"/>
      <c r="BC110" s="119"/>
      <c r="BD110" s="490"/>
    </row>
    <row r="111" spans="1:56" s="73" customFormat="1" x14ac:dyDescent="0.25">
      <c r="A111" s="321"/>
      <c r="B111" s="493"/>
      <c r="C111" s="523"/>
      <c r="D111" s="499"/>
      <c r="E111" s="499"/>
      <c r="F111" s="502"/>
      <c r="G111" s="505"/>
      <c r="H111" s="505"/>
      <c r="I111" s="421">
        <v>2</v>
      </c>
      <c r="J111" s="508"/>
      <c r="K111" s="429" t="s">
        <v>68</v>
      </c>
      <c r="L111" s="511"/>
      <c r="M111" s="425"/>
      <c r="N111" s="526"/>
      <c r="O111" s="425"/>
      <c r="P111" s="526"/>
      <c r="Q111" s="37" t="s">
        <v>23</v>
      </c>
      <c r="R111" s="37">
        <v>2499</v>
      </c>
      <c r="S111" s="38"/>
      <c r="T111" s="529"/>
      <c r="U111" s="96"/>
      <c r="V111" s="96"/>
      <c r="W111" s="96"/>
      <c r="X111" s="96"/>
      <c r="Y111" s="96"/>
      <c r="Z111" s="96"/>
      <c r="AA111" s="96"/>
      <c r="AB111" s="96"/>
      <c r="AC111" s="96"/>
      <c r="AD111" s="40"/>
      <c r="AE111" s="40"/>
      <c r="AF111" s="40"/>
      <c r="AG111" s="41">
        <v>44422</v>
      </c>
      <c r="AH111" s="532"/>
      <c r="AI111" s="94">
        <v>2500</v>
      </c>
      <c r="AJ111" s="135">
        <f t="shared" si="156"/>
        <v>1</v>
      </c>
      <c r="AK111" s="94">
        <f t="shared" si="157"/>
        <v>4.0016006402561026E-2</v>
      </c>
      <c r="AL111" s="94"/>
      <c r="AM111" s="94"/>
      <c r="AN111" s="94"/>
      <c r="AO111" s="94"/>
      <c r="AP111" s="135">
        <v>12</v>
      </c>
      <c r="AQ111" s="135">
        <f t="shared" si="158"/>
        <v>0.48019207683073228</v>
      </c>
      <c r="AR111" s="40">
        <f t="shared" si="159"/>
        <v>0.52020808323329326</v>
      </c>
      <c r="AS111" s="40">
        <f t="shared" si="160"/>
        <v>-0.44017607042817125</v>
      </c>
      <c r="AT111" s="40">
        <f t="shared" si="161"/>
        <v>0.52020808323329326</v>
      </c>
      <c r="AU111" s="43">
        <f t="shared" si="118"/>
        <v>121.62222222222222</v>
      </c>
      <c r="AV111" s="44">
        <f t="shared" si="162"/>
        <v>0.52020808323329326</v>
      </c>
      <c r="AW111" s="95">
        <f t="shared" si="119"/>
        <v>4.2772453399412018E-3</v>
      </c>
      <c r="AX111" s="46">
        <f t="shared" si="163"/>
        <v>467.59066666666672</v>
      </c>
      <c r="AY111" s="72" t="str">
        <f t="shared" si="121"/>
        <v>DOS AÑOS</v>
      </c>
      <c r="AZ111" s="481"/>
      <c r="BA111" s="484"/>
      <c r="BB111" s="487"/>
      <c r="BC111" s="119"/>
      <c r="BD111" s="490"/>
    </row>
    <row r="112" spans="1:56" s="73" customFormat="1" x14ac:dyDescent="0.25">
      <c r="A112" s="321"/>
      <c r="B112" s="493"/>
      <c r="C112" s="523"/>
      <c r="D112" s="499"/>
      <c r="E112" s="499"/>
      <c r="F112" s="502"/>
      <c r="G112" s="505"/>
      <c r="H112" s="505"/>
      <c r="I112" s="421">
        <v>2</v>
      </c>
      <c r="J112" s="508"/>
      <c r="K112" s="429" t="s">
        <v>68</v>
      </c>
      <c r="L112" s="511"/>
      <c r="M112" s="425"/>
      <c r="N112" s="526"/>
      <c r="O112" s="425"/>
      <c r="P112" s="526"/>
      <c r="Q112" s="37" t="s">
        <v>23</v>
      </c>
      <c r="R112" s="37">
        <v>3000</v>
      </c>
      <c r="S112" s="38"/>
      <c r="T112" s="529"/>
      <c r="U112" s="96"/>
      <c r="V112" s="96"/>
      <c r="W112" s="96"/>
      <c r="X112" s="96"/>
      <c r="Y112" s="96"/>
      <c r="Z112" s="96"/>
      <c r="AA112" s="96"/>
      <c r="AB112" s="96"/>
      <c r="AC112" s="96"/>
      <c r="AD112" s="40"/>
      <c r="AE112" s="40"/>
      <c r="AF112" s="40"/>
      <c r="AG112" s="41">
        <v>44412</v>
      </c>
      <c r="AH112" s="532"/>
      <c r="AI112" s="94">
        <v>3000</v>
      </c>
      <c r="AJ112" s="135">
        <f t="shared" si="156"/>
        <v>0</v>
      </c>
      <c r="AK112" s="94">
        <f t="shared" si="157"/>
        <v>0</v>
      </c>
      <c r="AL112" s="94"/>
      <c r="AM112" s="94"/>
      <c r="AN112" s="94"/>
      <c r="AO112" s="94"/>
      <c r="AP112" s="135">
        <v>13</v>
      </c>
      <c r="AQ112" s="135">
        <f t="shared" si="158"/>
        <v>0.43333333333333335</v>
      </c>
      <c r="AR112" s="40">
        <f t="shared" si="159"/>
        <v>0.43333333333333335</v>
      </c>
      <c r="AS112" s="40">
        <f t="shared" si="160"/>
        <v>-0.43333333333333335</v>
      </c>
      <c r="AT112" s="40">
        <f t="shared" si="161"/>
        <v>0.43333333333333335</v>
      </c>
      <c r="AU112" s="43">
        <f t="shared" si="118"/>
        <v>121.59444444444445</v>
      </c>
      <c r="AV112" s="44">
        <f t="shared" si="162"/>
        <v>0.43333333333333335</v>
      </c>
      <c r="AW112" s="95">
        <f t="shared" si="119"/>
        <v>3.5637593091789647E-3</v>
      </c>
      <c r="AX112" s="46">
        <f t="shared" si="163"/>
        <v>561.20512820512818</v>
      </c>
      <c r="AY112" s="72" t="str">
        <f t="shared" si="121"/>
        <v>DOS AÑOS</v>
      </c>
      <c r="AZ112" s="481"/>
      <c r="BA112" s="484"/>
      <c r="BB112" s="487"/>
      <c r="BC112" s="119"/>
      <c r="BD112" s="490"/>
    </row>
    <row r="113" spans="1:56" s="73" customFormat="1" x14ac:dyDescent="0.25">
      <c r="A113" s="321"/>
      <c r="B113" s="493"/>
      <c r="C113" s="523"/>
      <c r="D113" s="499"/>
      <c r="E113" s="499"/>
      <c r="F113" s="502"/>
      <c r="G113" s="505"/>
      <c r="H113" s="505"/>
      <c r="I113" s="421">
        <v>2</v>
      </c>
      <c r="J113" s="508"/>
      <c r="K113" s="429" t="s">
        <v>68</v>
      </c>
      <c r="L113" s="511"/>
      <c r="M113" s="425"/>
      <c r="N113" s="526"/>
      <c r="O113" s="425"/>
      <c r="P113" s="526"/>
      <c r="Q113" s="37" t="s">
        <v>23</v>
      </c>
      <c r="R113" s="37">
        <v>3999</v>
      </c>
      <c r="S113" s="38"/>
      <c r="T113" s="529"/>
      <c r="U113" s="96"/>
      <c r="V113" s="96"/>
      <c r="W113" s="96"/>
      <c r="X113" s="96"/>
      <c r="Y113" s="96"/>
      <c r="Z113" s="96"/>
      <c r="AA113" s="96"/>
      <c r="AB113" s="96"/>
      <c r="AC113" s="96"/>
      <c r="AD113" s="40"/>
      <c r="AE113" s="40"/>
      <c r="AF113" s="40"/>
      <c r="AG113" s="41">
        <v>44422</v>
      </c>
      <c r="AH113" s="532"/>
      <c r="AI113" s="94">
        <v>4000</v>
      </c>
      <c r="AJ113" s="135">
        <f t="shared" si="156"/>
        <v>1</v>
      </c>
      <c r="AK113" s="94">
        <f t="shared" si="157"/>
        <v>2.5006251562890724E-2</v>
      </c>
      <c r="AL113" s="94"/>
      <c r="AM113" s="94"/>
      <c r="AN113" s="94"/>
      <c r="AO113" s="94"/>
      <c r="AP113" s="135">
        <v>17</v>
      </c>
      <c r="AQ113" s="135">
        <f t="shared" si="158"/>
        <v>0.42510627656914229</v>
      </c>
      <c r="AR113" s="40">
        <f t="shared" si="159"/>
        <v>0.45011252813203301</v>
      </c>
      <c r="AS113" s="40">
        <f t="shared" si="160"/>
        <v>-0.40010002500625158</v>
      </c>
      <c r="AT113" s="40">
        <f t="shared" si="161"/>
        <v>0.45011252813203301</v>
      </c>
      <c r="AU113" s="43">
        <f t="shared" si="118"/>
        <v>121.62222222222222</v>
      </c>
      <c r="AV113" s="44">
        <f t="shared" si="162"/>
        <v>0.45011252813203301</v>
      </c>
      <c r="AW113" s="95">
        <f t="shared" si="119"/>
        <v>3.7009069552240976E-3</v>
      </c>
      <c r="AX113" s="46">
        <f t="shared" si="163"/>
        <v>540.40807407407408</v>
      </c>
      <c r="AY113" s="72" t="str">
        <f t="shared" si="121"/>
        <v>DOS AÑOS</v>
      </c>
      <c r="AZ113" s="481"/>
      <c r="BA113" s="484"/>
      <c r="BB113" s="487"/>
      <c r="BC113" s="119"/>
      <c r="BD113" s="490"/>
    </row>
    <row r="114" spans="1:56" s="73" customFormat="1" x14ac:dyDescent="0.25">
      <c r="A114" s="321"/>
      <c r="B114" s="493"/>
      <c r="C114" s="523"/>
      <c r="D114" s="499"/>
      <c r="E114" s="499"/>
      <c r="F114" s="502"/>
      <c r="G114" s="505"/>
      <c r="H114" s="505"/>
      <c r="I114" s="421">
        <v>2</v>
      </c>
      <c r="J114" s="508"/>
      <c r="K114" s="429" t="s">
        <v>68</v>
      </c>
      <c r="L114" s="511"/>
      <c r="M114" s="425"/>
      <c r="N114" s="526"/>
      <c r="O114" s="425"/>
      <c r="P114" s="526"/>
      <c r="Q114" s="37" t="s">
        <v>23</v>
      </c>
      <c r="R114" s="37">
        <v>7001</v>
      </c>
      <c r="S114" s="38"/>
      <c r="T114" s="529"/>
      <c r="U114" s="96"/>
      <c r="V114" s="96"/>
      <c r="W114" s="96"/>
      <c r="X114" s="96"/>
      <c r="Y114" s="96"/>
      <c r="Z114" s="96"/>
      <c r="AA114" s="96"/>
      <c r="AB114" s="96"/>
      <c r="AC114" s="96"/>
      <c r="AD114" s="40"/>
      <c r="AE114" s="40"/>
      <c r="AF114" s="40"/>
      <c r="AG114" s="41">
        <v>44422</v>
      </c>
      <c r="AH114" s="532"/>
      <c r="AI114" s="94">
        <v>7000</v>
      </c>
      <c r="AJ114" s="135">
        <f t="shared" si="156"/>
        <v>-1</v>
      </c>
      <c r="AK114" s="94">
        <f t="shared" si="157"/>
        <v>-1.4283673760891302E-2</v>
      </c>
      <c r="AL114" s="94"/>
      <c r="AM114" s="94"/>
      <c r="AN114" s="94"/>
      <c r="AO114" s="94"/>
      <c r="AP114" s="135">
        <v>29</v>
      </c>
      <c r="AQ114" s="135">
        <f t="shared" si="158"/>
        <v>0.41422653906584772</v>
      </c>
      <c r="AR114" s="40">
        <f t="shared" si="159"/>
        <v>0.39994286530495643</v>
      </c>
      <c r="AS114" s="40">
        <f t="shared" si="160"/>
        <v>-0.42851021282673901</v>
      </c>
      <c r="AT114" s="40">
        <f t="shared" si="161"/>
        <v>0.39994286530495643</v>
      </c>
      <c r="AU114" s="43">
        <f t="shared" si="118"/>
        <v>121.62222222222222</v>
      </c>
      <c r="AV114" s="44">
        <f t="shared" si="162"/>
        <v>0.39994286530495643</v>
      </c>
      <c r="AW114" s="95">
        <f t="shared" si="119"/>
        <v>3.2884028757030953E-3</v>
      </c>
      <c r="AX114" s="46">
        <f t="shared" si="163"/>
        <v>608.19798412698412</v>
      </c>
      <c r="AY114" s="72" t="str">
        <f t="shared" si="121"/>
        <v>DOS AÑOS</v>
      </c>
      <c r="AZ114" s="481"/>
      <c r="BA114" s="484"/>
      <c r="BB114" s="487"/>
      <c r="BC114" s="119"/>
      <c r="BD114" s="490"/>
    </row>
    <row r="115" spans="1:56" s="73" customFormat="1" ht="15.75" thickBot="1" x14ac:dyDescent="0.3">
      <c r="A115" s="321"/>
      <c r="B115" s="493"/>
      <c r="C115" s="523"/>
      <c r="D115" s="499"/>
      <c r="E115" s="499"/>
      <c r="F115" s="502"/>
      <c r="G115" s="505"/>
      <c r="H115" s="505"/>
      <c r="I115" s="421">
        <v>2</v>
      </c>
      <c r="J115" s="508"/>
      <c r="K115" s="429" t="s">
        <v>68</v>
      </c>
      <c r="L115" s="511"/>
      <c r="M115" s="425" t="s">
        <v>68</v>
      </c>
      <c r="N115" s="526"/>
      <c r="O115" s="425" t="s">
        <v>68</v>
      </c>
      <c r="P115" s="526"/>
      <c r="Q115" s="37" t="s">
        <v>23</v>
      </c>
      <c r="R115" s="37">
        <v>9004</v>
      </c>
      <c r="S115" s="38"/>
      <c r="T115" s="529"/>
      <c r="U115" s="96"/>
      <c r="V115" s="96"/>
      <c r="W115" s="96"/>
      <c r="X115" s="96"/>
      <c r="Y115" s="96"/>
      <c r="Z115" s="96"/>
      <c r="AA115" s="96"/>
      <c r="AB115" s="96"/>
      <c r="AC115" s="96"/>
      <c r="AD115" s="40"/>
      <c r="AE115" s="40"/>
      <c r="AF115" s="40"/>
      <c r="AG115" s="41">
        <v>44422</v>
      </c>
      <c r="AH115" s="532"/>
      <c r="AI115" s="94">
        <v>9000</v>
      </c>
      <c r="AJ115" s="135">
        <f t="shared" ref="AJ115" si="164">AI115-R115</f>
        <v>-4</v>
      </c>
      <c r="AK115" s="94">
        <f t="shared" ref="AK115" si="165">(AJ115*100)/R115</f>
        <v>-4.4424700133274098E-2</v>
      </c>
      <c r="AL115" s="94" t="s">
        <v>68</v>
      </c>
      <c r="AM115" s="94" t="s">
        <v>68</v>
      </c>
      <c r="AN115" s="94" t="s">
        <v>68</v>
      </c>
      <c r="AO115" s="94" t="s">
        <v>68</v>
      </c>
      <c r="AP115" s="94">
        <v>37</v>
      </c>
      <c r="AQ115" s="292">
        <f t="shared" ref="AQ115" si="166">(AP115*100)/R115</f>
        <v>0.41092847623278544</v>
      </c>
      <c r="AR115" s="40">
        <f t="shared" ref="AR115" si="167">(AK115+AQ115)</f>
        <v>0.36650377609951135</v>
      </c>
      <c r="AS115" s="40">
        <f t="shared" ref="AS115" si="168">(AK115-AQ115)</f>
        <v>-0.45535317636605954</v>
      </c>
      <c r="AT115" s="40">
        <f t="shared" ref="AT115:AT117" si="169">MAX(AR115:AS115)</f>
        <v>0.36650377609951135</v>
      </c>
      <c r="AU115" s="43">
        <f t="shared" si="118"/>
        <v>121.62222222222222</v>
      </c>
      <c r="AV115" s="44">
        <f t="shared" si="162"/>
        <v>0.36650377609951135</v>
      </c>
      <c r="AW115" s="95">
        <f t="shared" si="119"/>
        <v>3.0134606110867918E-3</v>
      </c>
      <c r="AX115" s="46">
        <f t="shared" si="163"/>
        <v>663.68878114478105</v>
      </c>
      <c r="AY115" s="72" t="str">
        <f t="shared" si="121"/>
        <v>DOS AÑOS</v>
      </c>
      <c r="AZ115" s="481"/>
      <c r="BA115" s="484"/>
      <c r="BB115" s="487"/>
      <c r="BC115" s="119">
        <f>MIN(AX50:AX193)</f>
        <v>0.90648448184517649</v>
      </c>
      <c r="BD115" s="490"/>
    </row>
    <row r="116" spans="1:56" s="68" customFormat="1" x14ac:dyDescent="0.25">
      <c r="A116" s="321"/>
      <c r="B116" s="491" t="s">
        <v>220</v>
      </c>
      <c r="C116" s="494" t="s">
        <v>10</v>
      </c>
      <c r="D116" s="497" t="s">
        <v>50</v>
      </c>
      <c r="E116" s="497" t="s">
        <v>55</v>
      </c>
      <c r="F116" s="500">
        <v>180522000304</v>
      </c>
      <c r="G116" s="503" t="s">
        <v>15</v>
      </c>
      <c r="H116" s="503" t="s">
        <v>22</v>
      </c>
      <c r="I116" s="316">
        <v>2</v>
      </c>
      <c r="J116" s="506" t="s">
        <v>20</v>
      </c>
      <c r="K116" s="427" t="s">
        <v>68</v>
      </c>
      <c r="L116" s="509" t="s">
        <v>20</v>
      </c>
      <c r="M116" s="424" t="s">
        <v>68</v>
      </c>
      <c r="N116" s="524" t="s">
        <v>20</v>
      </c>
      <c r="O116" s="424" t="s">
        <v>68</v>
      </c>
      <c r="P116" s="524" t="s">
        <v>20</v>
      </c>
      <c r="Q116" s="57" t="s">
        <v>23</v>
      </c>
      <c r="R116" s="57">
        <v>399.4</v>
      </c>
      <c r="S116" s="58"/>
      <c r="T116" s="527"/>
      <c r="U116" s="133"/>
      <c r="V116" s="133"/>
      <c r="W116" s="133"/>
      <c r="X116" s="133"/>
      <c r="Y116" s="133"/>
      <c r="Z116" s="133"/>
      <c r="AA116" s="133"/>
      <c r="AB116" s="133"/>
      <c r="AC116" s="133"/>
      <c r="AD116" s="59"/>
      <c r="AE116" s="59"/>
      <c r="AF116" s="59"/>
      <c r="AG116" s="60">
        <v>44422</v>
      </c>
      <c r="AH116" s="530">
        <v>66161</v>
      </c>
      <c r="AI116" s="84">
        <v>400</v>
      </c>
      <c r="AJ116" s="135">
        <f>AI116-R116</f>
        <v>0.60000000000002274</v>
      </c>
      <c r="AK116" s="84">
        <f>(AJ116*100)/R116</f>
        <v>0.15022533800701621</v>
      </c>
      <c r="AL116" s="84" t="s">
        <v>68</v>
      </c>
      <c r="AM116" s="84" t="s">
        <v>68</v>
      </c>
      <c r="AN116" s="84" t="s">
        <v>68</v>
      </c>
      <c r="AO116" s="84" t="s">
        <v>68</v>
      </c>
      <c r="AP116" s="134">
        <v>5.9</v>
      </c>
      <c r="AQ116" s="134">
        <f>(AP116*100)/R116</f>
        <v>1.4772158237356035</v>
      </c>
      <c r="AR116" s="59">
        <f>(AK116+AQ116)</f>
        <v>1.6274411617426197</v>
      </c>
      <c r="AS116" s="59">
        <f>(AK116-AQ116)</f>
        <v>-1.3269904857285872</v>
      </c>
      <c r="AT116" s="59">
        <f t="shared" si="169"/>
        <v>1.6274411617426197</v>
      </c>
      <c r="AU116" s="62">
        <f t="shared" ref="AU116:AU125" si="170">YEARFRAC(S116,AG116)</f>
        <v>121.62222222222222</v>
      </c>
      <c r="AV116" s="63">
        <f>ABS(AT116+AF116)</f>
        <v>1.6274411617426197</v>
      </c>
      <c r="AW116" s="85">
        <f t="shared" ref="AW116:AW125" si="171">(AV116/AU116)</f>
        <v>1.3381116805850152E-2</v>
      </c>
      <c r="AX116" s="65">
        <f t="shared" si="163"/>
        <v>149.46435555555502</v>
      </c>
      <c r="AY116" s="66" t="str">
        <f t="shared" ref="AY116:AY125" si="172">IF(AX116&lt;=1,"UN AÑO",IF(AX116&gt;=1,"DOS AÑOS"))</f>
        <v>DOS AÑOS</v>
      </c>
      <c r="AZ116" s="479" t="s">
        <v>10</v>
      </c>
      <c r="BA116" s="482" t="s">
        <v>56</v>
      </c>
      <c r="BB116" s="485" t="s">
        <v>34</v>
      </c>
      <c r="BC116" s="124"/>
      <c r="BD116" s="488" t="e">
        <f>#REF!</f>
        <v>#REF!</v>
      </c>
    </row>
    <row r="117" spans="1:56" s="299" customFormat="1" x14ac:dyDescent="0.25">
      <c r="A117" s="321"/>
      <c r="B117" s="492"/>
      <c r="C117" s="495"/>
      <c r="D117" s="498"/>
      <c r="E117" s="498"/>
      <c r="F117" s="501"/>
      <c r="G117" s="504"/>
      <c r="H117" s="504"/>
      <c r="I117" s="317">
        <v>2</v>
      </c>
      <c r="J117" s="507"/>
      <c r="K117" s="428"/>
      <c r="L117" s="510"/>
      <c r="M117" s="426"/>
      <c r="N117" s="525"/>
      <c r="O117" s="426"/>
      <c r="P117" s="525"/>
      <c r="Q117" s="241" t="s">
        <v>23</v>
      </c>
      <c r="R117" s="37">
        <v>500.6</v>
      </c>
      <c r="S117" s="243"/>
      <c r="T117" s="528"/>
      <c r="U117" s="314"/>
      <c r="V117" s="314"/>
      <c r="W117" s="314"/>
      <c r="X117" s="314"/>
      <c r="Y117" s="314"/>
      <c r="Z117" s="314"/>
      <c r="AA117" s="314"/>
      <c r="AB117" s="314"/>
      <c r="AC117" s="314"/>
      <c r="AD117" s="245"/>
      <c r="AE117" s="245"/>
      <c r="AF117" s="245"/>
      <c r="AG117" s="41">
        <v>44422</v>
      </c>
      <c r="AH117" s="531"/>
      <c r="AI117" s="94">
        <v>500</v>
      </c>
      <c r="AJ117" s="135">
        <f t="shared" ref="AJ117" si="173">AI117-R117</f>
        <v>-0.60000000000002274</v>
      </c>
      <c r="AK117" s="94">
        <f>(AJ117*100)/R117</f>
        <v>-0.11985617259289306</v>
      </c>
      <c r="AL117" s="247"/>
      <c r="AM117" s="247"/>
      <c r="AN117" s="247"/>
      <c r="AO117" s="247"/>
      <c r="AP117" s="135">
        <v>6</v>
      </c>
      <c r="AQ117" s="135">
        <f t="shared" ref="AQ117" si="174">(AP117*100)/R117</f>
        <v>1.1985617259288852</v>
      </c>
      <c r="AR117" s="40">
        <f t="shared" ref="AR117" si="175">(AK117+AQ117)</f>
        <v>1.0787055533359922</v>
      </c>
      <c r="AS117" s="40">
        <f t="shared" ref="AS117" si="176">(AK117-AQ117)</f>
        <v>-1.3184178985217783</v>
      </c>
      <c r="AT117" s="40">
        <f t="shared" si="169"/>
        <v>1.0787055533359922</v>
      </c>
      <c r="AU117" s="248">
        <f t="shared" si="170"/>
        <v>121.62222222222222</v>
      </c>
      <c r="AV117" s="249">
        <f>ABS(AT117+AF117)</f>
        <v>1.0787055533359922</v>
      </c>
      <c r="AW117" s="250">
        <f t="shared" si="171"/>
        <v>8.8693129727973052E-3</v>
      </c>
      <c r="AX117" s="251">
        <f>(I117/AW117)</f>
        <v>225.4966090534989</v>
      </c>
      <c r="AY117" s="283" t="str">
        <f t="shared" si="172"/>
        <v>DOS AÑOS</v>
      </c>
      <c r="AZ117" s="480"/>
      <c r="BA117" s="483"/>
      <c r="BB117" s="486"/>
      <c r="BC117" s="315"/>
      <c r="BD117" s="489"/>
    </row>
    <row r="118" spans="1:56" s="73" customFormat="1" x14ac:dyDescent="0.25">
      <c r="A118" s="321"/>
      <c r="B118" s="493"/>
      <c r="C118" s="496"/>
      <c r="D118" s="499"/>
      <c r="E118" s="499"/>
      <c r="F118" s="502"/>
      <c r="G118" s="505"/>
      <c r="H118" s="505"/>
      <c r="I118" s="421">
        <v>2</v>
      </c>
      <c r="J118" s="508"/>
      <c r="K118" s="429" t="s">
        <v>68</v>
      </c>
      <c r="L118" s="511"/>
      <c r="M118" s="425"/>
      <c r="N118" s="526"/>
      <c r="O118" s="425"/>
      <c r="P118" s="526"/>
      <c r="Q118" s="37" t="s">
        <v>23</v>
      </c>
      <c r="R118" s="37">
        <v>800.7</v>
      </c>
      <c r="S118" s="38"/>
      <c r="T118" s="529"/>
      <c r="U118" s="96"/>
      <c r="V118" s="96"/>
      <c r="W118" s="96"/>
      <c r="X118" s="96"/>
      <c r="Y118" s="96"/>
      <c r="Z118" s="96"/>
      <c r="AA118" s="96"/>
      <c r="AB118" s="96"/>
      <c r="AC118" s="96"/>
      <c r="AD118" s="40"/>
      <c r="AE118" s="40"/>
      <c r="AF118" s="40"/>
      <c r="AG118" s="41">
        <v>44422</v>
      </c>
      <c r="AH118" s="532"/>
      <c r="AI118" s="94">
        <v>800</v>
      </c>
      <c r="AJ118" s="135">
        <f t="shared" ref="AJ118:AJ124" si="177">AI118-R118</f>
        <v>-0.70000000000004547</v>
      </c>
      <c r="AK118" s="94">
        <f t="shared" ref="AK118:AK124" si="178">(AJ118*100)/R118</f>
        <v>-8.7423504433626259E-2</v>
      </c>
      <c r="AL118" s="94"/>
      <c r="AM118" s="94"/>
      <c r="AN118" s="94"/>
      <c r="AO118" s="94"/>
      <c r="AP118" s="135">
        <v>6.5</v>
      </c>
      <c r="AQ118" s="135">
        <f t="shared" ref="AQ118:AQ124" si="179">(AP118*100)/R118</f>
        <v>0.81178968402647678</v>
      </c>
      <c r="AR118" s="245">
        <f t="shared" ref="AR118:AR124" si="180">(AK118+AQ118)</f>
        <v>0.72436617959285055</v>
      </c>
      <c r="AS118" s="245">
        <f t="shared" ref="AS118:AS124" si="181">(AK118-AQ118)</f>
        <v>-0.89921318846010301</v>
      </c>
      <c r="AT118" s="245">
        <f t="shared" ref="AT118:AT124" si="182">MAX(AR118:AS118)</f>
        <v>0.72436617959285055</v>
      </c>
      <c r="AU118" s="248">
        <f t="shared" si="170"/>
        <v>121.62222222222222</v>
      </c>
      <c r="AV118" s="249">
        <f t="shared" ref="AV118:AV125" si="183">ABS(AT118+AF118)</f>
        <v>0.72436617959285055</v>
      </c>
      <c r="AW118" s="250">
        <f t="shared" si="171"/>
        <v>5.9558702871694274E-3</v>
      </c>
      <c r="AX118" s="251">
        <f t="shared" ref="AX118:AX125" si="184">(I118/AW118)</f>
        <v>335.80314942528997</v>
      </c>
      <c r="AY118" s="283" t="str">
        <f t="shared" si="172"/>
        <v>DOS AÑOS</v>
      </c>
      <c r="AZ118" s="481"/>
      <c r="BA118" s="484"/>
      <c r="BB118" s="487"/>
      <c r="BC118" s="119"/>
      <c r="BD118" s="490"/>
    </row>
    <row r="119" spans="1:56" s="73" customFormat="1" x14ac:dyDescent="0.25">
      <c r="A119" s="321"/>
      <c r="B119" s="493"/>
      <c r="C119" s="496"/>
      <c r="D119" s="499"/>
      <c r="E119" s="499"/>
      <c r="F119" s="502"/>
      <c r="G119" s="505"/>
      <c r="H119" s="505"/>
      <c r="I119" s="421">
        <v>2</v>
      </c>
      <c r="J119" s="508"/>
      <c r="K119" s="429" t="s">
        <v>68</v>
      </c>
      <c r="L119" s="511"/>
      <c r="M119" s="425"/>
      <c r="N119" s="526"/>
      <c r="O119" s="425"/>
      <c r="P119" s="526"/>
      <c r="Q119" s="37" t="s">
        <v>23</v>
      </c>
      <c r="R119" s="37">
        <v>997.5</v>
      </c>
      <c r="S119" s="38"/>
      <c r="T119" s="529"/>
      <c r="U119" s="96"/>
      <c r="V119" s="96"/>
      <c r="W119" s="96"/>
      <c r="X119" s="96"/>
      <c r="Y119" s="96"/>
      <c r="Z119" s="96"/>
      <c r="AA119" s="96"/>
      <c r="AB119" s="96"/>
      <c r="AC119" s="96"/>
      <c r="AD119" s="40"/>
      <c r="AE119" s="40"/>
      <c r="AF119" s="40"/>
      <c r="AG119" s="41">
        <v>44422</v>
      </c>
      <c r="AH119" s="532"/>
      <c r="AI119" s="94">
        <v>1000</v>
      </c>
      <c r="AJ119" s="135">
        <f t="shared" si="177"/>
        <v>2.5</v>
      </c>
      <c r="AK119" s="94">
        <f t="shared" si="178"/>
        <v>0.25062656641604009</v>
      </c>
      <c r="AL119" s="94"/>
      <c r="AM119" s="94"/>
      <c r="AN119" s="94"/>
      <c r="AO119" s="94"/>
      <c r="AP119" s="135">
        <v>7</v>
      </c>
      <c r="AQ119" s="135">
        <f t="shared" si="179"/>
        <v>0.70175438596491224</v>
      </c>
      <c r="AR119" s="40">
        <f t="shared" si="180"/>
        <v>0.95238095238095233</v>
      </c>
      <c r="AS119" s="40">
        <f t="shared" si="181"/>
        <v>-0.45112781954887216</v>
      </c>
      <c r="AT119" s="40">
        <f t="shared" si="182"/>
        <v>0.95238095238095233</v>
      </c>
      <c r="AU119" s="43">
        <f t="shared" si="170"/>
        <v>121.62222222222222</v>
      </c>
      <c r="AV119" s="44">
        <f t="shared" si="183"/>
        <v>0.95238095238095233</v>
      </c>
      <c r="AW119" s="95">
        <f t="shared" si="171"/>
        <v>7.8306491608154307E-3</v>
      </c>
      <c r="AX119" s="46">
        <f t="shared" si="184"/>
        <v>255.40666666666669</v>
      </c>
      <c r="AY119" s="72" t="str">
        <f t="shared" si="172"/>
        <v>DOS AÑOS</v>
      </c>
      <c r="AZ119" s="481"/>
      <c r="BA119" s="484"/>
      <c r="BB119" s="487"/>
      <c r="BC119" s="119"/>
      <c r="BD119" s="490"/>
    </row>
    <row r="120" spans="1:56" s="73" customFormat="1" x14ac:dyDescent="0.25">
      <c r="A120" s="321"/>
      <c r="B120" s="493"/>
      <c r="C120" s="496"/>
      <c r="D120" s="499"/>
      <c r="E120" s="499"/>
      <c r="F120" s="502"/>
      <c r="G120" s="505"/>
      <c r="H120" s="505"/>
      <c r="I120" s="421">
        <v>2</v>
      </c>
      <c r="J120" s="508"/>
      <c r="K120" s="429" t="s">
        <v>68</v>
      </c>
      <c r="L120" s="511"/>
      <c r="M120" s="425"/>
      <c r="N120" s="526"/>
      <c r="O120" s="425"/>
      <c r="P120" s="526"/>
      <c r="Q120" s="37" t="s">
        <v>23</v>
      </c>
      <c r="R120" s="37">
        <v>1800</v>
      </c>
      <c r="S120" s="38"/>
      <c r="T120" s="529"/>
      <c r="U120" s="96"/>
      <c r="V120" s="96"/>
      <c r="W120" s="96"/>
      <c r="X120" s="96"/>
      <c r="Y120" s="96"/>
      <c r="Z120" s="96"/>
      <c r="AA120" s="96"/>
      <c r="AB120" s="96"/>
      <c r="AC120" s="96"/>
      <c r="AD120" s="40"/>
      <c r="AE120" s="40"/>
      <c r="AF120" s="40"/>
      <c r="AG120" s="41">
        <v>44422</v>
      </c>
      <c r="AH120" s="532"/>
      <c r="AI120" s="94">
        <v>1810</v>
      </c>
      <c r="AJ120" s="135">
        <f t="shared" si="177"/>
        <v>10</v>
      </c>
      <c r="AK120" s="94">
        <f t="shared" si="178"/>
        <v>0.55555555555555558</v>
      </c>
      <c r="AL120" s="94"/>
      <c r="AM120" s="94"/>
      <c r="AN120" s="94"/>
      <c r="AO120" s="94"/>
      <c r="AP120" s="135">
        <v>9.1999999999999993</v>
      </c>
      <c r="AQ120" s="135">
        <f t="shared" si="179"/>
        <v>0.51111111111111107</v>
      </c>
      <c r="AR120" s="40">
        <f t="shared" si="180"/>
        <v>1.0666666666666667</v>
      </c>
      <c r="AS120" s="40">
        <f t="shared" si="181"/>
        <v>4.4444444444444509E-2</v>
      </c>
      <c r="AT120" s="40">
        <f t="shared" si="182"/>
        <v>1.0666666666666667</v>
      </c>
      <c r="AU120" s="43">
        <f t="shared" si="170"/>
        <v>121.62222222222222</v>
      </c>
      <c r="AV120" s="44">
        <f t="shared" si="183"/>
        <v>1.0666666666666667</v>
      </c>
      <c r="AW120" s="95">
        <f t="shared" si="171"/>
        <v>8.7703270601132838E-3</v>
      </c>
      <c r="AX120" s="46">
        <f t="shared" si="184"/>
        <v>228.04166666666666</v>
      </c>
      <c r="AY120" s="72" t="str">
        <f t="shared" si="172"/>
        <v>DOS AÑOS</v>
      </c>
      <c r="AZ120" s="481"/>
      <c r="BA120" s="484"/>
      <c r="BB120" s="487"/>
      <c r="BC120" s="119"/>
      <c r="BD120" s="490"/>
    </row>
    <row r="121" spans="1:56" s="73" customFormat="1" x14ac:dyDescent="0.25">
      <c r="A121" s="321"/>
      <c r="B121" s="493"/>
      <c r="C121" s="496"/>
      <c r="D121" s="499"/>
      <c r="E121" s="499"/>
      <c r="F121" s="502"/>
      <c r="G121" s="505"/>
      <c r="H121" s="505"/>
      <c r="I121" s="421">
        <v>2</v>
      </c>
      <c r="J121" s="508"/>
      <c r="K121" s="429" t="s">
        <v>68</v>
      </c>
      <c r="L121" s="511"/>
      <c r="M121" s="425"/>
      <c r="N121" s="526"/>
      <c r="O121" s="425"/>
      <c r="P121" s="526"/>
      <c r="Q121" s="37" t="s">
        <v>23</v>
      </c>
      <c r="R121" s="37">
        <v>2499</v>
      </c>
      <c r="S121" s="38"/>
      <c r="T121" s="529"/>
      <c r="U121" s="96"/>
      <c r="V121" s="96"/>
      <c r="W121" s="96"/>
      <c r="X121" s="96"/>
      <c r="Y121" s="96"/>
      <c r="Z121" s="96"/>
      <c r="AA121" s="96"/>
      <c r="AB121" s="96"/>
      <c r="AC121" s="96"/>
      <c r="AD121" s="40"/>
      <c r="AE121" s="40"/>
      <c r="AF121" s="40"/>
      <c r="AG121" s="41">
        <v>44422</v>
      </c>
      <c r="AH121" s="532"/>
      <c r="AI121" s="94">
        <v>2510</v>
      </c>
      <c r="AJ121" s="135">
        <f t="shared" si="177"/>
        <v>11</v>
      </c>
      <c r="AK121" s="94">
        <f t="shared" si="178"/>
        <v>0.44017607042817125</v>
      </c>
      <c r="AL121" s="94"/>
      <c r="AM121" s="94"/>
      <c r="AN121" s="94"/>
      <c r="AO121" s="94"/>
      <c r="AP121" s="135">
        <v>12</v>
      </c>
      <c r="AQ121" s="135">
        <f t="shared" si="179"/>
        <v>0.48019207683073228</v>
      </c>
      <c r="AR121" s="40">
        <f t="shared" si="180"/>
        <v>0.92036814725890359</v>
      </c>
      <c r="AS121" s="40">
        <f t="shared" si="181"/>
        <v>-4.0016006402561033E-2</v>
      </c>
      <c r="AT121" s="40">
        <f t="shared" si="182"/>
        <v>0.92036814725890359</v>
      </c>
      <c r="AU121" s="43">
        <f t="shared" si="170"/>
        <v>121.62222222222222</v>
      </c>
      <c r="AV121" s="44">
        <f t="shared" si="183"/>
        <v>0.92036814725890359</v>
      </c>
      <c r="AW121" s="95">
        <f t="shared" si="171"/>
        <v>7.5674340629728965E-3</v>
      </c>
      <c r="AX121" s="46">
        <f t="shared" si="184"/>
        <v>264.29037681159417</v>
      </c>
      <c r="AY121" s="72" t="str">
        <f t="shared" si="172"/>
        <v>DOS AÑOS</v>
      </c>
      <c r="AZ121" s="481"/>
      <c r="BA121" s="484"/>
      <c r="BB121" s="487"/>
      <c r="BC121" s="119"/>
      <c r="BD121" s="490"/>
    </row>
    <row r="122" spans="1:56" s="73" customFormat="1" x14ac:dyDescent="0.25">
      <c r="A122" s="321"/>
      <c r="B122" s="493"/>
      <c r="C122" s="496"/>
      <c r="D122" s="499"/>
      <c r="E122" s="499"/>
      <c r="F122" s="502"/>
      <c r="G122" s="505"/>
      <c r="H122" s="505"/>
      <c r="I122" s="421">
        <v>2</v>
      </c>
      <c r="J122" s="508"/>
      <c r="K122" s="429" t="s">
        <v>68</v>
      </c>
      <c r="L122" s="511"/>
      <c r="M122" s="425"/>
      <c r="N122" s="526"/>
      <c r="O122" s="425"/>
      <c r="P122" s="526"/>
      <c r="Q122" s="37" t="s">
        <v>23</v>
      </c>
      <c r="R122" s="37">
        <v>3000</v>
      </c>
      <c r="S122" s="38"/>
      <c r="T122" s="529"/>
      <c r="U122" s="96"/>
      <c r="V122" s="96"/>
      <c r="W122" s="96"/>
      <c r="X122" s="96"/>
      <c r="Y122" s="96"/>
      <c r="Z122" s="96"/>
      <c r="AA122" s="96"/>
      <c r="AB122" s="96"/>
      <c r="AC122" s="96"/>
      <c r="AD122" s="40"/>
      <c r="AE122" s="40"/>
      <c r="AF122" s="40"/>
      <c r="AG122" s="41">
        <v>44412</v>
      </c>
      <c r="AH122" s="532"/>
      <c r="AI122" s="94">
        <v>3030</v>
      </c>
      <c r="AJ122" s="135">
        <f t="shared" si="177"/>
        <v>30</v>
      </c>
      <c r="AK122" s="94">
        <f t="shared" si="178"/>
        <v>1</v>
      </c>
      <c r="AL122" s="94"/>
      <c r="AM122" s="94"/>
      <c r="AN122" s="94"/>
      <c r="AO122" s="94"/>
      <c r="AP122" s="135">
        <v>13</v>
      </c>
      <c r="AQ122" s="135">
        <f t="shared" si="179"/>
        <v>0.43333333333333335</v>
      </c>
      <c r="AR122" s="40">
        <f t="shared" si="180"/>
        <v>1.4333333333333333</v>
      </c>
      <c r="AS122" s="40">
        <f t="shared" si="181"/>
        <v>0.56666666666666665</v>
      </c>
      <c r="AT122" s="40">
        <f t="shared" si="182"/>
        <v>1.4333333333333333</v>
      </c>
      <c r="AU122" s="43">
        <f t="shared" si="170"/>
        <v>121.59444444444445</v>
      </c>
      <c r="AV122" s="44">
        <f t="shared" si="183"/>
        <v>1.4333333333333333</v>
      </c>
      <c r="AW122" s="95">
        <f t="shared" si="171"/>
        <v>1.1787819253438114E-2</v>
      </c>
      <c r="AX122" s="46">
        <f t="shared" si="184"/>
        <v>169.66666666666666</v>
      </c>
      <c r="AY122" s="72" t="str">
        <f t="shared" si="172"/>
        <v>DOS AÑOS</v>
      </c>
      <c r="AZ122" s="481"/>
      <c r="BA122" s="484"/>
      <c r="BB122" s="487"/>
      <c r="BC122" s="119"/>
      <c r="BD122" s="490"/>
    </row>
    <row r="123" spans="1:56" s="73" customFormat="1" x14ac:dyDescent="0.25">
      <c r="A123" s="321"/>
      <c r="B123" s="493"/>
      <c r="C123" s="496"/>
      <c r="D123" s="499"/>
      <c r="E123" s="499"/>
      <c r="F123" s="502"/>
      <c r="G123" s="505"/>
      <c r="H123" s="505"/>
      <c r="I123" s="421">
        <v>2</v>
      </c>
      <c r="J123" s="508"/>
      <c r="K123" s="429" t="s">
        <v>68</v>
      </c>
      <c r="L123" s="511"/>
      <c r="M123" s="425"/>
      <c r="N123" s="526"/>
      <c r="O123" s="425"/>
      <c r="P123" s="526"/>
      <c r="Q123" s="37" t="s">
        <v>23</v>
      </c>
      <c r="R123" s="37">
        <v>3999</v>
      </c>
      <c r="S123" s="38"/>
      <c r="T123" s="529"/>
      <c r="U123" s="96"/>
      <c r="V123" s="96"/>
      <c r="W123" s="96"/>
      <c r="X123" s="96"/>
      <c r="Y123" s="96"/>
      <c r="Z123" s="96"/>
      <c r="AA123" s="96"/>
      <c r="AB123" s="96"/>
      <c r="AC123" s="96"/>
      <c r="AD123" s="40"/>
      <c r="AE123" s="40"/>
      <c r="AF123" s="40"/>
      <c r="AG123" s="41">
        <v>44422</v>
      </c>
      <c r="AH123" s="532"/>
      <c r="AI123" s="94">
        <v>4030</v>
      </c>
      <c r="AJ123" s="135">
        <f t="shared" si="177"/>
        <v>31</v>
      </c>
      <c r="AK123" s="94">
        <f t="shared" si="178"/>
        <v>0.77519379844961245</v>
      </c>
      <c r="AL123" s="94"/>
      <c r="AM123" s="94"/>
      <c r="AN123" s="94"/>
      <c r="AO123" s="94"/>
      <c r="AP123" s="135">
        <v>17</v>
      </c>
      <c r="AQ123" s="135">
        <f t="shared" si="179"/>
        <v>0.42510627656914229</v>
      </c>
      <c r="AR123" s="40">
        <f t="shared" si="180"/>
        <v>1.2003000750187547</v>
      </c>
      <c r="AS123" s="40">
        <f t="shared" si="181"/>
        <v>0.35008752188047015</v>
      </c>
      <c r="AT123" s="40">
        <f t="shared" si="182"/>
        <v>1.2003000750187547</v>
      </c>
      <c r="AU123" s="43">
        <f t="shared" si="170"/>
        <v>121.62222222222222</v>
      </c>
      <c r="AV123" s="44">
        <f t="shared" si="183"/>
        <v>1.2003000750187547</v>
      </c>
      <c r="AW123" s="95">
        <f t="shared" si="171"/>
        <v>9.8690852139309265E-3</v>
      </c>
      <c r="AX123" s="46">
        <f t="shared" si="184"/>
        <v>202.65302777777777</v>
      </c>
      <c r="AY123" s="72" t="str">
        <f t="shared" si="172"/>
        <v>DOS AÑOS</v>
      </c>
      <c r="AZ123" s="481"/>
      <c r="BA123" s="484"/>
      <c r="BB123" s="487"/>
      <c r="BC123" s="119"/>
      <c r="BD123" s="490"/>
    </row>
    <row r="124" spans="1:56" s="73" customFormat="1" x14ac:dyDescent="0.25">
      <c r="A124" s="321"/>
      <c r="B124" s="493"/>
      <c r="C124" s="496"/>
      <c r="D124" s="499"/>
      <c r="E124" s="499"/>
      <c r="F124" s="502"/>
      <c r="G124" s="505"/>
      <c r="H124" s="505"/>
      <c r="I124" s="421">
        <v>2</v>
      </c>
      <c r="J124" s="508"/>
      <c r="K124" s="429" t="s">
        <v>68</v>
      </c>
      <c r="L124" s="511"/>
      <c r="M124" s="425"/>
      <c r="N124" s="526"/>
      <c r="O124" s="425"/>
      <c r="P124" s="526"/>
      <c r="Q124" s="37" t="s">
        <v>23</v>
      </c>
      <c r="R124" s="37">
        <v>7001</v>
      </c>
      <c r="S124" s="38"/>
      <c r="T124" s="529"/>
      <c r="U124" s="96"/>
      <c r="V124" s="96"/>
      <c r="W124" s="96"/>
      <c r="X124" s="96"/>
      <c r="Y124" s="96"/>
      <c r="Z124" s="96"/>
      <c r="AA124" s="96"/>
      <c r="AB124" s="96"/>
      <c r="AC124" s="96"/>
      <c r="AD124" s="40"/>
      <c r="AE124" s="40"/>
      <c r="AF124" s="40"/>
      <c r="AG124" s="41">
        <v>44422</v>
      </c>
      <c r="AH124" s="532"/>
      <c r="AI124" s="94">
        <v>7000</v>
      </c>
      <c r="AJ124" s="135">
        <f t="shared" si="177"/>
        <v>-1</v>
      </c>
      <c r="AK124" s="94">
        <f t="shared" si="178"/>
        <v>-1.4283673760891302E-2</v>
      </c>
      <c r="AL124" s="94"/>
      <c r="AM124" s="94"/>
      <c r="AN124" s="94"/>
      <c r="AO124" s="94"/>
      <c r="AP124" s="135">
        <v>29</v>
      </c>
      <c r="AQ124" s="135">
        <f t="shared" si="179"/>
        <v>0.41422653906584772</v>
      </c>
      <c r="AR124" s="40">
        <f t="shared" si="180"/>
        <v>0.39994286530495643</v>
      </c>
      <c r="AS124" s="40">
        <f t="shared" si="181"/>
        <v>-0.42851021282673901</v>
      </c>
      <c r="AT124" s="40">
        <f t="shared" si="182"/>
        <v>0.39994286530495643</v>
      </c>
      <c r="AU124" s="43">
        <f t="shared" si="170"/>
        <v>121.62222222222222</v>
      </c>
      <c r="AV124" s="44">
        <f t="shared" si="183"/>
        <v>0.39994286530495643</v>
      </c>
      <c r="AW124" s="95">
        <f t="shared" si="171"/>
        <v>3.2884028757030953E-3</v>
      </c>
      <c r="AX124" s="46">
        <f t="shared" si="184"/>
        <v>608.19798412698412</v>
      </c>
      <c r="AY124" s="72" t="str">
        <f t="shared" si="172"/>
        <v>DOS AÑOS</v>
      </c>
      <c r="AZ124" s="481"/>
      <c r="BA124" s="484"/>
      <c r="BB124" s="487"/>
      <c r="BC124" s="119"/>
      <c r="BD124" s="490"/>
    </row>
    <row r="125" spans="1:56" s="73" customFormat="1" ht="15.75" thickBot="1" x14ac:dyDescent="0.3">
      <c r="A125" s="321"/>
      <c r="B125" s="493"/>
      <c r="C125" s="496"/>
      <c r="D125" s="499"/>
      <c r="E125" s="499"/>
      <c r="F125" s="502"/>
      <c r="G125" s="505"/>
      <c r="H125" s="505"/>
      <c r="I125" s="421">
        <v>2</v>
      </c>
      <c r="J125" s="508"/>
      <c r="K125" s="429" t="s">
        <v>68</v>
      </c>
      <c r="L125" s="511"/>
      <c r="M125" s="425" t="s">
        <v>68</v>
      </c>
      <c r="N125" s="526"/>
      <c r="O125" s="425" t="s">
        <v>68</v>
      </c>
      <c r="P125" s="526"/>
      <c r="Q125" s="37" t="s">
        <v>23</v>
      </c>
      <c r="R125" s="37">
        <v>9004</v>
      </c>
      <c r="S125" s="38"/>
      <c r="T125" s="529"/>
      <c r="U125" s="96"/>
      <c r="V125" s="253"/>
      <c r="W125" s="96"/>
      <c r="X125" s="96"/>
      <c r="Y125" s="96"/>
      <c r="Z125" s="96"/>
      <c r="AA125" s="96"/>
      <c r="AB125" s="96"/>
      <c r="AC125" s="96"/>
      <c r="AD125" s="255"/>
      <c r="AE125" s="255"/>
      <c r="AF125" s="255"/>
      <c r="AG125" s="41">
        <v>44422</v>
      </c>
      <c r="AH125" s="532"/>
      <c r="AI125" s="94">
        <v>9000</v>
      </c>
      <c r="AJ125" s="135">
        <f t="shared" ref="AJ125" si="185">AI125-R125</f>
        <v>-4</v>
      </c>
      <c r="AK125" s="94">
        <f t="shared" ref="AK125" si="186">(AJ125*100)/R125</f>
        <v>-4.4424700133274098E-2</v>
      </c>
      <c r="AL125" s="94" t="s">
        <v>68</v>
      </c>
      <c r="AM125" s="94" t="s">
        <v>68</v>
      </c>
      <c r="AN125" s="94" t="s">
        <v>68</v>
      </c>
      <c r="AO125" s="94" t="s">
        <v>68</v>
      </c>
      <c r="AP125" s="94">
        <v>37</v>
      </c>
      <c r="AQ125" s="292">
        <f t="shared" ref="AQ125" si="187">(AP125*100)/R125</f>
        <v>0.41092847623278544</v>
      </c>
      <c r="AR125" s="40">
        <f t="shared" ref="AR125" si="188">(AK125+AQ125)</f>
        <v>0.36650377609951135</v>
      </c>
      <c r="AS125" s="40">
        <f t="shared" ref="AS125" si="189">(AK125-AQ125)</f>
        <v>-0.45535317636605954</v>
      </c>
      <c r="AT125" s="40">
        <f t="shared" ref="AT125" si="190">MAX(AR125:AS125)</f>
        <v>0.36650377609951135</v>
      </c>
      <c r="AU125" s="43">
        <f t="shared" si="170"/>
        <v>121.62222222222222</v>
      </c>
      <c r="AV125" s="44">
        <f t="shared" si="183"/>
        <v>0.36650377609951135</v>
      </c>
      <c r="AW125" s="95">
        <f t="shared" si="171"/>
        <v>3.0134606110867918E-3</v>
      </c>
      <c r="AX125" s="46">
        <f t="shared" si="184"/>
        <v>663.68878114478105</v>
      </c>
      <c r="AY125" s="72" t="str">
        <f t="shared" si="172"/>
        <v>DOS AÑOS</v>
      </c>
      <c r="AZ125" s="481"/>
      <c r="BA125" s="484"/>
      <c r="BB125" s="487"/>
      <c r="BC125" s="119">
        <f>MIN(AX63:AX242)</f>
        <v>0.90648448184517649</v>
      </c>
      <c r="BD125" s="490"/>
    </row>
    <row r="126" spans="1:56" ht="14.25" customHeight="1" x14ac:dyDescent="0.25">
      <c r="A126"/>
      <c r="B126" s="691" t="s">
        <v>170</v>
      </c>
      <c r="C126" s="627" t="s">
        <v>171</v>
      </c>
      <c r="D126" s="497" t="s">
        <v>103</v>
      </c>
      <c r="E126" s="497" t="s">
        <v>172</v>
      </c>
      <c r="F126" s="688" t="s">
        <v>221</v>
      </c>
      <c r="G126" s="503" t="s">
        <v>173</v>
      </c>
      <c r="H126" s="749" t="s">
        <v>174</v>
      </c>
      <c r="I126" s="346">
        <v>1</v>
      </c>
      <c r="J126" s="752" t="s">
        <v>175</v>
      </c>
      <c r="K126" s="356" t="s">
        <v>68</v>
      </c>
      <c r="L126" s="755" t="s">
        <v>175</v>
      </c>
      <c r="M126" s="344" t="s">
        <v>68</v>
      </c>
      <c r="N126" s="758" t="s">
        <v>175</v>
      </c>
      <c r="O126" s="344" t="s">
        <v>68</v>
      </c>
      <c r="P126" s="758" t="s">
        <v>175</v>
      </c>
      <c r="Q126" s="57">
        <v>0</v>
      </c>
      <c r="R126" s="57">
        <v>1.4999999999999999E-2</v>
      </c>
      <c r="S126" s="58">
        <v>44063</v>
      </c>
      <c r="T126" s="527" t="s">
        <v>222</v>
      </c>
      <c r="U126" s="357">
        <v>0</v>
      </c>
      <c r="V126" s="357">
        <f t="shared" ref="V126:V135" si="191">U126-Q126</f>
        <v>0</v>
      </c>
      <c r="W126" s="357"/>
      <c r="X126" s="357"/>
      <c r="Y126" s="357"/>
      <c r="Z126" s="357"/>
      <c r="AA126" s="357"/>
      <c r="AB126" s="357">
        <v>0.13</v>
      </c>
      <c r="AC126" s="357"/>
      <c r="AD126" s="358">
        <f>V126+AB126</f>
        <v>0.13</v>
      </c>
      <c r="AE126" s="59">
        <f>V126-AB126</f>
        <v>-0.13</v>
      </c>
      <c r="AF126" s="59">
        <f t="shared" ref="AF126" si="192">MAX(AD126:AE126)</f>
        <v>0.13</v>
      </c>
      <c r="AG126" s="60">
        <v>44421</v>
      </c>
      <c r="AH126" s="530">
        <v>66138</v>
      </c>
      <c r="AI126" s="368">
        <v>0</v>
      </c>
      <c r="AJ126" s="84">
        <f>AI126-R126</f>
        <v>-1.4999999999999999E-2</v>
      </c>
      <c r="AK126" s="61" t="s">
        <v>68</v>
      </c>
      <c r="AL126" s="61" t="s">
        <v>68</v>
      </c>
      <c r="AM126" s="61" t="s">
        <v>68</v>
      </c>
      <c r="AN126" s="61" t="s">
        <v>68</v>
      </c>
      <c r="AO126" s="61" t="s">
        <v>68</v>
      </c>
      <c r="AP126" s="61">
        <v>9.2999999999999999E-2</v>
      </c>
      <c r="AQ126" s="61" t="s">
        <v>68</v>
      </c>
      <c r="AR126" s="358">
        <f t="shared" ref="AR126:AR133" si="193">(AJ126+AP126)</f>
        <v>7.8E-2</v>
      </c>
      <c r="AS126" s="59">
        <f t="shared" ref="AS126:AS133" si="194">(AJ126-AP126)</f>
        <v>-0.108</v>
      </c>
      <c r="AT126" s="59">
        <f t="shared" ref="AT126:AT133" si="195">MAX(AR126:AS126)</f>
        <v>7.8E-2</v>
      </c>
      <c r="AU126" s="62">
        <f t="shared" ref="AU126:AU133" si="196">YEARFRAC(S126,AG126)</f>
        <v>0.98055555555555551</v>
      </c>
      <c r="AV126" s="63">
        <f t="shared" ref="AV126:AV133" si="197">ABS(AT126-AF126)</f>
        <v>5.2000000000000005E-2</v>
      </c>
      <c r="AW126" s="64">
        <f t="shared" ref="AW126:AW133" si="198">(AV126/AU126)</f>
        <v>5.3031161473087826E-2</v>
      </c>
      <c r="AX126" s="65">
        <f t="shared" ref="AX126:AX133" si="199">(I126/AW126)</f>
        <v>18.856837606837605</v>
      </c>
      <c r="AY126" s="66" t="str">
        <f t="shared" ref="AY126:AY133" si="200">IF(AX126&lt;=1,"UN AÑO",IF(AX126&gt;=1,"DOS AÑOS"))</f>
        <v>DOS AÑOS</v>
      </c>
      <c r="AZ126" s="479" t="s">
        <v>176</v>
      </c>
      <c r="BA126" s="761" t="s">
        <v>35</v>
      </c>
      <c r="BB126" s="485" t="s">
        <v>34</v>
      </c>
      <c r="BC126" s="359"/>
      <c r="BD126" s="701">
        <f>BC301</f>
        <v>0</v>
      </c>
    </row>
    <row r="127" spans="1:56" ht="14.25" customHeight="1" x14ac:dyDescent="0.25">
      <c r="A127"/>
      <c r="B127" s="692"/>
      <c r="C127" s="710"/>
      <c r="D127" s="498"/>
      <c r="E127" s="498"/>
      <c r="F127" s="694"/>
      <c r="G127" s="504"/>
      <c r="H127" s="750"/>
      <c r="I127" s="317">
        <v>1.4</v>
      </c>
      <c r="J127" s="753"/>
      <c r="K127" s="301"/>
      <c r="L127" s="756"/>
      <c r="M127" s="348"/>
      <c r="N127" s="759"/>
      <c r="O127" s="348"/>
      <c r="P127" s="759"/>
      <c r="Q127" s="241">
        <v>-5.32</v>
      </c>
      <c r="R127" s="241">
        <v>-4.508</v>
      </c>
      <c r="S127" s="243">
        <v>44063</v>
      </c>
      <c r="T127" s="528"/>
      <c r="U127" s="303">
        <v>-4.8600000000000003</v>
      </c>
      <c r="V127" s="39">
        <f>U127-Q127</f>
        <v>0.45999999999999996</v>
      </c>
      <c r="W127" s="303"/>
      <c r="X127" s="303"/>
      <c r="Y127" s="303"/>
      <c r="Z127" s="303"/>
      <c r="AA127" s="303"/>
      <c r="AB127" s="303">
        <v>0.13</v>
      </c>
      <c r="AC127" s="303"/>
      <c r="AD127" s="366">
        <f>V127+AB127</f>
        <v>0.59</v>
      </c>
      <c r="AE127" s="245">
        <f>V127-AB127</f>
        <v>0.32999999999999996</v>
      </c>
      <c r="AF127" s="40">
        <f t="shared" si="122"/>
        <v>0.59</v>
      </c>
      <c r="AG127" s="246">
        <v>44421</v>
      </c>
      <c r="AH127" s="531"/>
      <c r="AI127" s="369">
        <v>-5.12</v>
      </c>
      <c r="AJ127" s="94">
        <f>AI127-R127</f>
        <v>-0.6120000000000001</v>
      </c>
      <c r="AK127" s="304"/>
      <c r="AL127" s="304"/>
      <c r="AM127" s="304"/>
      <c r="AN127" s="304"/>
      <c r="AO127" s="304"/>
      <c r="AP127" s="304">
        <v>9.0999999999999998E-2</v>
      </c>
      <c r="AQ127" s="304"/>
      <c r="AR127" s="360">
        <f t="shared" si="193"/>
        <v>-0.52100000000000013</v>
      </c>
      <c r="AS127" s="40">
        <f t="shared" si="194"/>
        <v>-0.70300000000000007</v>
      </c>
      <c r="AT127" s="40">
        <f t="shared" si="195"/>
        <v>-0.52100000000000013</v>
      </c>
      <c r="AU127" s="43">
        <f t="shared" si="196"/>
        <v>0.98055555555555551</v>
      </c>
      <c r="AV127" s="44">
        <f t="shared" si="197"/>
        <v>1.1110000000000002</v>
      </c>
      <c r="AW127" s="45">
        <f t="shared" si="198"/>
        <v>1.1330311614730881</v>
      </c>
      <c r="AX127" s="46">
        <f t="shared" si="199"/>
        <v>1.2356235623562353</v>
      </c>
      <c r="AY127" s="72" t="str">
        <f t="shared" si="200"/>
        <v>DOS AÑOS</v>
      </c>
      <c r="AZ127" s="480"/>
      <c r="BA127" s="762"/>
      <c r="BB127" s="486"/>
      <c r="BC127" s="367"/>
      <c r="BD127" s="747"/>
    </row>
    <row r="128" spans="1:56" ht="14.25" customHeight="1" x14ac:dyDescent="0.25">
      <c r="A128"/>
      <c r="B128" s="693"/>
      <c r="C128" s="628"/>
      <c r="D128" s="499"/>
      <c r="E128" s="499"/>
      <c r="F128" s="695"/>
      <c r="G128" s="505"/>
      <c r="H128" s="751"/>
      <c r="I128" s="347">
        <v>1</v>
      </c>
      <c r="J128" s="754"/>
      <c r="K128" s="70" t="s">
        <v>177</v>
      </c>
      <c r="L128" s="757"/>
      <c r="M128" s="345" t="s">
        <v>68</v>
      </c>
      <c r="N128" s="760"/>
      <c r="O128" s="345" t="s">
        <v>68</v>
      </c>
      <c r="P128" s="760"/>
      <c r="Q128" s="37">
        <v>-9.4</v>
      </c>
      <c r="R128" s="37">
        <v>-7.8380000000000001</v>
      </c>
      <c r="S128" s="38">
        <v>44063</v>
      </c>
      <c r="T128" s="529"/>
      <c r="U128" s="39">
        <v>-9.82</v>
      </c>
      <c r="V128" s="39">
        <f t="shared" si="191"/>
        <v>-0.41999999999999993</v>
      </c>
      <c r="W128" s="39" t="s">
        <v>68</v>
      </c>
      <c r="X128" s="39" t="s">
        <v>68</v>
      </c>
      <c r="Y128" s="39" t="s">
        <v>68</v>
      </c>
      <c r="Z128" s="39" t="s">
        <v>68</v>
      </c>
      <c r="AA128" s="39" t="s">
        <v>68</v>
      </c>
      <c r="AB128" s="39">
        <v>0.13</v>
      </c>
      <c r="AC128" s="39" t="s">
        <v>68</v>
      </c>
      <c r="AD128" s="366">
        <f t="shared" ref="AD128:AD130" si="201">V128+AB128</f>
        <v>-0.28999999999999992</v>
      </c>
      <c r="AE128" s="245">
        <f t="shared" ref="AE128:AE132" si="202">V128-AB128</f>
        <v>-0.54999999999999993</v>
      </c>
      <c r="AF128" s="40">
        <f t="shared" si="122"/>
        <v>-0.28999999999999992</v>
      </c>
      <c r="AG128" s="41">
        <v>44421</v>
      </c>
      <c r="AH128" s="532"/>
      <c r="AI128" s="370">
        <v>-8.23</v>
      </c>
      <c r="AJ128" s="94">
        <f t="shared" ref="AJ128:AJ135" si="203">AI128-R128</f>
        <v>-0.39200000000000035</v>
      </c>
      <c r="AK128" s="42" t="s">
        <v>68</v>
      </c>
      <c r="AL128" s="42" t="s">
        <v>68</v>
      </c>
      <c r="AM128" s="42" t="s">
        <v>68</v>
      </c>
      <c r="AN128" s="42" t="s">
        <v>68</v>
      </c>
      <c r="AO128" s="42" t="s">
        <v>68</v>
      </c>
      <c r="AP128" s="42">
        <v>0.09</v>
      </c>
      <c r="AQ128" s="42" t="s">
        <v>68</v>
      </c>
      <c r="AR128" s="360">
        <f t="shared" si="193"/>
        <v>-0.30200000000000038</v>
      </c>
      <c r="AS128" s="40">
        <f t="shared" si="194"/>
        <v>-0.48200000000000032</v>
      </c>
      <c r="AT128" s="40">
        <f t="shared" si="195"/>
        <v>-0.30200000000000038</v>
      </c>
      <c r="AU128" s="43">
        <f t="shared" si="196"/>
        <v>0.98055555555555551</v>
      </c>
      <c r="AV128" s="44">
        <f t="shared" si="197"/>
        <v>1.2000000000000455E-2</v>
      </c>
      <c r="AW128" s="45">
        <f t="shared" si="198"/>
        <v>1.2237960339943807E-2</v>
      </c>
      <c r="AX128" s="46">
        <f t="shared" si="199"/>
        <v>81.712962962959864</v>
      </c>
      <c r="AY128" s="72" t="str">
        <f t="shared" si="200"/>
        <v>DOS AÑOS</v>
      </c>
      <c r="AZ128" s="481"/>
      <c r="BA128" s="763"/>
      <c r="BB128" s="487"/>
      <c r="BC128" s="361"/>
      <c r="BD128" s="702"/>
    </row>
    <row r="129" spans="1:56" ht="14.25" customHeight="1" x14ac:dyDescent="0.25">
      <c r="A129"/>
      <c r="B129" s="693"/>
      <c r="C129" s="628"/>
      <c r="D129" s="499"/>
      <c r="E129" s="499"/>
      <c r="F129" s="695"/>
      <c r="G129" s="505"/>
      <c r="H129" s="751"/>
      <c r="I129" s="347">
        <v>1</v>
      </c>
      <c r="J129" s="754"/>
      <c r="K129" s="70"/>
      <c r="L129" s="757"/>
      <c r="M129" s="345"/>
      <c r="N129" s="760"/>
      <c r="O129" s="345"/>
      <c r="P129" s="760"/>
      <c r="Q129" s="37">
        <v>-12.2</v>
      </c>
      <c r="R129" s="37">
        <v>-11.465</v>
      </c>
      <c r="S129" s="38">
        <v>44063</v>
      </c>
      <c r="T129" s="529"/>
      <c r="U129" s="39">
        <v>-11.8</v>
      </c>
      <c r="V129" s="39">
        <f t="shared" si="191"/>
        <v>0.39999999999999858</v>
      </c>
      <c r="W129" s="39"/>
      <c r="X129" s="39"/>
      <c r="Y129" s="39"/>
      <c r="Z129" s="39"/>
      <c r="AA129" s="39"/>
      <c r="AB129" s="39">
        <v>0.13</v>
      </c>
      <c r="AC129" s="39"/>
      <c r="AD129" s="366">
        <f t="shared" si="201"/>
        <v>0.52999999999999858</v>
      </c>
      <c r="AE129" s="245">
        <f t="shared" si="202"/>
        <v>0.26999999999999857</v>
      </c>
      <c r="AF129" s="40">
        <f t="shared" si="122"/>
        <v>0.52999999999999858</v>
      </c>
      <c r="AG129" s="41">
        <v>44421</v>
      </c>
      <c r="AH129" s="532"/>
      <c r="AI129" s="370">
        <v>-11.9</v>
      </c>
      <c r="AJ129" s="94">
        <f t="shared" si="203"/>
        <v>-0.4350000000000005</v>
      </c>
      <c r="AK129" s="42"/>
      <c r="AL129" s="42"/>
      <c r="AM129" s="42"/>
      <c r="AN129" s="42"/>
      <c r="AO129" s="42"/>
      <c r="AP129" s="42">
        <v>9.4E-2</v>
      </c>
      <c r="AQ129" s="42"/>
      <c r="AR129" s="360">
        <f t="shared" si="193"/>
        <v>-0.34100000000000052</v>
      </c>
      <c r="AS129" s="40">
        <f t="shared" si="194"/>
        <v>-0.52900000000000047</v>
      </c>
      <c r="AT129" s="40">
        <f t="shared" si="195"/>
        <v>-0.34100000000000052</v>
      </c>
      <c r="AU129" s="43">
        <f t="shared" si="196"/>
        <v>0.98055555555555551</v>
      </c>
      <c r="AV129" s="44">
        <f t="shared" si="197"/>
        <v>0.87099999999999911</v>
      </c>
      <c r="AW129" s="45">
        <f t="shared" si="198"/>
        <v>0.88827195467422004</v>
      </c>
      <c r="AX129" s="46">
        <f t="shared" si="199"/>
        <v>1.1257813496619478</v>
      </c>
      <c r="AY129" s="72" t="str">
        <f t="shared" si="200"/>
        <v>DOS AÑOS</v>
      </c>
      <c r="AZ129" s="481"/>
      <c r="BA129" s="763"/>
      <c r="BB129" s="487"/>
      <c r="BC129" s="361"/>
      <c r="BD129" s="702"/>
    </row>
    <row r="130" spans="1:56" ht="14.25" customHeight="1" x14ac:dyDescent="0.25">
      <c r="A130"/>
      <c r="B130" s="693"/>
      <c r="C130" s="628"/>
      <c r="D130" s="499"/>
      <c r="E130" s="499"/>
      <c r="F130" s="695"/>
      <c r="G130" s="505"/>
      <c r="H130" s="751"/>
      <c r="I130" s="347">
        <v>1</v>
      </c>
      <c r="J130" s="754"/>
      <c r="K130" s="70" t="s">
        <v>68</v>
      </c>
      <c r="L130" s="757"/>
      <c r="M130" s="345" t="s">
        <v>68</v>
      </c>
      <c r="N130" s="760"/>
      <c r="O130" s="345" t="s">
        <v>68</v>
      </c>
      <c r="P130" s="760"/>
      <c r="Q130" s="37">
        <v>-14.84</v>
      </c>
      <c r="R130" s="37">
        <v>-14.923999999999999</v>
      </c>
      <c r="S130" s="38">
        <v>44063</v>
      </c>
      <c r="T130" s="529"/>
      <c r="U130" s="39">
        <v>-15.2</v>
      </c>
      <c r="V130" s="39">
        <f t="shared" si="191"/>
        <v>-0.35999999999999943</v>
      </c>
      <c r="W130" s="39" t="s">
        <v>68</v>
      </c>
      <c r="X130" s="39" t="s">
        <v>68</v>
      </c>
      <c r="Y130" s="39" t="s">
        <v>68</v>
      </c>
      <c r="Z130" s="39" t="s">
        <v>68</v>
      </c>
      <c r="AA130" s="39" t="s">
        <v>68</v>
      </c>
      <c r="AB130" s="39">
        <v>0.13</v>
      </c>
      <c r="AC130" s="39" t="s">
        <v>68</v>
      </c>
      <c r="AD130" s="366">
        <f t="shared" si="201"/>
        <v>-0.22999999999999943</v>
      </c>
      <c r="AE130" s="245">
        <f t="shared" si="202"/>
        <v>-0.48999999999999944</v>
      </c>
      <c r="AF130" s="40">
        <f t="shared" si="122"/>
        <v>-0.22999999999999943</v>
      </c>
      <c r="AG130" s="41">
        <v>44421</v>
      </c>
      <c r="AH130" s="532"/>
      <c r="AI130" s="370">
        <v>-15.17</v>
      </c>
      <c r="AJ130" s="94">
        <f t="shared" si="203"/>
        <v>-0.24600000000000044</v>
      </c>
      <c r="AK130" s="42" t="s">
        <v>68</v>
      </c>
      <c r="AL130" s="42" t="s">
        <v>68</v>
      </c>
      <c r="AM130" s="42" t="s">
        <v>68</v>
      </c>
      <c r="AN130" s="42" t="s">
        <v>68</v>
      </c>
      <c r="AO130" s="42" t="s">
        <v>68</v>
      </c>
      <c r="AP130" s="42">
        <v>9.7000000000000003E-2</v>
      </c>
      <c r="AQ130" s="42" t="s">
        <v>68</v>
      </c>
      <c r="AR130" s="360">
        <f t="shared" si="193"/>
        <v>-0.14900000000000044</v>
      </c>
      <c r="AS130" s="40">
        <f t="shared" si="194"/>
        <v>-0.34300000000000042</v>
      </c>
      <c r="AT130" s="40">
        <f t="shared" si="195"/>
        <v>-0.14900000000000044</v>
      </c>
      <c r="AU130" s="43">
        <f t="shared" si="196"/>
        <v>0.98055555555555551</v>
      </c>
      <c r="AV130" s="44">
        <f t="shared" si="197"/>
        <v>8.0999999999998989E-2</v>
      </c>
      <c r="AW130" s="45">
        <f t="shared" si="198"/>
        <v>8.2606232294616541E-2</v>
      </c>
      <c r="AX130" s="46">
        <f t="shared" si="199"/>
        <v>12.105624142661329</v>
      </c>
      <c r="AY130" s="72" t="str">
        <f t="shared" si="200"/>
        <v>DOS AÑOS</v>
      </c>
      <c r="AZ130" s="481"/>
      <c r="BA130" s="763"/>
      <c r="BB130" s="487"/>
      <c r="BC130" s="362">
        <f>MIN(AX126:AX135)</f>
        <v>1.1257813496619478</v>
      </c>
      <c r="BD130" s="702"/>
    </row>
    <row r="131" spans="1:56" ht="14.25" customHeight="1" x14ac:dyDescent="0.25">
      <c r="A131"/>
      <c r="B131" s="693"/>
      <c r="C131" s="629" t="s">
        <v>178</v>
      </c>
      <c r="D131" s="499"/>
      <c r="E131" s="499"/>
      <c r="F131" s="695"/>
      <c r="G131" s="505"/>
      <c r="H131" s="751"/>
      <c r="I131" s="347">
        <v>1</v>
      </c>
      <c r="J131" s="754"/>
      <c r="K131" s="70"/>
      <c r="L131" s="757"/>
      <c r="M131" s="345"/>
      <c r="N131" s="760"/>
      <c r="O131" s="345"/>
      <c r="P131" s="760"/>
      <c r="Q131" s="37"/>
      <c r="R131" s="37">
        <v>1.2E-2</v>
      </c>
      <c r="S131" s="38"/>
      <c r="T131" s="529"/>
      <c r="U131" s="39"/>
      <c r="V131" s="39"/>
      <c r="W131" s="39"/>
      <c r="X131" s="39"/>
      <c r="Y131" s="39"/>
      <c r="Z131" s="39"/>
      <c r="AA131" s="39"/>
      <c r="AB131" s="39"/>
      <c r="AC131" s="39"/>
      <c r="AD131" s="366"/>
      <c r="AE131" s="245"/>
      <c r="AF131" s="40"/>
      <c r="AG131" s="41">
        <v>44421</v>
      </c>
      <c r="AH131" s="532"/>
      <c r="AI131" s="370">
        <v>0</v>
      </c>
      <c r="AJ131" s="94">
        <f t="shared" si="203"/>
        <v>-1.2E-2</v>
      </c>
      <c r="AK131" s="42"/>
      <c r="AL131" s="42"/>
      <c r="AM131" s="42"/>
      <c r="AN131" s="42"/>
      <c r="AO131" s="42"/>
      <c r="AP131" s="42">
        <v>0.09</v>
      </c>
      <c r="AQ131" s="42"/>
      <c r="AR131" s="360">
        <f t="shared" si="193"/>
        <v>7.8E-2</v>
      </c>
      <c r="AS131" s="40">
        <f t="shared" si="194"/>
        <v>-0.10199999999999999</v>
      </c>
      <c r="AT131" s="40">
        <f t="shared" si="195"/>
        <v>7.8E-2</v>
      </c>
      <c r="AU131" s="43">
        <f t="shared" si="196"/>
        <v>121.61944444444444</v>
      </c>
      <c r="AV131" s="44">
        <f t="shared" si="197"/>
        <v>7.8E-2</v>
      </c>
      <c r="AW131" s="45">
        <f t="shared" si="198"/>
        <v>6.4134481419729126E-4</v>
      </c>
      <c r="AX131" s="46">
        <f t="shared" si="199"/>
        <v>1559.2236467236467</v>
      </c>
      <c r="AY131" s="72" t="str">
        <f t="shared" si="200"/>
        <v>DOS AÑOS</v>
      </c>
      <c r="AZ131" s="481"/>
      <c r="BA131" s="763"/>
      <c r="BB131" s="487"/>
      <c r="BC131" s="362"/>
      <c r="BD131" s="702"/>
    </row>
    <row r="132" spans="1:56" ht="14.25" customHeight="1" x14ac:dyDescent="0.25">
      <c r="A132"/>
      <c r="B132" s="693"/>
      <c r="C132" s="748"/>
      <c r="D132" s="499"/>
      <c r="E132" s="499"/>
      <c r="F132" s="695"/>
      <c r="G132" s="505"/>
      <c r="H132" s="751"/>
      <c r="I132" s="347">
        <v>1</v>
      </c>
      <c r="J132" s="754"/>
      <c r="K132" s="70"/>
      <c r="L132" s="757"/>
      <c r="M132" s="345"/>
      <c r="N132" s="760"/>
      <c r="O132" s="345"/>
      <c r="P132" s="760"/>
      <c r="Q132" s="37">
        <v>5.05</v>
      </c>
      <c r="R132" s="37">
        <v>4.8680000000000003</v>
      </c>
      <c r="S132" s="38">
        <v>44063</v>
      </c>
      <c r="T132" s="529"/>
      <c r="U132" s="39">
        <v>4.82</v>
      </c>
      <c r="V132" s="39">
        <f t="shared" si="191"/>
        <v>-0.22999999999999954</v>
      </c>
      <c r="W132" s="39"/>
      <c r="X132" s="39"/>
      <c r="Y132" s="39"/>
      <c r="Z132" s="39"/>
      <c r="AA132" s="39"/>
      <c r="AB132" s="39">
        <v>0.13</v>
      </c>
      <c r="AC132" s="39"/>
      <c r="AD132" s="366">
        <f t="shared" ref="AD132" si="204">V132+AB132</f>
        <v>-9.9999999999999534E-2</v>
      </c>
      <c r="AE132" s="245">
        <f t="shared" si="202"/>
        <v>-0.35999999999999954</v>
      </c>
      <c r="AF132" s="40">
        <f t="shared" ref="AF132" si="205">MAX(AD132:AE132)</f>
        <v>-9.9999999999999534E-2</v>
      </c>
      <c r="AG132" s="41">
        <v>44421</v>
      </c>
      <c r="AH132" s="532"/>
      <c r="AI132" s="370">
        <v>4.9800000000000004</v>
      </c>
      <c r="AJ132" s="94">
        <f t="shared" si="203"/>
        <v>0.1120000000000001</v>
      </c>
      <c r="AK132" s="42"/>
      <c r="AL132" s="42"/>
      <c r="AM132" s="42"/>
      <c r="AN132" s="42"/>
      <c r="AO132" s="42"/>
      <c r="AP132" s="42">
        <v>9.1999999999999998E-2</v>
      </c>
      <c r="AQ132" s="42"/>
      <c r="AR132" s="360">
        <f t="shared" si="193"/>
        <v>0.2040000000000001</v>
      </c>
      <c r="AS132" s="40">
        <f t="shared" si="194"/>
        <v>2.0000000000000101E-2</v>
      </c>
      <c r="AT132" s="40">
        <f t="shared" si="195"/>
        <v>0.2040000000000001</v>
      </c>
      <c r="AU132" s="43">
        <f t="shared" si="196"/>
        <v>0.98055555555555551</v>
      </c>
      <c r="AV132" s="44">
        <f t="shared" si="197"/>
        <v>0.3039999999999996</v>
      </c>
      <c r="AW132" s="45">
        <f t="shared" si="198"/>
        <v>0.31002832861189761</v>
      </c>
      <c r="AX132" s="46">
        <f t="shared" si="199"/>
        <v>3.2255116959064369</v>
      </c>
      <c r="AY132" s="72" t="str">
        <f t="shared" si="200"/>
        <v>DOS AÑOS</v>
      </c>
      <c r="AZ132" s="481"/>
      <c r="BA132" s="763"/>
      <c r="BB132" s="487"/>
      <c r="BC132" s="362"/>
      <c r="BD132" s="702"/>
    </row>
    <row r="133" spans="1:56" ht="14.25" customHeight="1" x14ac:dyDescent="0.25">
      <c r="A133"/>
      <c r="B133" s="693"/>
      <c r="C133" s="748"/>
      <c r="D133" s="499"/>
      <c r="E133" s="499"/>
      <c r="F133" s="695"/>
      <c r="G133" s="505"/>
      <c r="H133" s="751"/>
      <c r="I133" s="347">
        <v>1</v>
      </c>
      <c r="J133" s="754"/>
      <c r="K133" s="70"/>
      <c r="L133" s="757"/>
      <c r="M133" s="345"/>
      <c r="N133" s="760"/>
      <c r="O133" s="345"/>
      <c r="P133" s="760"/>
      <c r="Q133" s="37">
        <v>9.59</v>
      </c>
      <c r="R133" s="37">
        <v>7.9320000000000004</v>
      </c>
      <c r="S133" s="38">
        <v>44063</v>
      </c>
      <c r="T133" s="529"/>
      <c r="U133" s="39">
        <v>9.84</v>
      </c>
      <c r="V133" s="39">
        <f t="shared" si="191"/>
        <v>0.25</v>
      </c>
      <c r="W133" s="39"/>
      <c r="X133" s="39"/>
      <c r="Y133" s="39"/>
      <c r="Z133" s="39"/>
      <c r="AA133" s="39"/>
      <c r="AB133" s="39">
        <v>0.13</v>
      </c>
      <c r="AC133" s="39"/>
      <c r="AD133" s="366">
        <f t="shared" ref="AD133" si="206">V133+AB133</f>
        <v>0.38</v>
      </c>
      <c r="AE133" s="245">
        <f t="shared" ref="AE133" si="207">V133-AB133</f>
        <v>0.12</v>
      </c>
      <c r="AF133" s="40">
        <f t="shared" si="122"/>
        <v>0.38</v>
      </c>
      <c r="AG133" s="41">
        <v>44421</v>
      </c>
      <c r="AH133" s="532"/>
      <c r="AI133" s="370">
        <v>8.34</v>
      </c>
      <c r="AJ133" s="94">
        <f t="shared" si="203"/>
        <v>0.40799999999999947</v>
      </c>
      <c r="AK133" s="42"/>
      <c r="AL133" s="42"/>
      <c r="AM133" s="42"/>
      <c r="AN133" s="42"/>
      <c r="AO133" s="42"/>
      <c r="AP133" s="42">
        <v>9.0999999999999998E-2</v>
      </c>
      <c r="AQ133" s="42"/>
      <c r="AR133" s="360">
        <f t="shared" si="193"/>
        <v>0.49899999999999944</v>
      </c>
      <c r="AS133" s="40">
        <f t="shared" si="194"/>
        <v>0.3169999999999995</v>
      </c>
      <c r="AT133" s="40">
        <f t="shared" si="195"/>
        <v>0.49899999999999944</v>
      </c>
      <c r="AU133" s="43">
        <f t="shared" si="196"/>
        <v>0.98055555555555551</v>
      </c>
      <c r="AV133" s="44">
        <f t="shared" si="197"/>
        <v>0.11899999999999944</v>
      </c>
      <c r="AW133" s="45">
        <f t="shared" si="198"/>
        <v>0.12135977337110425</v>
      </c>
      <c r="AX133" s="46">
        <f t="shared" si="199"/>
        <v>8.2399626517273958</v>
      </c>
      <c r="AY133" s="72" t="str">
        <f t="shared" si="200"/>
        <v>DOS AÑOS</v>
      </c>
      <c r="AZ133" s="481"/>
      <c r="BA133" s="763"/>
      <c r="BB133" s="487"/>
      <c r="BC133" s="362"/>
      <c r="BD133" s="702"/>
    </row>
    <row r="134" spans="1:56" ht="14.25" customHeight="1" x14ac:dyDescent="0.25">
      <c r="A134"/>
      <c r="B134" s="693"/>
      <c r="C134" s="748"/>
      <c r="D134" s="499"/>
      <c r="E134" s="499"/>
      <c r="F134" s="695"/>
      <c r="G134" s="505"/>
      <c r="H134" s="751"/>
      <c r="I134" s="347">
        <v>1</v>
      </c>
      <c r="J134" s="754"/>
      <c r="K134" s="70" t="s">
        <v>68</v>
      </c>
      <c r="L134" s="757"/>
      <c r="M134" s="345" t="s">
        <v>68</v>
      </c>
      <c r="N134" s="760"/>
      <c r="O134" s="345" t="s">
        <v>68</v>
      </c>
      <c r="P134" s="760"/>
      <c r="Q134" s="37">
        <v>12.01</v>
      </c>
      <c r="R134" s="37">
        <v>11.632999999999999</v>
      </c>
      <c r="S134" s="38">
        <v>44063</v>
      </c>
      <c r="T134" s="529"/>
      <c r="U134" s="39">
        <v>12.24</v>
      </c>
      <c r="V134" s="39">
        <f t="shared" si="191"/>
        <v>0.23000000000000043</v>
      </c>
      <c r="W134" s="39" t="s">
        <v>68</v>
      </c>
      <c r="X134" s="39" t="s">
        <v>68</v>
      </c>
      <c r="Y134" s="39" t="s">
        <v>68</v>
      </c>
      <c r="Z134" s="39" t="s">
        <v>68</v>
      </c>
      <c r="AA134" s="39" t="s">
        <v>68</v>
      </c>
      <c r="AB134" s="39">
        <v>0.13</v>
      </c>
      <c r="AC134" s="39" t="s">
        <v>68</v>
      </c>
      <c r="AD134" s="366">
        <f t="shared" ref="AD134:AD135" si="208">V134+AB134</f>
        <v>0.36000000000000043</v>
      </c>
      <c r="AE134" s="245">
        <f t="shared" ref="AE134:AE135" si="209">V134-AB134</f>
        <v>0.10000000000000042</v>
      </c>
      <c r="AF134" s="40">
        <f t="shared" si="122"/>
        <v>0.36000000000000043</v>
      </c>
      <c r="AG134" s="41">
        <v>44421</v>
      </c>
      <c r="AH134" s="532"/>
      <c r="AI134" s="370">
        <v>11.96</v>
      </c>
      <c r="AJ134" s="94">
        <f t="shared" si="203"/>
        <v>0.32700000000000173</v>
      </c>
      <c r="AK134" s="42" t="s">
        <v>68</v>
      </c>
      <c r="AL134" s="42" t="s">
        <v>68</v>
      </c>
      <c r="AM134" s="42" t="s">
        <v>68</v>
      </c>
      <c r="AN134" s="42" t="s">
        <v>68</v>
      </c>
      <c r="AO134" s="42" t="s">
        <v>68</v>
      </c>
      <c r="AP134" s="42">
        <v>9.0999999999999998E-2</v>
      </c>
      <c r="AQ134" s="42" t="s">
        <v>68</v>
      </c>
      <c r="AR134" s="360">
        <f t="shared" ref="AR134:AR135" si="210">(AJ134+AP134)</f>
        <v>0.4180000000000017</v>
      </c>
      <c r="AS134" s="40">
        <f t="shared" ref="AS134:AS135" si="211">(AJ134-AP134)</f>
        <v>0.23600000000000174</v>
      </c>
      <c r="AT134" s="40">
        <f t="shared" si="145"/>
        <v>0.4180000000000017</v>
      </c>
      <c r="AU134" s="43">
        <f t="shared" si="118"/>
        <v>0.98055555555555551</v>
      </c>
      <c r="AV134" s="44">
        <f t="shared" si="147"/>
        <v>5.8000000000001273E-2</v>
      </c>
      <c r="AW134" s="45">
        <f t="shared" si="119"/>
        <v>5.9150141643060788E-2</v>
      </c>
      <c r="AX134" s="46">
        <f t="shared" si="130"/>
        <v>16.906130268198861</v>
      </c>
      <c r="AY134" s="72" t="str">
        <f t="shared" si="121"/>
        <v>DOS AÑOS</v>
      </c>
      <c r="AZ134" s="481"/>
      <c r="BA134" s="763"/>
      <c r="BB134" s="487"/>
      <c r="BC134" s="361"/>
      <c r="BD134" s="702"/>
    </row>
    <row r="135" spans="1:56" ht="14.25" customHeight="1" thickBot="1" x14ac:dyDescent="0.3">
      <c r="A135"/>
      <c r="B135" s="693"/>
      <c r="C135" s="748"/>
      <c r="D135" s="499"/>
      <c r="E135" s="499"/>
      <c r="F135" s="695"/>
      <c r="G135" s="505"/>
      <c r="H135" s="751"/>
      <c r="I135" s="347">
        <v>1</v>
      </c>
      <c r="J135" s="754"/>
      <c r="K135" s="70" t="s">
        <v>68</v>
      </c>
      <c r="L135" s="757"/>
      <c r="M135" s="345" t="s">
        <v>68</v>
      </c>
      <c r="N135" s="760"/>
      <c r="O135" s="345" t="s">
        <v>68</v>
      </c>
      <c r="P135" s="760"/>
      <c r="Q135" s="37">
        <v>15</v>
      </c>
      <c r="R135" s="37">
        <v>14.99</v>
      </c>
      <c r="S135" s="38">
        <v>44063</v>
      </c>
      <c r="T135" s="529"/>
      <c r="U135" s="39">
        <v>14.78</v>
      </c>
      <c r="V135" s="39">
        <f t="shared" si="191"/>
        <v>-0.22000000000000064</v>
      </c>
      <c r="W135" s="39" t="s">
        <v>68</v>
      </c>
      <c r="X135" s="39" t="s">
        <v>68</v>
      </c>
      <c r="Y135" s="39" t="s">
        <v>68</v>
      </c>
      <c r="Z135" s="39" t="s">
        <v>68</v>
      </c>
      <c r="AA135" s="39" t="s">
        <v>68</v>
      </c>
      <c r="AB135" s="39">
        <v>0.13</v>
      </c>
      <c r="AC135" s="39" t="s">
        <v>68</v>
      </c>
      <c r="AD135" s="366">
        <f t="shared" si="208"/>
        <v>-9.0000000000000635E-2</v>
      </c>
      <c r="AE135" s="245">
        <f t="shared" si="209"/>
        <v>-0.35000000000000064</v>
      </c>
      <c r="AF135" s="40">
        <f t="shared" si="122"/>
        <v>-9.0000000000000635E-2</v>
      </c>
      <c r="AG135" s="41">
        <v>44421</v>
      </c>
      <c r="AH135" s="532"/>
      <c r="AI135" s="370">
        <v>15.18</v>
      </c>
      <c r="AJ135" s="94">
        <f t="shared" si="203"/>
        <v>0.1899999999999995</v>
      </c>
      <c r="AK135" s="42" t="s">
        <v>68</v>
      </c>
      <c r="AL135" s="42" t="s">
        <v>68</v>
      </c>
      <c r="AM135" s="42" t="s">
        <v>68</v>
      </c>
      <c r="AN135" s="42" t="s">
        <v>68</v>
      </c>
      <c r="AO135" s="42" t="s">
        <v>68</v>
      </c>
      <c r="AP135" s="42">
        <v>9.2999999999999999E-2</v>
      </c>
      <c r="AQ135" s="42" t="s">
        <v>68</v>
      </c>
      <c r="AR135" s="360">
        <f t="shared" si="210"/>
        <v>0.28299999999999947</v>
      </c>
      <c r="AS135" s="40">
        <f t="shared" si="211"/>
        <v>9.6999999999999503E-2</v>
      </c>
      <c r="AT135" s="40">
        <f t="shared" si="145"/>
        <v>0.28299999999999947</v>
      </c>
      <c r="AU135" s="43">
        <f t="shared" si="118"/>
        <v>0.98055555555555551</v>
      </c>
      <c r="AV135" s="44">
        <f t="shared" si="147"/>
        <v>0.37300000000000011</v>
      </c>
      <c r="AW135" s="45">
        <f t="shared" si="119"/>
        <v>0.38039660056657237</v>
      </c>
      <c r="AX135" s="46">
        <f t="shared" si="130"/>
        <v>2.6288352695859389</v>
      </c>
      <c r="AY135" s="72" t="str">
        <f t="shared" si="121"/>
        <v>DOS AÑOS</v>
      </c>
      <c r="AZ135" s="481"/>
      <c r="BA135" s="763"/>
      <c r="BB135" s="487"/>
      <c r="BC135" s="361"/>
      <c r="BD135" s="702"/>
    </row>
    <row r="136" spans="1:56" ht="15.75" customHeight="1" x14ac:dyDescent="0.25">
      <c r="B136" s="727" t="s">
        <v>184</v>
      </c>
      <c r="C136" s="619" t="s">
        <v>188</v>
      </c>
      <c r="D136" s="718" t="s">
        <v>103</v>
      </c>
      <c r="E136" s="718" t="s">
        <v>223</v>
      </c>
      <c r="F136" s="721" t="s">
        <v>224</v>
      </c>
      <c r="G136" s="595" t="s">
        <v>104</v>
      </c>
      <c r="H136" s="613" t="s">
        <v>185</v>
      </c>
      <c r="I136" s="381">
        <v>3</v>
      </c>
      <c r="J136" s="715" t="s">
        <v>20</v>
      </c>
      <c r="K136" s="70">
        <v>3</v>
      </c>
      <c r="L136" s="391"/>
      <c r="M136" s="376" t="s">
        <v>68</v>
      </c>
      <c r="N136" s="392"/>
      <c r="O136" s="376" t="s">
        <v>68</v>
      </c>
      <c r="P136" s="392"/>
      <c r="Q136" s="57">
        <v>0</v>
      </c>
      <c r="R136" s="57">
        <v>0</v>
      </c>
      <c r="S136" s="58">
        <v>44063</v>
      </c>
      <c r="T136" s="623" t="s">
        <v>225</v>
      </c>
      <c r="U136" s="357">
        <v>0</v>
      </c>
      <c r="V136" s="357">
        <f>U136-Q136</f>
        <v>0</v>
      </c>
      <c r="W136" s="357">
        <v>0</v>
      </c>
      <c r="X136" s="357">
        <v>0</v>
      </c>
      <c r="Y136" s="357">
        <v>0</v>
      </c>
      <c r="Z136" s="357"/>
      <c r="AA136" s="357" t="s">
        <v>68</v>
      </c>
      <c r="AB136" s="357">
        <v>3.9</v>
      </c>
      <c r="AC136" s="396"/>
      <c r="AD136" s="124">
        <v>0</v>
      </c>
      <c r="AE136" s="124">
        <f t="shared" ref="AE136" si="212">(W136-AC136)</f>
        <v>0</v>
      </c>
      <c r="AF136" s="124">
        <f t="shared" si="122"/>
        <v>0</v>
      </c>
      <c r="AG136" s="60">
        <v>44421</v>
      </c>
      <c r="AH136" s="660">
        <v>66139</v>
      </c>
      <c r="AI136" s="61">
        <v>0</v>
      </c>
      <c r="AJ136" s="61">
        <f>AI136-Q136</f>
        <v>0</v>
      </c>
      <c r="AK136" s="61">
        <v>0</v>
      </c>
      <c r="AL136" s="61">
        <v>0</v>
      </c>
      <c r="AM136" s="61">
        <v>0</v>
      </c>
      <c r="AN136" s="61" t="s">
        <v>68</v>
      </c>
      <c r="AO136" s="61" t="s">
        <v>68</v>
      </c>
      <c r="AP136" s="61">
        <v>0.56999999999999995</v>
      </c>
      <c r="AQ136" s="61">
        <v>0.56999999999999995</v>
      </c>
      <c r="AR136" s="59">
        <f t="shared" ref="AR136:AR140" si="213">(AJ136+AQ136)</f>
        <v>0.56999999999999995</v>
      </c>
      <c r="AS136" s="59">
        <f t="shared" ref="AS136:AS140" si="214">(AK136-AQ136)</f>
        <v>-0.56999999999999995</v>
      </c>
      <c r="AT136" s="59">
        <f t="shared" si="145"/>
        <v>0.56999999999999995</v>
      </c>
      <c r="AU136" s="62">
        <f t="shared" si="118"/>
        <v>0.98055555555555551</v>
      </c>
      <c r="AV136" s="63">
        <f t="shared" si="147"/>
        <v>0.56999999999999995</v>
      </c>
      <c r="AW136" s="64">
        <f t="shared" si="119"/>
        <v>0.58130311614730878</v>
      </c>
      <c r="AX136" s="65">
        <f t="shared" si="130"/>
        <v>5.1608187134502925</v>
      </c>
      <c r="AY136" s="66" t="str">
        <f t="shared" si="121"/>
        <v>DOS AÑOS</v>
      </c>
      <c r="AZ136" s="375"/>
      <c r="BA136" s="393"/>
      <c r="BB136" s="394"/>
      <c r="BC136" s="395"/>
      <c r="BD136" s="383"/>
    </row>
    <row r="137" spans="1:56" ht="15.75" customHeight="1" x14ac:dyDescent="0.25">
      <c r="B137" s="728"/>
      <c r="C137" s="619"/>
      <c r="D137" s="719"/>
      <c r="E137" s="719"/>
      <c r="F137" s="722"/>
      <c r="G137" s="595"/>
      <c r="H137" s="613"/>
      <c r="I137" s="381">
        <v>3</v>
      </c>
      <c r="J137" s="716"/>
      <c r="K137" s="70">
        <v>3</v>
      </c>
      <c r="L137" s="391"/>
      <c r="M137" s="376"/>
      <c r="N137" s="392"/>
      <c r="O137" s="376"/>
      <c r="P137" s="392"/>
      <c r="Q137" s="37" t="s">
        <v>68</v>
      </c>
      <c r="R137" s="37">
        <v>30</v>
      </c>
      <c r="S137" s="38"/>
      <c r="T137" s="624"/>
      <c r="U137" s="39"/>
      <c r="V137" s="39"/>
      <c r="W137" s="39"/>
      <c r="X137" s="39"/>
      <c r="Y137" s="39"/>
      <c r="Z137" s="39"/>
      <c r="AA137" s="39"/>
      <c r="AB137" s="39"/>
      <c r="AC137" s="39"/>
      <c r="AD137" s="40"/>
      <c r="AE137" s="40"/>
      <c r="AF137" s="40"/>
      <c r="AG137" s="41">
        <v>44421</v>
      </c>
      <c r="AH137" s="620"/>
      <c r="AI137" s="42">
        <v>30</v>
      </c>
      <c r="AJ137" s="42">
        <f>AI137-R137</f>
        <v>0</v>
      </c>
      <c r="AK137" s="42">
        <f>(AJ137*100)/R137</f>
        <v>0</v>
      </c>
      <c r="AL137" s="42">
        <v>0</v>
      </c>
      <c r="AM137" s="42">
        <f>AL137*100/R137</f>
        <v>0</v>
      </c>
      <c r="AN137" s="42"/>
      <c r="AO137" s="42"/>
      <c r="AP137" s="42">
        <v>0.56999999999999995</v>
      </c>
      <c r="AQ137" s="42">
        <f>(AP137*100)/R137</f>
        <v>1.8999999999999997</v>
      </c>
      <c r="AR137" s="40">
        <f t="shared" si="213"/>
        <v>1.8999999999999997</v>
      </c>
      <c r="AS137" s="40">
        <f t="shared" si="214"/>
        <v>-1.8999999999999997</v>
      </c>
      <c r="AT137" s="40">
        <f t="shared" si="145"/>
        <v>1.8999999999999997</v>
      </c>
      <c r="AU137" s="43" t="s">
        <v>68</v>
      </c>
      <c r="AV137" s="44" t="s">
        <v>68</v>
      </c>
      <c r="AW137" s="45" t="s">
        <v>68</v>
      </c>
      <c r="AX137" s="46" t="s">
        <v>68</v>
      </c>
      <c r="AY137" s="72" t="str">
        <f t="shared" si="121"/>
        <v>DOS AÑOS</v>
      </c>
      <c r="AZ137" s="375"/>
      <c r="BA137" s="393"/>
      <c r="BB137" s="394"/>
      <c r="BC137" s="395"/>
      <c r="BD137" s="383"/>
    </row>
    <row r="138" spans="1:56" ht="15.75" customHeight="1" x14ac:dyDescent="0.25">
      <c r="B138" s="728"/>
      <c r="C138" s="619"/>
      <c r="D138" s="719"/>
      <c r="E138" s="719"/>
      <c r="F138" s="722"/>
      <c r="G138" s="595"/>
      <c r="H138" s="613"/>
      <c r="I138" s="381">
        <v>3</v>
      </c>
      <c r="J138" s="716"/>
      <c r="K138" s="70">
        <v>3</v>
      </c>
      <c r="L138" s="391"/>
      <c r="M138" s="376"/>
      <c r="N138" s="392"/>
      <c r="O138" s="376"/>
      <c r="P138" s="392"/>
      <c r="Q138" s="37" t="s">
        <v>68</v>
      </c>
      <c r="R138" s="37">
        <v>40</v>
      </c>
      <c r="S138" s="38"/>
      <c r="T138" s="624"/>
      <c r="U138" s="39"/>
      <c r="V138" s="39"/>
      <c r="W138" s="39"/>
      <c r="X138" s="39"/>
      <c r="Y138" s="39"/>
      <c r="Z138" s="39"/>
      <c r="AA138" s="39"/>
      <c r="AB138" s="39"/>
      <c r="AC138" s="39"/>
      <c r="AD138" s="40"/>
      <c r="AE138" s="40"/>
      <c r="AF138" s="40"/>
      <c r="AG138" s="41">
        <v>44421</v>
      </c>
      <c r="AH138" s="620"/>
      <c r="AI138" s="42">
        <v>40</v>
      </c>
      <c r="AJ138" s="42">
        <f>AI138-R138</f>
        <v>0</v>
      </c>
      <c r="AK138" s="42">
        <f>(AJ138*100)/R138</f>
        <v>0</v>
      </c>
      <c r="AL138" s="42">
        <v>0</v>
      </c>
      <c r="AM138" s="42">
        <f>AL138*100/R138</f>
        <v>0</v>
      </c>
      <c r="AN138" s="42"/>
      <c r="AO138" s="42"/>
      <c r="AP138" s="42">
        <v>0.57999999999999996</v>
      </c>
      <c r="AQ138" s="42">
        <f>(AP138*100)/R138</f>
        <v>1.4499999999999997</v>
      </c>
      <c r="AR138" s="40">
        <f t="shared" si="213"/>
        <v>1.4499999999999997</v>
      </c>
      <c r="AS138" s="40">
        <f t="shared" si="214"/>
        <v>-1.4499999999999997</v>
      </c>
      <c r="AT138" s="40">
        <f t="shared" si="145"/>
        <v>1.4499999999999997</v>
      </c>
      <c r="AU138" s="43" t="s">
        <v>68</v>
      </c>
      <c r="AV138" s="44" t="s">
        <v>68</v>
      </c>
      <c r="AW138" s="45" t="s">
        <v>68</v>
      </c>
      <c r="AX138" s="46" t="s">
        <v>68</v>
      </c>
      <c r="AY138" s="72" t="str">
        <f t="shared" si="121"/>
        <v>DOS AÑOS</v>
      </c>
      <c r="AZ138" s="375"/>
      <c r="BA138" s="393"/>
      <c r="BB138" s="394"/>
      <c r="BC138" s="395"/>
      <c r="BD138" s="383"/>
    </row>
    <row r="139" spans="1:56" ht="15" customHeight="1" x14ac:dyDescent="0.25">
      <c r="B139" s="728"/>
      <c r="C139" s="619"/>
      <c r="D139" s="719"/>
      <c r="E139" s="719"/>
      <c r="F139" s="722"/>
      <c r="G139" s="595"/>
      <c r="H139" s="613"/>
      <c r="I139" s="381">
        <v>3</v>
      </c>
      <c r="J139" s="716"/>
      <c r="K139" s="70">
        <v>3</v>
      </c>
      <c r="L139" s="391"/>
      <c r="M139" s="376" t="s">
        <v>68</v>
      </c>
      <c r="N139" s="392"/>
      <c r="O139" s="376" t="s">
        <v>68</v>
      </c>
      <c r="P139" s="392"/>
      <c r="Q139" s="37"/>
      <c r="R139" s="37">
        <v>60</v>
      </c>
      <c r="S139" s="38"/>
      <c r="T139" s="624"/>
      <c r="U139" s="39"/>
      <c r="V139" s="39"/>
      <c r="W139" s="39"/>
      <c r="X139" s="39"/>
      <c r="Y139" s="39"/>
      <c r="Z139" s="39"/>
      <c r="AA139" s="39" t="s">
        <v>68</v>
      </c>
      <c r="AB139" s="39"/>
      <c r="AC139" s="39"/>
      <c r="AD139" s="40"/>
      <c r="AE139" s="40"/>
      <c r="AF139" s="40"/>
      <c r="AG139" s="41">
        <v>44421</v>
      </c>
      <c r="AH139" s="620"/>
      <c r="AI139" s="42">
        <v>60</v>
      </c>
      <c r="AJ139" s="42">
        <f>AI139-R139</f>
        <v>0</v>
      </c>
      <c r="AK139" s="42">
        <f>(AJ139*100)/R139</f>
        <v>0</v>
      </c>
      <c r="AL139" s="42">
        <v>0</v>
      </c>
      <c r="AM139" s="42">
        <f>AL139*100/R139</f>
        <v>0</v>
      </c>
      <c r="AN139" s="42" t="s">
        <v>68</v>
      </c>
      <c r="AO139" s="42" t="s">
        <v>68</v>
      </c>
      <c r="AP139" s="42">
        <v>0.59</v>
      </c>
      <c r="AQ139" s="42">
        <f>(AP139*100)/R139</f>
        <v>0.98333333333333328</v>
      </c>
      <c r="AR139" s="40">
        <f t="shared" si="213"/>
        <v>0.98333333333333328</v>
      </c>
      <c r="AS139" s="40">
        <f t="shared" si="214"/>
        <v>-0.98333333333333328</v>
      </c>
      <c r="AT139" s="40">
        <f t="shared" si="145"/>
        <v>0.98333333333333328</v>
      </c>
      <c r="AU139" s="43">
        <f t="shared" ref="AU139:AU140" si="215">YEARFRAC(S139,AG139)</f>
        <v>121.61944444444444</v>
      </c>
      <c r="AV139" s="44">
        <f t="shared" ref="AV139:AV142" si="216">ABS(AT139-AF139)</f>
        <v>0.98333333333333328</v>
      </c>
      <c r="AW139" s="45">
        <f t="shared" ref="AW139:AW142" si="217">(AV139/AU139)</f>
        <v>8.0853299225726871E-3</v>
      </c>
      <c r="AX139" s="46">
        <f t="shared" ref="AX139:AX142" si="218">(I139/AW139)</f>
        <v>371.04237288135596</v>
      </c>
      <c r="AY139" s="72" t="str">
        <f t="shared" si="121"/>
        <v>DOS AÑOS</v>
      </c>
      <c r="AZ139" s="375"/>
      <c r="BA139" s="393"/>
      <c r="BB139" s="394"/>
      <c r="BC139" s="395"/>
      <c r="BD139" s="383"/>
    </row>
    <row r="140" spans="1:56" ht="15" customHeight="1" x14ac:dyDescent="0.25">
      <c r="B140" s="728"/>
      <c r="C140" s="619"/>
      <c r="D140" s="719"/>
      <c r="E140" s="719"/>
      <c r="F140" s="722"/>
      <c r="G140" s="595"/>
      <c r="H140" s="613"/>
      <c r="I140" s="381">
        <v>3</v>
      </c>
      <c r="J140" s="716"/>
      <c r="K140" s="70">
        <v>3</v>
      </c>
      <c r="L140" s="391"/>
      <c r="M140" s="376" t="s">
        <v>68</v>
      </c>
      <c r="N140" s="392"/>
      <c r="O140" s="376" t="s">
        <v>68</v>
      </c>
      <c r="P140" s="392"/>
      <c r="Q140" s="37">
        <v>100.6</v>
      </c>
      <c r="R140" s="37">
        <v>100</v>
      </c>
      <c r="S140" s="38">
        <v>44063</v>
      </c>
      <c r="T140" s="624"/>
      <c r="U140" s="39">
        <v>99.4</v>
      </c>
      <c r="V140" s="39">
        <f t="shared" ref="V140" si="219">U140-Q140</f>
        <v>-1.1999999999999886</v>
      </c>
      <c r="W140" s="39">
        <f t="shared" ref="W140" si="220">V140*100/Q140</f>
        <v>-1.1928429423459133</v>
      </c>
      <c r="X140" s="39">
        <v>0.55000000000000004</v>
      </c>
      <c r="Y140" s="39">
        <f t="shared" ref="Y140" si="221">X140*100/U140</f>
        <v>0.55331991951710269</v>
      </c>
      <c r="Z140" s="39"/>
      <c r="AA140" s="39" t="s">
        <v>68</v>
      </c>
      <c r="AB140" s="39">
        <v>1.3</v>
      </c>
      <c r="AC140" s="39">
        <f t="shared" ref="AC140" si="222">AB140*100/Q140</f>
        <v>1.2922465208747516</v>
      </c>
      <c r="AD140" s="40">
        <f t="shared" ref="AD140" si="223">(W140+AC140)</f>
        <v>9.9403578528838299E-2</v>
      </c>
      <c r="AE140" s="40">
        <f t="shared" ref="AE140" si="224">(W140-AC140)</f>
        <v>-2.4850894632206648</v>
      </c>
      <c r="AF140" s="40">
        <f t="shared" ref="AF140" si="225">MAX(AD140:AE140)</f>
        <v>9.9403578528838299E-2</v>
      </c>
      <c r="AG140" s="41">
        <v>44421</v>
      </c>
      <c r="AH140" s="531"/>
      <c r="AI140" s="42">
        <v>100</v>
      </c>
      <c r="AJ140" s="42">
        <f>AI140-R140</f>
        <v>0</v>
      </c>
      <c r="AK140" s="42">
        <f t="shared" ref="AK140" si="226">(AJ140*100)/Q140</f>
        <v>0</v>
      </c>
      <c r="AL140" s="42">
        <v>0</v>
      </c>
      <c r="AM140" s="42">
        <f>AL140*100/R140</f>
        <v>0</v>
      </c>
      <c r="AN140" s="42" t="s">
        <v>68</v>
      </c>
      <c r="AO140" s="42" t="s">
        <v>68</v>
      </c>
      <c r="AP140" s="42">
        <v>0.63</v>
      </c>
      <c r="AQ140" s="42">
        <f>(AP140*100)/R140</f>
        <v>0.63</v>
      </c>
      <c r="AR140" s="40">
        <f t="shared" si="213"/>
        <v>0.63</v>
      </c>
      <c r="AS140" s="40">
        <f t="shared" si="214"/>
        <v>-0.63</v>
      </c>
      <c r="AT140" s="40">
        <f t="shared" si="145"/>
        <v>0.63</v>
      </c>
      <c r="AU140" s="43">
        <f t="shared" si="215"/>
        <v>0.98055555555555551</v>
      </c>
      <c r="AV140" s="44">
        <f t="shared" si="216"/>
        <v>0.53059642147116171</v>
      </c>
      <c r="AW140" s="45">
        <f t="shared" si="217"/>
        <v>0.54111816353999498</v>
      </c>
      <c r="AX140" s="46">
        <f t="shared" si="218"/>
        <v>5.544075586696259</v>
      </c>
      <c r="AY140" s="72" t="str">
        <f t="shared" si="121"/>
        <v>DOS AÑOS</v>
      </c>
      <c r="AZ140" s="375"/>
      <c r="BA140" s="393"/>
      <c r="BB140" s="394"/>
      <c r="BC140" s="395"/>
      <c r="BD140" s="383"/>
    </row>
    <row r="141" spans="1:56" ht="15" customHeight="1" x14ac:dyDescent="0.25">
      <c r="B141" s="728"/>
      <c r="C141" s="619"/>
      <c r="D141" s="719"/>
      <c r="E141" s="719"/>
      <c r="F141" s="722"/>
      <c r="G141" s="595"/>
      <c r="H141" s="613"/>
      <c r="I141" s="381">
        <v>3</v>
      </c>
      <c r="J141" s="716"/>
      <c r="K141" s="70">
        <v>3</v>
      </c>
      <c r="L141" s="391"/>
      <c r="M141" s="376"/>
      <c r="N141" s="392"/>
      <c r="O141" s="376"/>
      <c r="P141" s="392"/>
      <c r="Q141" s="37"/>
      <c r="R141" s="37">
        <v>100.4</v>
      </c>
      <c r="S141" s="38"/>
      <c r="T141" s="624"/>
      <c r="U141" s="39"/>
      <c r="V141" s="39"/>
      <c r="W141" s="39"/>
      <c r="X141" s="39"/>
      <c r="Y141" s="39"/>
      <c r="Z141" s="39"/>
      <c r="AA141" s="39"/>
      <c r="AB141" s="39"/>
      <c r="AC141" s="39"/>
      <c r="AD141" s="40"/>
      <c r="AE141" s="40"/>
      <c r="AF141" s="40"/>
      <c r="AG141" s="41">
        <v>44421</v>
      </c>
      <c r="AH141" s="580">
        <v>66148</v>
      </c>
      <c r="AI141" s="42">
        <v>100</v>
      </c>
      <c r="AJ141" s="42">
        <f t="shared" ref="AJ141:AJ146" si="227">AI141-R141</f>
        <v>-0.40000000000000568</v>
      </c>
      <c r="AK141" s="42">
        <f>(AJ141*100)/R141</f>
        <v>-0.39840637450199767</v>
      </c>
      <c r="AL141" s="42">
        <v>0</v>
      </c>
      <c r="AM141" s="42">
        <f t="shared" ref="AM141:AM146" si="228">AL141*100/R141</f>
        <v>0</v>
      </c>
      <c r="AN141" s="42"/>
      <c r="AO141" s="42"/>
      <c r="AP141" s="42">
        <v>1.8</v>
      </c>
      <c r="AQ141" s="42">
        <f t="shared" ref="AQ141:AQ142" si="229">(AP141*100)/R141</f>
        <v>1.7928286852589641</v>
      </c>
      <c r="AR141" s="40">
        <f>(AK141+AQ141)</f>
        <v>1.3944223107569664</v>
      </c>
      <c r="AS141" s="40">
        <f>(AK141-AQ141)</f>
        <v>-2.1912350597609618</v>
      </c>
      <c r="AT141" s="40">
        <f t="shared" si="145"/>
        <v>1.3944223107569664</v>
      </c>
      <c r="AU141" s="43">
        <f>YEARFRAC(S141,AG141)</f>
        <v>121.61944444444444</v>
      </c>
      <c r="AV141" s="44">
        <f t="shared" si="216"/>
        <v>1.3944223107569664</v>
      </c>
      <c r="AW141" s="45">
        <f t="shared" si="217"/>
        <v>1.1465455356474155E-2</v>
      </c>
      <c r="AX141" s="46">
        <f t="shared" si="218"/>
        <v>261.65554761904866</v>
      </c>
      <c r="AY141" s="72" t="str">
        <f t="shared" si="121"/>
        <v>DOS AÑOS</v>
      </c>
      <c r="AZ141" s="375"/>
      <c r="BA141" s="393"/>
      <c r="BB141" s="394"/>
      <c r="BC141" s="395"/>
      <c r="BD141" s="383"/>
    </row>
    <row r="142" spans="1:56" ht="15" customHeight="1" x14ac:dyDescent="0.25">
      <c r="B142" s="728"/>
      <c r="C142" s="619"/>
      <c r="D142" s="719"/>
      <c r="E142" s="719"/>
      <c r="F142" s="722"/>
      <c r="G142" s="595"/>
      <c r="H142" s="613"/>
      <c r="I142" s="381">
        <v>3</v>
      </c>
      <c r="J142" s="716"/>
      <c r="K142" s="70">
        <v>3</v>
      </c>
      <c r="L142" s="391" t="s">
        <v>20</v>
      </c>
      <c r="M142" s="376"/>
      <c r="N142" s="392"/>
      <c r="O142" s="376"/>
      <c r="P142" s="392"/>
      <c r="Q142" s="37">
        <v>198.2</v>
      </c>
      <c r="R142" s="37">
        <v>200.9</v>
      </c>
      <c r="S142" s="38">
        <v>44063</v>
      </c>
      <c r="T142" s="624"/>
      <c r="U142" s="39">
        <v>200.4</v>
      </c>
      <c r="V142" s="39">
        <f t="shared" ref="V142" si="230">U142-Q142</f>
        <v>2.2000000000000171</v>
      </c>
      <c r="W142" s="39">
        <f t="shared" ref="W142" si="231">V142*100/Q142</f>
        <v>1.1099899091826524</v>
      </c>
      <c r="X142" s="39">
        <v>0.55000000000000004</v>
      </c>
      <c r="Y142" s="39">
        <f t="shared" ref="Y142:Y145" si="232">X142*100/U142</f>
        <v>0.27445109780439125</v>
      </c>
      <c r="Z142" s="39"/>
      <c r="AA142" s="39"/>
      <c r="AB142" s="39">
        <v>1.9</v>
      </c>
      <c r="AC142" s="39">
        <f>AB142*100/Q142</f>
        <v>0.95862764883955609</v>
      </c>
      <c r="AD142" s="40">
        <f t="shared" ref="AD142" si="233">(W142+AC142)</f>
        <v>2.0686175580222086</v>
      </c>
      <c r="AE142" s="40">
        <f t="shared" ref="AE142" si="234">(W142-AC142)</f>
        <v>0.1513622603430963</v>
      </c>
      <c r="AF142" s="40">
        <f t="shared" ref="AF142" si="235">MAX(AD142:AE142)</f>
        <v>2.0686175580222086</v>
      </c>
      <c r="AG142" s="41">
        <v>44421</v>
      </c>
      <c r="AH142" s="620"/>
      <c r="AI142" s="42">
        <v>200.3</v>
      </c>
      <c r="AJ142" s="42">
        <f t="shared" si="227"/>
        <v>-0.59999999999999432</v>
      </c>
      <c r="AK142" s="42">
        <f t="shared" ref="AK142" si="236">(AJ142*100)/Q142</f>
        <v>-0.30272452068617273</v>
      </c>
      <c r="AL142" s="42">
        <v>0.57999999999999996</v>
      </c>
      <c r="AM142" s="42">
        <f t="shared" si="228"/>
        <v>0.28870084619213537</v>
      </c>
      <c r="AN142" s="42"/>
      <c r="AO142" s="42"/>
      <c r="AP142" s="42">
        <v>3.1</v>
      </c>
      <c r="AQ142" s="42">
        <f t="shared" si="229"/>
        <v>1.5430562468889994</v>
      </c>
      <c r="AR142" s="40">
        <f t="shared" ref="AR142:AR146" si="237">(AK142+AQ142)</f>
        <v>1.2403317262028266</v>
      </c>
      <c r="AS142" s="40">
        <f t="shared" ref="AS142:AS151" si="238">(AK142-AQ142)</f>
        <v>-1.8457807675751723</v>
      </c>
      <c r="AT142" s="40">
        <f t="shared" si="145"/>
        <v>1.2403317262028266</v>
      </c>
      <c r="AU142" s="43">
        <f t="shared" ref="AU142" si="239">YEARFRAC(S142,AG142)</f>
        <v>0.98055555555555551</v>
      </c>
      <c r="AV142" s="44">
        <f t="shared" si="216"/>
        <v>0.82828583181938198</v>
      </c>
      <c r="AW142" s="45">
        <f t="shared" si="217"/>
        <v>0.84471076332854822</v>
      </c>
      <c r="AX142" s="46">
        <f t="shared" si="218"/>
        <v>3.5515115116784148</v>
      </c>
      <c r="AY142" s="72" t="str">
        <f t="shared" si="121"/>
        <v>DOS AÑOS</v>
      </c>
      <c r="AZ142" s="375"/>
      <c r="BA142" s="393"/>
      <c r="BB142" s="394"/>
      <c r="BC142" s="395"/>
      <c r="BD142" s="383"/>
    </row>
    <row r="143" spans="1:56" ht="15.75" customHeight="1" x14ac:dyDescent="0.25">
      <c r="B143" s="728"/>
      <c r="C143" s="619"/>
      <c r="D143" s="719"/>
      <c r="E143" s="719"/>
      <c r="F143" s="722"/>
      <c r="G143" s="595"/>
      <c r="H143" s="613"/>
      <c r="I143" s="381">
        <v>3</v>
      </c>
      <c r="J143" s="716"/>
      <c r="K143" s="70">
        <v>3</v>
      </c>
      <c r="L143" s="391"/>
      <c r="M143" s="376" t="s">
        <v>68</v>
      </c>
      <c r="N143" s="392"/>
      <c r="O143" s="376" t="s">
        <v>68</v>
      </c>
      <c r="P143" s="392"/>
      <c r="Q143" s="37">
        <v>396.6</v>
      </c>
      <c r="R143" s="37">
        <v>301.3</v>
      </c>
      <c r="S143" s="38">
        <v>44063</v>
      </c>
      <c r="T143" s="624"/>
      <c r="U143" s="39">
        <v>400.6</v>
      </c>
      <c r="V143" s="39">
        <f t="shared" ref="V143:V145" si="240">U143-Q143</f>
        <v>4</v>
      </c>
      <c r="W143" s="39">
        <f t="shared" ref="W143:W145" si="241">V143*100/Q143</f>
        <v>1.0085728693898133</v>
      </c>
      <c r="X143" s="39">
        <v>0.55000000000000004</v>
      </c>
      <c r="Y143" s="39">
        <f t="shared" si="232"/>
        <v>0.13729405891163257</v>
      </c>
      <c r="Z143" s="39"/>
      <c r="AA143" s="39" t="s">
        <v>68</v>
      </c>
      <c r="AB143" s="39">
        <v>3.8</v>
      </c>
      <c r="AC143" s="39">
        <f t="shared" ref="AC143:AC145" si="242">AB143*100/Q143</f>
        <v>0.95814422592032267</v>
      </c>
      <c r="AD143" s="40">
        <f t="shared" ref="AD143:AD145" si="243">(W143+AC143)</f>
        <v>1.9667170953101358</v>
      </c>
      <c r="AE143" s="40">
        <f t="shared" ref="AE143:AE145" si="244">(W143-AC143)</f>
        <v>5.0428643469490608E-2</v>
      </c>
      <c r="AF143" s="40">
        <f t="shared" ref="AF143:AF145" si="245">MAX(AD143:AE143)</f>
        <v>1.9667170953101358</v>
      </c>
      <c r="AG143" s="41">
        <v>44421</v>
      </c>
      <c r="AH143" s="620"/>
      <c r="AI143" s="42">
        <v>300.3</v>
      </c>
      <c r="AJ143" s="42">
        <f t="shared" si="227"/>
        <v>-1</v>
      </c>
      <c r="AK143" s="42">
        <f t="shared" ref="AK143:AK144" si="246">(AJ143*100)/R143</f>
        <v>-0.33189512114171921</v>
      </c>
      <c r="AL143" s="42">
        <v>0.57999999999999996</v>
      </c>
      <c r="AM143" s="42">
        <f t="shared" si="228"/>
        <v>0.19249917026219712</v>
      </c>
      <c r="AN143" s="42" t="s">
        <v>68</v>
      </c>
      <c r="AO143" s="42" t="s">
        <v>68</v>
      </c>
      <c r="AP143" s="42">
        <v>4.0999999999999996</v>
      </c>
      <c r="AQ143" s="42">
        <f>(AP143*100)/R143</f>
        <v>1.3607699966810485</v>
      </c>
      <c r="AR143" s="40">
        <f t="shared" si="237"/>
        <v>1.0288748755393293</v>
      </c>
      <c r="AS143" s="40">
        <f t="shared" si="238"/>
        <v>-1.6926651178227676</v>
      </c>
      <c r="AT143" s="40">
        <f t="shared" si="145"/>
        <v>1.0288748755393293</v>
      </c>
      <c r="AU143" s="43">
        <f>YEARFRAC(S143,AG143)</f>
        <v>0.98055555555555551</v>
      </c>
      <c r="AV143" s="44" t="s">
        <v>68</v>
      </c>
      <c r="AW143" s="45" t="s">
        <v>68</v>
      </c>
      <c r="AX143" s="46" t="s">
        <v>68</v>
      </c>
      <c r="AY143" s="72" t="str">
        <f t="shared" si="121"/>
        <v>DOS AÑOS</v>
      </c>
      <c r="AZ143" s="375"/>
      <c r="BA143" s="393"/>
      <c r="BB143" s="394"/>
      <c r="BC143" s="395"/>
      <c r="BD143" s="383"/>
    </row>
    <row r="144" spans="1:56" ht="15.75" customHeight="1" x14ac:dyDescent="0.25">
      <c r="B144" s="728"/>
      <c r="C144" s="619"/>
      <c r="D144" s="719"/>
      <c r="E144" s="719"/>
      <c r="F144" s="722"/>
      <c r="G144" s="595"/>
      <c r="H144" s="613"/>
      <c r="I144" s="381">
        <v>3</v>
      </c>
      <c r="J144" s="716"/>
      <c r="K144" s="70">
        <v>3</v>
      </c>
      <c r="L144" s="391"/>
      <c r="M144" s="376"/>
      <c r="N144" s="392"/>
      <c r="O144" s="376"/>
      <c r="P144" s="392"/>
      <c r="Q144" s="37">
        <v>602.9</v>
      </c>
      <c r="R144" s="37">
        <v>401.8</v>
      </c>
      <c r="S144" s="38">
        <v>44063</v>
      </c>
      <c r="T144" s="624"/>
      <c r="U144" s="39">
        <v>599.4</v>
      </c>
      <c r="V144" s="39">
        <f t="shared" si="240"/>
        <v>-3.5</v>
      </c>
      <c r="W144" s="39">
        <f t="shared" si="241"/>
        <v>-0.58052745065516675</v>
      </c>
      <c r="X144" s="39">
        <v>0.55000000000000004</v>
      </c>
      <c r="Y144" s="39">
        <f t="shared" si="232"/>
        <v>9.1758425091758439E-2</v>
      </c>
      <c r="Z144" s="39"/>
      <c r="AA144" s="39"/>
      <c r="AB144" s="39">
        <v>5.7</v>
      </c>
      <c r="AC144" s="39">
        <f t="shared" si="242"/>
        <v>0.94543041963841434</v>
      </c>
      <c r="AD144" s="40">
        <f t="shared" si="243"/>
        <v>0.36490296898324759</v>
      </c>
      <c r="AE144" s="40">
        <f t="shared" si="244"/>
        <v>-1.5259578702935812</v>
      </c>
      <c r="AF144" s="40">
        <f t="shared" si="245"/>
        <v>0.36490296898324759</v>
      </c>
      <c r="AG144" s="41">
        <v>44421</v>
      </c>
      <c r="AH144" s="620"/>
      <c r="AI144" s="42">
        <v>399.3</v>
      </c>
      <c r="AJ144" s="42">
        <f t="shared" si="227"/>
        <v>-2.5</v>
      </c>
      <c r="AK144" s="42">
        <f t="shared" si="246"/>
        <v>-0.62220009955201594</v>
      </c>
      <c r="AL144" s="42">
        <v>0.57999999999999996</v>
      </c>
      <c r="AM144" s="42">
        <f t="shared" si="228"/>
        <v>0.14435042309606769</v>
      </c>
      <c r="AN144" s="42"/>
      <c r="AO144" s="42"/>
      <c r="AP144" s="42">
        <v>5.2</v>
      </c>
      <c r="AQ144" s="42">
        <f>(AP144*100)/R144</f>
        <v>1.294176207068193</v>
      </c>
      <c r="AR144" s="40">
        <f t="shared" ref="AR144" si="247">(AK144+AQ144)</f>
        <v>0.67197610751617709</v>
      </c>
      <c r="AS144" s="40">
        <f t="shared" ref="AS144" si="248">(AK144-AQ144)</f>
        <v>-1.9163763066202089</v>
      </c>
      <c r="AT144" s="40">
        <f t="shared" ref="AT144" si="249">MAX(AR144:AS144)</f>
        <v>0.67197610751617709</v>
      </c>
      <c r="AU144" s="43">
        <f>YEARFRAC(S144,AG144)</f>
        <v>0.98055555555555551</v>
      </c>
      <c r="AV144" s="44"/>
      <c r="AW144" s="45"/>
      <c r="AX144" s="46"/>
      <c r="AY144" s="72" t="str">
        <f t="shared" si="121"/>
        <v>UN AÑO</v>
      </c>
      <c r="AZ144" s="375"/>
      <c r="BA144" s="393"/>
      <c r="BB144" s="394"/>
      <c r="BC144" s="395"/>
      <c r="BD144" s="383"/>
    </row>
    <row r="145" spans="1:56" ht="15.75" customHeight="1" x14ac:dyDescent="0.25">
      <c r="B145" s="728"/>
      <c r="C145" s="619"/>
      <c r="D145" s="719"/>
      <c r="E145" s="719"/>
      <c r="F145" s="722"/>
      <c r="G145" s="595"/>
      <c r="H145" s="613"/>
      <c r="I145" s="381">
        <v>3</v>
      </c>
      <c r="J145" s="716"/>
      <c r="K145" s="70">
        <v>3</v>
      </c>
      <c r="L145" s="391"/>
      <c r="M145" s="376"/>
      <c r="N145" s="392"/>
      <c r="O145" s="376"/>
      <c r="P145" s="392"/>
      <c r="Q145" s="37">
        <v>805.9</v>
      </c>
      <c r="R145" s="37">
        <v>502.3</v>
      </c>
      <c r="S145" s="38">
        <v>44063</v>
      </c>
      <c r="T145" s="624"/>
      <c r="U145" s="39">
        <v>801.6</v>
      </c>
      <c r="V145" s="39">
        <f t="shared" si="240"/>
        <v>-4.2999999999999545</v>
      </c>
      <c r="W145" s="39">
        <f t="shared" si="241"/>
        <v>-0.5335649584315616</v>
      </c>
      <c r="X145" s="39">
        <v>0.55000000000000004</v>
      </c>
      <c r="Y145" s="39">
        <f t="shared" si="232"/>
        <v>6.8612774451097813E-2</v>
      </c>
      <c r="Z145" s="39"/>
      <c r="AA145" s="39"/>
      <c r="AB145" s="39">
        <v>7.6</v>
      </c>
      <c r="AC145" s="39">
        <f t="shared" si="242"/>
        <v>0.94304504280928159</v>
      </c>
      <c r="AD145" s="40">
        <f t="shared" si="243"/>
        <v>0.40948008437771999</v>
      </c>
      <c r="AE145" s="40">
        <f t="shared" si="244"/>
        <v>-1.4766100012408432</v>
      </c>
      <c r="AF145" s="40">
        <f t="shared" si="245"/>
        <v>0.40948008437771999</v>
      </c>
      <c r="AG145" s="41">
        <v>44421</v>
      </c>
      <c r="AH145" s="620"/>
      <c r="AI145" s="42">
        <v>499.7</v>
      </c>
      <c r="AJ145" s="42">
        <f t="shared" si="227"/>
        <v>-2.6000000000000227</v>
      </c>
      <c r="AK145" s="42">
        <f>(AJ145*100)/R145</f>
        <v>-0.51761895281704617</v>
      </c>
      <c r="AL145" s="42">
        <v>1.1499999999999999</v>
      </c>
      <c r="AM145" s="42">
        <f t="shared" si="228"/>
        <v>0.2289468445152299</v>
      </c>
      <c r="AN145" s="42"/>
      <c r="AO145" s="42"/>
      <c r="AP145" s="42">
        <v>6.5</v>
      </c>
      <c r="AQ145" s="42">
        <f>(AP145*100)/R145</f>
        <v>1.2940473820426039</v>
      </c>
      <c r="AR145" s="40">
        <f t="shared" si="237"/>
        <v>0.77642842922555777</v>
      </c>
      <c r="AS145" s="40">
        <f t="shared" si="238"/>
        <v>-1.81166633485965</v>
      </c>
      <c r="AT145" s="40">
        <f t="shared" si="145"/>
        <v>0.77642842922555777</v>
      </c>
      <c r="AU145" s="43">
        <f t="shared" ref="AU145:AU147" si="250">YEARFRAC(S145,AG145)</f>
        <v>0.98055555555555551</v>
      </c>
      <c r="AV145" s="44" t="s">
        <v>68</v>
      </c>
      <c r="AW145" s="45" t="s">
        <v>68</v>
      </c>
      <c r="AX145" s="46" t="s">
        <v>68</v>
      </c>
      <c r="AY145" s="72" t="str">
        <f t="shared" si="121"/>
        <v>DOS AÑOS</v>
      </c>
      <c r="AZ145" s="382"/>
      <c r="BA145" s="379"/>
      <c r="BB145" s="372"/>
      <c r="BC145" s="74"/>
      <c r="BD145" s="374"/>
    </row>
    <row r="146" spans="1:56" ht="15.75" customHeight="1" thickBot="1" x14ac:dyDescent="0.3">
      <c r="B146" s="728"/>
      <c r="C146" s="619"/>
      <c r="D146" s="719"/>
      <c r="E146" s="719"/>
      <c r="F146" s="722"/>
      <c r="G146" s="595"/>
      <c r="H146" s="613"/>
      <c r="I146" s="381">
        <v>3</v>
      </c>
      <c r="J146" s="717"/>
      <c r="K146" s="70">
        <v>3</v>
      </c>
      <c r="L146" s="391"/>
      <c r="M146" s="376"/>
      <c r="N146" s="392"/>
      <c r="O146" s="376"/>
      <c r="P146" s="392"/>
      <c r="Q146" s="47">
        <v>1007.9</v>
      </c>
      <c r="R146" s="47">
        <v>1004</v>
      </c>
      <c r="S146" s="111">
        <v>44063</v>
      </c>
      <c r="T146" s="624"/>
      <c r="U146" s="48">
        <v>999.2</v>
      </c>
      <c r="V146" s="48">
        <f t="shared" ref="V146" si="251">U146-Q146</f>
        <v>-8.6999999999999318</v>
      </c>
      <c r="W146" s="48">
        <f>V146*100/Q146</f>
        <v>-0.86318087111815978</v>
      </c>
      <c r="X146" s="48">
        <v>0.84</v>
      </c>
      <c r="Y146" s="48">
        <f t="shared" ref="Y146" si="252">X146*100/U146</f>
        <v>8.4067253803042433E-2</v>
      </c>
      <c r="Z146" s="48"/>
      <c r="AA146" s="48"/>
      <c r="AB146" s="48">
        <v>9.4</v>
      </c>
      <c r="AC146" s="48">
        <f t="shared" ref="AC146" si="253">AB146*100/Q146</f>
        <v>0.93263220557595006</v>
      </c>
      <c r="AD146" s="49">
        <f t="shared" ref="AD146" si="254">(W146+AC146)</f>
        <v>6.9451334457790281E-2</v>
      </c>
      <c r="AE146" s="49">
        <f t="shared" ref="AE146:AE147" si="255">(W146-AC146)</f>
        <v>-1.7958130766941098</v>
      </c>
      <c r="AF146" s="49">
        <f t="shared" ref="AF146:AF147" si="256">MAX(AD146:AE146)</f>
        <v>6.9451334457790281E-2</v>
      </c>
      <c r="AG146" s="114">
        <v>44421</v>
      </c>
      <c r="AH146" s="714"/>
      <c r="AI146" s="50">
        <v>1000</v>
      </c>
      <c r="AJ146" s="50">
        <f t="shared" si="227"/>
        <v>-4</v>
      </c>
      <c r="AK146" s="50">
        <f t="shared" ref="AK146" si="257">(AJ146*100)/R146</f>
        <v>-0.39840637450199201</v>
      </c>
      <c r="AL146" s="50">
        <v>1.1499999999999999</v>
      </c>
      <c r="AM146" s="50">
        <f t="shared" si="228"/>
        <v>0.11454183266932269</v>
      </c>
      <c r="AN146" s="50"/>
      <c r="AO146" s="50"/>
      <c r="AP146" s="50">
        <v>13</v>
      </c>
      <c r="AQ146" s="50">
        <f>(AP146*100)/R146</f>
        <v>1.2948207171314741</v>
      </c>
      <c r="AR146" s="49">
        <f t="shared" si="237"/>
        <v>0.89641434262948205</v>
      </c>
      <c r="AS146" s="49">
        <f t="shared" si="238"/>
        <v>-1.693227091633466</v>
      </c>
      <c r="AT146" s="49">
        <f t="shared" si="145"/>
        <v>0.89641434262948205</v>
      </c>
      <c r="AU146" s="51">
        <f t="shared" si="250"/>
        <v>0.98055555555555551</v>
      </c>
      <c r="AV146" s="52">
        <f t="shared" ref="AV146:AV147" si="258">ABS(AT146-AF146)</f>
        <v>0.82696300817169177</v>
      </c>
      <c r="AW146" s="364">
        <f t="shared" ref="AW146:AW147" si="259">(AV146/AU146)</f>
        <v>0.84336170805045052</v>
      </c>
      <c r="AX146" s="53">
        <f t="shared" ref="AX146:AX147" si="260">(I146/AW146)</f>
        <v>3.5571925679847651</v>
      </c>
      <c r="AY146" s="120" t="str">
        <f t="shared" si="121"/>
        <v>DOS AÑOS</v>
      </c>
      <c r="AZ146" s="382"/>
      <c r="BA146" s="379"/>
      <c r="BB146" s="372"/>
      <c r="BC146" s="74"/>
      <c r="BD146" s="374"/>
    </row>
    <row r="147" spans="1:56" ht="15.75" customHeight="1" x14ac:dyDescent="0.25">
      <c r="B147" s="728"/>
      <c r="C147" s="619" t="s">
        <v>189</v>
      </c>
      <c r="D147" s="719"/>
      <c r="E147" s="719"/>
      <c r="F147" s="722"/>
      <c r="G147" s="595" t="s">
        <v>104</v>
      </c>
      <c r="H147" s="613" t="s">
        <v>185</v>
      </c>
      <c r="I147" s="381">
        <v>3</v>
      </c>
      <c r="J147" s="715" t="s">
        <v>20</v>
      </c>
      <c r="K147" s="70">
        <v>3</v>
      </c>
      <c r="L147" s="391"/>
      <c r="M147" s="376" t="s">
        <v>68</v>
      </c>
      <c r="N147" s="392"/>
      <c r="O147" s="376" t="s">
        <v>68</v>
      </c>
      <c r="P147" s="392"/>
      <c r="Q147" s="57">
        <v>0</v>
      </c>
      <c r="R147" s="57">
        <v>0</v>
      </c>
      <c r="S147" s="58">
        <v>44063</v>
      </c>
      <c r="T147" s="624"/>
      <c r="U147" s="357">
        <v>0</v>
      </c>
      <c r="V147" s="357">
        <f>U147-Q147</f>
        <v>0</v>
      </c>
      <c r="W147" s="357">
        <v>0</v>
      </c>
      <c r="X147" s="357">
        <v>0</v>
      </c>
      <c r="Y147" s="357">
        <v>0</v>
      </c>
      <c r="Z147" s="357"/>
      <c r="AA147" s="357" t="s">
        <v>68</v>
      </c>
      <c r="AB147" s="357">
        <v>3.9</v>
      </c>
      <c r="AC147" s="396"/>
      <c r="AD147" s="124">
        <v>0</v>
      </c>
      <c r="AE147" s="124">
        <f t="shared" si="255"/>
        <v>0</v>
      </c>
      <c r="AF147" s="124">
        <f t="shared" si="256"/>
        <v>0</v>
      </c>
      <c r="AG147" s="60">
        <v>44421</v>
      </c>
      <c r="AH147" s="660">
        <v>66139</v>
      </c>
      <c r="AI147" s="61">
        <v>0</v>
      </c>
      <c r="AJ147" s="61">
        <f>AI147-Q147</f>
        <v>0</v>
      </c>
      <c r="AK147" s="61">
        <v>0</v>
      </c>
      <c r="AL147" s="61">
        <v>0</v>
      </c>
      <c r="AM147" s="61">
        <v>0</v>
      </c>
      <c r="AN147" s="61" t="s">
        <v>68</v>
      </c>
      <c r="AO147" s="61" t="s">
        <v>68</v>
      </c>
      <c r="AP147" s="61">
        <v>0.56999999999999995</v>
      </c>
      <c r="AQ147" s="61">
        <v>0.56999999999999995</v>
      </c>
      <c r="AR147" s="59">
        <f t="shared" ref="AR147:AR151" si="261">(AJ147+AQ147)</f>
        <v>0.56999999999999995</v>
      </c>
      <c r="AS147" s="59">
        <f t="shared" si="238"/>
        <v>-0.56999999999999995</v>
      </c>
      <c r="AT147" s="59">
        <f t="shared" ref="AT147:AT157" si="262">MAX(AR147:AS147)</f>
        <v>0.56999999999999995</v>
      </c>
      <c r="AU147" s="62">
        <f t="shared" si="250"/>
        <v>0.98055555555555551</v>
      </c>
      <c r="AV147" s="63">
        <f t="shared" si="258"/>
        <v>0.56999999999999995</v>
      </c>
      <c r="AW147" s="64">
        <f t="shared" si="259"/>
        <v>0.58130311614730878</v>
      </c>
      <c r="AX147" s="65">
        <f t="shared" si="260"/>
        <v>5.1608187134502925</v>
      </c>
      <c r="AY147" s="66" t="str">
        <f t="shared" ref="AY147:AY157" si="263">IF(AX147&lt;=1,"UN AÑO",IF(AX147&gt;=1,"DOS AÑOS"))</f>
        <v>DOS AÑOS</v>
      </c>
      <c r="AZ147" s="375"/>
      <c r="BA147" s="393"/>
      <c r="BB147" s="394"/>
      <c r="BC147" s="395"/>
      <c r="BD147" s="383"/>
    </row>
    <row r="148" spans="1:56" ht="15.75" customHeight="1" x14ac:dyDescent="0.25">
      <c r="B148" s="728"/>
      <c r="C148" s="619"/>
      <c r="D148" s="719"/>
      <c r="E148" s="719"/>
      <c r="F148" s="722"/>
      <c r="G148" s="595"/>
      <c r="H148" s="613"/>
      <c r="I148" s="381">
        <v>3</v>
      </c>
      <c r="J148" s="716"/>
      <c r="K148" s="70">
        <v>3</v>
      </c>
      <c r="L148" s="391"/>
      <c r="M148" s="376"/>
      <c r="N148" s="392"/>
      <c r="O148" s="376"/>
      <c r="P148" s="392"/>
      <c r="Q148" s="37" t="s">
        <v>68</v>
      </c>
      <c r="R148" s="37">
        <v>30</v>
      </c>
      <c r="S148" s="38"/>
      <c r="T148" s="624"/>
      <c r="U148" s="39"/>
      <c r="V148" s="39"/>
      <c r="W148" s="39"/>
      <c r="X148" s="39"/>
      <c r="Y148" s="39"/>
      <c r="Z148" s="39"/>
      <c r="AA148" s="39"/>
      <c r="AB148" s="39"/>
      <c r="AC148" s="39"/>
      <c r="AD148" s="40"/>
      <c r="AE148" s="40"/>
      <c r="AF148" s="40"/>
      <c r="AG148" s="41">
        <v>44421</v>
      </c>
      <c r="AH148" s="620"/>
      <c r="AI148" s="42">
        <v>30</v>
      </c>
      <c r="AJ148" s="42">
        <f>AI148-R148</f>
        <v>0</v>
      </c>
      <c r="AK148" s="42">
        <f>(AJ148*100)/R148</f>
        <v>0</v>
      </c>
      <c r="AL148" s="42">
        <v>0</v>
      </c>
      <c r="AM148" s="42">
        <f>AL148*100/R148</f>
        <v>0</v>
      </c>
      <c r="AN148" s="42"/>
      <c r="AO148" s="42"/>
      <c r="AP148" s="42">
        <v>0.56999999999999995</v>
      </c>
      <c r="AQ148" s="42">
        <f>(AP148*100)/R148</f>
        <v>1.8999999999999997</v>
      </c>
      <c r="AR148" s="40">
        <f t="shared" si="261"/>
        <v>1.8999999999999997</v>
      </c>
      <c r="AS148" s="40">
        <f t="shared" si="238"/>
        <v>-1.8999999999999997</v>
      </c>
      <c r="AT148" s="40">
        <f t="shared" si="262"/>
        <v>1.8999999999999997</v>
      </c>
      <c r="AU148" s="43" t="s">
        <v>68</v>
      </c>
      <c r="AV148" s="44" t="s">
        <v>68</v>
      </c>
      <c r="AW148" s="45" t="s">
        <v>68</v>
      </c>
      <c r="AX148" s="46" t="s">
        <v>68</v>
      </c>
      <c r="AY148" s="72" t="str">
        <f t="shared" si="263"/>
        <v>DOS AÑOS</v>
      </c>
      <c r="AZ148" s="375"/>
      <c r="BA148" s="393"/>
      <c r="BB148" s="394"/>
      <c r="BC148" s="395"/>
      <c r="BD148" s="383"/>
    </row>
    <row r="149" spans="1:56" ht="15.75" customHeight="1" x14ac:dyDescent="0.25">
      <c r="B149" s="728"/>
      <c r="C149" s="619"/>
      <c r="D149" s="719"/>
      <c r="E149" s="719"/>
      <c r="F149" s="722"/>
      <c r="G149" s="595"/>
      <c r="H149" s="613"/>
      <c r="I149" s="381">
        <v>3</v>
      </c>
      <c r="J149" s="716"/>
      <c r="K149" s="70">
        <v>3</v>
      </c>
      <c r="L149" s="391"/>
      <c r="M149" s="376"/>
      <c r="N149" s="392"/>
      <c r="O149" s="376"/>
      <c r="P149" s="392"/>
      <c r="Q149" s="37" t="s">
        <v>68</v>
      </c>
      <c r="R149" s="37">
        <v>40</v>
      </c>
      <c r="S149" s="38"/>
      <c r="T149" s="624"/>
      <c r="U149" s="39"/>
      <c r="V149" s="39"/>
      <c r="W149" s="39"/>
      <c r="X149" s="39"/>
      <c r="Y149" s="39"/>
      <c r="Z149" s="39"/>
      <c r="AA149" s="39"/>
      <c r="AB149" s="39"/>
      <c r="AC149" s="39"/>
      <c r="AD149" s="40"/>
      <c r="AE149" s="40"/>
      <c r="AF149" s="40"/>
      <c r="AG149" s="41">
        <v>44421</v>
      </c>
      <c r="AH149" s="620"/>
      <c r="AI149" s="42">
        <v>40</v>
      </c>
      <c r="AJ149" s="42">
        <f>AI149-R149</f>
        <v>0</v>
      </c>
      <c r="AK149" s="42">
        <f>(AJ149*100)/R149</f>
        <v>0</v>
      </c>
      <c r="AL149" s="42">
        <v>0</v>
      </c>
      <c r="AM149" s="42">
        <f>AL149*100/R149</f>
        <v>0</v>
      </c>
      <c r="AN149" s="42"/>
      <c r="AO149" s="42"/>
      <c r="AP149" s="42">
        <v>0.57999999999999996</v>
      </c>
      <c r="AQ149" s="42">
        <f>(AP149*100)/R149</f>
        <v>1.4499999999999997</v>
      </c>
      <c r="AR149" s="40">
        <f t="shared" si="261"/>
        <v>1.4499999999999997</v>
      </c>
      <c r="AS149" s="40">
        <f t="shared" si="238"/>
        <v>-1.4499999999999997</v>
      </c>
      <c r="AT149" s="40">
        <f t="shared" si="262"/>
        <v>1.4499999999999997</v>
      </c>
      <c r="AU149" s="43" t="s">
        <v>68</v>
      </c>
      <c r="AV149" s="44" t="s">
        <v>68</v>
      </c>
      <c r="AW149" s="45" t="s">
        <v>68</v>
      </c>
      <c r="AX149" s="46" t="s">
        <v>68</v>
      </c>
      <c r="AY149" s="72" t="str">
        <f t="shared" si="263"/>
        <v>DOS AÑOS</v>
      </c>
      <c r="AZ149" s="375"/>
      <c r="BA149" s="393"/>
      <c r="BB149" s="394"/>
      <c r="BC149" s="395"/>
      <c r="BD149" s="383"/>
    </row>
    <row r="150" spans="1:56" ht="15" customHeight="1" x14ac:dyDescent="0.25">
      <c r="B150" s="728"/>
      <c r="C150" s="619"/>
      <c r="D150" s="719"/>
      <c r="E150" s="719"/>
      <c r="F150" s="722"/>
      <c r="G150" s="595"/>
      <c r="H150" s="613"/>
      <c r="I150" s="381">
        <v>3</v>
      </c>
      <c r="J150" s="716"/>
      <c r="K150" s="70">
        <v>3</v>
      </c>
      <c r="L150" s="391"/>
      <c r="M150" s="376" t="s">
        <v>68</v>
      </c>
      <c r="N150" s="392"/>
      <c r="O150" s="376" t="s">
        <v>68</v>
      </c>
      <c r="P150" s="392"/>
      <c r="Q150" s="37"/>
      <c r="R150" s="37">
        <v>60</v>
      </c>
      <c r="S150" s="38"/>
      <c r="T150" s="624"/>
      <c r="U150" s="39"/>
      <c r="V150" s="39"/>
      <c r="W150" s="39"/>
      <c r="X150" s="39"/>
      <c r="Y150" s="39"/>
      <c r="Z150" s="39"/>
      <c r="AA150" s="39" t="s">
        <v>68</v>
      </c>
      <c r="AB150" s="39"/>
      <c r="AC150" s="39"/>
      <c r="AD150" s="40"/>
      <c r="AE150" s="40"/>
      <c r="AF150" s="40"/>
      <c r="AG150" s="41">
        <v>44421</v>
      </c>
      <c r="AH150" s="620"/>
      <c r="AI150" s="42">
        <v>60</v>
      </c>
      <c r="AJ150" s="42">
        <f>AI150-R150</f>
        <v>0</v>
      </c>
      <c r="AK150" s="42">
        <f>(AJ150*100)/R150</f>
        <v>0</v>
      </c>
      <c r="AL150" s="42">
        <v>0</v>
      </c>
      <c r="AM150" s="42">
        <f>AL150*100/R150</f>
        <v>0</v>
      </c>
      <c r="AN150" s="42" t="s">
        <v>68</v>
      </c>
      <c r="AO150" s="42" t="s">
        <v>68</v>
      </c>
      <c r="AP150" s="42">
        <v>0.59</v>
      </c>
      <c r="AQ150" s="42">
        <f>(AP150*100)/R150</f>
        <v>0.98333333333333328</v>
      </c>
      <c r="AR150" s="40">
        <f t="shared" si="261"/>
        <v>0.98333333333333328</v>
      </c>
      <c r="AS150" s="40">
        <f t="shared" si="238"/>
        <v>-0.98333333333333328</v>
      </c>
      <c r="AT150" s="40">
        <f t="shared" si="262"/>
        <v>0.98333333333333328</v>
      </c>
      <c r="AU150" s="43">
        <f t="shared" ref="AU150:AU151" si="264">YEARFRAC(S150,AG150)</f>
        <v>121.61944444444444</v>
      </c>
      <c r="AV150" s="44">
        <f t="shared" ref="AV150:AV153" si="265">ABS(AT150-AF150)</f>
        <v>0.98333333333333328</v>
      </c>
      <c r="AW150" s="45">
        <f t="shared" ref="AW150:AW153" si="266">(AV150/AU150)</f>
        <v>8.0853299225726871E-3</v>
      </c>
      <c r="AX150" s="46">
        <f t="shared" ref="AX150:AX153" si="267">(I150/AW150)</f>
        <v>371.04237288135596</v>
      </c>
      <c r="AY150" s="72" t="str">
        <f t="shared" si="263"/>
        <v>DOS AÑOS</v>
      </c>
      <c r="AZ150" s="375"/>
      <c r="BA150" s="393"/>
      <c r="BB150" s="394"/>
      <c r="BC150" s="395"/>
      <c r="BD150" s="383"/>
    </row>
    <row r="151" spans="1:56" ht="15" customHeight="1" x14ac:dyDescent="0.25">
      <c r="B151" s="728"/>
      <c r="C151" s="619"/>
      <c r="D151" s="719"/>
      <c r="E151" s="719"/>
      <c r="F151" s="722"/>
      <c r="G151" s="595"/>
      <c r="H151" s="613"/>
      <c r="I151" s="381">
        <v>3</v>
      </c>
      <c r="J151" s="716"/>
      <c r="K151" s="70">
        <v>3</v>
      </c>
      <c r="L151" s="391"/>
      <c r="M151" s="376" t="s">
        <v>68</v>
      </c>
      <c r="N151" s="392"/>
      <c r="O151" s="376" t="s">
        <v>68</v>
      </c>
      <c r="P151" s="392"/>
      <c r="Q151" s="37">
        <v>100.6</v>
      </c>
      <c r="R151" s="37">
        <v>100</v>
      </c>
      <c r="S151" s="38">
        <v>44063</v>
      </c>
      <c r="T151" s="624"/>
      <c r="U151" s="39">
        <v>100.6</v>
      </c>
      <c r="V151" s="39">
        <f t="shared" ref="V151" si="268">U151-Q151</f>
        <v>0</v>
      </c>
      <c r="W151" s="39">
        <f t="shared" ref="W151" si="269">V151*100/Q151</f>
        <v>0</v>
      </c>
      <c r="X151" s="39">
        <v>0.55000000000000004</v>
      </c>
      <c r="Y151" s="39">
        <f t="shared" ref="Y151" si="270">X151*100/U151</f>
        <v>0.5467196819085488</v>
      </c>
      <c r="Z151" s="39"/>
      <c r="AA151" s="39" t="s">
        <v>68</v>
      </c>
      <c r="AB151" s="39">
        <v>1.3</v>
      </c>
      <c r="AC151" s="39">
        <f t="shared" ref="AC151" si="271">AB151*100/Q151</f>
        <v>1.2922465208747516</v>
      </c>
      <c r="AD151" s="40">
        <f t="shared" ref="AD151" si="272">(W151+AC151)</f>
        <v>1.2922465208747516</v>
      </c>
      <c r="AE151" s="40">
        <f t="shared" ref="AE151" si="273">(W151-AC151)</f>
        <v>-1.2922465208747516</v>
      </c>
      <c r="AF151" s="40">
        <f t="shared" ref="AF151" si="274">MAX(AD151:AE151)</f>
        <v>1.2922465208747516</v>
      </c>
      <c r="AG151" s="41">
        <v>44421</v>
      </c>
      <c r="AH151" s="531"/>
      <c r="AI151" s="42">
        <v>100</v>
      </c>
      <c r="AJ151" s="42">
        <f>AI151-R151</f>
        <v>0</v>
      </c>
      <c r="AK151" s="42">
        <f t="shared" ref="AK151" si="275">(AJ151*100)/Q151</f>
        <v>0</v>
      </c>
      <c r="AL151" s="42">
        <v>0</v>
      </c>
      <c r="AM151" s="42">
        <f>AL151*100/R151</f>
        <v>0</v>
      </c>
      <c r="AN151" s="42" t="s">
        <v>68</v>
      </c>
      <c r="AO151" s="42" t="s">
        <v>68</v>
      </c>
      <c r="AP151" s="42">
        <v>0.63</v>
      </c>
      <c r="AQ151" s="42">
        <f>(AP151*100)/R151</f>
        <v>0.63</v>
      </c>
      <c r="AR151" s="40">
        <f t="shared" si="261"/>
        <v>0.63</v>
      </c>
      <c r="AS151" s="40">
        <f t="shared" si="238"/>
        <v>-0.63</v>
      </c>
      <c r="AT151" s="40">
        <f t="shared" si="262"/>
        <v>0.63</v>
      </c>
      <c r="AU151" s="43">
        <f t="shared" si="264"/>
        <v>0.98055555555555551</v>
      </c>
      <c r="AV151" s="44">
        <f t="shared" si="265"/>
        <v>0.66224652087475155</v>
      </c>
      <c r="AW151" s="45">
        <f t="shared" si="266"/>
        <v>0.67537888814422253</v>
      </c>
      <c r="AX151" s="46">
        <f t="shared" si="267"/>
        <v>4.4419511072418514</v>
      </c>
      <c r="AY151" s="72" t="str">
        <f t="shared" si="263"/>
        <v>DOS AÑOS</v>
      </c>
      <c r="AZ151" s="375"/>
      <c r="BA151" s="393"/>
      <c r="BB151" s="394"/>
      <c r="BC151" s="395"/>
      <c r="BD151" s="383"/>
    </row>
    <row r="152" spans="1:56" ht="15" customHeight="1" x14ac:dyDescent="0.25">
      <c r="B152" s="728"/>
      <c r="C152" s="619"/>
      <c r="D152" s="719"/>
      <c r="E152" s="719"/>
      <c r="F152" s="722"/>
      <c r="G152" s="595"/>
      <c r="H152" s="613"/>
      <c r="I152" s="381">
        <v>3</v>
      </c>
      <c r="J152" s="716"/>
      <c r="K152" s="70">
        <v>3</v>
      </c>
      <c r="L152" s="391"/>
      <c r="M152" s="376"/>
      <c r="N152" s="392"/>
      <c r="O152" s="376"/>
      <c r="P152" s="392"/>
      <c r="Q152" s="37"/>
      <c r="R152" s="37">
        <v>100.4</v>
      </c>
      <c r="S152" s="38"/>
      <c r="T152" s="624"/>
      <c r="U152" s="39"/>
      <c r="V152" s="39"/>
      <c r="W152" s="39"/>
      <c r="X152" s="39"/>
      <c r="Y152" s="39"/>
      <c r="Z152" s="39"/>
      <c r="AA152" s="39"/>
      <c r="AB152" s="39"/>
      <c r="AC152" s="39"/>
      <c r="AD152" s="40"/>
      <c r="AE152" s="40"/>
      <c r="AF152" s="40"/>
      <c r="AG152" s="41">
        <v>44421</v>
      </c>
      <c r="AH152" s="580">
        <v>66148</v>
      </c>
      <c r="AI152" s="42">
        <v>99.7</v>
      </c>
      <c r="AJ152" s="42">
        <f t="shared" ref="AJ152:AJ157" si="276">AI152-R152</f>
        <v>-0.70000000000000284</v>
      </c>
      <c r="AK152" s="42">
        <f>(AJ152*100)/R152</f>
        <v>-0.69721115537848888</v>
      </c>
      <c r="AL152" s="42">
        <v>0.57999999999999996</v>
      </c>
      <c r="AM152" s="42">
        <f t="shared" ref="AM152:AM157" si="277">AL152*100/R152</f>
        <v>0.57768924302788838</v>
      </c>
      <c r="AN152" s="42"/>
      <c r="AO152" s="42"/>
      <c r="AP152" s="42">
        <v>1.9</v>
      </c>
      <c r="AQ152" s="42">
        <f t="shared" ref="AQ152:AQ153" si="278">(AP152*100)/R152</f>
        <v>1.892430278884462</v>
      </c>
      <c r="AR152" s="40">
        <f>(AK152+AQ152)</f>
        <v>1.1952191235059733</v>
      </c>
      <c r="AS152" s="40">
        <f>(AK152-AQ152)</f>
        <v>-2.5896414342629508</v>
      </c>
      <c r="AT152" s="40">
        <f t="shared" si="262"/>
        <v>1.1952191235059733</v>
      </c>
      <c r="AU152" s="43">
        <f>YEARFRAC(S152,AG152)</f>
        <v>121.61944444444444</v>
      </c>
      <c r="AV152" s="44">
        <f t="shared" si="265"/>
        <v>1.1952191235059733</v>
      </c>
      <c r="AW152" s="45">
        <f t="shared" si="266"/>
        <v>9.8275331626921491E-3</v>
      </c>
      <c r="AX152" s="46">
        <f t="shared" si="267"/>
        <v>305.26480555555628</v>
      </c>
      <c r="AY152" s="72" t="str">
        <f t="shared" si="263"/>
        <v>DOS AÑOS</v>
      </c>
      <c r="AZ152" s="375"/>
      <c r="BA152" s="393"/>
      <c r="BB152" s="394"/>
      <c r="BC152" s="395"/>
      <c r="BD152" s="383"/>
    </row>
    <row r="153" spans="1:56" ht="15" customHeight="1" x14ac:dyDescent="0.25">
      <c r="B153" s="728"/>
      <c r="C153" s="619"/>
      <c r="D153" s="719"/>
      <c r="E153" s="719"/>
      <c r="F153" s="722"/>
      <c r="G153" s="595"/>
      <c r="H153" s="613"/>
      <c r="I153" s="381">
        <v>3</v>
      </c>
      <c r="J153" s="716"/>
      <c r="K153" s="70">
        <v>3</v>
      </c>
      <c r="L153" s="391" t="s">
        <v>20</v>
      </c>
      <c r="M153" s="376"/>
      <c r="N153" s="392"/>
      <c r="O153" s="376"/>
      <c r="P153" s="392"/>
      <c r="Q153" s="37">
        <v>198.2</v>
      </c>
      <c r="R153" s="37">
        <v>200.9</v>
      </c>
      <c r="S153" s="38">
        <v>44063</v>
      </c>
      <c r="T153" s="624"/>
      <c r="U153" s="39">
        <v>201</v>
      </c>
      <c r="V153" s="39">
        <f t="shared" ref="V153:V157" si="279">U153-Q153</f>
        <v>2.8000000000000114</v>
      </c>
      <c r="W153" s="39">
        <f t="shared" ref="W153:W156" si="280">V153*100/Q153</f>
        <v>1.4127144298688252</v>
      </c>
      <c r="X153" s="39">
        <v>0.71</v>
      </c>
      <c r="Y153" s="39">
        <f t="shared" ref="Y153:Y157" si="281">X153*100/U153</f>
        <v>0.35323383084577115</v>
      </c>
      <c r="Z153" s="39"/>
      <c r="AA153" s="39"/>
      <c r="AB153" s="39">
        <v>1.9</v>
      </c>
      <c r="AC153" s="39">
        <f>AB153*100/Q153</f>
        <v>0.95862764883955609</v>
      </c>
      <c r="AD153" s="40">
        <f t="shared" ref="AD153:AD157" si="282">(W153+AC153)</f>
        <v>2.3713420787083814</v>
      </c>
      <c r="AE153" s="40">
        <f t="shared" ref="AE153:AE157" si="283">(W153-AC153)</f>
        <v>0.45408678102926914</v>
      </c>
      <c r="AF153" s="40">
        <f t="shared" ref="AF153:AF157" si="284">MAX(AD153:AE153)</f>
        <v>2.3713420787083814</v>
      </c>
      <c r="AG153" s="41">
        <v>44421</v>
      </c>
      <c r="AH153" s="620"/>
      <c r="AI153" s="42">
        <v>200.3</v>
      </c>
      <c r="AJ153" s="42">
        <f t="shared" si="276"/>
        <v>-0.59999999999999432</v>
      </c>
      <c r="AK153" s="42">
        <f t="shared" ref="AK153" si="285">(AJ153*100)/Q153</f>
        <v>-0.30272452068617273</v>
      </c>
      <c r="AL153" s="42">
        <v>0.57999999999999996</v>
      </c>
      <c r="AM153" s="42">
        <f t="shared" si="277"/>
        <v>0.28870084619213537</v>
      </c>
      <c r="AN153" s="42"/>
      <c r="AO153" s="42"/>
      <c r="AP153" s="42">
        <v>3.1</v>
      </c>
      <c r="AQ153" s="42">
        <f t="shared" si="278"/>
        <v>1.5430562468889994</v>
      </c>
      <c r="AR153" s="40">
        <f t="shared" ref="AR153:AR157" si="286">(AK153+AQ153)</f>
        <v>1.2403317262028266</v>
      </c>
      <c r="AS153" s="40">
        <f t="shared" ref="AS153:AS157" si="287">(AK153-AQ153)</f>
        <v>-1.8457807675751723</v>
      </c>
      <c r="AT153" s="40">
        <f t="shared" si="262"/>
        <v>1.2403317262028266</v>
      </c>
      <c r="AU153" s="43">
        <f t="shared" ref="AU153" si="288">YEARFRAC(S153,AG153)</f>
        <v>0.98055555555555551</v>
      </c>
      <c r="AV153" s="44">
        <f t="shared" si="265"/>
        <v>1.1310103525055548</v>
      </c>
      <c r="AW153" s="45">
        <f t="shared" si="266"/>
        <v>1.1534383198356934</v>
      </c>
      <c r="AX153" s="46">
        <f t="shared" si="267"/>
        <v>2.600919310906324</v>
      </c>
      <c r="AY153" s="72" t="str">
        <f t="shared" si="263"/>
        <v>DOS AÑOS</v>
      </c>
      <c r="AZ153" s="375"/>
      <c r="BA153" s="393"/>
      <c r="BB153" s="394"/>
      <c r="BC153" s="395"/>
      <c r="BD153" s="383"/>
    </row>
    <row r="154" spans="1:56" ht="15.75" customHeight="1" x14ac:dyDescent="0.25">
      <c r="B154" s="728"/>
      <c r="C154" s="619"/>
      <c r="D154" s="719"/>
      <c r="E154" s="719"/>
      <c r="F154" s="722"/>
      <c r="G154" s="595"/>
      <c r="H154" s="613"/>
      <c r="I154" s="381">
        <v>3</v>
      </c>
      <c r="J154" s="716"/>
      <c r="K154" s="70">
        <v>3</v>
      </c>
      <c r="L154" s="391"/>
      <c r="M154" s="376" t="s">
        <v>68</v>
      </c>
      <c r="N154" s="392"/>
      <c r="O154" s="376" t="s">
        <v>68</v>
      </c>
      <c r="P154" s="392"/>
      <c r="Q154" s="37">
        <v>396.6</v>
      </c>
      <c r="R154" s="37">
        <v>301.3</v>
      </c>
      <c r="S154" s="38">
        <v>44063</v>
      </c>
      <c r="T154" s="624"/>
      <c r="U154" s="39">
        <v>399.4</v>
      </c>
      <c r="V154" s="39">
        <f t="shared" si="279"/>
        <v>2.7999999999999545</v>
      </c>
      <c r="W154" s="39">
        <f t="shared" si="280"/>
        <v>0.70600100857285786</v>
      </c>
      <c r="X154" s="39">
        <v>0.55000000000000004</v>
      </c>
      <c r="Y154" s="39">
        <f t="shared" si="281"/>
        <v>0.13770655983975966</v>
      </c>
      <c r="Z154" s="39"/>
      <c r="AA154" s="39" t="s">
        <v>68</v>
      </c>
      <c r="AB154" s="39">
        <v>3.8</v>
      </c>
      <c r="AC154" s="39">
        <f t="shared" ref="AC154:AC157" si="289">AB154*100/Q154</f>
        <v>0.95814422592032267</v>
      </c>
      <c r="AD154" s="40">
        <f t="shared" si="282"/>
        <v>1.6641452344931804</v>
      </c>
      <c r="AE154" s="40">
        <f t="shared" si="283"/>
        <v>-0.25214321734746481</v>
      </c>
      <c r="AF154" s="40">
        <f t="shared" si="284"/>
        <v>1.6641452344931804</v>
      </c>
      <c r="AG154" s="41">
        <v>44421</v>
      </c>
      <c r="AH154" s="620"/>
      <c r="AI154" s="42">
        <v>301.3</v>
      </c>
      <c r="AJ154" s="42">
        <f t="shared" si="276"/>
        <v>0</v>
      </c>
      <c r="AK154" s="42">
        <f t="shared" ref="AK154:AK155" si="290">(AJ154*100)/R154</f>
        <v>0</v>
      </c>
      <c r="AL154" s="42">
        <v>0.57999999999999996</v>
      </c>
      <c r="AM154" s="42">
        <f t="shared" si="277"/>
        <v>0.19249917026219712</v>
      </c>
      <c r="AN154" s="42" t="s">
        <v>68</v>
      </c>
      <c r="AO154" s="42" t="s">
        <v>68</v>
      </c>
      <c r="AP154" s="42">
        <v>4.0999999999999996</v>
      </c>
      <c r="AQ154" s="42">
        <f>(AP154*100)/R154</f>
        <v>1.3607699966810485</v>
      </c>
      <c r="AR154" s="40">
        <f t="shared" si="286"/>
        <v>1.3607699966810485</v>
      </c>
      <c r="AS154" s="40">
        <f t="shared" si="287"/>
        <v>-1.3607699966810485</v>
      </c>
      <c r="AT154" s="40">
        <f t="shared" si="262"/>
        <v>1.3607699966810485</v>
      </c>
      <c r="AU154" s="43">
        <f>YEARFRAC(S154,AG154)</f>
        <v>0.98055555555555551</v>
      </c>
      <c r="AV154" s="44" t="s">
        <v>68</v>
      </c>
      <c r="AW154" s="45" t="s">
        <v>68</v>
      </c>
      <c r="AX154" s="46" t="s">
        <v>68</v>
      </c>
      <c r="AY154" s="72" t="str">
        <f t="shared" si="263"/>
        <v>DOS AÑOS</v>
      </c>
      <c r="AZ154" s="375"/>
      <c r="BA154" s="393"/>
      <c r="BB154" s="394"/>
      <c r="BC154" s="395"/>
      <c r="BD154" s="383"/>
    </row>
    <row r="155" spans="1:56" ht="15.75" customHeight="1" x14ac:dyDescent="0.25">
      <c r="B155" s="728"/>
      <c r="C155" s="619"/>
      <c r="D155" s="719"/>
      <c r="E155" s="719"/>
      <c r="F155" s="722"/>
      <c r="G155" s="595"/>
      <c r="H155" s="613"/>
      <c r="I155" s="381">
        <v>3</v>
      </c>
      <c r="J155" s="716"/>
      <c r="K155" s="70">
        <v>3</v>
      </c>
      <c r="L155" s="391"/>
      <c r="M155" s="376"/>
      <c r="N155" s="392"/>
      <c r="O155" s="376"/>
      <c r="P155" s="392"/>
      <c r="Q155" s="37">
        <v>602.9</v>
      </c>
      <c r="R155" s="37">
        <v>401.8</v>
      </c>
      <c r="S155" s="38">
        <v>44063</v>
      </c>
      <c r="T155" s="624"/>
      <c r="U155" s="39">
        <v>601.6</v>
      </c>
      <c r="V155" s="39">
        <f t="shared" si="279"/>
        <v>-1.2999999999999545</v>
      </c>
      <c r="W155" s="39">
        <f t="shared" si="280"/>
        <v>-0.21562448167191153</v>
      </c>
      <c r="X155" s="39">
        <v>0.55000000000000004</v>
      </c>
      <c r="Y155" s="39">
        <f t="shared" si="281"/>
        <v>9.1422872340425537E-2</v>
      </c>
      <c r="Z155" s="39"/>
      <c r="AA155" s="39"/>
      <c r="AB155" s="39">
        <v>5.7</v>
      </c>
      <c r="AC155" s="39">
        <f t="shared" si="289"/>
        <v>0.94543041963841434</v>
      </c>
      <c r="AD155" s="40">
        <f t="shared" si="282"/>
        <v>0.72980593796650284</v>
      </c>
      <c r="AE155" s="40">
        <f t="shared" si="283"/>
        <v>-1.161054901310326</v>
      </c>
      <c r="AF155" s="40">
        <f t="shared" si="284"/>
        <v>0.72980593796650284</v>
      </c>
      <c r="AG155" s="41">
        <v>44421</v>
      </c>
      <c r="AH155" s="620"/>
      <c r="AI155" s="42">
        <v>401</v>
      </c>
      <c r="AJ155" s="42">
        <f t="shared" si="276"/>
        <v>-0.80000000000001137</v>
      </c>
      <c r="AK155" s="42">
        <f t="shared" si="290"/>
        <v>-0.19910403185664793</v>
      </c>
      <c r="AL155" s="42">
        <v>1</v>
      </c>
      <c r="AM155" s="42">
        <f t="shared" si="277"/>
        <v>0.24888003982080636</v>
      </c>
      <c r="AN155" s="42"/>
      <c r="AO155" s="42"/>
      <c r="AP155" s="42">
        <v>5.3</v>
      </c>
      <c r="AQ155" s="42">
        <f>(AP155*100)/R155</f>
        <v>1.3190642110502737</v>
      </c>
      <c r="AR155" s="40">
        <f t="shared" si="286"/>
        <v>1.1199601791936258</v>
      </c>
      <c r="AS155" s="40">
        <f t="shared" si="287"/>
        <v>-1.5181682429069217</v>
      </c>
      <c r="AT155" s="40">
        <f t="shared" si="262"/>
        <v>1.1199601791936258</v>
      </c>
      <c r="AU155" s="43">
        <f>YEARFRAC(S155,AG155)</f>
        <v>0.98055555555555551</v>
      </c>
      <c r="AV155" s="44"/>
      <c r="AW155" s="45"/>
      <c r="AX155" s="46"/>
      <c r="AY155" s="72" t="str">
        <f t="shared" si="263"/>
        <v>UN AÑO</v>
      </c>
      <c r="AZ155" s="375"/>
      <c r="BA155" s="393"/>
      <c r="BB155" s="394"/>
      <c r="BC155" s="395"/>
      <c r="BD155" s="383"/>
    </row>
    <row r="156" spans="1:56" ht="15.75" customHeight="1" x14ac:dyDescent="0.25">
      <c r="B156" s="728"/>
      <c r="C156" s="619"/>
      <c r="D156" s="719"/>
      <c r="E156" s="719"/>
      <c r="F156" s="722"/>
      <c r="G156" s="595"/>
      <c r="H156" s="613"/>
      <c r="I156" s="381">
        <v>3</v>
      </c>
      <c r="J156" s="716"/>
      <c r="K156" s="70">
        <v>3</v>
      </c>
      <c r="L156" s="391"/>
      <c r="M156" s="376"/>
      <c r="N156" s="392"/>
      <c r="O156" s="376"/>
      <c r="P156" s="392"/>
      <c r="Q156" s="37">
        <v>805.9</v>
      </c>
      <c r="R156" s="37">
        <v>502.3</v>
      </c>
      <c r="S156" s="38">
        <v>44063</v>
      </c>
      <c r="T156" s="624"/>
      <c r="U156" s="39">
        <v>799.4</v>
      </c>
      <c r="V156" s="39">
        <f t="shared" si="279"/>
        <v>-6.5</v>
      </c>
      <c r="W156" s="39">
        <f t="shared" si="280"/>
        <v>-0.8065516813500434</v>
      </c>
      <c r="X156" s="39">
        <v>0.55000000000000004</v>
      </c>
      <c r="Y156" s="39">
        <f t="shared" si="281"/>
        <v>6.8801601200900689E-2</v>
      </c>
      <c r="Z156" s="39"/>
      <c r="AA156" s="39"/>
      <c r="AB156" s="39">
        <v>7.6</v>
      </c>
      <c r="AC156" s="39">
        <f t="shared" si="289"/>
        <v>0.94304504280928159</v>
      </c>
      <c r="AD156" s="40">
        <f t="shared" si="282"/>
        <v>0.13649336145923818</v>
      </c>
      <c r="AE156" s="40">
        <f t="shared" si="283"/>
        <v>-1.7495967241593249</v>
      </c>
      <c r="AF156" s="40">
        <f t="shared" si="284"/>
        <v>0.13649336145923818</v>
      </c>
      <c r="AG156" s="41">
        <v>44421</v>
      </c>
      <c r="AH156" s="620"/>
      <c r="AI156" s="42">
        <v>500</v>
      </c>
      <c r="AJ156" s="42">
        <f t="shared" si="276"/>
        <v>-2.3000000000000114</v>
      </c>
      <c r="AK156" s="42">
        <f>(AJ156*100)/R156</f>
        <v>-0.45789368903046213</v>
      </c>
      <c r="AL156" s="42">
        <v>1</v>
      </c>
      <c r="AM156" s="42">
        <f t="shared" si="277"/>
        <v>0.19908421262193907</v>
      </c>
      <c r="AN156" s="42"/>
      <c r="AO156" s="42"/>
      <c r="AP156" s="42">
        <v>6.4</v>
      </c>
      <c r="AQ156" s="42">
        <f>(AP156*100)/R156</f>
        <v>1.2741389607804101</v>
      </c>
      <c r="AR156" s="40">
        <f t="shared" si="286"/>
        <v>0.81624527174994799</v>
      </c>
      <c r="AS156" s="40">
        <f t="shared" si="287"/>
        <v>-1.7320326498108722</v>
      </c>
      <c r="AT156" s="40">
        <f t="shared" si="262"/>
        <v>0.81624527174994799</v>
      </c>
      <c r="AU156" s="43">
        <f t="shared" ref="AU156:AU157" si="291">YEARFRAC(S156,AG156)</f>
        <v>0.98055555555555551</v>
      </c>
      <c r="AV156" s="44" t="s">
        <v>68</v>
      </c>
      <c r="AW156" s="45" t="s">
        <v>68</v>
      </c>
      <c r="AX156" s="46" t="s">
        <v>68</v>
      </c>
      <c r="AY156" s="72" t="str">
        <f t="shared" si="263"/>
        <v>DOS AÑOS</v>
      </c>
      <c r="AZ156" s="382"/>
      <c r="BA156" s="379"/>
      <c r="BB156" s="372"/>
      <c r="BC156" s="74"/>
      <c r="BD156" s="374"/>
    </row>
    <row r="157" spans="1:56" ht="15.75" customHeight="1" thickBot="1" x14ac:dyDescent="0.3">
      <c r="B157" s="729"/>
      <c r="C157" s="619"/>
      <c r="D157" s="720"/>
      <c r="E157" s="720"/>
      <c r="F157" s="723"/>
      <c r="G157" s="595"/>
      <c r="H157" s="613"/>
      <c r="I157" s="381">
        <v>3</v>
      </c>
      <c r="J157" s="717"/>
      <c r="K157" s="70">
        <v>3</v>
      </c>
      <c r="L157" s="391"/>
      <c r="M157" s="376"/>
      <c r="N157" s="392"/>
      <c r="O157" s="376"/>
      <c r="P157" s="392"/>
      <c r="Q157" s="47">
        <v>1007.9</v>
      </c>
      <c r="R157" s="47">
        <v>1004</v>
      </c>
      <c r="S157" s="111">
        <v>44063</v>
      </c>
      <c r="T157" s="625"/>
      <c r="U157" s="48">
        <v>999.2</v>
      </c>
      <c r="V157" s="48">
        <f t="shared" si="279"/>
        <v>-8.6999999999999318</v>
      </c>
      <c r="W157" s="48">
        <f>V157*100/Q157</f>
        <v>-0.86318087111815978</v>
      </c>
      <c r="X157" s="48">
        <v>0.84</v>
      </c>
      <c r="Y157" s="48">
        <f t="shared" si="281"/>
        <v>8.4067253803042433E-2</v>
      </c>
      <c r="Z157" s="48"/>
      <c r="AA157" s="48"/>
      <c r="AB157" s="48">
        <v>9.4</v>
      </c>
      <c r="AC157" s="48">
        <f t="shared" si="289"/>
        <v>0.93263220557595006</v>
      </c>
      <c r="AD157" s="49">
        <f t="shared" si="282"/>
        <v>6.9451334457790281E-2</v>
      </c>
      <c r="AE157" s="49">
        <f t="shared" si="283"/>
        <v>-1.7958130766941098</v>
      </c>
      <c r="AF157" s="49">
        <f t="shared" si="284"/>
        <v>6.9451334457790281E-2</v>
      </c>
      <c r="AG157" s="114">
        <v>44421</v>
      </c>
      <c r="AH157" s="714"/>
      <c r="AI157" s="50">
        <v>1002</v>
      </c>
      <c r="AJ157" s="50">
        <f t="shared" si="276"/>
        <v>-2</v>
      </c>
      <c r="AK157" s="50">
        <f t="shared" ref="AK157" si="292">(AJ157*100)/R157</f>
        <v>-0.19920318725099601</v>
      </c>
      <c r="AL157" s="50">
        <v>1.53</v>
      </c>
      <c r="AM157" s="50">
        <f t="shared" si="277"/>
        <v>0.15239043824701196</v>
      </c>
      <c r="AN157" s="50"/>
      <c r="AO157" s="50"/>
      <c r="AP157" s="50">
        <v>13</v>
      </c>
      <c r="AQ157" s="50">
        <f>(AP157*100)/R157</f>
        <v>1.2948207171314741</v>
      </c>
      <c r="AR157" s="49">
        <f t="shared" si="286"/>
        <v>1.095617529880478</v>
      </c>
      <c r="AS157" s="49">
        <f t="shared" si="287"/>
        <v>-1.4940239043824701</v>
      </c>
      <c r="AT157" s="49">
        <f t="shared" si="262"/>
        <v>1.095617529880478</v>
      </c>
      <c r="AU157" s="51">
        <f t="shared" si="291"/>
        <v>0.98055555555555551</v>
      </c>
      <c r="AV157" s="52">
        <f t="shared" ref="AV157" si="293">ABS(AT157-AF157)</f>
        <v>1.0261661954226877</v>
      </c>
      <c r="AW157" s="364">
        <f t="shared" ref="AW157" si="294">(AV157/AU157)</f>
        <v>1.0465151001477835</v>
      </c>
      <c r="AX157" s="53">
        <f t="shared" ref="AX157" si="295">(I157/AW157)</f>
        <v>2.8666571553304441</v>
      </c>
      <c r="AY157" s="120" t="str">
        <f t="shared" si="263"/>
        <v>DOS AÑOS</v>
      </c>
      <c r="AZ157" s="382"/>
      <c r="BA157" s="379"/>
      <c r="BB157" s="372"/>
      <c r="BC157" s="74"/>
      <c r="BD157" s="374"/>
    </row>
    <row r="158" spans="1:56" s="299" customFormat="1" ht="15.75" customHeight="1" x14ac:dyDescent="0.25">
      <c r="A158" s="321"/>
      <c r="B158" s="764" t="s">
        <v>187</v>
      </c>
      <c r="C158" s="618" t="s">
        <v>194</v>
      </c>
      <c r="D158" s="767" t="s">
        <v>103</v>
      </c>
      <c r="E158" s="767" t="s">
        <v>197</v>
      </c>
      <c r="F158" s="770">
        <v>17051292</v>
      </c>
      <c r="G158" s="594" t="s">
        <v>16</v>
      </c>
      <c r="H158" s="594" t="s">
        <v>186</v>
      </c>
      <c r="I158" s="300">
        <v>3</v>
      </c>
      <c r="J158" s="779" t="s">
        <v>20</v>
      </c>
      <c r="K158" s="301">
        <v>2</v>
      </c>
      <c r="L158" s="776" t="s">
        <v>20</v>
      </c>
      <c r="M158" s="302" t="s">
        <v>68</v>
      </c>
      <c r="N158" s="724" t="s">
        <v>20</v>
      </c>
      <c r="O158" s="302" t="s">
        <v>68</v>
      </c>
      <c r="P158" s="724" t="s">
        <v>20</v>
      </c>
      <c r="Q158" s="241">
        <v>0</v>
      </c>
      <c r="R158" s="241">
        <v>0</v>
      </c>
      <c r="S158" s="243">
        <v>44063</v>
      </c>
      <c r="T158" s="623" t="s">
        <v>226</v>
      </c>
      <c r="U158" s="303">
        <v>0</v>
      </c>
      <c r="V158" s="303">
        <f t="shared" ref="V158:V165" si="296">U158-Q158</f>
        <v>0</v>
      </c>
      <c r="W158" s="303">
        <v>0</v>
      </c>
      <c r="X158" s="39">
        <f t="shared" ref="W158:X167" si="297">W158*100/30000</f>
        <v>0</v>
      </c>
      <c r="Y158" s="303">
        <v>0</v>
      </c>
      <c r="Z158" s="303" t="s">
        <v>68</v>
      </c>
      <c r="AA158" s="303" t="s">
        <v>68</v>
      </c>
      <c r="AB158" s="303" t="s">
        <v>68</v>
      </c>
      <c r="AC158" s="303">
        <v>0.04</v>
      </c>
      <c r="AD158" s="245">
        <f>(W158+AC158)</f>
        <v>0.04</v>
      </c>
      <c r="AE158" s="245">
        <f>(W158-AC158)</f>
        <v>-0.04</v>
      </c>
      <c r="AF158" s="245">
        <f t="shared" ref="AF158:AF243" si="298">MAX(AD158:AE158)</f>
        <v>0.04</v>
      </c>
      <c r="AG158" s="246">
        <v>44420</v>
      </c>
      <c r="AH158" s="660">
        <v>66312</v>
      </c>
      <c r="AI158" s="304">
        <v>0</v>
      </c>
      <c r="AJ158" s="304">
        <v>0</v>
      </c>
      <c r="AK158" s="304">
        <v>0</v>
      </c>
      <c r="AL158" s="304">
        <v>0</v>
      </c>
      <c r="AM158" s="304">
        <v>0</v>
      </c>
      <c r="AN158" s="304" t="s">
        <v>68</v>
      </c>
      <c r="AO158" s="304" t="s">
        <v>68</v>
      </c>
      <c r="AP158" s="304">
        <v>1</v>
      </c>
      <c r="AQ158" s="42">
        <f>AP158*100/30000</f>
        <v>3.3333333333333335E-3</v>
      </c>
      <c r="AR158" s="245">
        <f>(AK158+AQ158)</f>
        <v>3.3333333333333335E-3</v>
      </c>
      <c r="AS158" s="245">
        <f>(AK158-AQ158)</f>
        <v>-3.3333333333333335E-3</v>
      </c>
      <c r="AT158" s="245">
        <f t="shared" ref="AT158:AT189" si="299">MAX(AR158:AS158)</f>
        <v>3.3333333333333335E-3</v>
      </c>
      <c r="AU158" s="248">
        <f t="shared" si="4"/>
        <v>0.97777777777777775</v>
      </c>
      <c r="AV158" s="249">
        <f t="shared" si="117"/>
        <v>3.6666666666666667E-2</v>
      </c>
      <c r="AW158" s="305">
        <f t="shared" ref="AW158:AW269" si="300">(AV158/AU158)</f>
        <v>3.7499999999999999E-2</v>
      </c>
      <c r="AX158" s="251">
        <f t="shared" si="6"/>
        <v>80</v>
      </c>
      <c r="AY158" s="283" t="str">
        <f t="shared" si="7"/>
        <v>DOS AÑOS</v>
      </c>
      <c r="AZ158" s="773" t="s">
        <v>54</v>
      </c>
      <c r="BA158" s="482" t="s">
        <v>35</v>
      </c>
      <c r="BB158" s="485" t="s">
        <v>34</v>
      </c>
      <c r="BC158" s="533">
        <f>MIN(AX158:AX189)</f>
        <v>1.5927604871447854</v>
      </c>
      <c r="BD158" s="701" t="e">
        <f>#REF!</f>
        <v>#REF!</v>
      </c>
    </row>
    <row r="159" spans="1:56" s="73" customFormat="1" ht="15.75" customHeight="1" x14ac:dyDescent="0.25">
      <c r="A159" s="321"/>
      <c r="B159" s="765"/>
      <c r="C159" s="619"/>
      <c r="D159" s="768"/>
      <c r="E159" s="768"/>
      <c r="F159" s="771"/>
      <c r="G159" s="595"/>
      <c r="H159" s="595"/>
      <c r="I159" s="69">
        <v>3</v>
      </c>
      <c r="J159" s="780"/>
      <c r="K159" s="70">
        <v>2</v>
      </c>
      <c r="L159" s="777"/>
      <c r="M159" s="71"/>
      <c r="N159" s="725"/>
      <c r="O159" s="71"/>
      <c r="P159" s="725"/>
      <c r="Q159" s="37">
        <v>249</v>
      </c>
      <c r="R159" s="37">
        <v>313.7</v>
      </c>
      <c r="S159" s="38">
        <v>44063</v>
      </c>
      <c r="T159" s="624"/>
      <c r="U159" s="39">
        <v>273</v>
      </c>
      <c r="V159" s="39">
        <f t="shared" si="296"/>
        <v>24</v>
      </c>
      <c r="W159" s="39">
        <f>V159*100/30000</f>
        <v>0.08</v>
      </c>
      <c r="X159" s="39">
        <v>1.53</v>
      </c>
      <c r="Y159" s="39">
        <f>X159*100/30000</f>
        <v>5.1000000000000004E-3</v>
      </c>
      <c r="Z159" s="39"/>
      <c r="AA159" s="39"/>
      <c r="AB159" s="39" t="s">
        <v>68</v>
      </c>
      <c r="AC159" s="39">
        <v>0.04</v>
      </c>
      <c r="AD159" s="245">
        <f t="shared" ref="AD159:AD165" si="301">(W159+AC159)</f>
        <v>0.12</v>
      </c>
      <c r="AE159" s="245">
        <f t="shared" ref="AE159:AE165" si="302">(W159-AC159)</f>
        <v>0.04</v>
      </c>
      <c r="AF159" s="245">
        <f t="shared" ref="AF159:AF165" si="303">MAX(AD159:AE159)</f>
        <v>0.12</v>
      </c>
      <c r="AG159" s="41">
        <v>44420</v>
      </c>
      <c r="AH159" s="620"/>
      <c r="AI159" s="42">
        <v>365.2</v>
      </c>
      <c r="AJ159" s="42">
        <f>AI159-R159</f>
        <v>51.5</v>
      </c>
      <c r="AK159" s="42">
        <f>(AJ159*100)/30000</f>
        <v>0.17166666666666666</v>
      </c>
      <c r="AL159" s="42">
        <v>3.5</v>
      </c>
      <c r="AM159" s="42">
        <f>AL159*100/30000</f>
        <v>1.1666666666666667E-2</v>
      </c>
      <c r="AN159" s="42"/>
      <c r="AO159" s="42"/>
      <c r="AP159" s="42">
        <v>4.4000000000000004</v>
      </c>
      <c r="AQ159" s="42">
        <f>AP159*100/30000</f>
        <v>1.4666666666666668E-2</v>
      </c>
      <c r="AR159" s="245">
        <f t="shared" ref="AR159:AR178" si="304">(AK159+AQ159)</f>
        <v>0.18633333333333332</v>
      </c>
      <c r="AS159" s="245">
        <f t="shared" ref="AS159:AS178" si="305">(AK159-AQ159)</f>
        <v>0.157</v>
      </c>
      <c r="AT159" s="245">
        <f t="shared" ref="AT159:AT168" si="306">MAX(AR159:AS159)</f>
        <v>0.18633333333333332</v>
      </c>
      <c r="AU159" s="248">
        <f t="shared" ref="AU159:AU168" si="307">YEARFRAC(S159,AG159)</f>
        <v>0.97777777777777775</v>
      </c>
      <c r="AV159" s="249">
        <f t="shared" ref="AV159:AV166" si="308">ABS(AT159-AF159)</f>
        <v>6.6333333333333327E-2</v>
      </c>
      <c r="AW159" s="305">
        <f t="shared" ref="AW159:AW166" si="309">(AV159/AU159)</f>
        <v>6.7840909090909091E-2</v>
      </c>
      <c r="AX159" s="251">
        <f t="shared" ref="AX159:AX166" si="310">(I159/AW159)</f>
        <v>44.221105527638194</v>
      </c>
      <c r="AY159" s="283" t="str">
        <f t="shared" ref="AY159:AY168" si="311">IF(AX159&lt;=1,"UN AÑO",IF(AX159&gt;=1,"DOS AÑOS"))</f>
        <v>DOS AÑOS</v>
      </c>
      <c r="AZ159" s="774"/>
      <c r="BA159" s="484"/>
      <c r="BB159" s="487"/>
      <c r="BC159" s="534"/>
      <c r="BD159" s="702"/>
    </row>
    <row r="160" spans="1:56" s="73" customFormat="1" ht="15.75" customHeight="1" x14ac:dyDescent="0.25">
      <c r="A160" s="321"/>
      <c r="B160" s="765"/>
      <c r="C160" s="619"/>
      <c r="D160" s="768"/>
      <c r="E160" s="768"/>
      <c r="F160" s="771"/>
      <c r="G160" s="595"/>
      <c r="H160" s="595"/>
      <c r="I160" s="381">
        <v>3</v>
      </c>
      <c r="J160" s="780"/>
      <c r="K160" s="70">
        <v>2</v>
      </c>
      <c r="L160" s="777"/>
      <c r="M160" s="376"/>
      <c r="N160" s="725"/>
      <c r="O160" s="376"/>
      <c r="P160" s="725"/>
      <c r="Q160" s="37">
        <v>1246</v>
      </c>
      <c r="R160" s="37">
        <v>1568.4</v>
      </c>
      <c r="S160" s="38">
        <v>44063</v>
      </c>
      <c r="T160" s="624"/>
      <c r="U160" s="39">
        <v>1263</v>
      </c>
      <c r="V160" s="39">
        <f t="shared" si="296"/>
        <v>17</v>
      </c>
      <c r="W160" s="39">
        <f t="shared" si="297"/>
        <v>5.6666666666666664E-2</v>
      </c>
      <c r="X160" s="39">
        <v>0.57999999999999996</v>
      </c>
      <c r="Y160" s="39">
        <f t="shared" ref="Y160:Y167" si="312">X160*100/30000</f>
        <v>1.9333333333333331E-3</v>
      </c>
      <c r="Z160" s="39"/>
      <c r="AA160" s="39"/>
      <c r="AB160" s="39"/>
      <c r="AC160" s="39">
        <v>0.04</v>
      </c>
      <c r="AD160" s="245">
        <f t="shared" si="301"/>
        <v>9.6666666666666665E-2</v>
      </c>
      <c r="AE160" s="245">
        <f t="shared" si="302"/>
        <v>1.6666666666666663E-2</v>
      </c>
      <c r="AF160" s="245">
        <f t="shared" si="303"/>
        <v>9.6666666666666665E-2</v>
      </c>
      <c r="AG160" s="41">
        <v>44420</v>
      </c>
      <c r="AH160" s="620"/>
      <c r="AI160" s="42">
        <v>1521.6</v>
      </c>
      <c r="AJ160" s="42">
        <f>AI160-R160</f>
        <v>-46.800000000000182</v>
      </c>
      <c r="AK160" s="42">
        <f t="shared" ref="AK160:AK167" si="313">(AJ160*100)/30000</f>
        <v>-0.15600000000000061</v>
      </c>
      <c r="AL160" s="42">
        <v>6.4</v>
      </c>
      <c r="AM160" s="42">
        <f t="shared" ref="AM160:AM167" si="314">AL160*100/30000</f>
        <v>2.1333333333333333E-2</v>
      </c>
      <c r="AN160" s="42"/>
      <c r="AO160" s="42"/>
      <c r="AP160" s="42">
        <v>8.4</v>
      </c>
      <c r="AQ160" s="42">
        <f t="shared" ref="AQ160:AQ177" si="315">AP160*100/30000</f>
        <v>2.8000000000000001E-2</v>
      </c>
      <c r="AR160" s="245">
        <f t="shared" si="304"/>
        <v>-0.12800000000000061</v>
      </c>
      <c r="AS160" s="245">
        <f t="shared" si="305"/>
        <v>-0.18400000000000061</v>
      </c>
      <c r="AT160" s="245">
        <f t="shared" ref="AT160:AT161" si="316">MAX(AR160:AS160)</f>
        <v>-0.12800000000000061</v>
      </c>
      <c r="AU160" s="248">
        <f t="shared" ref="AU160:AU161" si="317">YEARFRAC(S160,AG160)</f>
        <v>0.97777777777777775</v>
      </c>
      <c r="AV160" s="249">
        <f t="shared" ref="AV160:AV161" si="318">ABS(AT160-AF160)</f>
        <v>0.22466666666666729</v>
      </c>
      <c r="AW160" s="305">
        <f t="shared" ref="AW160:AW161" si="319">(AV160/AU160)</f>
        <v>0.22977272727272791</v>
      </c>
      <c r="AX160" s="251">
        <f t="shared" ref="AX160:AX161" si="320">(I160/AW160)</f>
        <v>13.056379821958421</v>
      </c>
      <c r="AY160" s="283" t="str">
        <f t="shared" ref="AY160:AY161" si="321">IF(AX160&lt;=1,"UN AÑO",IF(AX160&gt;=1,"DOS AÑOS"))</f>
        <v>DOS AÑOS</v>
      </c>
      <c r="AZ160" s="774"/>
      <c r="BA160" s="484"/>
      <c r="BB160" s="487"/>
      <c r="BC160" s="534"/>
      <c r="BD160" s="702"/>
    </row>
    <row r="161" spans="1:56" s="73" customFormat="1" ht="15.75" customHeight="1" x14ac:dyDescent="0.25">
      <c r="A161" s="321"/>
      <c r="B161" s="765"/>
      <c r="C161" s="619"/>
      <c r="D161" s="768"/>
      <c r="E161" s="768"/>
      <c r="F161" s="771"/>
      <c r="G161" s="595"/>
      <c r="H161" s="595"/>
      <c r="I161" s="381">
        <v>3</v>
      </c>
      <c r="J161" s="780"/>
      <c r="K161" s="70">
        <v>2</v>
      </c>
      <c r="L161" s="777"/>
      <c r="M161" s="376"/>
      <c r="N161" s="725"/>
      <c r="O161" s="376"/>
      <c r="P161" s="725"/>
      <c r="Q161" s="37">
        <v>2491</v>
      </c>
      <c r="R161" s="37">
        <v>3136.8</v>
      </c>
      <c r="S161" s="38">
        <v>44063</v>
      </c>
      <c r="T161" s="624"/>
      <c r="U161" s="39">
        <v>2594</v>
      </c>
      <c r="V161" s="39">
        <f t="shared" si="296"/>
        <v>103</v>
      </c>
      <c r="W161" s="39">
        <f t="shared" si="297"/>
        <v>0.34333333333333332</v>
      </c>
      <c r="X161" s="39">
        <v>1.1499999999999999</v>
      </c>
      <c r="Y161" s="39">
        <f t="shared" si="312"/>
        <v>3.8333333333333327E-3</v>
      </c>
      <c r="Z161" s="39"/>
      <c r="AA161" s="39"/>
      <c r="AB161" s="39"/>
      <c r="AC161" s="39">
        <v>0.06</v>
      </c>
      <c r="AD161" s="245">
        <f t="shared" si="301"/>
        <v>0.40333333333333332</v>
      </c>
      <c r="AE161" s="245">
        <f t="shared" si="302"/>
        <v>0.28333333333333333</v>
      </c>
      <c r="AF161" s="245">
        <f t="shared" si="303"/>
        <v>0.40333333333333332</v>
      </c>
      <c r="AG161" s="41">
        <v>44420</v>
      </c>
      <c r="AH161" s="620"/>
      <c r="AI161" s="42">
        <v>3069.6</v>
      </c>
      <c r="AJ161" s="42">
        <f>AI161-R161</f>
        <v>-67.200000000000273</v>
      </c>
      <c r="AK161" s="42">
        <f t="shared" si="313"/>
        <v>-0.22400000000000092</v>
      </c>
      <c r="AL161" s="42">
        <v>7.1</v>
      </c>
      <c r="AM161" s="42">
        <f t="shared" si="314"/>
        <v>2.3666666666666666E-2</v>
      </c>
      <c r="AN161" s="42"/>
      <c r="AO161" s="42"/>
      <c r="AP161" s="42">
        <v>8.6999999999999993</v>
      </c>
      <c r="AQ161" s="42">
        <f t="shared" si="315"/>
        <v>2.8999999999999995E-2</v>
      </c>
      <c r="AR161" s="245">
        <f t="shared" si="304"/>
        <v>-0.19500000000000092</v>
      </c>
      <c r="AS161" s="245">
        <f t="shared" si="305"/>
        <v>-0.25300000000000089</v>
      </c>
      <c r="AT161" s="245">
        <f t="shared" si="316"/>
        <v>-0.19500000000000092</v>
      </c>
      <c r="AU161" s="248">
        <f t="shared" si="317"/>
        <v>0.97777777777777775</v>
      </c>
      <c r="AV161" s="249">
        <f t="shared" si="318"/>
        <v>0.59833333333333427</v>
      </c>
      <c r="AW161" s="305">
        <f t="shared" si="319"/>
        <v>0.61193181818181919</v>
      </c>
      <c r="AX161" s="251">
        <f t="shared" si="320"/>
        <v>4.9025069637882925</v>
      </c>
      <c r="AY161" s="283" t="str">
        <f t="shared" si="321"/>
        <v>DOS AÑOS</v>
      </c>
      <c r="AZ161" s="774"/>
      <c r="BA161" s="484"/>
      <c r="BB161" s="487"/>
      <c r="BC161" s="534"/>
      <c r="BD161" s="702"/>
    </row>
    <row r="162" spans="1:56" s="73" customFormat="1" ht="15.75" customHeight="1" x14ac:dyDescent="0.25">
      <c r="A162" s="321"/>
      <c r="B162" s="765"/>
      <c r="C162" s="619"/>
      <c r="D162" s="768"/>
      <c r="E162" s="768"/>
      <c r="F162" s="771"/>
      <c r="G162" s="595"/>
      <c r="H162" s="595"/>
      <c r="I162" s="69">
        <v>3</v>
      </c>
      <c r="J162" s="780"/>
      <c r="K162" s="70">
        <v>2</v>
      </c>
      <c r="L162" s="777"/>
      <c r="M162" s="71"/>
      <c r="N162" s="725"/>
      <c r="O162" s="71"/>
      <c r="P162" s="725"/>
      <c r="Q162" s="37">
        <v>6228</v>
      </c>
      <c r="R162" s="37">
        <v>6274</v>
      </c>
      <c r="S162" s="38">
        <v>44063</v>
      </c>
      <c r="T162" s="624"/>
      <c r="U162" s="39">
        <v>6374</v>
      </c>
      <c r="V162" s="39">
        <f t="shared" si="296"/>
        <v>146</v>
      </c>
      <c r="W162" s="39">
        <f t="shared" si="297"/>
        <v>0.48666666666666669</v>
      </c>
      <c r="X162" s="39">
        <v>1.1499999999999999</v>
      </c>
      <c r="Y162" s="39">
        <f t="shared" si="312"/>
        <v>3.8333333333333327E-3</v>
      </c>
      <c r="Z162" s="39"/>
      <c r="AA162" s="39"/>
      <c r="AB162" s="39" t="s">
        <v>68</v>
      </c>
      <c r="AC162" s="39">
        <v>0.15</v>
      </c>
      <c r="AD162" s="245">
        <f t="shared" si="301"/>
        <v>0.63666666666666671</v>
      </c>
      <c r="AE162" s="245">
        <f t="shared" si="302"/>
        <v>0.33666666666666667</v>
      </c>
      <c r="AF162" s="245">
        <f t="shared" si="303"/>
        <v>0.63666666666666671</v>
      </c>
      <c r="AG162" s="41">
        <v>44420</v>
      </c>
      <c r="AH162" s="620"/>
      <c r="AI162" s="42">
        <v>6243</v>
      </c>
      <c r="AJ162" s="42">
        <f t="shared" ref="AJ162:AJ167" si="322">AI162-R162</f>
        <v>-31</v>
      </c>
      <c r="AK162" s="42">
        <f t="shared" si="313"/>
        <v>-0.10333333333333333</v>
      </c>
      <c r="AL162" s="42">
        <v>7.5</v>
      </c>
      <c r="AM162" s="42">
        <f t="shared" si="314"/>
        <v>2.5000000000000001E-2</v>
      </c>
      <c r="AN162" s="42"/>
      <c r="AO162" s="42"/>
      <c r="AP162" s="42">
        <v>14</v>
      </c>
      <c r="AQ162" s="42">
        <f t="shared" si="315"/>
        <v>4.6666666666666669E-2</v>
      </c>
      <c r="AR162" s="245">
        <f t="shared" si="304"/>
        <v>-5.6666666666666664E-2</v>
      </c>
      <c r="AS162" s="245">
        <f t="shared" si="305"/>
        <v>-0.15</v>
      </c>
      <c r="AT162" s="245">
        <f t="shared" si="306"/>
        <v>-5.6666666666666664E-2</v>
      </c>
      <c r="AU162" s="248">
        <f t="shared" si="307"/>
        <v>0.97777777777777775</v>
      </c>
      <c r="AV162" s="249">
        <f t="shared" si="308"/>
        <v>0.69333333333333336</v>
      </c>
      <c r="AW162" s="305">
        <f t="shared" si="309"/>
        <v>0.70909090909090911</v>
      </c>
      <c r="AX162" s="251">
        <f t="shared" si="310"/>
        <v>4.2307692307692308</v>
      </c>
      <c r="AY162" s="283" t="str">
        <f t="shared" si="311"/>
        <v>DOS AÑOS</v>
      </c>
      <c r="AZ162" s="774"/>
      <c r="BA162" s="484"/>
      <c r="BB162" s="487"/>
      <c r="BC162" s="534"/>
      <c r="BD162" s="702"/>
    </row>
    <row r="163" spans="1:56" s="73" customFormat="1" ht="15.75" customHeight="1" x14ac:dyDescent="0.25">
      <c r="A163" s="321"/>
      <c r="B163" s="765"/>
      <c r="C163" s="619"/>
      <c r="D163" s="768"/>
      <c r="E163" s="768"/>
      <c r="F163" s="771"/>
      <c r="G163" s="595"/>
      <c r="H163" s="595"/>
      <c r="I163" s="69">
        <v>3</v>
      </c>
      <c r="J163" s="780"/>
      <c r="K163" s="70">
        <v>2</v>
      </c>
      <c r="L163" s="777"/>
      <c r="M163" s="71"/>
      <c r="N163" s="725"/>
      <c r="O163" s="71"/>
      <c r="P163" s="725"/>
      <c r="Q163" s="37">
        <v>12455</v>
      </c>
      <c r="R163" s="37">
        <v>9410</v>
      </c>
      <c r="S163" s="38">
        <v>44063</v>
      </c>
      <c r="T163" s="624"/>
      <c r="U163" s="39">
        <v>12452</v>
      </c>
      <c r="V163" s="39">
        <f t="shared" si="296"/>
        <v>-3</v>
      </c>
      <c r="W163" s="39">
        <f t="shared" si="297"/>
        <v>-0.01</v>
      </c>
      <c r="X163" s="39">
        <v>1</v>
      </c>
      <c r="Y163" s="39">
        <f t="shared" si="312"/>
        <v>3.3333333333333335E-3</v>
      </c>
      <c r="Z163" s="39"/>
      <c r="AA163" s="39"/>
      <c r="AB163" s="39" t="s">
        <v>68</v>
      </c>
      <c r="AC163" s="39">
        <v>0.27</v>
      </c>
      <c r="AD163" s="245">
        <f t="shared" si="301"/>
        <v>0.26</v>
      </c>
      <c r="AE163" s="245">
        <f t="shared" si="302"/>
        <v>-0.28000000000000003</v>
      </c>
      <c r="AF163" s="245">
        <f t="shared" si="303"/>
        <v>0.26</v>
      </c>
      <c r="AG163" s="41">
        <v>44420</v>
      </c>
      <c r="AH163" s="620"/>
      <c r="AI163" s="42">
        <v>9412</v>
      </c>
      <c r="AJ163" s="42">
        <f t="shared" si="322"/>
        <v>2</v>
      </c>
      <c r="AK163" s="42">
        <f t="shared" si="313"/>
        <v>6.6666666666666671E-3</v>
      </c>
      <c r="AL163" s="42">
        <v>3.1</v>
      </c>
      <c r="AM163" s="42">
        <f t="shared" si="314"/>
        <v>1.0333333333333333E-2</v>
      </c>
      <c r="AN163" s="42"/>
      <c r="AO163" s="42"/>
      <c r="AP163" s="42">
        <v>20</v>
      </c>
      <c r="AQ163" s="42">
        <f t="shared" si="315"/>
        <v>6.6666666666666666E-2</v>
      </c>
      <c r="AR163" s="245">
        <f t="shared" si="304"/>
        <v>7.3333333333333334E-2</v>
      </c>
      <c r="AS163" s="245">
        <f t="shared" si="305"/>
        <v>-0.06</v>
      </c>
      <c r="AT163" s="245">
        <f t="shared" si="306"/>
        <v>7.3333333333333334E-2</v>
      </c>
      <c r="AU163" s="248">
        <f t="shared" si="307"/>
        <v>0.97777777777777775</v>
      </c>
      <c r="AV163" s="249">
        <f t="shared" si="308"/>
        <v>0.18666666666666668</v>
      </c>
      <c r="AW163" s="305">
        <f t="shared" si="309"/>
        <v>0.19090909090909092</v>
      </c>
      <c r="AX163" s="251">
        <f t="shared" si="310"/>
        <v>15.714285714285714</v>
      </c>
      <c r="AY163" s="283" t="str">
        <f t="shared" si="311"/>
        <v>DOS AÑOS</v>
      </c>
      <c r="AZ163" s="774"/>
      <c r="BA163" s="484"/>
      <c r="BB163" s="487"/>
      <c r="BC163" s="534"/>
      <c r="BD163" s="702"/>
    </row>
    <row r="164" spans="1:56" s="73" customFormat="1" ht="15.75" customHeight="1" x14ac:dyDescent="0.25">
      <c r="A164" s="321"/>
      <c r="B164" s="765"/>
      <c r="C164" s="619"/>
      <c r="D164" s="768"/>
      <c r="E164" s="768"/>
      <c r="F164" s="771"/>
      <c r="G164" s="595"/>
      <c r="H164" s="595"/>
      <c r="I164" s="69">
        <v>3</v>
      </c>
      <c r="J164" s="780"/>
      <c r="K164" s="70">
        <v>2</v>
      </c>
      <c r="L164" s="777"/>
      <c r="M164" s="71" t="s">
        <v>68</v>
      </c>
      <c r="N164" s="725"/>
      <c r="O164" s="71" t="s">
        <v>68</v>
      </c>
      <c r="P164" s="725"/>
      <c r="Q164" s="37">
        <v>18683.2</v>
      </c>
      <c r="R164" s="37">
        <v>15684</v>
      </c>
      <c r="S164" s="38">
        <v>44063</v>
      </c>
      <c r="T164" s="624"/>
      <c r="U164" s="39">
        <v>18563.7</v>
      </c>
      <c r="V164" s="39">
        <f t="shared" si="296"/>
        <v>-119.5</v>
      </c>
      <c r="W164" s="39">
        <f t="shared" si="297"/>
        <v>-0.39833333333333332</v>
      </c>
      <c r="X164" s="39">
        <v>1.1499999999999999</v>
      </c>
      <c r="Y164" s="39">
        <f t="shared" si="312"/>
        <v>3.8333333333333327E-3</v>
      </c>
      <c r="Z164" s="39" t="s">
        <v>68</v>
      </c>
      <c r="AA164" s="39" t="s">
        <v>68</v>
      </c>
      <c r="AB164" s="39" t="s">
        <v>68</v>
      </c>
      <c r="AC164" s="39">
        <v>0.4</v>
      </c>
      <c r="AD164" s="245">
        <f t="shared" si="301"/>
        <v>1.6666666666667052E-3</v>
      </c>
      <c r="AE164" s="245">
        <f t="shared" si="302"/>
        <v>-0.79833333333333334</v>
      </c>
      <c r="AF164" s="245">
        <f t="shared" si="303"/>
        <v>1.6666666666667052E-3</v>
      </c>
      <c r="AG164" s="41">
        <v>44420</v>
      </c>
      <c r="AH164" s="620"/>
      <c r="AI164" s="42">
        <v>15752</v>
      </c>
      <c r="AJ164" s="42">
        <v>0</v>
      </c>
      <c r="AK164" s="42">
        <f t="shared" si="313"/>
        <v>0</v>
      </c>
      <c r="AL164" s="42">
        <v>4.7</v>
      </c>
      <c r="AM164" s="42">
        <f t="shared" si="314"/>
        <v>1.5666666666666666E-2</v>
      </c>
      <c r="AN164" s="42" t="s">
        <v>68</v>
      </c>
      <c r="AO164" s="42" t="s">
        <v>68</v>
      </c>
      <c r="AP164" s="42">
        <v>33</v>
      </c>
      <c r="AQ164" s="42">
        <f t="shared" si="315"/>
        <v>0.11</v>
      </c>
      <c r="AR164" s="245">
        <f t="shared" si="304"/>
        <v>0.11</v>
      </c>
      <c r="AS164" s="245">
        <f t="shared" si="305"/>
        <v>-0.11</v>
      </c>
      <c r="AT164" s="245">
        <f t="shared" si="306"/>
        <v>0.11</v>
      </c>
      <c r="AU164" s="248">
        <f t="shared" si="307"/>
        <v>0.97777777777777775</v>
      </c>
      <c r="AV164" s="249">
        <f t="shared" si="308"/>
        <v>0.1083333333333333</v>
      </c>
      <c r="AW164" s="305">
        <f t="shared" si="309"/>
        <v>0.11079545454545452</v>
      </c>
      <c r="AX164" s="251">
        <f t="shared" si="310"/>
        <v>27.076923076923084</v>
      </c>
      <c r="AY164" s="283" t="str">
        <f t="shared" si="311"/>
        <v>DOS AÑOS</v>
      </c>
      <c r="AZ164" s="774"/>
      <c r="BA164" s="484"/>
      <c r="BB164" s="487"/>
      <c r="BC164" s="534"/>
      <c r="BD164" s="702"/>
    </row>
    <row r="165" spans="1:56" s="73" customFormat="1" ht="15.75" customHeight="1" x14ac:dyDescent="0.25">
      <c r="A165" s="321"/>
      <c r="B165" s="765"/>
      <c r="C165" s="619"/>
      <c r="D165" s="768"/>
      <c r="E165" s="768"/>
      <c r="F165" s="771"/>
      <c r="G165" s="595"/>
      <c r="H165" s="595"/>
      <c r="I165" s="276">
        <v>3</v>
      </c>
      <c r="J165" s="780"/>
      <c r="K165" s="70">
        <v>2</v>
      </c>
      <c r="L165" s="777"/>
      <c r="M165" s="274"/>
      <c r="N165" s="725"/>
      <c r="O165" s="274"/>
      <c r="P165" s="725"/>
      <c r="Q165" s="37">
        <v>24911</v>
      </c>
      <c r="R165" s="37">
        <v>21958</v>
      </c>
      <c r="S165" s="38">
        <v>44063</v>
      </c>
      <c r="T165" s="624"/>
      <c r="U165" s="39">
        <v>24791</v>
      </c>
      <c r="V165" s="39">
        <f t="shared" si="296"/>
        <v>-120</v>
      </c>
      <c r="W165" s="39">
        <f t="shared" si="297"/>
        <v>-0.4</v>
      </c>
      <c r="X165" s="39">
        <v>0</v>
      </c>
      <c r="Y165" s="39">
        <f t="shared" si="312"/>
        <v>0</v>
      </c>
      <c r="Z165" s="39"/>
      <c r="AA165" s="39"/>
      <c r="AB165" s="39" t="s">
        <v>68</v>
      </c>
      <c r="AC165" s="39">
        <v>0.53</v>
      </c>
      <c r="AD165" s="245">
        <f t="shared" si="301"/>
        <v>0.13</v>
      </c>
      <c r="AE165" s="245">
        <f t="shared" si="302"/>
        <v>-0.93</v>
      </c>
      <c r="AF165" s="245">
        <f t="shared" si="303"/>
        <v>0.13</v>
      </c>
      <c r="AG165" s="41">
        <v>44420</v>
      </c>
      <c r="AH165" s="620"/>
      <c r="AI165" s="42">
        <v>22064</v>
      </c>
      <c r="AJ165" s="42">
        <f t="shared" si="322"/>
        <v>106</v>
      </c>
      <c r="AK165" s="42">
        <f t="shared" si="313"/>
        <v>0.35333333333333333</v>
      </c>
      <c r="AL165" s="42">
        <v>3.6</v>
      </c>
      <c r="AM165" s="42">
        <f t="shared" si="314"/>
        <v>1.2E-2</v>
      </c>
      <c r="AN165" s="42"/>
      <c r="AO165" s="42"/>
      <c r="AP165" s="42">
        <v>45</v>
      </c>
      <c r="AQ165" s="42">
        <f t="shared" si="315"/>
        <v>0.15</v>
      </c>
      <c r="AR165" s="245">
        <f t="shared" si="304"/>
        <v>0.5033333333333333</v>
      </c>
      <c r="AS165" s="245">
        <f t="shared" si="305"/>
        <v>0.20333333333333334</v>
      </c>
      <c r="AT165" s="245">
        <f t="shared" si="306"/>
        <v>0.5033333333333333</v>
      </c>
      <c r="AU165" s="248">
        <f t="shared" si="307"/>
        <v>0.97777777777777775</v>
      </c>
      <c r="AV165" s="249">
        <f t="shared" si="308"/>
        <v>0.37333333333333329</v>
      </c>
      <c r="AW165" s="305">
        <f t="shared" si="309"/>
        <v>0.38181818181818178</v>
      </c>
      <c r="AX165" s="251">
        <f t="shared" si="310"/>
        <v>7.8571428571428577</v>
      </c>
      <c r="AY165" s="283" t="str">
        <f t="shared" si="311"/>
        <v>DOS AÑOS</v>
      </c>
      <c r="AZ165" s="774"/>
      <c r="BA165" s="484"/>
      <c r="BB165" s="487"/>
      <c r="BC165" s="534"/>
      <c r="BD165" s="702"/>
    </row>
    <row r="166" spans="1:56" s="73" customFormat="1" ht="15.75" customHeight="1" x14ac:dyDescent="0.25">
      <c r="A166" s="321"/>
      <c r="B166" s="765"/>
      <c r="C166" s="619"/>
      <c r="D166" s="768"/>
      <c r="E166" s="768"/>
      <c r="F166" s="771"/>
      <c r="G166" s="595"/>
      <c r="H166" s="595"/>
      <c r="I166" s="69">
        <v>3</v>
      </c>
      <c r="J166" s="780"/>
      <c r="K166" s="70">
        <v>2</v>
      </c>
      <c r="L166" s="777"/>
      <c r="M166" s="71" t="s">
        <v>68</v>
      </c>
      <c r="N166" s="725"/>
      <c r="O166" s="71" t="s">
        <v>68</v>
      </c>
      <c r="P166" s="725"/>
      <c r="Q166" s="37"/>
      <c r="R166" s="37">
        <v>28231</v>
      </c>
      <c r="S166" s="38"/>
      <c r="T166" s="624"/>
      <c r="U166" s="39"/>
      <c r="V166" s="39"/>
      <c r="W166" s="39"/>
      <c r="X166" s="39"/>
      <c r="Y166" s="39"/>
      <c r="Z166" s="39" t="s">
        <v>68</v>
      </c>
      <c r="AA166" s="39" t="s">
        <v>68</v>
      </c>
      <c r="AB166" s="39" t="s">
        <v>68</v>
      </c>
      <c r="AC166" s="39"/>
      <c r="AD166" s="40"/>
      <c r="AE166" s="40"/>
      <c r="AF166" s="40"/>
      <c r="AG166" s="41">
        <v>44420</v>
      </c>
      <c r="AH166" s="620"/>
      <c r="AI166" s="42">
        <v>28301</v>
      </c>
      <c r="AJ166" s="42">
        <f t="shared" si="322"/>
        <v>70</v>
      </c>
      <c r="AK166" s="42">
        <f t="shared" si="313"/>
        <v>0.23333333333333334</v>
      </c>
      <c r="AL166" s="42">
        <v>5.9</v>
      </c>
      <c r="AM166" s="42">
        <f t="shared" si="314"/>
        <v>1.9666666666666666E-2</v>
      </c>
      <c r="AN166" s="42" t="s">
        <v>68</v>
      </c>
      <c r="AO166" s="42" t="s">
        <v>68</v>
      </c>
      <c r="AP166" s="42">
        <v>58</v>
      </c>
      <c r="AQ166" s="42">
        <f t="shared" si="315"/>
        <v>0.19333333333333333</v>
      </c>
      <c r="AR166" s="245">
        <f t="shared" si="304"/>
        <v>0.42666666666666664</v>
      </c>
      <c r="AS166" s="245">
        <f t="shared" si="305"/>
        <v>4.0000000000000008E-2</v>
      </c>
      <c r="AT166" s="245">
        <f t="shared" si="306"/>
        <v>0.42666666666666664</v>
      </c>
      <c r="AU166" s="248">
        <f t="shared" si="307"/>
        <v>121.61666666666666</v>
      </c>
      <c r="AV166" s="249">
        <f t="shared" si="308"/>
        <v>0.42666666666666664</v>
      </c>
      <c r="AW166" s="305">
        <f t="shared" si="309"/>
        <v>3.5082910785254212E-3</v>
      </c>
      <c r="AX166" s="251">
        <f t="shared" si="310"/>
        <v>855.11718750000011</v>
      </c>
      <c r="AY166" s="283" t="str">
        <f t="shared" si="311"/>
        <v>DOS AÑOS</v>
      </c>
      <c r="AZ166" s="774"/>
      <c r="BA166" s="484"/>
      <c r="BB166" s="487"/>
      <c r="BC166" s="534"/>
      <c r="BD166" s="702"/>
    </row>
    <row r="167" spans="1:56" s="75" customFormat="1" ht="15.75" customHeight="1" thickBot="1" x14ac:dyDescent="0.3">
      <c r="A167" s="321"/>
      <c r="B167" s="765"/>
      <c r="C167" s="619"/>
      <c r="D167" s="768"/>
      <c r="E167" s="768"/>
      <c r="F167" s="771"/>
      <c r="G167" s="595"/>
      <c r="H167" s="595"/>
      <c r="I167" s="69">
        <v>3</v>
      </c>
      <c r="J167" s="780"/>
      <c r="K167" s="70">
        <v>2</v>
      </c>
      <c r="L167" s="777"/>
      <c r="M167" s="71" t="s">
        <v>68</v>
      </c>
      <c r="N167" s="725"/>
      <c r="O167" s="71" t="s">
        <v>68</v>
      </c>
      <c r="P167" s="725"/>
      <c r="Q167" s="37">
        <v>29893.200000000001</v>
      </c>
      <c r="R167" s="37">
        <v>29800</v>
      </c>
      <c r="S167" s="38">
        <v>44063</v>
      </c>
      <c r="T167" s="624"/>
      <c r="U167" s="39">
        <v>29782.7</v>
      </c>
      <c r="V167" s="39">
        <f>U167-Q167</f>
        <v>-110.5</v>
      </c>
      <c r="W167" s="39">
        <f t="shared" si="297"/>
        <v>-0.36833333333333335</v>
      </c>
      <c r="X167" s="39">
        <v>2.08</v>
      </c>
      <c r="Y167" s="39">
        <f t="shared" si="312"/>
        <v>6.933333333333333E-3</v>
      </c>
      <c r="Z167" s="39" t="s">
        <v>68</v>
      </c>
      <c r="AA167" s="39" t="s">
        <v>68</v>
      </c>
      <c r="AB167" s="39" t="s">
        <v>68</v>
      </c>
      <c r="AC167" s="39">
        <v>0.64</v>
      </c>
      <c r="AD167" s="245">
        <f t="shared" ref="AD167" si="323">(W167+AC167)</f>
        <v>0.27166666666666667</v>
      </c>
      <c r="AE167" s="245">
        <f t="shared" ref="AE167" si="324">(W167-AC167)</f>
        <v>-1.0083333333333333</v>
      </c>
      <c r="AF167" s="245">
        <f t="shared" ref="AF167" si="325">MAX(AD167:AE167)</f>
        <v>0.27166666666666667</v>
      </c>
      <c r="AG167" s="41">
        <v>44420</v>
      </c>
      <c r="AH167" s="620"/>
      <c r="AI167" s="42">
        <v>29887</v>
      </c>
      <c r="AJ167" s="42">
        <f t="shared" si="322"/>
        <v>87</v>
      </c>
      <c r="AK167" s="42">
        <f t="shared" si="313"/>
        <v>0.28999999999999998</v>
      </c>
      <c r="AL167" s="42">
        <v>4.3</v>
      </c>
      <c r="AM167" s="42">
        <f t="shared" si="314"/>
        <v>1.4333333333333333E-2</v>
      </c>
      <c r="AN167" s="42" t="s">
        <v>68</v>
      </c>
      <c r="AO167" s="42" t="s">
        <v>68</v>
      </c>
      <c r="AP167" s="42">
        <v>61</v>
      </c>
      <c r="AQ167" s="42">
        <f t="shared" si="315"/>
        <v>0.20333333333333334</v>
      </c>
      <c r="AR167" s="245">
        <f t="shared" si="304"/>
        <v>0.49333333333333329</v>
      </c>
      <c r="AS167" s="245">
        <f t="shared" si="305"/>
        <v>8.6666666666666642E-2</v>
      </c>
      <c r="AT167" s="245">
        <f t="shared" si="306"/>
        <v>0.49333333333333329</v>
      </c>
      <c r="AU167" s="248">
        <f t="shared" si="307"/>
        <v>0.97777777777777775</v>
      </c>
      <c r="AV167" s="249" t="s">
        <v>68</v>
      </c>
      <c r="AW167" s="305" t="s">
        <v>68</v>
      </c>
      <c r="AX167" s="251" t="s">
        <v>68</v>
      </c>
      <c r="AY167" s="283" t="str">
        <f t="shared" si="311"/>
        <v>DOS AÑOS</v>
      </c>
      <c r="AZ167" s="774"/>
      <c r="BA167" s="484"/>
      <c r="BB167" s="487"/>
      <c r="BC167" s="534"/>
      <c r="BD167" s="702"/>
    </row>
    <row r="168" spans="1:56" s="299" customFormat="1" ht="15.75" customHeight="1" x14ac:dyDescent="0.25">
      <c r="A168" s="321"/>
      <c r="B168" s="765"/>
      <c r="C168" s="618" t="s">
        <v>195</v>
      </c>
      <c r="D168" s="768"/>
      <c r="E168" s="768"/>
      <c r="F168" s="771"/>
      <c r="G168" s="594" t="s">
        <v>16</v>
      </c>
      <c r="H168" s="594" t="s">
        <v>186</v>
      </c>
      <c r="I168" s="380">
        <v>3</v>
      </c>
      <c r="J168" s="780"/>
      <c r="K168" s="301">
        <v>2</v>
      </c>
      <c r="L168" s="777"/>
      <c r="M168" s="384" t="s">
        <v>68</v>
      </c>
      <c r="N168" s="725"/>
      <c r="O168" s="384" t="s">
        <v>68</v>
      </c>
      <c r="P168" s="725"/>
      <c r="Q168" s="241">
        <v>0</v>
      </c>
      <c r="R168" s="241">
        <v>0</v>
      </c>
      <c r="S168" s="243">
        <v>44063</v>
      </c>
      <c r="T168" s="624"/>
      <c r="U168" s="303">
        <v>0</v>
      </c>
      <c r="V168" s="303">
        <f t="shared" ref="V168:V171" si="326">U168-Q168</f>
        <v>0</v>
      </c>
      <c r="W168" s="303">
        <v>0</v>
      </c>
      <c r="X168" s="39">
        <v>0</v>
      </c>
      <c r="Y168" s="303">
        <v>0</v>
      </c>
      <c r="Z168" s="303" t="s">
        <v>68</v>
      </c>
      <c r="AA168" s="303" t="s">
        <v>68</v>
      </c>
      <c r="AB168" s="303" t="s">
        <v>68</v>
      </c>
      <c r="AC168" s="303">
        <v>0.04</v>
      </c>
      <c r="AD168" s="245">
        <f t="shared" ref="AD168:AD173" si="327">(W168+AC168)</f>
        <v>0.04</v>
      </c>
      <c r="AE168" s="245">
        <f>(W168-AC168)</f>
        <v>-0.04</v>
      </c>
      <c r="AF168" s="245">
        <f t="shared" ref="AF168:AF171" si="328">MAX(AD168:AE168)</f>
        <v>0.04</v>
      </c>
      <c r="AG168" s="246">
        <v>44420</v>
      </c>
      <c r="AH168" s="620"/>
      <c r="AI168" s="304">
        <v>0</v>
      </c>
      <c r="AJ168" s="304">
        <v>0</v>
      </c>
      <c r="AK168" s="304">
        <v>0</v>
      </c>
      <c r="AL168" s="304">
        <v>0</v>
      </c>
      <c r="AM168" s="304">
        <v>0</v>
      </c>
      <c r="AN168" s="304" t="s">
        <v>68</v>
      </c>
      <c r="AO168" s="304" t="s">
        <v>68</v>
      </c>
      <c r="AP168" s="304">
        <v>1</v>
      </c>
      <c r="AQ168" s="42">
        <f>AP168*100/30000</f>
        <v>3.3333333333333335E-3</v>
      </c>
      <c r="AR168" s="245">
        <f>(AK168+AQ168)</f>
        <v>3.3333333333333335E-3</v>
      </c>
      <c r="AS168" s="245">
        <f>(AK168-AQ168)</f>
        <v>-3.3333333333333335E-3</v>
      </c>
      <c r="AT168" s="245">
        <f t="shared" si="306"/>
        <v>3.3333333333333335E-3</v>
      </c>
      <c r="AU168" s="248">
        <f t="shared" si="307"/>
        <v>0.97777777777777775</v>
      </c>
      <c r="AV168" s="249">
        <f t="shared" ref="AV168:AV176" si="329">ABS(AT168-AF168)</f>
        <v>3.6666666666666667E-2</v>
      </c>
      <c r="AW168" s="305">
        <f t="shared" ref="AW168:AW176" si="330">(AV168/AU168)</f>
        <v>3.7499999999999999E-2</v>
      </c>
      <c r="AX168" s="251">
        <f t="shared" ref="AX168:AX176" si="331">(I168/AW168)</f>
        <v>80</v>
      </c>
      <c r="AY168" s="283" t="str">
        <f t="shared" si="311"/>
        <v>DOS AÑOS</v>
      </c>
      <c r="AZ168" s="774"/>
      <c r="BA168" s="484"/>
      <c r="BB168" s="487"/>
      <c r="BC168" s="534"/>
      <c r="BD168" s="702"/>
    </row>
    <row r="169" spans="1:56" s="73" customFormat="1" ht="15.75" customHeight="1" x14ac:dyDescent="0.25">
      <c r="A169" s="321"/>
      <c r="B169" s="765"/>
      <c r="C169" s="619"/>
      <c r="D169" s="768"/>
      <c r="E169" s="768"/>
      <c r="F169" s="771"/>
      <c r="G169" s="595"/>
      <c r="H169" s="595"/>
      <c r="I169" s="381">
        <v>3</v>
      </c>
      <c r="J169" s="780"/>
      <c r="K169" s="70">
        <v>2</v>
      </c>
      <c r="L169" s="777"/>
      <c r="M169" s="376"/>
      <c r="N169" s="725"/>
      <c r="O169" s="376"/>
      <c r="P169" s="725"/>
      <c r="Q169" s="37">
        <v>249</v>
      </c>
      <c r="R169" s="37">
        <v>313.7</v>
      </c>
      <c r="S169" s="38">
        <v>44063</v>
      </c>
      <c r="T169" s="624"/>
      <c r="U169" s="39">
        <v>255</v>
      </c>
      <c r="V169" s="39">
        <f t="shared" si="326"/>
        <v>6</v>
      </c>
      <c r="W169" s="39">
        <f>V169*100/30000</f>
        <v>0.02</v>
      </c>
      <c r="X169" s="39">
        <v>1.1499999999999999</v>
      </c>
      <c r="Y169" s="39">
        <f>X169*100/30000</f>
        <v>3.8333333333333327E-3</v>
      </c>
      <c r="Z169" s="39"/>
      <c r="AA169" s="39"/>
      <c r="AB169" s="39" t="s">
        <v>68</v>
      </c>
      <c r="AC169" s="39">
        <v>0.04</v>
      </c>
      <c r="AD169" s="40">
        <f t="shared" si="327"/>
        <v>0.06</v>
      </c>
      <c r="AE169" s="40">
        <f t="shared" ref="AE169:AE171" si="332">(W169-AC169)</f>
        <v>-0.02</v>
      </c>
      <c r="AF169" s="40">
        <f t="shared" si="328"/>
        <v>0.06</v>
      </c>
      <c r="AG169" s="41">
        <v>44420</v>
      </c>
      <c r="AH169" s="620"/>
      <c r="AI169" s="42">
        <v>336</v>
      </c>
      <c r="AJ169" s="42">
        <f>AI169-R169</f>
        <v>22.300000000000011</v>
      </c>
      <c r="AK169" s="42">
        <f>(AJ169*100)/30000</f>
        <v>7.4333333333333362E-2</v>
      </c>
      <c r="AL169" s="42">
        <v>5.2</v>
      </c>
      <c r="AM169" s="42">
        <f>AL169*100/30000</f>
        <v>1.7333333333333333E-2</v>
      </c>
      <c r="AN169" s="42"/>
      <c r="AO169" s="42"/>
      <c r="AP169" s="42">
        <v>6.4</v>
      </c>
      <c r="AQ169" s="42">
        <f>AP169*100/30000</f>
        <v>2.1333333333333333E-2</v>
      </c>
      <c r="AR169" s="245">
        <f t="shared" ref="AR169:AR177" si="333">(AK169+AQ169)</f>
        <v>9.5666666666666691E-2</v>
      </c>
      <c r="AS169" s="245">
        <f t="shared" ref="AS169:AS177" si="334">(AK169-AQ169)</f>
        <v>5.3000000000000033E-2</v>
      </c>
      <c r="AT169" s="245">
        <f t="shared" ref="AT169:AT177" si="335">MAX(AR169:AS169)</f>
        <v>9.5666666666666691E-2</v>
      </c>
      <c r="AU169" s="248">
        <f t="shared" ref="AU169:AU177" si="336">YEARFRAC(S169,AG169)</f>
        <v>0.97777777777777775</v>
      </c>
      <c r="AV169" s="249">
        <f t="shared" si="329"/>
        <v>3.5666666666666694E-2</v>
      </c>
      <c r="AW169" s="305">
        <f t="shared" si="330"/>
        <v>3.6477272727272754E-2</v>
      </c>
      <c r="AX169" s="251">
        <f t="shared" si="331"/>
        <v>82.242990654205542</v>
      </c>
      <c r="AY169" s="283" t="str">
        <f t="shared" ref="AY169:AY177" si="337">IF(AX169&lt;=1,"UN AÑO",IF(AX169&gt;=1,"DOS AÑOS"))</f>
        <v>DOS AÑOS</v>
      </c>
      <c r="AZ169" s="774"/>
      <c r="BA169" s="484"/>
      <c r="BB169" s="487"/>
      <c r="BC169" s="534"/>
      <c r="BD169" s="702"/>
    </row>
    <row r="170" spans="1:56" s="73" customFormat="1" ht="15.75" customHeight="1" x14ac:dyDescent="0.25">
      <c r="A170" s="321"/>
      <c r="B170" s="765"/>
      <c r="C170" s="619"/>
      <c r="D170" s="768"/>
      <c r="E170" s="768"/>
      <c r="F170" s="771"/>
      <c r="G170" s="595"/>
      <c r="H170" s="595"/>
      <c r="I170" s="381">
        <v>3</v>
      </c>
      <c r="J170" s="780"/>
      <c r="K170" s="70">
        <v>2</v>
      </c>
      <c r="L170" s="777"/>
      <c r="M170" s="376"/>
      <c r="N170" s="725"/>
      <c r="O170" s="376"/>
      <c r="P170" s="725"/>
      <c r="Q170" s="37">
        <v>1246</v>
      </c>
      <c r="R170" s="37">
        <v>1568.4</v>
      </c>
      <c r="S170" s="38">
        <v>44063</v>
      </c>
      <c r="T170" s="624"/>
      <c r="U170" s="39">
        <v>1253</v>
      </c>
      <c r="V170" s="39">
        <f t="shared" si="326"/>
        <v>7</v>
      </c>
      <c r="W170" s="39">
        <f t="shared" ref="W170:W177" si="338">V170*100/30000</f>
        <v>2.3333333333333334E-2</v>
      </c>
      <c r="X170" s="39">
        <v>1.1499999999999999</v>
      </c>
      <c r="Y170" s="39">
        <f t="shared" ref="Y170:Y177" si="339">X170*100/30000</f>
        <v>3.8333333333333327E-3</v>
      </c>
      <c r="Z170" s="39"/>
      <c r="AA170" s="39"/>
      <c r="AB170" s="39"/>
      <c r="AC170" s="39">
        <v>0.04</v>
      </c>
      <c r="AD170" s="40">
        <f t="shared" si="327"/>
        <v>6.3333333333333339E-2</v>
      </c>
      <c r="AE170" s="40">
        <f t="shared" si="332"/>
        <v>-1.6666666666666666E-2</v>
      </c>
      <c r="AF170" s="40">
        <f t="shared" si="328"/>
        <v>6.3333333333333339E-2</v>
      </c>
      <c r="AG170" s="41">
        <v>44420</v>
      </c>
      <c r="AH170" s="620"/>
      <c r="AI170" s="42">
        <v>1586.2</v>
      </c>
      <c r="AJ170" s="42">
        <f>AI170-R170</f>
        <v>17.799999999999955</v>
      </c>
      <c r="AK170" s="42">
        <f t="shared" ref="AK170:AK177" si="340">(AJ170*100)/30000</f>
        <v>5.9333333333333182E-2</v>
      </c>
      <c r="AL170" s="42">
        <v>3.8</v>
      </c>
      <c r="AM170" s="42">
        <f t="shared" ref="AM170:AM177" si="341">AL170*100/30000</f>
        <v>1.2666666666666666E-2</v>
      </c>
      <c r="AN170" s="42"/>
      <c r="AO170" s="42"/>
      <c r="AP170" s="42">
        <v>4.5999999999999996</v>
      </c>
      <c r="AQ170" s="42">
        <f t="shared" si="315"/>
        <v>1.5333333333333331E-2</v>
      </c>
      <c r="AR170" s="245">
        <f t="shared" si="333"/>
        <v>7.466666666666652E-2</v>
      </c>
      <c r="AS170" s="245">
        <f t="shared" si="334"/>
        <v>4.3999999999999852E-2</v>
      </c>
      <c r="AT170" s="245">
        <f t="shared" si="335"/>
        <v>7.466666666666652E-2</v>
      </c>
      <c r="AU170" s="248">
        <f t="shared" si="336"/>
        <v>0.97777777777777775</v>
      </c>
      <c r="AV170" s="249">
        <f t="shared" si="329"/>
        <v>1.1333333333333181E-2</v>
      </c>
      <c r="AW170" s="305">
        <f t="shared" si="330"/>
        <v>1.1590909090908937E-2</v>
      </c>
      <c r="AX170" s="251">
        <f t="shared" si="331"/>
        <v>258.82352941176816</v>
      </c>
      <c r="AY170" s="283" t="str">
        <f t="shared" si="337"/>
        <v>DOS AÑOS</v>
      </c>
      <c r="AZ170" s="774"/>
      <c r="BA170" s="484"/>
      <c r="BB170" s="487"/>
      <c r="BC170" s="534"/>
      <c r="BD170" s="702"/>
    </row>
    <row r="171" spans="1:56" s="73" customFormat="1" ht="15.75" customHeight="1" x14ac:dyDescent="0.25">
      <c r="A171" s="321"/>
      <c r="B171" s="765"/>
      <c r="C171" s="619"/>
      <c r="D171" s="768"/>
      <c r="E171" s="768"/>
      <c r="F171" s="771"/>
      <c r="G171" s="595"/>
      <c r="H171" s="595"/>
      <c r="I171" s="381">
        <v>3</v>
      </c>
      <c r="J171" s="780"/>
      <c r="K171" s="70">
        <v>2</v>
      </c>
      <c r="L171" s="777"/>
      <c r="M171" s="376"/>
      <c r="N171" s="725"/>
      <c r="O171" s="376"/>
      <c r="P171" s="725"/>
      <c r="Q171" s="37">
        <v>2491</v>
      </c>
      <c r="R171" s="37">
        <v>3136.8</v>
      </c>
      <c r="S171" s="38">
        <v>44063</v>
      </c>
      <c r="T171" s="624"/>
      <c r="U171" s="39">
        <v>2585</v>
      </c>
      <c r="V171" s="39">
        <f t="shared" si="326"/>
        <v>94</v>
      </c>
      <c r="W171" s="39">
        <f t="shared" si="338"/>
        <v>0.31333333333333335</v>
      </c>
      <c r="X171" s="39">
        <v>1</v>
      </c>
      <c r="Y171" s="39">
        <f t="shared" si="339"/>
        <v>3.3333333333333335E-3</v>
      </c>
      <c r="Z171" s="39"/>
      <c r="AA171" s="39"/>
      <c r="AB171" s="39"/>
      <c r="AC171" s="39">
        <v>0.06</v>
      </c>
      <c r="AD171" s="40">
        <f t="shared" si="327"/>
        <v>0.37333333333333335</v>
      </c>
      <c r="AE171" s="40">
        <f t="shared" si="332"/>
        <v>0.25333333333333335</v>
      </c>
      <c r="AF171" s="40">
        <f t="shared" si="328"/>
        <v>0.37333333333333335</v>
      </c>
      <c r="AG171" s="41">
        <v>44420</v>
      </c>
      <c r="AH171" s="620"/>
      <c r="AI171" s="42">
        <v>2946.8</v>
      </c>
      <c r="AJ171" s="42">
        <f>AI171-R171</f>
        <v>-190</v>
      </c>
      <c r="AK171" s="42">
        <f t="shared" si="340"/>
        <v>-0.6333333333333333</v>
      </c>
      <c r="AL171" s="42">
        <v>2.5</v>
      </c>
      <c r="AM171" s="42">
        <f t="shared" si="341"/>
        <v>8.3333333333333332E-3</v>
      </c>
      <c r="AN171" s="42"/>
      <c r="AO171" s="42"/>
      <c r="AP171" s="42">
        <v>7.3</v>
      </c>
      <c r="AQ171" s="42">
        <f t="shared" si="315"/>
        <v>2.4333333333333332E-2</v>
      </c>
      <c r="AR171" s="245">
        <f t="shared" si="333"/>
        <v>-0.60899999999999999</v>
      </c>
      <c r="AS171" s="245">
        <f t="shared" si="334"/>
        <v>-0.65766666666666662</v>
      </c>
      <c r="AT171" s="245">
        <f t="shared" si="335"/>
        <v>-0.60899999999999999</v>
      </c>
      <c r="AU171" s="248">
        <f t="shared" si="336"/>
        <v>0.97777777777777775</v>
      </c>
      <c r="AV171" s="249">
        <f t="shared" si="329"/>
        <v>0.98233333333333328</v>
      </c>
      <c r="AW171" s="305">
        <f t="shared" si="330"/>
        <v>1.0046590909090909</v>
      </c>
      <c r="AX171" s="251">
        <f t="shared" si="331"/>
        <v>2.9860875466576178</v>
      </c>
      <c r="AY171" s="283" t="str">
        <f t="shared" si="337"/>
        <v>DOS AÑOS</v>
      </c>
      <c r="AZ171" s="774"/>
      <c r="BA171" s="484"/>
      <c r="BB171" s="487"/>
      <c r="BC171" s="534"/>
      <c r="BD171" s="702"/>
    </row>
    <row r="172" spans="1:56" s="73" customFormat="1" ht="15.75" customHeight="1" x14ac:dyDescent="0.25">
      <c r="A172" s="321"/>
      <c r="B172" s="765"/>
      <c r="C172" s="619"/>
      <c r="D172" s="768"/>
      <c r="E172" s="768"/>
      <c r="F172" s="771"/>
      <c r="G172" s="595"/>
      <c r="H172" s="595"/>
      <c r="I172" s="381">
        <v>3</v>
      </c>
      <c r="J172" s="780"/>
      <c r="K172" s="70">
        <v>2</v>
      </c>
      <c r="L172" s="777"/>
      <c r="M172" s="376"/>
      <c r="N172" s="725"/>
      <c r="O172" s="376"/>
      <c r="P172" s="725"/>
      <c r="Q172" s="37">
        <v>6228</v>
      </c>
      <c r="R172" s="37">
        <v>6274</v>
      </c>
      <c r="S172" s="38">
        <v>44063</v>
      </c>
      <c r="T172" s="624"/>
      <c r="U172" s="39">
        <v>6362</v>
      </c>
      <c r="V172" s="39">
        <f t="shared" ref="V172:V177" si="342">U172-Q172</f>
        <v>134</v>
      </c>
      <c r="W172" s="39">
        <f t="shared" si="338"/>
        <v>0.44666666666666666</v>
      </c>
      <c r="X172" s="39">
        <v>1.73</v>
      </c>
      <c r="Y172" s="39">
        <f t="shared" si="339"/>
        <v>5.7666666666666665E-3</v>
      </c>
      <c r="Z172" s="39"/>
      <c r="AA172" s="39"/>
      <c r="AB172" s="39" t="s">
        <v>68</v>
      </c>
      <c r="AC172" s="39">
        <v>0.14000000000000001</v>
      </c>
      <c r="AD172" s="40">
        <f t="shared" si="327"/>
        <v>0.58666666666666667</v>
      </c>
      <c r="AE172" s="40">
        <f t="shared" ref="AE172:AE175" si="343">(W172-AC172)</f>
        <v>0.30666666666666664</v>
      </c>
      <c r="AF172" s="40">
        <f t="shared" ref="AF172:AF175" si="344">MAX(AD172:AE172)</f>
        <v>0.58666666666666667</v>
      </c>
      <c r="AG172" s="41">
        <v>44420</v>
      </c>
      <c r="AH172" s="620"/>
      <c r="AI172" s="42">
        <v>6207</v>
      </c>
      <c r="AJ172" s="42">
        <f t="shared" ref="AJ172:AJ177" si="345">AI172-R172</f>
        <v>-67</v>
      </c>
      <c r="AK172" s="42">
        <f t="shared" si="340"/>
        <v>-0.22333333333333333</v>
      </c>
      <c r="AL172" s="42">
        <v>4.3</v>
      </c>
      <c r="AM172" s="42">
        <f t="shared" si="341"/>
        <v>1.4333333333333333E-2</v>
      </c>
      <c r="AN172" s="42"/>
      <c r="AO172" s="42"/>
      <c r="AP172" s="42">
        <v>14</v>
      </c>
      <c r="AQ172" s="42">
        <f t="shared" si="315"/>
        <v>4.6666666666666669E-2</v>
      </c>
      <c r="AR172" s="245">
        <f t="shared" si="333"/>
        <v>-0.17666666666666667</v>
      </c>
      <c r="AS172" s="245">
        <f t="shared" si="334"/>
        <v>-0.27</v>
      </c>
      <c r="AT172" s="245">
        <f t="shared" si="335"/>
        <v>-0.17666666666666667</v>
      </c>
      <c r="AU172" s="248">
        <f t="shared" si="336"/>
        <v>0.97777777777777775</v>
      </c>
      <c r="AV172" s="249">
        <f t="shared" si="329"/>
        <v>0.76333333333333331</v>
      </c>
      <c r="AW172" s="305">
        <f t="shared" si="330"/>
        <v>0.78068181818181814</v>
      </c>
      <c r="AX172" s="251">
        <f t="shared" si="331"/>
        <v>3.8427947598253276</v>
      </c>
      <c r="AY172" s="283" t="str">
        <f t="shared" si="337"/>
        <v>DOS AÑOS</v>
      </c>
      <c r="AZ172" s="774"/>
      <c r="BA172" s="484"/>
      <c r="BB172" s="487"/>
      <c r="BC172" s="534"/>
      <c r="BD172" s="702"/>
    </row>
    <row r="173" spans="1:56" s="73" customFormat="1" ht="15.75" customHeight="1" x14ac:dyDescent="0.25">
      <c r="A173" s="321"/>
      <c r="B173" s="765"/>
      <c r="C173" s="619"/>
      <c r="D173" s="768"/>
      <c r="E173" s="768"/>
      <c r="F173" s="771"/>
      <c r="G173" s="595"/>
      <c r="H173" s="595"/>
      <c r="I173" s="381">
        <v>3</v>
      </c>
      <c r="J173" s="780"/>
      <c r="K173" s="70">
        <v>2</v>
      </c>
      <c r="L173" s="777"/>
      <c r="M173" s="376"/>
      <c r="N173" s="725"/>
      <c r="O173" s="376"/>
      <c r="P173" s="725"/>
      <c r="Q173" s="37">
        <v>12455</v>
      </c>
      <c r="R173" s="37">
        <v>9410</v>
      </c>
      <c r="S173" s="38">
        <v>44063</v>
      </c>
      <c r="T173" s="624"/>
      <c r="U173" s="39">
        <v>12444</v>
      </c>
      <c r="V173" s="39">
        <f t="shared" si="342"/>
        <v>-11</v>
      </c>
      <c r="W173" s="39">
        <f t="shared" si="338"/>
        <v>-3.6666666666666667E-2</v>
      </c>
      <c r="X173" s="39">
        <v>2</v>
      </c>
      <c r="Y173" s="39">
        <f t="shared" si="339"/>
        <v>6.6666666666666671E-3</v>
      </c>
      <c r="Z173" s="39"/>
      <c r="AA173" s="39"/>
      <c r="AB173" s="39" t="s">
        <v>68</v>
      </c>
      <c r="AC173" s="39">
        <v>0.27</v>
      </c>
      <c r="AD173" s="40">
        <f t="shared" si="327"/>
        <v>0.23333333333333334</v>
      </c>
      <c r="AE173" s="40">
        <f t="shared" si="343"/>
        <v>-0.3066666666666667</v>
      </c>
      <c r="AF173" s="40">
        <f t="shared" si="344"/>
        <v>0.23333333333333334</v>
      </c>
      <c r="AG173" s="41">
        <v>44420</v>
      </c>
      <c r="AH173" s="620"/>
      <c r="AI173" s="42">
        <v>9130</v>
      </c>
      <c r="AJ173" s="42">
        <f t="shared" si="345"/>
        <v>-280</v>
      </c>
      <c r="AK173" s="42">
        <f t="shared" si="340"/>
        <v>-0.93333333333333335</v>
      </c>
      <c r="AL173" s="42">
        <v>5.3</v>
      </c>
      <c r="AM173" s="42">
        <f t="shared" si="341"/>
        <v>1.7666666666666667E-2</v>
      </c>
      <c r="AN173" s="42"/>
      <c r="AO173" s="42"/>
      <c r="AP173" s="42">
        <v>20</v>
      </c>
      <c r="AQ173" s="42">
        <f t="shared" si="315"/>
        <v>6.6666666666666666E-2</v>
      </c>
      <c r="AR173" s="245">
        <f t="shared" si="333"/>
        <v>-0.8666666666666667</v>
      </c>
      <c r="AS173" s="245">
        <f t="shared" si="334"/>
        <v>-1</v>
      </c>
      <c r="AT173" s="245">
        <f t="shared" si="335"/>
        <v>-0.8666666666666667</v>
      </c>
      <c r="AU173" s="248">
        <f t="shared" si="336"/>
        <v>0.97777777777777775</v>
      </c>
      <c r="AV173" s="249">
        <f t="shared" si="329"/>
        <v>1.1000000000000001</v>
      </c>
      <c r="AW173" s="305">
        <f t="shared" si="330"/>
        <v>1.1250000000000002</v>
      </c>
      <c r="AX173" s="251">
        <f t="shared" si="331"/>
        <v>2.6666666666666661</v>
      </c>
      <c r="AY173" s="283" t="str">
        <f t="shared" si="337"/>
        <v>DOS AÑOS</v>
      </c>
      <c r="AZ173" s="774"/>
      <c r="BA173" s="484"/>
      <c r="BB173" s="487"/>
      <c r="BC173" s="534"/>
      <c r="BD173" s="702"/>
    </row>
    <row r="174" spans="1:56" s="73" customFormat="1" ht="15.75" customHeight="1" x14ac:dyDescent="0.25">
      <c r="A174" s="321"/>
      <c r="B174" s="765"/>
      <c r="C174" s="619"/>
      <c r="D174" s="768"/>
      <c r="E174" s="768"/>
      <c r="F174" s="771"/>
      <c r="G174" s="595"/>
      <c r="H174" s="595"/>
      <c r="I174" s="381">
        <v>3</v>
      </c>
      <c r="J174" s="780"/>
      <c r="K174" s="70">
        <v>2</v>
      </c>
      <c r="L174" s="777"/>
      <c r="M174" s="376" t="s">
        <v>68</v>
      </c>
      <c r="N174" s="725"/>
      <c r="O174" s="376" t="s">
        <v>68</v>
      </c>
      <c r="P174" s="725"/>
      <c r="Q174" s="37">
        <v>18683.2</v>
      </c>
      <c r="R174" s="37">
        <v>15684</v>
      </c>
      <c r="S174" s="38">
        <v>44063</v>
      </c>
      <c r="T174" s="624"/>
      <c r="U174" s="39">
        <v>18553</v>
      </c>
      <c r="V174" s="39">
        <f t="shared" si="342"/>
        <v>-130.20000000000073</v>
      </c>
      <c r="W174" s="39">
        <f t="shared" si="338"/>
        <v>-0.43400000000000244</v>
      </c>
      <c r="X174" s="39">
        <v>1.73</v>
      </c>
      <c r="Y174" s="39">
        <f t="shared" si="339"/>
        <v>5.7666666666666665E-3</v>
      </c>
      <c r="Z174" s="39" t="s">
        <v>68</v>
      </c>
      <c r="AA174" s="39" t="s">
        <v>68</v>
      </c>
      <c r="AB174" s="39" t="s">
        <v>68</v>
      </c>
      <c r="AC174" s="39">
        <v>0.4</v>
      </c>
      <c r="AD174" s="40">
        <f t="shared" ref="AD174:AD175" si="346">(W174+AC174)</f>
        <v>-3.4000000000002417E-2</v>
      </c>
      <c r="AE174" s="40">
        <f t="shared" si="343"/>
        <v>-0.83400000000000252</v>
      </c>
      <c r="AF174" s="40">
        <f t="shared" si="344"/>
        <v>-3.4000000000002417E-2</v>
      </c>
      <c r="AG174" s="41">
        <v>44420</v>
      </c>
      <c r="AH174" s="620"/>
      <c r="AI174" s="42">
        <v>15520</v>
      </c>
      <c r="AJ174" s="42">
        <f t="shared" si="345"/>
        <v>-164</v>
      </c>
      <c r="AK174" s="42">
        <f t="shared" si="340"/>
        <v>-0.54666666666666663</v>
      </c>
      <c r="AL174" s="42">
        <v>4.4000000000000004</v>
      </c>
      <c r="AM174" s="42">
        <f t="shared" si="341"/>
        <v>1.4666666666666668E-2</v>
      </c>
      <c r="AN174" s="42" t="s">
        <v>68</v>
      </c>
      <c r="AO174" s="42" t="s">
        <v>68</v>
      </c>
      <c r="AP174" s="42">
        <v>33</v>
      </c>
      <c r="AQ174" s="42">
        <f t="shared" si="315"/>
        <v>0.11</v>
      </c>
      <c r="AR174" s="245">
        <f t="shared" si="333"/>
        <v>-0.43666666666666665</v>
      </c>
      <c r="AS174" s="245">
        <f t="shared" si="334"/>
        <v>-0.65666666666666662</v>
      </c>
      <c r="AT174" s="245">
        <f t="shared" si="335"/>
        <v>-0.43666666666666665</v>
      </c>
      <c r="AU174" s="248">
        <f t="shared" si="336"/>
        <v>0.97777777777777775</v>
      </c>
      <c r="AV174" s="249">
        <f t="shared" si="329"/>
        <v>0.40266666666666423</v>
      </c>
      <c r="AW174" s="305">
        <f t="shared" si="330"/>
        <v>0.41181818181817936</v>
      </c>
      <c r="AX174" s="251">
        <f t="shared" si="331"/>
        <v>7.2847682119205732</v>
      </c>
      <c r="AY174" s="283" t="str">
        <f t="shared" si="337"/>
        <v>DOS AÑOS</v>
      </c>
      <c r="AZ174" s="774"/>
      <c r="BA174" s="484"/>
      <c r="BB174" s="487"/>
      <c r="BC174" s="534"/>
      <c r="BD174" s="702"/>
    </row>
    <row r="175" spans="1:56" s="73" customFormat="1" ht="15.75" customHeight="1" x14ac:dyDescent="0.25">
      <c r="A175" s="321"/>
      <c r="B175" s="765"/>
      <c r="C175" s="619"/>
      <c r="D175" s="768"/>
      <c r="E175" s="768"/>
      <c r="F175" s="771"/>
      <c r="G175" s="595"/>
      <c r="H175" s="595"/>
      <c r="I175" s="381">
        <v>3</v>
      </c>
      <c r="J175" s="780"/>
      <c r="K175" s="70">
        <v>2</v>
      </c>
      <c r="L175" s="777"/>
      <c r="M175" s="376"/>
      <c r="N175" s="725"/>
      <c r="O175" s="376"/>
      <c r="P175" s="725"/>
      <c r="Q175" s="37">
        <v>24911</v>
      </c>
      <c r="R175" s="37">
        <v>21958</v>
      </c>
      <c r="S175" s="38">
        <v>44063</v>
      </c>
      <c r="T175" s="624"/>
      <c r="U175" s="39">
        <v>24774.7</v>
      </c>
      <c r="V175" s="39">
        <f t="shared" si="342"/>
        <v>-136.29999999999927</v>
      </c>
      <c r="W175" s="39">
        <f t="shared" si="338"/>
        <v>-0.45433333333333092</v>
      </c>
      <c r="X175" s="39">
        <v>1.1499999999999999</v>
      </c>
      <c r="Y175" s="39">
        <f t="shared" si="339"/>
        <v>3.8333333333333327E-3</v>
      </c>
      <c r="Z175" s="39"/>
      <c r="AA175" s="39"/>
      <c r="AB175" s="39" t="s">
        <v>68</v>
      </c>
      <c r="AC175" s="39">
        <v>0.53</v>
      </c>
      <c r="AD175" s="40">
        <f t="shared" si="346"/>
        <v>7.5666666666669102E-2</v>
      </c>
      <c r="AE175" s="40">
        <f t="shared" si="343"/>
        <v>-0.98433333333333095</v>
      </c>
      <c r="AF175" s="40">
        <f t="shared" si="344"/>
        <v>7.5666666666669102E-2</v>
      </c>
      <c r="AG175" s="41">
        <v>44420</v>
      </c>
      <c r="AH175" s="620"/>
      <c r="AI175" s="42">
        <v>21995</v>
      </c>
      <c r="AJ175" s="42">
        <f t="shared" si="345"/>
        <v>37</v>
      </c>
      <c r="AK175" s="42">
        <f t="shared" si="340"/>
        <v>0.12333333333333334</v>
      </c>
      <c r="AL175" s="42">
        <v>1.9</v>
      </c>
      <c r="AM175" s="42">
        <f t="shared" si="341"/>
        <v>6.3333333333333332E-3</v>
      </c>
      <c r="AN175" s="42"/>
      <c r="AO175" s="42"/>
      <c r="AP175" s="42">
        <v>45</v>
      </c>
      <c r="AQ175" s="42">
        <f t="shared" si="315"/>
        <v>0.15</v>
      </c>
      <c r="AR175" s="245">
        <f t="shared" si="333"/>
        <v>0.27333333333333332</v>
      </c>
      <c r="AS175" s="245">
        <f t="shared" si="334"/>
        <v>-2.6666666666666658E-2</v>
      </c>
      <c r="AT175" s="245">
        <f t="shared" si="335"/>
        <v>0.27333333333333332</v>
      </c>
      <c r="AU175" s="248">
        <f t="shared" si="336"/>
        <v>0.97777777777777775</v>
      </c>
      <c r="AV175" s="249">
        <f t="shared" si="329"/>
        <v>0.19766666666666421</v>
      </c>
      <c r="AW175" s="305">
        <f t="shared" si="330"/>
        <v>0.2021590909090884</v>
      </c>
      <c r="AX175" s="251">
        <f t="shared" si="331"/>
        <v>14.839797639123287</v>
      </c>
      <c r="AY175" s="283" t="str">
        <f t="shared" si="337"/>
        <v>DOS AÑOS</v>
      </c>
      <c r="AZ175" s="774"/>
      <c r="BA175" s="484"/>
      <c r="BB175" s="487"/>
      <c r="BC175" s="534"/>
      <c r="BD175" s="702"/>
    </row>
    <row r="176" spans="1:56" s="73" customFormat="1" ht="15.75" customHeight="1" x14ac:dyDescent="0.25">
      <c r="A176" s="321"/>
      <c r="B176" s="765"/>
      <c r="C176" s="619"/>
      <c r="D176" s="768"/>
      <c r="E176" s="768"/>
      <c r="F176" s="771"/>
      <c r="G176" s="595"/>
      <c r="H176" s="595"/>
      <c r="I176" s="381">
        <v>3</v>
      </c>
      <c r="J176" s="780"/>
      <c r="K176" s="70">
        <v>2</v>
      </c>
      <c r="L176" s="777"/>
      <c r="M176" s="376" t="s">
        <v>68</v>
      </c>
      <c r="N176" s="725"/>
      <c r="O176" s="376" t="s">
        <v>68</v>
      </c>
      <c r="P176" s="725"/>
      <c r="Q176" s="37"/>
      <c r="R176" s="37">
        <v>28231</v>
      </c>
      <c r="S176" s="38"/>
      <c r="T176" s="624"/>
      <c r="U176" s="39"/>
      <c r="V176" s="39"/>
      <c r="W176" s="39"/>
      <c r="X176" s="39"/>
      <c r="Y176" s="39"/>
      <c r="Z176" s="39" t="s">
        <v>68</v>
      </c>
      <c r="AA176" s="39" t="s">
        <v>68</v>
      </c>
      <c r="AB176" s="39" t="s">
        <v>68</v>
      </c>
      <c r="AC176" s="39"/>
      <c r="AD176" s="40"/>
      <c r="AE176" s="40"/>
      <c r="AF176" s="40"/>
      <c r="AG176" s="41">
        <v>44420</v>
      </c>
      <c r="AH176" s="620"/>
      <c r="AI176" s="42">
        <v>28231</v>
      </c>
      <c r="AJ176" s="42">
        <f t="shared" si="345"/>
        <v>0</v>
      </c>
      <c r="AK176" s="42">
        <f t="shared" si="340"/>
        <v>0</v>
      </c>
      <c r="AL176" s="42">
        <v>4.5999999999999996</v>
      </c>
      <c r="AM176" s="42">
        <f t="shared" si="341"/>
        <v>1.5333333333333331E-2</v>
      </c>
      <c r="AN176" s="42" t="s">
        <v>68</v>
      </c>
      <c r="AO176" s="42" t="s">
        <v>68</v>
      </c>
      <c r="AP176" s="42">
        <v>58</v>
      </c>
      <c r="AQ176" s="42">
        <f t="shared" si="315"/>
        <v>0.19333333333333333</v>
      </c>
      <c r="AR176" s="245">
        <f t="shared" si="333"/>
        <v>0.19333333333333333</v>
      </c>
      <c r="AS176" s="245">
        <f t="shared" si="334"/>
        <v>-0.19333333333333333</v>
      </c>
      <c r="AT176" s="245">
        <f t="shared" si="335"/>
        <v>0.19333333333333333</v>
      </c>
      <c r="AU176" s="248">
        <f t="shared" si="336"/>
        <v>121.61666666666666</v>
      </c>
      <c r="AV176" s="249">
        <f t="shared" si="329"/>
        <v>0.19333333333333333</v>
      </c>
      <c r="AW176" s="305">
        <f t="shared" si="330"/>
        <v>1.5896943949568316E-3</v>
      </c>
      <c r="AX176" s="251">
        <f t="shared" si="331"/>
        <v>1887.155172413793</v>
      </c>
      <c r="AY176" s="283" t="str">
        <f t="shared" si="337"/>
        <v>DOS AÑOS</v>
      </c>
      <c r="AZ176" s="774"/>
      <c r="BA176" s="484"/>
      <c r="BB176" s="487"/>
      <c r="BC176" s="534"/>
      <c r="BD176" s="702"/>
    </row>
    <row r="177" spans="1:56" s="75" customFormat="1" ht="15.75" customHeight="1" thickBot="1" x14ac:dyDescent="0.3">
      <c r="A177" s="321"/>
      <c r="B177" s="765"/>
      <c r="C177" s="619"/>
      <c r="D177" s="768"/>
      <c r="E177" s="768"/>
      <c r="F177" s="771"/>
      <c r="G177" s="595"/>
      <c r="H177" s="595"/>
      <c r="I177" s="381">
        <v>3</v>
      </c>
      <c r="J177" s="780"/>
      <c r="K177" s="70">
        <v>2</v>
      </c>
      <c r="L177" s="777"/>
      <c r="M177" s="376" t="s">
        <v>68</v>
      </c>
      <c r="N177" s="725"/>
      <c r="O177" s="376" t="s">
        <v>68</v>
      </c>
      <c r="P177" s="725"/>
      <c r="Q177" s="37">
        <v>29893.200000000001</v>
      </c>
      <c r="R177" s="37">
        <v>29800</v>
      </c>
      <c r="S177" s="38">
        <v>44063</v>
      </c>
      <c r="T177" s="624"/>
      <c r="U177" s="39">
        <v>29785.7</v>
      </c>
      <c r="V177" s="39">
        <f t="shared" si="342"/>
        <v>-107.5</v>
      </c>
      <c r="W177" s="39">
        <f t="shared" si="338"/>
        <v>-0.35833333333333334</v>
      </c>
      <c r="X177" s="39">
        <v>1.53</v>
      </c>
      <c r="Y177" s="39">
        <f t="shared" si="339"/>
        <v>5.1000000000000004E-3</v>
      </c>
      <c r="Z177" s="39" t="s">
        <v>68</v>
      </c>
      <c r="AA177" s="39" t="s">
        <v>68</v>
      </c>
      <c r="AB177" s="39" t="s">
        <v>68</v>
      </c>
      <c r="AC177" s="39">
        <v>0.64</v>
      </c>
      <c r="AD177" s="40">
        <f t="shared" ref="AD177" si="347">(W177+AC177)</f>
        <v>0.28166666666666668</v>
      </c>
      <c r="AE177" s="40">
        <f t="shared" ref="AE177" si="348">(W177-AC177)</f>
        <v>-0.99833333333333329</v>
      </c>
      <c r="AF177" s="40">
        <f t="shared" ref="AF177" si="349">MAX(AD177:AE177)</f>
        <v>0.28166666666666668</v>
      </c>
      <c r="AG177" s="41">
        <v>44420</v>
      </c>
      <c r="AH177" s="531"/>
      <c r="AI177" s="42">
        <v>29594</v>
      </c>
      <c r="AJ177" s="42">
        <f t="shared" si="345"/>
        <v>-206</v>
      </c>
      <c r="AK177" s="42">
        <f t="shared" si="340"/>
        <v>-0.68666666666666665</v>
      </c>
      <c r="AL177" s="42">
        <v>1.9</v>
      </c>
      <c r="AM177" s="42">
        <f t="shared" si="341"/>
        <v>6.3333333333333332E-3</v>
      </c>
      <c r="AN177" s="42" t="s">
        <v>68</v>
      </c>
      <c r="AO177" s="42" t="s">
        <v>68</v>
      </c>
      <c r="AP177" s="42">
        <v>61</v>
      </c>
      <c r="AQ177" s="42">
        <f t="shared" si="315"/>
        <v>0.20333333333333334</v>
      </c>
      <c r="AR177" s="245">
        <f t="shared" si="333"/>
        <v>-0.48333333333333328</v>
      </c>
      <c r="AS177" s="245">
        <f t="shared" si="334"/>
        <v>-0.89</v>
      </c>
      <c r="AT177" s="245">
        <f t="shared" si="335"/>
        <v>-0.48333333333333328</v>
      </c>
      <c r="AU177" s="248">
        <f t="shared" si="336"/>
        <v>0.97777777777777775</v>
      </c>
      <c r="AV177" s="249" t="s">
        <v>68</v>
      </c>
      <c r="AW177" s="305" t="s">
        <v>68</v>
      </c>
      <c r="AX177" s="251" t="s">
        <v>68</v>
      </c>
      <c r="AY177" s="283" t="str">
        <f t="shared" si="337"/>
        <v>DOS AÑOS</v>
      </c>
      <c r="AZ177" s="774"/>
      <c r="BA177" s="484"/>
      <c r="BB177" s="487"/>
      <c r="BC177" s="534"/>
      <c r="BD177" s="702"/>
    </row>
    <row r="178" spans="1:56" ht="15.75" customHeight="1" x14ac:dyDescent="0.25">
      <c r="B178" s="765"/>
      <c r="C178" s="619" t="s">
        <v>196</v>
      </c>
      <c r="D178" s="768"/>
      <c r="E178" s="768"/>
      <c r="F178" s="771"/>
      <c r="G178" s="595" t="s">
        <v>104</v>
      </c>
      <c r="H178" s="613" t="s">
        <v>230</v>
      </c>
      <c r="I178" s="69">
        <v>3</v>
      </c>
      <c r="J178" s="780"/>
      <c r="K178" s="70">
        <v>3</v>
      </c>
      <c r="L178" s="777"/>
      <c r="M178" s="71" t="s">
        <v>68</v>
      </c>
      <c r="N178" s="725"/>
      <c r="O178" s="71" t="s">
        <v>68</v>
      </c>
      <c r="P178" s="725"/>
      <c r="Q178" s="37">
        <v>0</v>
      </c>
      <c r="R178" s="37">
        <v>0</v>
      </c>
      <c r="S178" s="38">
        <v>44063</v>
      </c>
      <c r="T178" s="624"/>
      <c r="U178" s="39">
        <v>0</v>
      </c>
      <c r="V178" s="39">
        <f>U178-Q178</f>
        <v>0</v>
      </c>
      <c r="W178" s="39">
        <v>0</v>
      </c>
      <c r="X178" s="39" t="s">
        <v>68</v>
      </c>
      <c r="Y178" s="39">
        <v>0</v>
      </c>
      <c r="Z178" s="39"/>
      <c r="AA178" s="39" t="s">
        <v>68</v>
      </c>
      <c r="AB178" s="39"/>
      <c r="AC178" s="39"/>
      <c r="AD178" s="40">
        <f>(W178+AC178)</f>
        <v>0</v>
      </c>
      <c r="AE178" s="40">
        <f t="shared" si="105"/>
        <v>0</v>
      </c>
      <c r="AF178" s="40">
        <f t="shared" si="298"/>
        <v>0</v>
      </c>
      <c r="AG178" s="41">
        <v>44420</v>
      </c>
      <c r="AH178" s="580">
        <v>66140</v>
      </c>
      <c r="AI178" s="42">
        <v>0</v>
      </c>
      <c r="AJ178" s="42">
        <f>AI178-Q178</f>
        <v>0</v>
      </c>
      <c r="AK178" s="42">
        <v>0</v>
      </c>
      <c r="AL178" s="42">
        <v>0</v>
      </c>
      <c r="AM178" s="42">
        <v>0</v>
      </c>
      <c r="AN178" s="42" t="s">
        <v>68</v>
      </c>
      <c r="AO178" s="42" t="s">
        <v>68</v>
      </c>
      <c r="AP178" s="42">
        <v>0.56999999999999995</v>
      </c>
      <c r="AQ178" s="42">
        <v>0.56999999999999995</v>
      </c>
      <c r="AR178" s="245">
        <f t="shared" si="304"/>
        <v>0.56999999999999995</v>
      </c>
      <c r="AS178" s="245">
        <f t="shared" si="305"/>
        <v>-0.56999999999999995</v>
      </c>
      <c r="AT178" s="40">
        <f t="shared" si="299"/>
        <v>0.56999999999999995</v>
      </c>
      <c r="AU178" s="43">
        <f t="shared" si="4"/>
        <v>0.97777777777777775</v>
      </c>
      <c r="AV178" s="44">
        <f t="shared" si="117"/>
        <v>0.56999999999999995</v>
      </c>
      <c r="AW178" s="45">
        <f t="shared" si="300"/>
        <v>0.58295454545454539</v>
      </c>
      <c r="AX178" s="46">
        <f t="shared" si="6"/>
        <v>5.1461988304093573</v>
      </c>
      <c r="AY178" s="72" t="str">
        <f t="shared" si="7"/>
        <v>DOS AÑOS</v>
      </c>
      <c r="AZ178" s="774"/>
      <c r="BA178" s="484"/>
      <c r="BB178" s="487"/>
      <c r="BC178" s="534"/>
      <c r="BD178" s="702"/>
    </row>
    <row r="179" spans="1:56" ht="15.75" customHeight="1" x14ac:dyDescent="0.25">
      <c r="B179" s="765"/>
      <c r="C179" s="619"/>
      <c r="D179" s="768"/>
      <c r="E179" s="768"/>
      <c r="F179" s="771"/>
      <c r="G179" s="595"/>
      <c r="H179" s="613"/>
      <c r="I179" s="311">
        <v>3</v>
      </c>
      <c r="J179" s="780"/>
      <c r="K179" s="70">
        <v>3</v>
      </c>
      <c r="L179" s="777"/>
      <c r="M179" s="312"/>
      <c r="N179" s="725"/>
      <c r="O179" s="312"/>
      <c r="P179" s="725"/>
      <c r="Q179" s="37" t="s">
        <v>68</v>
      </c>
      <c r="R179" s="37">
        <v>30</v>
      </c>
      <c r="S179" s="38"/>
      <c r="T179" s="624"/>
      <c r="U179" s="39"/>
      <c r="V179" s="39"/>
      <c r="W179" s="39"/>
      <c r="X179" s="39"/>
      <c r="Y179" s="39"/>
      <c r="Z179" s="39"/>
      <c r="AA179" s="39"/>
      <c r="AB179" s="39"/>
      <c r="AC179" s="39"/>
      <c r="AD179" s="40"/>
      <c r="AE179" s="40"/>
      <c r="AF179" s="40"/>
      <c r="AG179" s="41">
        <v>44420</v>
      </c>
      <c r="AH179" s="620"/>
      <c r="AI179" s="42">
        <v>30</v>
      </c>
      <c r="AJ179" s="42">
        <f t="shared" ref="AJ179:AJ186" si="350">AI179-R179</f>
        <v>0</v>
      </c>
      <c r="AK179" s="42">
        <f>(AJ179*100)/R179</f>
        <v>0</v>
      </c>
      <c r="AL179" s="42">
        <v>0</v>
      </c>
      <c r="AM179" s="42">
        <f t="shared" ref="AM179:AM186" si="351">AL179*100/R179</f>
        <v>0</v>
      </c>
      <c r="AN179" s="42"/>
      <c r="AO179" s="42"/>
      <c r="AP179" s="42">
        <v>0.56999999999999995</v>
      </c>
      <c r="AQ179" s="42">
        <f>AP179*100/R179</f>
        <v>1.8999999999999997</v>
      </c>
      <c r="AR179" s="40">
        <f t="shared" ref="AR179:AR181" si="352">(AJ179+AQ179)</f>
        <v>1.8999999999999997</v>
      </c>
      <c r="AS179" s="40">
        <f t="shared" ref="AS179:AS181" si="353">(AK179-AQ179)</f>
        <v>-1.8999999999999997</v>
      </c>
      <c r="AT179" s="40">
        <f t="shared" ref="AT179:AT181" si="354">MAX(AR179:AS179)</f>
        <v>1.8999999999999997</v>
      </c>
      <c r="AU179" s="43" t="s">
        <v>68</v>
      </c>
      <c r="AV179" s="44" t="s">
        <v>68</v>
      </c>
      <c r="AW179" s="45" t="s">
        <v>68</v>
      </c>
      <c r="AX179" s="46" t="s">
        <v>68</v>
      </c>
      <c r="AY179" s="72" t="str">
        <f t="shared" ref="AY179:AY180" si="355">IF(AX179&lt;=1,"UN AÑO",IF(AX179&gt;=1,"DOS AÑOS"))</f>
        <v>DOS AÑOS</v>
      </c>
      <c r="AZ179" s="774"/>
      <c r="BA179" s="484"/>
      <c r="BB179" s="487"/>
      <c r="BC179" s="534"/>
      <c r="BD179" s="702"/>
    </row>
    <row r="180" spans="1:56" ht="15.75" customHeight="1" x14ac:dyDescent="0.25">
      <c r="B180" s="765"/>
      <c r="C180" s="619"/>
      <c r="D180" s="768"/>
      <c r="E180" s="768"/>
      <c r="F180" s="771"/>
      <c r="G180" s="595"/>
      <c r="H180" s="613"/>
      <c r="I180" s="311">
        <v>3</v>
      </c>
      <c r="J180" s="780"/>
      <c r="K180" s="70">
        <v>3</v>
      </c>
      <c r="L180" s="777"/>
      <c r="M180" s="312"/>
      <c r="N180" s="725"/>
      <c r="O180" s="312"/>
      <c r="P180" s="725"/>
      <c r="Q180" s="37" t="s">
        <v>68</v>
      </c>
      <c r="R180" s="37">
        <v>40</v>
      </c>
      <c r="S180" s="38"/>
      <c r="T180" s="624"/>
      <c r="U180" s="39"/>
      <c r="V180" s="39"/>
      <c r="W180" s="39"/>
      <c r="X180" s="39"/>
      <c r="Y180" s="39"/>
      <c r="Z180" s="39"/>
      <c r="AA180" s="39"/>
      <c r="AB180" s="39"/>
      <c r="AC180" s="39"/>
      <c r="AD180" s="40"/>
      <c r="AE180" s="40"/>
      <c r="AF180" s="40"/>
      <c r="AG180" s="41">
        <v>44420</v>
      </c>
      <c r="AH180" s="620"/>
      <c r="AI180" s="42">
        <v>40</v>
      </c>
      <c r="AJ180" s="42">
        <f t="shared" si="350"/>
        <v>0</v>
      </c>
      <c r="AK180" s="42">
        <f>(AJ180*100)/R180</f>
        <v>0</v>
      </c>
      <c r="AL180" s="42">
        <v>0</v>
      </c>
      <c r="AM180" s="42">
        <f t="shared" si="351"/>
        <v>0</v>
      </c>
      <c r="AN180" s="42"/>
      <c r="AO180" s="42"/>
      <c r="AP180" s="42">
        <v>0.57999999999999996</v>
      </c>
      <c r="AQ180" s="42">
        <f t="shared" ref="AQ180:AQ191" si="356">AP180*100/R180</f>
        <v>1.4499999999999997</v>
      </c>
      <c r="AR180" s="40">
        <f t="shared" si="352"/>
        <v>1.4499999999999997</v>
      </c>
      <c r="AS180" s="40">
        <f t="shared" si="353"/>
        <v>-1.4499999999999997</v>
      </c>
      <c r="AT180" s="40">
        <f t="shared" si="354"/>
        <v>1.4499999999999997</v>
      </c>
      <c r="AU180" s="43" t="s">
        <v>68</v>
      </c>
      <c r="AV180" s="44" t="s">
        <v>68</v>
      </c>
      <c r="AW180" s="45" t="s">
        <v>68</v>
      </c>
      <c r="AX180" s="46" t="s">
        <v>68</v>
      </c>
      <c r="AY180" s="72" t="str">
        <f t="shared" si="355"/>
        <v>DOS AÑOS</v>
      </c>
      <c r="AZ180" s="774"/>
      <c r="BA180" s="484"/>
      <c r="BB180" s="487"/>
      <c r="BC180" s="534"/>
      <c r="BD180" s="702"/>
    </row>
    <row r="181" spans="1:56" ht="15" customHeight="1" x14ac:dyDescent="0.25">
      <c r="B181" s="765"/>
      <c r="C181" s="619"/>
      <c r="D181" s="768"/>
      <c r="E181" s="768"/>
      <c r="F181" s="771"/>
      <c r="G181" s="595"/>
      <c r="H181" s="613"/>
      <c r="I181" s="69">
        <v>3</v>
      </c>
      <c r="J181" s="780"/>
      <c r="K181" s="70">
        <v>3</v>
      </c>
      <c r="L181" s="777"/>
      <c r="M181" s="71" t="s">
        <v>68</v>
      </c>
      <c r="N181" s="725"/>
      <c r="O181" s="71" t="s">
        <v>68</v>
      </c>
      <c r="P181" s="725"/>
      <c r="Q181" s="37"/>
      <c r="R181" s="37">
        <v>60</v>
      </c>
      <c r="S181" s="38"/>
      <c r="T181" s="624"/>
      <c r="U181" s="39"/>
      <c r="V181" s="39"/>
      <c r="W181" s="39"/>
      <c r="X181" s="39"/>
      <c r="Y181" s="39"/>
      <c r="Z181" s="39"/>
      <c r="AA181" s="39" t="s">
        <v>68</v>
      </c>
      <c r="AB181" s="39"/>
      <c r="AC181" s="39"/>
      <c r="AD181" s="40"/>
      <c r="AE181" s="40"/>
      <c r="AF181" s="40"/>
      <c r="AG181" s="41">
        <v>44420</v>
      </c>
      <c r="AH181" s="620"/>
      <c r="AI181" s="42">
        <v>60</v>
      </c>
      <c r="AJ181" s="42">
        <f t="shared" si="350"/>
        <v>0</v>
      </c>
      <c r="AK181" s="42">
        <f>(AJ181*100)/R181</f>
        <v>0</v>
      </c>
      <c r="AL181" s="42">
        <v>0</v>
      </c>
      <c r="AM181" s="42">
        <f t="shared" si="351"/>
        <v>0</v>
      </c>
      <c r="AN181" s="42" t="s">
        <v>68</v>
      </c>
      <c r="AO181" s="42" t="s">
        <v>68</v>
      </c>
      <c r="AP181" s="42">
        <v>0.59</v>
      </c>
      <c r="AQ181" s="42">
        <f t="shared" si="356"/>
        <v>0.98333333333333328</v>
      </c>
      <c r="AR181" s="40">
        <f t="shared" si="352"/>
        <v>0.98333333333333328</v>
      </c>
      <c r="AS181" s="40">
        <f t="shared" si="353"/>
        <v>-0.98333333333333328</v>
      </c>
      <c r="AT181" s="40">
        <f t="shared" si="354"/>
        <v>0.98333333333333328</v>
      </c>
      <c r="AU181" s="43">
        <f t="shared" si="4"/>
        <v>121.61666666666666</v>
      </c>
      <c r="AV181" s="44">
        <f t="shared" si="117"/>
        <v>0.98333333333333328</v>
      </c>
      <c r="AW181" s="45">
        <f t="shared" si="300"/>
        <v>8.0855145950390565E-3</v>
      </c>
      <c r="AX181" s="46">
        <f t="shared" si="6"/>
        <v>371.03389830508479</v>
      </c>
      <c r="AY181" s="72" t="str">
        <f t="shared" si="7"/>
        <v>DOS AÑOS</v>
      </c>
      <c r="AZ181" s="774"/>
      <c r="BA181" s="484"/>
      <c r="BB181" s="487"/>
      <c r="BC181" s="534"/>
      <c r="BD181" s="702"/>
    </row>
    <row r="182" spans="1:56" ht="15" customHeight="1" x14ac:dyDescent="0.25">
      <c r="B182" s="765"/>
      <c r="C182" s="619"/>
      <c r="D182" s="768"/>
      <c r="E182" s="768"/>
      <c r="F182" s="771"/>
      <c r="G182" s="595"/>
      <c r="H182" s="613"/>
      <c r="I182" s="69">
        <v>3</v>
      </c>
      <c r="J182" s="780"/>
      <c r="K182" s="70">
        <v>3</v>
      </c>
      <c r="L182" s="777"/>
      <c r="M182" s="71" t="s">
        <v>68</v>
      </c>
      <c r="N182" s="725"/>
      <c r="O182" s="71" t="s">
        <v>68</v>
      </c>
      <c r="P182" s="725"/>
      <c r="Q182" s="37">
        <v>99.6</v>
      </c>
      <c r="R182" s="37">
        <v>100</v>
      </c>
      <c r="S182" s="38">
        <v>44063</v>
      </c>
      <c r="T182" s="624"/>
      <c r="U182" s="39">
        <v>100.8</v>
      </c>
      <c r="V182" s="39">
        <f>U182-Q182</f>
        <v>1.2000000000000028</v>
      </c>
      <c r="W182" s="39">
        <f t="shared" ref="W182:W190" si="357">V182*100/Q182</f>
        <v>1.2048192771084367</v>
      </c>
      <c r="X182" s="39">
        <v>0</v>
      </c>
      <c r="Y182" s="39">
        <f>X182*100/U182</f>
        <v>0</v>
      </c>
      <c r="Z182" s="39"/>
      <c r="AA182" s="39" t="s">
        <v>68</v>
      </c>
      <c r="AB182" s="39"/>
      <c r="AC182" s="39">
        <v>1.2</v>
      </c>
      <c r="AD182" s="40">
        <f t="shared" si="115"/>
        <v>2.4048192771084365</v>
      </c>
      <c r="AE182" s="40">
        <f t="shared" si="105"/>
        <v>4.8192771084367703E-3</v>
      </c>
      <c r="AF182" s="40">
        <f t="shared" si="298"/>
        <v>2.4048192771084365</v>
      </c>
      <c r="AG182" s="41">
        <v>44420</v>
      </c>
      <c r="AH182" s="531"/>
      <c r="AI182" s="42">
        <v>100</v>
      </c>
      <c r="AJ182" s="42">
        <f t="shared" si="350"/>
        <v>0</v>
      </c>
      <c r="AK182" s="42">
        <f t="shared" ref="AK182:AK188" si="358">(AJ182*100)/Q182</f>
        <v>0</v>
      </c>
      <c r="AL182" s="42">
        <v>0</v>
      </c>
      <c r="AM182" s="42">
        <f t="shared" si="351"/>
        <v>0</v>
      </c>
      <c r="AN182" s="42" t="s">
        <v>68</v>
      </c>
      <c r="AO182" s="42" t="s">
        <v>68</v>
      </c>
      <c r="AP182" s="42">
        <v>0.63</v>
      </c>
      <c r="AQ182" s="42">
        <f t="shared" si="356"/>
        <v>0.63</v>
      </c>
      <c r="AR182" s="40">
        <f t="shared" si="74"/>
        <v>0.63</v>
      </c>
      <c r="AS182" s="40">
        <f t="shared" ref="AS182:AS186" si="359">(AK182-AQ182)</f>
        <v>-0.63</v>
      </c>
      <c r="AT182" s="40">
        <f t="shared" si="299"/>
        <v>0.63</v>
      </c>
      <c r="AU182" s="43">
        <f t="shared" si="4"/>
        <v>0.97777777777777775</v>
      </c>
      <c r="AV182" s="44">
        <f t="shared" si="117"/>
        <v>1.7748192771084366</v>
      </c>
      <c r="AW182" s="45">
        <f t="shared" si="300"/>
        <v>1.8151560788609011</v>
      </c>
      <c r="AX182" s="46">
        <f t="shared" si="6"/>
        <v>1.6527504355893441</v>
      </c>
      <c r="AY182" s="72" t="str">
        <f t="shared" si="7"/>
        <v>DOS AÑOS</v>
      </c>
      <c r="AZ182" s="774"/>
      <c r="BA182" s="484"/>
      <c r="BB182" s="487"/>
      <c r="BC182" s="534"/>
      <c r="BD182" s="702"/>
    </row>
    <row r="183" spans="1:56" ht="15" customHeight="1" x14ac:dyDescent="0.25">
      <c r="B183" s="765"/>
      <c r="C183" s="619"/>
      <c r="D183" s="768"/>
      <c r="E183" s="768"/>
      <c r="F183" s="771"/>
      <c r="G183" s="595"/>
      <c r="H183" s="613"/>
      <c r="I183" s="381">
        <v>3</v>
      </c>
      <c r="J183" s="780"/>
      <c r="K183" s="70">
        <v>3</v>
      </c>
      <c r="L183" s="777"/>
      <c r="M183" s="376"/>
      <c r="N183" s="725"/>
      <c r="O183" s="376"/>
      <c r="P183" s="725"/>
      <c r="Q183" s="37"/>
      <c r="R183" s="37">
        <v>100</v>
      </c>
      <c r="S183" s="38"/>
      <c r="T183" s="624"/>
      <c r="U183" s="39"/>
      <c r="V183" s="39"/>
      <c r="W183" s="39"/>
      <c r="X183" s="39"/>
      <c r="Y183" s="39"/>
      <c r="Z183" s="39"/>
      <c r="AA183" s="39"/>
      <c r="AB183" s="39"/>
      <c r="AC183" s="39"/>
      <c r="AD183" s="40"/>
      <c r="AE183" s="40"/>
      <c r="AF183" s="40"/>
      <c r="AG183" s="41">
        <v>44421</v>
      </c>
      <c r="AH183" s="580">
        <v>66147</v>
      </c>
      <c r="AI183" s="42">
        <v>100.3</v>
      </c>
      <c r="AJ183" s="42">
        <f t="shared" si="350"/>
        <v>0.29999999999999716</v>
      </c>
      <c r="AK183" s="42">
        <f t="shared" ref="AK183:AK186" si="360">(AJ183*100)/R183</f>
        <v>0.29999999999999716</v>
      </c>
      <c r="AL183" s="42">
        <v>0.57999999999999996</v>
      </c>
      <c r="AM183" s="42">
        <f t="shared" si="351"/>
        <v>0.57999999999999996</v>
      </c>
      <c r="AN183" s="42"/>
      <c r="AO183" s="42"/>
      <c r="AP183" s="42">
        <v>1.9</v>
      </c>
      <c r="AQ183" s="42">
        <f t="shared" si="356"/>
        <v>1.9</v>
      </c>
      <c r="AR183" s="40">
        <f t="shared" si="74"/>
        <v>2.1999999999999971</v>
      </c>
      <c r="AS183" s="40">
        <f t="shared" si="359"/>
        <v>-1.6000000000000028</v>
      </c>
      <c r="AT183" s="40">
        <f t="shared" si="299"/>
        <v>2.1999999999999971</v>
      </c>
      <c r="AU183" s="43">
        <f t="shared" ref="AU183:AU186" si="361">YEARFRAC(S183,AG183)</f>
        <v>121.61944444444444</v>
      </c>
      <c r="AV183" s="44">
        <f t="shared" ref="AV183:AV186" si="362">ABS(AT183-AF183)</f>
        <v>2.1999999999999971</v>
      </c>
      <c r="AW183" s="45">
        <f t="shared" ref="AW183:AW186" si="363">(AV183/AU183)</f>
        <v>1.8089212708128702E-2</v>
      </c>
      <c r="AX183" s="46">
        <f t="shared" ref="AX183:AX186" si="364">(I183/AW183)</f>
        <v>165.8446969696972</v>
      </c>
      <c r="AY183" s="72" t="str">
        <f t="shared" ref="AY183:AY186" si="365">IF(AX183&lt;=1,"UN AÑO",IF(AX183&gt;=1,"DOS AÑOS"))</f>
        <v>DOS AÑOS</v>
      </c>
      <c r="AZ183" s="774"/>
      <c r="BA183" s="484"/>
      <c r="BB183" s="487"/>
      <c r="BC183" s="534"/>
      <c r="BD183" s="702"/>
    </row>
    <row r="184" spans="1:56" ht="15" customHeight="1" x14ac:dyDescent="0.25">
      <c r="B184" s="765"/>
      <c r="C184" s="619"/>
      <c r="D184" s="768"/>
      <c r="E184" s="768"/>
      <c r="F184" s="771"/>
      <c r="G184" s="595"/>
      <c r="H184" s="613"/>
      <c r="I184" s="381">
        <v>3</v>
      </c>
      <c r="J184" s="780"/>
      <c r="K184" s="70">
        <v>3</v>
      </c>
      <c r="L184" s="777"/>
      <c r="M184" s="376"/>
      <c r="N184" s="725"/>
      <c r="O184" s="376"/>
      <c r="P184" s="725"/>
      <c r="Q184" s="37">
        <v>199.5</v>
      </c>
      <c r="R184" s="37">
        <v>300</v>
      </c>
      <c r="S184" s="38">
        <v>44063</v>
      </c>
      <c r="T184" s="624"/>
      <c r="U184" s="39">
        <v>201.2</v>
      </c>
      <c r="V184" s="39">
        <f>U184-Q184</f>
        <v>1.6999999999999886</v>
      </c>
      <c r="W184" s="39">
        <f t="shared" si="357"/>
        <v>0.85213032581453063</v>
      </c>
      <c r="X184" s="39">
        <v>0.57999999999999996</v>
      </c>
      <c r="Y184" s="39">
        <f>X184*100/U184</f>
        <v>0.28827037773359837</v>
      </c>
      <c r="Z184" s="39"/>
      <c r="AA184" s="39"/>
      <c r="AB184" s="39"/>
      <c r="AC184" s="39">
        <v>1</v>
      </c>
      <c r="AD184" s="40">
        <f t="shared" ref="AD184" si="366">(W184+AC184)</f>
        <v>1.8521303258145307</v>
      </c>
      <c r="AE184" s="40">
        <f t="shared" ref="AE184" si="367">(W184-AC184)</f>
        <v>-0.14786967418546937</v>
      </c>
      <c r="AF184" s="40">
        <f t="shared" ref="AF184" si="368">MAX(AD184:AE184)</f>
        <v>1.8521303258145307</v>
      </c>
      <c r="AG184" s="41">
        <v>44422</v>
      </c>
      <c r="AH184" s="620"/>
      <c r="AI184" s="42">
        <v>298.7</v>
      </c>
      <c r="AJ184" s="42">
        <f t="shared" si="350"/>
        <v>-1.3000000000000114</v>
      </c>
      <c r="AK184" s="42">
        <f t="shared" si="360"/>
        <v>-0.43333333333333712</v>
      </c>
      <c r="AL184" s="42">
        <v>0.57999999999999996</v>
      </c>
      <c r="AM184" s="42">
        <f t="shared" si="351"/>
        <v>0.1933333333333333</v>
      </c>
      <c r="AN184" s="42"/>
      <c r="AO184" s="42"/>
      <c r="AP184" s="42">
        <v>3.9</v>
      </c>
      <c r="AQ184" s="42">
        <f t="shared" si="356"/>
        <v>1.3</v>
      </c>
      <c r="AR184" s="40">
        <f t="shared" si="74"/>
        <v>-1.1324274851176597E-14</v>
      </c>
      <c r="AS184" s="40">
        <f t="shared" si="359"/>
        <v>-1.7333333333333372</v>
      </c>
      <c r="AT184" s="40">
        <f t="shared" si="299"/>
        <v>-1.1324274851176597E-14</v>
      </c>
      <c r="AU184" s="43">
        <f t="shared" si="361"/>
        <v>0.98333333333333328</v>
      </c>
      <c r="AV184" s="44">
        <f t="shared" si="362"/>
        <v>1.8521303258145421</v>
      </c>
      <c r="AW184" s="45">
        <f t="shared" si="363"/>
        <v>1.8835223652351276</v>
      </c>
      <c r="AX184" s="46">
        <f t="shared" si="364"/>
        <v>1.5927604871447854</v>
      </c>
      <c r="AY184" s="72" t="str">
        <f t="shared" si="365"/>
        <v>DOS AÑOS</v>
      </c>
      <c r="AZ184" s="774"/>
      <c r="BA184" s="484"/>
      <c r="BB184" s="487"/>
      <c r="BC184" s="534"/>
      <c r="BD184" s="702"/>
    </row>
    <row r="185" spans="1:56" ht="15" customHeight="1" x14ac:dyDescent="0.25">
      <c r="B185" s="765"/>
      <c r="C185" s="619"/>
      <c r="D185" s="768"/>
      <c r="E185" s="768"/>
      <c r="F185" s="771"/>
      <c r="G185" s="595"/>
      <c r="H185" s="613"/>
      <c r="I185" s="381">
        <v>3</v>
      </c>
      <c r="J185" s="780"/>
      <c r="K185" s="70">
        <v>3</v>
      </c>
      <c r="L185" s="777"/>
      <c r="M185" s="376"/>
      <c r="N185" s="725"/>
      <c r="O185" s="376"/>
      <c r="P185" s="725"/>
      <c r="Q185" s="37"/>
      <c r="R185" s="37">
        <v>500</v>
      </c>
      <c r="S185" s="38"/>
      <c r="T185" s="624"/>
      <c r="U185" s="39"/>
      <c r="V185" s="39"/>
      <c r="W185" s="39"/>
      <c r="X185" s="39"/>
      <c r="Y185" s="39"/>
      <c r="Z185" s="39"/>
      <c r="AA185" s="39"/>
      <c r="AB185" s="39"/>
      <c r="AC185" s="39"/>
      <c r="AD185" s="40"/>
      <c r="AE185" s="40"/>
      <c r="AF185" s="40"/>
      <c r="AG185" s="41">
        <v>44423</v>
      </c>
      <c r="AH185" s="620"/>
      <c r="AI185" s="42">
        <v>499</v>
      </c>
      <c r="AJ185" s="42">
        <f t="shared" si="350"/>
        <v>-1</v>
      </c>
      <c r="AK185" s="42">
        <f t="shared" si="360"/>
        <v>-0.2</v>
      </c>
      <c r="AL185" s="42">
        <v>1</v>
      </c>
      <c r="AM185" s="42">
        <f t="shared" si="351"/>
        <v>0.2</v>
      </c>
      <c r="AN185" s="42"/>
      <c r="AO185" s="42"/>
      <c r="AP185" s="42">
        <v>7</v>
      </c>
      <c r="AQ185" s="42">
        <f t="shared" si="356"/>
        <v>1.4</v>
      </c>
      <c r="AR185" s="40">
        <f t="shared" si="74"/>
        <v>0.39999999999999991</v>
      </c>
      <c r="AS185" s="40">
        <f t="shared" si="359"/>
        <v>-1.5999999999999999</v>
      </c>
      <c r="AT185" s="40">
        <f t="shared" si="299"/>
        <v>0.39999999999999991</v>
      </c>
      <c r="AU185" s="43">
        <f t="shared" si="361"/>
        <v>121.625</v>
      </c>
      <c r="AV185" s="44">
        <f t="shared" si="362"/>
        <v>0.39999999999999991</v>
      </c>
      <c r="AW185" s="45">
        <f t="shared" si="363"/>
        <v>3.2887975334018492E-3</v>
      </c>
      <c r="AX185" s="46">
        <f t="shared" si="364"/>
        <v>912.18750000000023</v>
      </c>
      <c r="AY185" s="72" t="str">
        <f t="shared" si="365"/>
        <v>DOS AÑOS</v>
      </c>
      <c r="AZ185" s="774"/>
      <c r="BA185" s="484"/>
      <c r="BB185" s="487"/>
      <c r="BC185" s="534"/>
      <c r="BD185" s="702"/>
    </row>
    <row r="186" spans="1:56" ht="15" customHeight="1" x14ac:dyDescent="0.25">
      <c r="B186" s="765"/>
      <c r="C186" s="619"/>
      <c r="D186" s="768"/>
      <c r="E186" s="768"/>
      <c r="F186" s="771"/>
      <c r="G186" s="595"/>
      <c r="H186" s="613"/>
      <c r="I186" s="381">
        <v>3</v>
      </c>
      <c r="J186" s="780"/>
      <c r="K186" s="70">
        <v>3</v>
      </c>
      <c r="L186" s="777"/>
      <c r="M186" s="376"/>
      <c r="N186" s="725"/>
      <c r="O186" s="376"/>
      <c r="P186" s="725"/>
      <c r="Q186" s="37">
        <v>749.4</v>
      </c>
      <c r="R186" s="37">
        <v>1000</v>
      </c>
      <c r="S186" s="38">
        <v>44063</v>
      </c>
      <c r="T186" s="624"/>
      <c r="U186" s="39">
        <v>751.2</v>
      </c>
      <c r="V186" s="39">
        <f t="shared" ref="V186:V190" si="369">U186-Q186</f>
        <v>1.8000000000000682</v>
      </c>
      <c r="W186" s="39">
        <f t="shared" si="357"/>
        <v>0.24019215372298749</v>
      </c>
      <c r="X186" s="39">
        <v>0.57999999999999996</v>
      </c>
      <c r="Y186" s="39">
        <f t="shared" ref="Y186:Y191" si="370">X186*100/U186</f>
        <v>7.7209797657081983E-2</v>
      </c>
      <c r="Z186" s="39"/>
      <c r="AA186" s="39"/>
      <c r="AB186" s="39"/>
      <c r="AC186" s="39">
        <v>2.5</v>
      </c>
      <c r="AD186" s="40">
        <f t="shared" ref="AD186:AD190" si="371">(W186+AC186)</f>
        <v>2.7401921537229876</v>
      </c>
      <c r="AE186" s="40">
        <f t="shared" ref="AE186:AE190" si="372">(W186-AC186)</f>
        <v>-2.2598078462770124</v>
      </c>
      <c r="AF186" s="40">
        <f t="shared" ref="AF186:AF190" si="373">MAX(AD186:AE186)</f>
        <v>2.7401921537229876</v>
      </c>
      <c r="AG186" s="41">
        <v>44424</v>
      </c>
      <c r="AH186" s="620"/>
      <c r="AI186" s="42">
        <v>1001</v>
      </c>
      <c r="AJ186" s="42">
        <f t="shared" si="350"/>
        <v>1</v>
      </c>
      <c r="AK186" s="42">
        <f t="shared" si="360"/>
        <v>0.1</v>
      </c>
      <c r="AL186" s="42">
        <v>1</v>
      </c>
      <c r="AM186" s="42">
        <f t="shared" si="351"/>
        <v>0.1</v>
      </c>
      <c r="AN186" s="42"/>
      <c r="AO186" s="42"/>
      <c r="AP186" s="42">
        <v>13</v>
      </c>
      <c r="AQ186" s="42">
        <f t="shared" si="356"/>
        <v>1.3</v>
      </c>
      <c r="AR186" s="40">
        <f t="shared" si="74"/>
        <v>2.2999999999999998</v>
      </c>
      <c r="AS186" s="40">
        <f t="shared" si="359"/>
        <v>-1.2</v>
      </c>
      <c r="AT186" s="40">
        <f t="shared" si="299"/>
        <v>2.2999999999999998</v>
      </c>
      <c r="AU186" s="43">
        <f t="shared" si="361"/>
        <v>0.98888888888888893</v>
      </c>
      <c r="AV186" s="44">
        <f t="shared" si="362"/>
        <v>0.44019215372298781</v>
      </c>
      <c r="AW186" s="45">
        <f t="shared" si="363"/>
        <v>0.44513813297830224</v>
      </c>
      <c r="AX186" s="46">
        <f t="shared" si="364"/>
        <v>6.7394810234023055</v>
      </c>
      <c r="AY186" s="72" t="str">
        <f t="shared" si="365"/>
        <v>DOS AÑOS</v>
      </c>
      <c r="AZ186" s="774"/>
      <c r="BA186" s="484"/>
      <c r="BB186" s="487"/>
      <c r="BC186" s="534"/>
      <c r="BD186" s="702"/>
    </row>
    <row r="187" spans="1:56" ht="15" customHeight="1" x14ac:dyDescent="0.25">
      <c r="B187" s="765"/>
      <c r="C187" s="619"/>
      <c r="D187" s="768"/>
      <c r="E187" s="768"/>
      <c r="F187" s="771"/>
      <c r="G187" s="595"/>
      <c r="H187" s="613"/>
      <c r="I187" s="69">
        <v>3</v>
      </c>
      <c r="J187" s="780"/>
      <c r="K187" s="70">
        <v>3</v>
      </c>
      <c r="L187" s="777"/>
      <c r="M187" s="71"/>
      <c r="N187" s="725"/>
      <c r="O187" s="71"/>
      <c r="P187" s="725"/>
      <c r="Q187" s="37">
        <v>1200</v>
      </c>
      <c r="R187" s="37">
        <v>1200</v>
      </c>
      <c r="S187" s="38">
        <v>44063</v>
      </c>
      <c r="T187" s="624"/>
      <c r="U187" s="39">
        <v>1201</v>
      </c>
      <c r="V187" s="39">
        <f t="shared" si="369"/>
        <v>1</v>
      </c>
      <c r="W187" s="39">
        <f t="shared" si="357"/>
        <v>8.3333333333333329E-2</v>
      </c>
      <c r="X187" s="39">
        <v>0</v>
      </c>
      <c r="Y187" s="39">
        <f t="shared" si="370"/>
        <v>0</v>
      </c>
      <c r="Z187" s="39"/>
      <c r="AA187" s="39"/>
      <c r="AB187" s="39"/>
      <c r="AC187" s="39">
        <v>2.5</v>
      </c>
      <c r="AD187" s="40">
        <f t="shared" si="371"/>
        <v>2.5833333333333335</v>
      </c>
      <c r="AE187" s="40">
        <f t="shared" si="372"/>
        <v>-2.4166666666666665</v>
      </c>
      <c r="AF187" s="40">
        <f t="shared" si="373"/>
        <v>2.5833333333333335</v>
      </c>
      <c r="AG187" s="41">
        <v>44420</v>
      </c>
      <c r="AH187" s="620"/>
      <c r="AI187" s="42">
        <v>1200</v>
      </c>
      <c r="AJ187" s="42">
        <f t="shared" ref="AJ187:AJ191" si="374">AI187-R187</f>
        <v>0</v>
      </c>
      <c r="AK187" s="42">
        <f>(AJ187*100)/R187</f>
        <v>0</v>
      </c>
      <c r="AL187" s="42">
        <v>1</v>
      </c>
      <c r="AM187" s="42">
        <f t="shared" ref="AM187:AM191" si="375">AL187*100/R187</f>
        <v>8.3333333333333329E-2</v>
      </c>
      <c r="AN187" s="42"/>
      <c r="AO187" s="42"/>
      <c r="AP187" s="42">
        <v>15</v>
      </c>
      <c r="AQ187" s="42">
        <f t="shared" si="356"/>
        <v>1.25</v>
      </c>
      <c r="AR187" s="40">
        <f>(AK187+AQ187)</f>
        <v>1.25</v>
      </c>
      <c r="AS187" s="40">
        <f>(AK187-AQ187)</f>
        <v>-1.25</v>
      </c>
      <c r="AT187" s="40">
        <f t="shared" ref="AT187:AT188" si="376">MAX(AR187:AS187)</f>
        <v>1.25</v>
      </c>
      <c r="AU187" s="43">
        <f>YEARFRAC(S187,AG187)</f>
        <v>0.97777777777777775</v>
      </c>
      <c r="AV187" s="44">
        <f t="shared" ref="AV187:AV188" si="377">ABS(AT187-AF187)</f>
        <v>1.3333333333333335</v>
      </c>
      <c r="AW187" s="45">
        <f t="shared" ref="AW187:AW188" si="378">(AV187/AU187)</f>
        <v>1.3636363636363638</v>
      </c>
      <c r="AX187" s="46">
        <f t="shared" ref="AX187:AX188" si="379">(I187/AW187)</f>
        <v>2.1999999999999997</v>
      </c>
      <c r="AY187" s="72" t="str">
        <f t="shared" ref="AY187:AY188" si="380">IF(AX187&lt;=1,"UN AÑO",IF(AX187&gt;=1,"DOS AÑOS"))</f>
        <v>DOS AÑOS</v>
      </c>
      <c r="AZ187" s="774"/>
      <c r="BA187" s="484"/>
      <c r="BB187" s="487"/>
      <c r="BC187" s="534"/>
      <c r="BD187" s="702"/>
    </row>
    <row r="188" spans="1:56" ht="15" customHeight="1" x14ac:dyDescent="0.25">
      <c r="B188" s="765"/>
      <c r="C188" s="619"/>
      <c r="D188" s="768"/>
      <c r="E188" s="768"/>
      <c r="F188" s="771"/>
      <c r="G188" s="595"/>
      <c r="H188" s="613"/>
      <c r="I188" s="69">
        <v>3</v>
      </c>
      <c r="J188" s="780"/>
      <c r="K188" s="70">
        <v>3</v>
      </c>
      <c r="L188" s="777"/>
      <c r="M188" s="71"/>
      <c r="N188" s="725"/>
      <c r="O188" s="71"/>
      <c r="P188" s="725"/>
      <c r="Q188" s="37">
        <v>2400</v>
      </c>
      <c r="R188" s="37">
        <v>2400</v>
      </c>
      <c r="S188" s="38">
        <v>44063</v>
      </c>
      <c r="T188" s="624"/>
      <c r="U188" s="39">
        <v>2402</v>
      </c>
      <c r="V188" s="39">
        <f t="shared" si="369"/>
        <v>2</v>
      </c>
      <c r="W188" s="39">
        <f t="shared" si="357"/>
        <v>8.3333333333333329E-2</v>
      </c>
      <c r="X188" s="39">
        <v>0.57999999999999996</v>
      </c>
      <c r="Y188" s="39">
        <f t="shared" si="370"/>
        <v>2.4146544546211488E-2</v>
      </c>
      <c r="Z188" s="39"/>
      <c r="AA188" s="39"/>
      <c r="AB188" s="39"/>
      <c r="AC188" s="39">
        <v>2.2999999999999998</v>
      </c>
      <c r="AD188" s="40">
        <f t="shared" si="371"/>
        <v>2.3833333333333333</v>
      </c>
      <c r="AE188" s="40">
        <f t="shared" si="372"/>
        <v>-2.2166666666666663</v>
      </c>
      <c r="AF188" s="40">
        <f t="shared" si="373"/>
        <v>2.3833333333333333</v>
      </c>
      <c r="AG188" s="41">
        <v>44420</v>
      </c>
      <c r="AH188" s="620"/>
      <c r="AI188" s="42">
        <v>2403</v>
      </c>
      <c r="AJ188" s="42">
        <f t="shared" si="374"/>
        <v>3</v>
      </c>
      <c r="AK188" s="42">
        <f t="shared" si="358"/>
        <v>0.125</v>
      </c>
      <c r="AL188" s="42">
        <v>0.57999999999999996</v>
      </c>
      <c r="AM188" s="42">
        <f t="shared" si="375"/>
        <v>2.4166666666666663E-2</v>
      </c>
      <c r="AN188" s="42"/>
      <c r="AO188" s="42"/>
      <c r="AP188" s="42">
        <v>29</v>
      </c>
      <c r="AQ188" s="42">
        <f t="shared" si="356"/>
        <v>1.2083333333333333</v>
      </c>
      <c r="AR188" s="40">
        <f t="shared" ref="AR188:AR192" si="381">(AK188+AQ188)</f>
        <v>1.3333333333333333</v>
      </c>
      <c r="AS188" s="40">
        <f t="shared" ref="AS188:AS199" si="382">(AK188-AQ188)</f>
        <v>-1.0833333333333333</v>
      </c>
      <c r="AT188" s="40">
        <f t="shared" si="376"/>
        <v>1.3333333333333333</v>
      </c>
      <c r="AU188" s="43">
        <f t="shared" ref="AU188" si="383">YEARFRAC(S188,AG188)</f>
        <v>0.97777777777777775</v>
      </c>
      <c r="AV188" s="44">
        <f t="shared" si="377"/>
        <v>1.05</v>
      </c>
      <c r="AW188" s="45">
        <f t="shared" si="378"/>
        <v>1.0738636363636365</v>
      </c>
      <c r="AX188" s="46">
        <f t="shared" si="379"/>
        <v>2.7936507936507935</v>
      </c>
      <c r="AY188" s="72" t="str">
        <f t="shared" si="380"/>
        <v>DOS AÑOS</v>
      </c>
      <c r="AZ188" s="774"/>
      <c r="BA188" s="484"/>
      <c r="BB188" s="487"/>
      <c r="BC188" s="534"/>
      <c r="BD188" s="702"/>
    </row>
    <row r="189" spans="1:56" ht="15.75" customHeight="1" x14ac:dyDescent="0.25">
      <c r="B189" s="765"/>
      <c r="C189" s="619"/>
      <c r="D189" s="768"/>
      <c r="E189" s="768"/>
      <c r="F189" s="771"/>
      <c r="G189" s="595"/>
      <c r="H189" s="613"/>
      <c r="I189" s="69">
        <v>3</v>
      </c>
      <c r="J189" s="780"/>
      <c r="K189" s="70">
        <v>3</v>
      </c>
      <c r="L189" s="777"/>
      <c r="M189" s="71" t="s">
        <v>68</v>
      </c>
      <c r="N189" s="725"/>
      <c r="O189" s="71" t="s">
        <v>68</v>
      </c>
      <c r="P189" s="725"/>
      <c r="Q189" s="37">
        <v>3601</v>
      </c>
      <c r="R189" s="37">
        <v>3600</v>
      </c>
      <c r="S189" s="38">
        <v>44063</v>
      </c>
      <c r="T189" s="624"/>
      <c r="U189" s="39">
        <v>3603</v>
      </c>
      <c r="V189" s="39">
        <f t="shared" si="369"/>
        <v>2</v>
      </c>
      <c r="W189" s="39">
        <f t="shared" si="357"/>
        <v>5.5540127742293804E-2</v>
      </c>
      <c r="X189" s="39">
        <v>0</v>
      </c>
      <c r="Y189" s="39">
        <f t="shared" si="370"/>
        <v>0</v>
      </c>
      <c r="Z189" s="39"/>
      <c r="AA189" s="39" t="s">
        <v>68</v>
      </c>
      <c r="AB189" s="39" t="s">
        <v>68</v>
      </c>
      <c r="AC189" s="39">
        <v>1.8</v>
      </c>
      <c r="AD189" s="40">
        <f t="shared" si="371"/>
        <v>1.8555401277422938</v>
      </c>
      <c r="AE189" s="40">
        <f t="shared" si="372"/>
        <v>-1.7444598722577063</v>
      </c>
      <c r="AF189" s="40">
        <f t="shared" si="373"/>
        <v>1.8555401277422938</v>
      </c>
      <c r="AG189" s="41">
        <v>44420</v>
      </c>
      <c r="AH189" s="620"/>
      <c r="AI189" s="42">
        <v>3600</v>
      </c>
      <c r="AJ189" s="42">
        <f t="shared" si="374"/>
        <v>0</v>
      </c>
      <c r="AK189" s="42">
        <f t="shared" ref="AK189" si="384">(AJ189*100)/R189</f>
        <v>0</v>
      </c>
      <c r="AL189" s="42">
        <v>1.1499999999999999</v>
      </c>
      <c r="AM189" s="42">
        <f t="shared" si="375"/>
        <v>3.1944444444444442E-2</v>
      </c>
      <c r="AN189" s="42" t="s">
        <v>68</v>
      </c>
      <c r="AO189" s="42" t="s">
        <v>68</v>
      </c>
      <c r="AP189" s="42">
        <v>44</v>
      </c>
      <c r="AQ189" s="42">
        <f t="shared" si="356"/>
        <v>1.2222222222222223</v>
      </c>
      <c r="AR189" s="40">
        <f t="shared" si="381"/>
        <v>1.2222222222222223</v>
      </c>
      <c r="AS189" s="40">
        <f t="shared" si="382"/>
        <v>-1.2222222222222223</v>
      </c>
      <c r="AT189" s="40">
        <f t="shared" si="299"/>
        <v>1.2222222222222223</v>
      </c>
      <c r="AU189" s="43">
        <f>YEARFRAC(S189,AG189)</f>
        <v>0.97777777777777775</v>
      </c>
      <c r="AV189" s="44">
        <f t="shared" ref="AV189:AV192" si="385">ABS(AT189-AF189)</f>
        <v>0.6333179055200715</v>
      </c>
      <c r="AW189" s="45">
        <f t="shared" ref="AW189:AW192" si="386">(AV189/AU189)</f>
        <v>0.64771149428189134</v>
      </c>
      <c r="AX189" s="46">
        <f t="shared" ref="AX189:AX192" si="387">(I189/AW189)</f>
        <v>4.6316917740143824</v>
      </c>
      <c r="AY189" s="72" t="str">
        <f t="shared" ref="AY189:AY192" si="388">IF(AX189&lt;=1,"UN AÑO",IF(AX189&gt;=1,"DOS AÑOS"))</f>
        <v>DOS AÑOS</v>
      </c>
      <c r="AZ189" s="774"/>
      <c r="BA189" s="484"/>
      <c r="BB189" s="487"/>
      <c r="BC189" s="707"/>
      <c r="BD189" s="702"/>
    </row>
    <row r="190" spans="1:56" ht="15.75" customHeight="1" x14ac:dyDescent="0.25">
      <c r="B190" s="765"/>
      <c r="C190" s="619"/>
      <c r="D190" s="768"/>
      <c r="E190" s="768"/>
      <c r="F190" s="771"/>
      <c r="G190" s="595"/>
      <c r="H190" s="613"/>
      <c r="I190" s="69">
        <v>3</v>
      </c>
      <c r="J190" s="780"/>
      <c r="K190" s="70">
        <v>3</v>
      </c>
      <c r="L190" s="777"/>
      <c r="M190" s="71"/>
      <c r="N190" s="725"/>
      <c r="O190" s="71"/>
      <c r="P190" s="725"/>
      <c r="Q190" s="37">
        <v>4815.3999999999996</v>
      </c>
      <c r="R190" s="37">
        <v>4800</v>
      </c>
      <c r="S190" s="38">
        <v>44063</v>
      </c>
      <c r="T190" s="624"/>
      <c r="U190" s="39">
        <v>4804.6000000000004</v>
      </c>
      <c r="V190" s="39">
        <f t="shared" si="369"/>
        <v>-10.799999999999272</v>
      </c>
      <c r="W190" s="39">
        <f t="shared" si="357"/>
        <v>-0.22428043360882322</v>
      </c>
      <c r="X190" s="39">
        <v>0.57999999999999996</v>
      </c>
      <c r="Y190" s="39">
        <f t="shared" si="370"/>
        <v>1.2071764558964323E-2</v>
      </c>
      <c r="Z190" s="39"/>
      <c r="AA190" s="39"/>
      <c r="AB190" s="39" t="s">
        <v>68</v>
      </c>
      <c r="AC190" s="39">
        <v>2.2999999999999998</v>
      </c>
      <c r="AD190" s="40">
        <f t="shared" si="371"/>
        <v>2.0757195663911765</v>
      </c>
      <c r="AE190" s="40">
        <f t="shared" si="372"/>
        <v>-2.5242804336088231</v>
      </c>
      <c r="AF190" s="40">
        <f t="shared" si="373"/>
        <v>2.0757195663911765</v>
      </c>
      <c r="AG190" s="41">
        <v>44420</v>
      </c>
      <c r="AH190" s="620"/>
      <c r="AI190" s="42">
        <v>4801</v>
      </c>
      <c r="AJ190" s="42">
        <f t="shared" si="374"/>
        <v>1</v>
      </c>
      <c r="AK190" s="42">
        <f>(AJ190*100)/R190</f>
        <v>2.0833333333333332E-2</v>
      </c>
      <c r="AL190" s="42">
        <v>1.1499999999999999</v>
      </c>
      <c r="AM190" s="42">
        <f t="shared" si="375"/>
        <v>2.3958333333333331E-2</v>
      </c>
      <c r="AN190" s="42"/>
      <c r="AO190" s="42"/>
      <c r="AP190" s="42">
        <v>66</v>
      </c>
      <c r="AQ190" s="42">
        <f t="shared" si="356"/>
        <v>1.375</v>
      </c>
      <c r="AR190" s="40">
        <f t="shared" si="381"/>
        <v>1.3958333333333333</v>
      </c>
      <c r="AS190" s="40">
        <f t="shared" si="382"/>
        <v>-1.3541666666666667</v>
      </c>
      <c r="AT190" s="40">
        <f t="shared" ref="AT190:AT203" si="389">MAX(AR190:AS190)</f>
        <v>1.3958333333333333</v>
      </c>
      <c r="AU190" s="43">
        <f t="shared" ref="AU190:AU192" si="390">YEARFRAC(S190,AG190)</f>
        <v>0.97777777777777775</v>
      </c>
      <c r="AV190" s="44">
        <f t="shared" si="385"/>
        <v>0.67988623305784324</v>
      </c>
      <c r="AW190" s="45">
        <f t="shared" si="386"/>
        <v>0.69533819290006693</v>
      </c>
      <c r="AX190" s="46">
        <f t="shared" si="387"/>
        <v>4.3144473158993524</v>
      </c>
      <c r="AY190" s="72" t="str">
        <f t="shared" si="388"/>
        <v>DOS AÑOS</v>
      </c>
      <c r="AZ190" s="774"/>
      <c r="BA190" s="126"/>
      <c r="BB190" s="132"/>
      <c r="BC190" s="74"/>
      <c r="BD190" s="122"/>
    </row>
    <row r="191" spans="1:56" ht="15.75" customHeight="1" thickBot="1" x14ac:dyDescent="0.3">
      <c r="B191" s="765"/>
      <c r="C191" s="619"/>
      <c r="D191" s="768"/>
      <c r="E191" s="768"/>
      <c r="F191" s="771"/>
      <c r="G191" s="595"/>
      <c r="H191" s="613"/>
      <c r="I191" s="69">
        <v>3</v>
      </c>
      <c r="J191" s="780"/>
      <c r="K191" s="70">
        <v>3</v>
      </c>
      <c r="L191" s="777"/>
      <c r="M191" s="71"/>
      <c r="N191" s="725"/>
      <c r="O191" s="71"/>
      <c r="P191" s="725"/>
      <c r="Q191" s="37">
        <v>6060</v>
      </c>
      <c r="R191" s="37">
        <v>6000</v>
      </c>
      <c r="S191" s="38">
        <v>44063</v>
      </c>
      <c r="T191" s="624"/>
      <c r="U191" s="39">
        <v>5998</v>
      </c>
      <c r="V191" s="39">
        <f t="shared" ref="V191" si="391">U191-Q191</f>
        <v>-62</v>
      </c>
      <c r="W191" s="39">
        <f>V191*100/Q191</f>
        <v>-1.023102310231023</v>
      </c>
      <c r="X191" s="39">
        <v>0.57999999999999996</v>
      </c>
      <c r="Y191" s="39">
        <f t="shared" si="370"/>
        <v>9.6698899633211061E-3</v>
      </c>
      <c r="Z191" s="39"/>
      <c r="AA191" s="39"/>
      <c r="AB191" s="39"/>
      <c r="AC191" s="39">
        <v>1</v>
      </c>
      <c r="AD191" s="40">
        <f t="shared" ref="AD191" si="392">(W191+AC191)</f>
        <v>-2.3102310231023049E-2</v>
      </c>
      <c r="AE191" s="40">
        <f t="shared" ref="AE191:AE192" si="393">(W191-AC191)</f>
        <v>-2.0231023102310228</v>
      </c>
      <c r="AF191" s="40">
        <f t="shared" ref="AF191:AF192" si="394">MAX(AD191:AE191)</f>
        <v>-2.3102310231023049E-2</v>
      </c>
      <c r="AG191" s="41">
        <v>44420</v>
      </c>
      <c r="AH191" s="714"/>
      <c r="AI191" s="42">
        <v>6003</v>
      </c>
      <c r="AJ191" s="42">
        <f t="shared" si="374"/>
        <v>3</v>
      </c>
      <c r="AK191" s="42">
        <f t="shared" ref="AK191" si="395">(AJ191*100)/R191</f>
        <v>0.05</v>
      </c>
      <c r="AL191" s="42">
        <v>0.57999999999999996</v>
      </c>
      <c r="AM191" s="42">
        <f t="shared" si="375"/>
        <v>9.6666666666666654E-3</v>
      </c>
      <c r="AN191" s="42"/>
      <c r="AO191" s="42"/>
      <c r="AP191" s="42">
        <v>82</v>
      </c>
      <c r="AQ191" s="42">
        <f t="shared" si="356"/>
        <v>1.3666666666666667</v>
      </c>
      <c r="AR191" s="40">
        <f t="shared" si="381"/>
        <v>1.4166666666666667</v>
      </c>
      <c r="AS191" s="40">
        <f t="shared" si="382"/>
        <v>-1.3166666666666667</v>
      </c>
      <c r="AT191" s="40">
        <f t="shared" si="389"/>
        <v>1.4166666666666667</v>
      </c>
      <c r="AU191" s="43">
        <f t="shared" si="390"/>
        <v>0.97777777777777775</v>
      </c>
      <c r="AV191" s="44">
        <f t="shared" si="385"/>
        <v>1.4397689768976898</v>
      </c>
      <c r="AW191" s="45">
        <f t="shared" si="386"/>
        <v>1.47249099909991</v>
      </c>
      <c r="AX191" s="46">
        <f t="shared" si="387"/>
        <v>2.0373638968481376</v>
      </c>
      <c r="AY191" s="72" t="str">
        <f t="shared" si="388"/>
        <v>DOS AÑOS</v>
      </c>
      <c r="AZ191" s="774"/>
      <c r="BA191" s="126"/>
      <c r="BB191" s="132"/>
      <c r="BC191" s="74"/>
      <c r="BD191" s="122"/>
    </row>
    <row r="192" spans="1:56" ht="15.75" customHeight="1" x14ac:dyDescent="0.25">
      <c r="B192" s="765"/>
      <c r="C192" s="619" t="s">
        <v>189</v>
      </c>
      <c r="D192" s="768"/>
      <c r="E192" s="768"/>
      <c r="F192" s="771"/>
      <c r="G192" s="595" t="s">
        <v>104</v>
      </c>
      <c r="H192" s="613" t="s">
        <v>230</v>
      </c>
      <c r="I192" s="381">
        <v>3</v>
      </c>
      <c r="J192" s="780"/>
      <c r="K192" s="70">
        <v>3</v>
      </c>
      <c r="L192" s="777"/>
      <c r="M192" s="376" t="s">
        <v>68</v>
      </c>
      <c r="N192" s="377"/>
      <c r="O192" s="376" t="s">
        <v>68</v>
      </c>
      <c r="P192" s="377"/>
      <c r="Q192" s="37">
        <v>0</v>
      </c>
      <c r="R192" s="37">
        <v>0</v>
      </c>
      <c r="S192" s="38">
        <v>44063</v>
      </c>
      <c r="T192" s="624"/>
      <c r="U192" s="39">
        <v>0</v>
      </c>
      <c r="V192" s="39">
        <f>U192-Q192</f>
        <v>0</v>
      </c>
      <c r="W192" s="39">
        <v>0</v>
      </c>
      <c r="X192" s="39" t="s">
        <v>68</v>
      </c>
      <c r="Y192" s="39">
        <v>0</v>
      </c>
      <c r="Z192" s="39"/>
      <c r="AA192" s="39" t="s">
        <v>68</v>
      </c>
      <c r="AB192" s="39"/>
      <c r="AC192" s="39"/>
      <c r="AD192" s="40">
        <f>(W192+AC192)</f>
        <v>0</v>
      </c>
      <c r="AE192" s="40">
        <f t="shared" si="393"/>
        <v>0</v>
      </c>
      <c r="AF192" s="40">
        <f t="shared" si="394"/>
        <v>0</v>
      </c>
      <c r="AG192" s="41">
        <v>44420</v>
      </c>
      <c r="AH192" s="580">
        <v>66140</v>
      </c>
      <c r="AI192" s="42">
        <v>0</v>
      </c>
      <c r="AJ192" s="42">
        <f>AI192-Q192</f>
        <v>0</v>
      </c>
      <c r="AK192" s="42">
        <v>0</v>
      </c>
      <c r="AL192" s="42">
        <v>0</v>
      </c>
      <c r="AM192" s="42">
        <v>0</v>
      </c>
      <c r="AN192" s="42" t="s">
        <v>68</v>
      </c>
      <c r="AO192" s="42" t="s">
        <v>68</v>
      </c>
      <c r="AP192" s="42">
        <v>0.56999999999999995</v>
      </c>
      <c r="AQ192" s="42">
        <v>0.56999999999999995</v>
      </c>
      <c r="AR192" s="245">
        <f t="shared" si="381"/>
        <v>0.56999999999999995</v>
      </c>
      <c r="AS192" s="245">
        <f t="shared" si="382"/>
        <v>-0.56999999999999995</v>
      </c>
      <c r="AT192" s="40">
        <f t="shared" si="389"/>
        <v>0.56999999999999995</v>
      </c>
      <c r="AU192" s="43">
        <f t="shared" si="390"/>
        <v>0.97777777777777775</v>
      </c>
      <c r="AV192" s="44">
        <f t="shared" si="385"/>
        <v>0.56999999999999995</v>
      </c>
      <c r="AW192" s="45">
        <f t="shared" si="386"/>
        <v>0.58295454545454539</v>
      </c>
      <c r="AX192" s="46">
        <f t="shared" si="387"/>
        <v>5.1461988304093573</v>
      </c>
      <c r="AY192" s="72" t="str">
        <f t="shared" si="388"/>
        <v>DOS AÑOS</v>
      </c>
      <c r="AZ192" s="774"/>
      <c r="BA192" s="378"/>
      <c r="BB192" s="371"/>
      <c r="BC192" s="397"/>
      <c r="BD192" s="373"/>
    </row>
    <row r="193" spans="1:56" ht="15.75" customHeight="1" x14ac:dyDescent="0.25">
      <c r="B193" s="765"/>
      <c r="C193" s="619"/>
      <c r="D193" s="768"/>
      <c r="E193" s="768"/>
      <c r="F193" s="771"/>
      <c r="G193" s="595"/>
      <c r="H193" s="613"/>
      <c r="I193" s="381">
        <v>3</v>
      </c>
      <c r="J193" s="780"/>
      <c r="K193" s="70">
        <v>3</v>
      </c>
      <c r="L193" s="777"/>
      <c r="M193" s="376"/>
      <c r="N193" s="377"/>
      <c r="O193" s="376"/>
      <c r="P193" s="377"/>
      <c r="Q193" s="37" t="s">
        <v>68</v>
      </c>
      <c r="R193" s="37">
        <v>30</v>
      </c>
      <c r="S193" s="38"/>
      <c r="T193" s="624"/>
      <c r="U193" s="39"/>
      <c r="V193" s="39"/>
      <c r="W193" s="39"/>
      <c r="X193" s="39"/>
      <c r="Y193" s="39"/>
      <c r="Z193" s="39"/>
      <c r="AA193" s="39"/>
      <c r="AB193" s="39"/>
      <c r="AC193" s="39"/>
      <c r="AD193" s="40"/>
      <c r="AE193" s="40"/>
      <c r="AF193" s="40"/>
      <c r="AG193" s="41">
        <v>44420</v>
      </c>
      <c r="AH193" s="620"/>
      <c r="AI193" s="42">
        <v>30</v>
      </c>
      <c r="AJ193" s="42">
        <f t="shared" ref="AJ193:AJ200" si="396">AI193-R193</f>
        <v>0</v>
      </c>
      <c r="AK193" s="42">
        <f>(AJ193*100)/R193</f>
        <v>0</v>
      </c>
      <c r="AL193" s="42">
        <v>0</v>
      </c>
      <c r="AM193" s="42">
        <f t="shared" ref="AM193:AM200" si="397">AL193*100/R193</f>
        <v>0</v>
      </c>
      <c r="AN193" s="42"/>
      <c r="AO193" s="42"/>
      <c r="AP193" s="42">
        <v>0.56999999999999995</v>
      </c>
      <c r="AQ193" s="42">
        <f>AP193*100/R193</f>
        <v>1.8999999999999997</v>
      </c>
      <c r="AR193" s="40">
        <f t="shared" ref="AR193:AR199" si="398">(AJ193+AQ193)</f>
        <v>1.8999999999999997</v>
      </c>
      <c r="AS193" s="40">
        <f t="shared" si="382"/>
        <v>-1.8999999999999997</v>
      </c>
      <c r="AT193" s="40">
        <f t="shared" si="389"/>
        <v>1.8999999999999997</v>
      </c>
      <c r="AU193" s="43" t="s">
        <v>68</v>
      </c>
      <c r="AV193" s="44" t="s">
        <v>68</v>
      </c>
      <c r="AW193" s="45" t="s">
        <v>68</v>
      </c>
      <c r="AX193" s="46" t="s">
        <v>68</v>
      </c>
      <c r="AY193" s="72" t="str">
        <f t="shared" ref="AY193:AY196" si="399">IF(AX193&lt;=1,"UN AÑO",IF(AX193&gt;=1,"DOS AÑOS"))</f>
        <v>DOS AÑOS</v>
      </c>
      <c r="AZ193" s="774"/>
      <c r="BA193" s="378"/>
      <c r="BB193" s="371"/>
      <c r="BC193" s="397"/>
      <c r="BD193" s="373"/>
    </row>
    <row r="194" spans="1:56" ht="15.75" customHeight="1" x14ac:dyDescent="0.25">
      <c r="B194" s="765"/>
      <c r="C194" s="619"/>
      <c r="D194" s="768"/>
      <c r="E194" s="768"/>
      <c r="F194" s="771"/>
      <c r="G194" s="595"/>
      <c r="H194" s="613"/>
      <c r="I194" s="381">
        <v>3</v>
      </c>
      <c r="J194" s="780"/>
      <c r="K194" s="70">
        <v>3</v>
      </c>
      <c r="L194" s="777"/>
      <c r="M194" s="376"/>
      <c r="N194" s="377"/>
      <c r="O194" s="376"/>
      <c r="P194" s="377"/>
      <c r="Q194" s="37" t="s">
        <v>68</v>
      </c>
      <c r="R194" s="37">
        <v>40</v>
      </c>
      <c r="S194" s="38"/>
      <c r="T194" s="624"/>
      <c r="U194" s="39"/>
      <c r="V194" s="39"/>
      <c r="W194" s="39"/>
      <c r="X194" s="39"/>
      <c r="Y194" s="39"/>
      <c r="Z194" s="39"/>
      <c r="AA194" s="39"/>
      <c r="AB194" s="39"/>
      <c r="AC194" s="39"/>
      <c r="AD194" s="40"/>
      <c r="AE194" s="40"/>
      <c r="AF194" s="40"/>
      <c r="AG194" s="41">
        <v>44420</v>
      </c>
      <c r="AH194" s="620"/>
      <c r="AI194" s="42">
        <v>40</v>
      </c>
      <c r="AJ194" s="42">
        <f t="shared" si="396"/>
        <v>0</v>
      </c>
      <c r="AK194" s="42">
        <f>(AJ194*100)/R194</f>
        <v>0</v>
      </c>
      <c r="AL194" s="42">
        <v>0</v>
      </c>
      <c r="AM194" s="42">
        <f t="shared" si="397"/>
        <v>0</v>
      </c>
      <c r="AN194" s="42"/>
      <c r="AO194" s="42"/>
      <c r="AP194" s="42">
        <v>0.57999999999999996</v>
      </c>
      <c r="AQ194" s="42">
        <f t="shared" ref="AQ194:AQ205" si="400">AP194*100/R194</f>
        <v>1.4499999999999997</v>
      </c>
      <c r="AR194" s="40">
        <f t="shared" si="398"/>
        <v>1.4499999999999997</v>
      </c>
      <c r="AS194" s="40">
        <f t="shared" si="382"/>
        <v>-1.4499999999999997</v>
      </c>
      <c r="AT194" s="40">
        <f t="shared" si="389"/>
        <v>1.4499999999999997</v>
      </c>
      <c r="AU194" s="43" t="s">
        <v>68</v>
      </c>
      <c r="AV194" s="44" t="s">
        <v>68</v>
      </c>
      <c r="AW194" s="45" t="s">
        <v>68</v>
      </c>
      <c r="AX194" s="46" t="s">
        <v>68</v>
      </c>
      <c r="AY194" s="72" t="str">
        <f t="shared" si="399"/>
        <v>DOS AÑOS</v>
      </c>
      <c r="AZ194" s="774"/>
      <c r="BA194" s="378"/>
      <c r="BB194" s="371"/>
      <c r="BC194" s="397"/>
      <c r="BD194" s="373"/>
    </row>
    <row r="195" spans="1:56" ht="15" customHeight="1" x14ac:dyDescent="0.25">
      <c r="B195" s="765"/>
      <c r="C195" s="619"/>
      <c r="D195" s="768"/>
      <c r="E195" s="768"/>
      <c r="F195" s="771"/>
      <c r="G195" s="595"/>
      <c r="H195" s="613"/>
      <c r="I195" s="381">
        <v>3</v>
      </c>
      <c r="J195" s="780"/>
      <c r="K195" s="70">
        <v>3</v>
      </c>
      <c r="L195" s="777"/>
      <c r="M195" s="376" t="s">
        <v>68</v>
      </c>
      <c r="N195" s="377"/>
      <c r="O195" s="376" t="s">
        <v>68</v>
      </c>
      <c r="P195" s="377"/>
      <c r="Q195" s="37"/>
      <c r="R195" s="37">
        <v>60</v>
      </c>
      <c r="S195" s="38"/>
      <c r="T195" s="624"/>
      <c r="U195" s="39"/>
      <c r="V195" s="39"/>
      <c r="W195" s="39"/>
      <c r="X195" s="39"/>
      <c r="Y195" s="39"/>
      <c r="Z195" s="39"/>
      <c r="AA195" s="39" t="s">
        <v>68</v>
      </c>
      <c r="AB195" s="39"/>
      <c r="AC195" s="39"/>
      <c r="AD195" s="40"/>
      <c r="AE195" s="40"/>
      <c r="AF195" s="40"/>
      <c r="AG195" s="41">
        <v>44420</v>
      </c>
      <c r="AH195" s="620"/>
      <c r="AI195" s="42">
        <v>60</v>
      </c>
      <c r="AJ195" s="42">
        <f t="shared" si="396"/>
        <v>0</v>
      </c>
      <c r="AK195" s="42">
        <f>(AJ195*100)/R195</f>
        <v>0</v>
      </c>
      <c r="AL195" s="42">
        <v>0</v>
      </c>
      <c r="AM195" s="42">
        <f t="shared" si="397"/>
        <v>0</v>
      </c>
      <c r="AN195" s="42" t="s">
        <v>68</v>
      </c>
      <c r="AO195" s="42" t="s">
        <v>68</v>
      </c>
      <c r="AP195" s="42">
        <v>0.59</v>
      </c>
      <c r="AQ195" s="42">
        <f t="shared" si="400"/>
        <v>0.98333333333333328</v>
      </c>
      <c r="AR195" s="40">
        <f t="shared" si="398"/>
        <v>0.98333333333333328</v>
      </c>
      <c r="AS195" s="40">
        <f t="shared" si="382"/>
        <v>-0.98333333333333328</v>
      </c>
      <c r="AT195" s="40">
        <f t="shared" si="389"/>
        <v>0.98333333333333328</v>
      </c>
      <c r="AU195" s="43">
        <f t="shared" ref="AU195:AU196" si="401">YEARFRAC(S195,AG195)</f>
        <v>121.61666666666666</v>
      </c>
      <c r="AV195" s="44">
        <f t="shared" ref="AV195:AV196" si="402">ABS(AT195-AF195)</f>
        <v>0.98333333333333328</v>
      </c>
      <c r="AW195" s="45">
        <f t="shared" ref="AW195:AW196" si="403">(AV195/AU195)</f>
        <v>8.0855145950390565E-3</v>
      </c>
      <c r="AX195" s="46">
        <f t="shared" ref="AX195:AX196" si="404">(I195/AW195)</f>
        <v>371.03389830508479</v>
      </c>
      <c r="AY195" s="72" t="str">
        <f t="shared" si="399"/>
        <v>DOS AÑOS</v>
      </c>
      <c r="AZ195" s="774"/>
      <c r="BA195" s="378"/>
      <c r="BB195" s="371"/>
      <c r="BC195" s="397"/>
      <c r="BD195" s="373"/>
    </row>
    <row r="196" spans="1:56" ht="15" customHeight="1" x14ac:dyDescent="0.25">
      <c r="B196" s="765"/>
      <c r="C196" s="619"/>
      <c r="D196" s="768"/>
      <c r="E196" s="768"/>
      <c r="F196" s="771"/>
      <c r="G196" s="595"/>
      <c r="H196" s="613"/>
      <c r="I196" s="381">
        <v>3</v>
      </c>
      <c r="J196" s="780"/>
      <c r="K196" s="70">
        <v>3</v>
      </c>
      <c r="L196" s="777"/>
      <c r="M196" s="376" t="s">
        <v>68</v>
      </c>
      <c r="N196" s="377"/>
      <c r="O196" s="376" t="s">
        <v>68</v>
      </c>
      <c r="P196" s="377"/>
      <c r="Q196" s="37">
        <v>99.6</v>
      </c>
      <c r="R196" s="37">
        <v>100</v>
      </c>
      <c r="S196" s="38">
        <v>44063</v>
      </c>
      <c r="T196" s="624"/>
      <c r="U196" s="39">
        <v>100.4</v>
      </c>
      <c r="V196" s="39">
        <f>U196-Q196</f>
        <v>0.80000000000001137</v>
      </c>
      <c r="W196" s="39">
        <f t="shared" ref="W196" si="405">V196*100/Q196</f>
        <v>0.80321285140563392</v>
      </c>
      <c r="X196" s="39">
        <v>0</v>
      </c>
      <c r="Y196" s="39">
        <f>X196*100/U196</f>
        <v>0</v>
      </c>
      <c r="Z196" s="39"/>
      <c r="AA196" s="39" t="s">
        <v>68</v>
      </c>
      <c r="AB196" s="39"/>
      <c r="AC196" s="39">
        <v>1.3</v>
      </c>
      <c r="AD196" s="40">
        <f t="shared" ref="AD196" si="406">(W196+AC196)</f>
        <v>2.1032128514056341</v>
      </c>
      <c r="AE196" s="40">
        <f t="shared" ref="AE196" si="407">(W196-AC196)</f>
        <v>-0.49678714859436612</v>
      </c>
      <c r="AF196" s="40">
        <f t="shared" ref="AF196" si="408">MAX(AD196:AE196)</f>
        <v>2.1032128514056341</v>
      </c>
      <c r="AG196" s="41">
        <v>44420</v>
      </c>
      <c r="AH196" s="531"/>
      <c r="AI196" s="42">
        <v>100</v>
      </c>
      <c r="AJ196" s="42">
        <f t="shared" si="396"/>
        <v>0</v>
      </c>
      <c r="AK196" s="42">
        <f t="shared" ref="AK196" si="409">(AJ196*100)/Q196</f>
        <v>0</v>
      </c>
      <c r="AL196" s="42">
        <v>0</v>
      </c>
      <c r="AM196" s="42">
        <f t="shared" si="397"/>
        <v>0</v>
      </c>
      <c r="AN196" s="42" t="s">
        <v>68</v>
      </c>
      <c r="AO196" s="42" t="s">
        <v>68</v>
      </c>
      <c r="AP196" s="42">
        <v>0.63</v>
      </c>
      <c r="AQ196" s="42">
        <f t="shared" si="400"/>
        <v>0.63</v>
      </c>
      <c r="AR196" s="40">
        <f t="shared" si="398"/>
        <v>0.63</v>
      </c>
      <c r="AS196" s="40">
        <f t="shared" si="382"/>
        <v>-0.63</v>
      </c>
      <c r="AT196" s="40">
        <f t="shared" si="389"/>
        <v>0.63</v>
      </c>
      <c r="AU196" s="43">
        <f t="shared" si="401"/>
        <v>0.97777777777777775</v>
      </c>
      <c r="AV196" s="44">
        <f t="shared" si="402"/>
        <v>1.4732128514056342</v>
      </c>
      <c r="AW196" s="45">
        <f t="shared" si="403"/>
        <v>1.5066949616648533</v>
      </c>
      <c r="AX196" s="46">
        <f t="shared" si="404"/>
        <v>1.9911130496415073</v>
      </c>
      <c r="AY196" s="72" t="str">
        <f t="shared" si="399"/>
        <v>DOS AÑOS</v>
      </c>
      <c r="AZ196" s="774"/>
      <c r="BA196" s="378"/>
      <c r="BB196" s="371"/>
      <c r="BC196" s="397"/>
      <c r="BD196" s="373"/>
    </row>
    <row r="197" spans="1:56" ht="15" customHeight="1" x14ac:dyDescent="0.25">
      <c r="B197" s="765"/>
      <c r="C197" s="619"/>
      <c r="D197" s="768"/>
      <c r="E197" s="768"/>
      <c r="F197" s="771"/>
      <c r="G197" s="595"/>
      <c r="H197" s="613"/>
      <c r="I197" s="381">
        <v>3</v>
      </c>
      <c r="J197" s="780"/>
      <c r="K197" s="70">
        <v>3</v>
      </c>
      <c r="L197" s="777"/>
      <c r="M197" s="376"/>
      <c r="N197" s="377"/>
      <c r="O197" s="376"/>
      <c r="P197" s="377"/>
      <c r="Q197" s="37"/>
      <c r="R197" s="37">
        <v>100</v>
      </c>
      <c r="S197" s="38"/>
      <c r="T197" s="624"/>
      <c r="U197" s="39"/>
      <c r="V197" s="39"/>
      <c r="W197" s="39"/>
      <c r="X197" s="39"/>
      <c r="Y197" s="39"/>
      <c r="Z197" s="39"/>
      <c r="AA197" s="39"/>
      <c r="AB197" s="39"/>
      <c r="AC197" s="39"/>
      <c r="AD197" s="40"/>
      <c r="AE197" s="40"/>
      <c r="AF197" s="40"/>
      <c r="AG197" s="41">
        <v>44421</v>
      </c>
      <c r="AH197" s="580">
        <v>66147</v>
      </c>
      <c r="AI197" s="42">
        <v>100.3</v>
      </c>
      <c r="AJ197" s="42">
        <f t="shared" si="396"/>
        <v>0.29999999999999716</v>
      </c>
      <c r="AK197" s="42">
        <f t="shared" ref="AK197:AK200" si="410">(AJ197*100)/R197</f>
        <v>0.29999999999999716</v>
      </c>
      <c r="AL197" s="42">
        <v>0.57999999999999996</v>
      </c>
      <c r="AM197" s="42">
        <f t="shared" si="397"/>
        <v>0.57999999999999996</v>
      </c>
      <c r="AN197" s="42"/>
      <c r="AO197" s="42"/>
      <c r="AP197" s="42">
        <v>1.9</v>
      </c>
      <c r="AQ197" s="42">
        <f t="shared" si="400"/>
        <v>1.9</v>
      </c>
      <c r="AR197" s="40">
        <f t="shared" si="398"/>
        <v>2.1999999999999971</v>
      </c>
      <c r="AS197" s="40">
        <f t="shared" si="382"/>
        <v>-1.6000000000000028</v>
      </c>
      <c r="AT197" s="40">
        <f t="shared" si="389"/>
        <v>2.1999999999999971</v>
      </c>
      <c r="AU197" s="43">
        <f t="shared" ref="AU197:AU200" si="411">YEARFRAC(S197,AG197)</f>
        <v>121.61944444444444</v>
      </c>
      <c r="AV197" s="44">
        <f t="shared" ref="AV197:AV200" si="412">ABS(AT197-AF197)</f>
        <v>2.1999999999999971</v>
      </c>
      <c r="AW197" s="45">
        <f t="shared" ref="AW197:AW200" si="413">(AV197/AU197)</f>
        <v>1.8089212708128702E-2</v>
      </c>
      <c r="AX197" s="46">
        <f t="shared" ref="AX197:AX200" si="414">(I197/AW197)</f>
        <v>165.8446969696972</v>
      </c>
      <c r="AY197" s="72" t="str">
        <f t="shared" ref="AY197:AY200" si="415">IF(AX197&lt;=1,"UN AÑO",IF(AX197&gt;=1,"DOS AÑOS"))</f>
        <v>DOS AÑOS</v>
      </c>
      <c r="AZ197" s="774"/>
      <c r="BA197" s="378"/>
      <c r="BB197" s="371"/>
      <c r="BC197" s="397"/>
      <c r="BD197" s="373"/>
    </row>
    <row r="198" spans="1:56" ht="15" customHeight="1" x14ac:dyDescent="0.25">
      <c r="B198" s="765"/>
      <c r="C198" s="619"/>
      <c r="D198" s="768"/>
      <c r="E198" s="768"/>
      <c r="F198" s="771"/>
      <c r="G198" s="595"/>
      <c r="H198" s="613"/>
      <c r="I198" s="381">
        <v>3</v>
      </c>
      <c r="J198" s="780"/>
      <c r="K198" s="70">
        <v>3</v>
      </c>
      <c r="L198" s="777"/>
      <c r="M198" s="376"/>
      <c r="N198" s="377"/>
      <c r="O198" s="376"/>
      <c r="P198" s="377"/>
      <c r="Q198" s="37">
        <v>199.5</v>
      </c>
      <c r="R198" s="37">
        <v>300</v>
      </c>
      <c r="S198" s="38">
        <v>44063</v>
      </c>
      <c r="T198" s="624"/>
      <c r="U198" s="39">
        <v>201.4</v>
      </c>
      <c r="V198" s="39">
        <f>U198-Q198</f>
        <v>1.9000000000000057</v>
      </c>
      <c r="W198" s="39">
        <f t="shared" ref="W198" si="416">V198*100/Q198</f>
        <v>0.95238095238095521</v>
      </c>
      <c r="X198" s="39">
        <v>0.57999999999999996</v>
      </c>
      <c r="Y198" s="39">
        <f>X198*100/U198</f>
        <v>0.28798411122144979</v>
      </c>
      <c r="Z198" s="39"/>
      <c r="AA198" s="39"/>
      <c r="AB198" s="39"/>
      <c r="AC198" s="39">
        <v>1.1000000000000001</v>
      </c>
      <c r="AD198" s="40">
        <f t="shared" ref="AD198" si="417">(W198+AC198)</f>
        <v>2.0523809523809553</v>
      </c>
      <c r="AE198" s="40">
        <f t="shared" ref="AE198" si="418">(W198-AC198)</f>
        <v>-0.14761904761904487</v>
      </c>
      <c r="AF198" s="40">
        <f t="shared" ref="AF198" si="419">MAX(AD198:AE198)</f>
        <v>2.0523809523809553</v>
      </c>
      <c r="AG198" s="41">
        <v>44422</v>
      </c>
      <c r="AH198" s="620"/>
      <c r="AI198" s="42">
        <v>300.7</v>
      </c>
      <c r="AJ198" s="42">
        <f t="shared" si="396"/>
        <v>0.69999999999998863</v>
      </c>
      <c r="AK198" s="42">
        <f t="shared" si="410"/>
        <v>0.23333333333332953</v>
      </c>
      <c r="AL198" s="42">
        <v>0.57999999999999996</v>
      </c>
      <c r="AM198" s="42">
        <f t="shared" si="397"/>
        <v>0.1933333333333333</v>
      </c>
      <c r="AN198" s="42"/>
      <c r="AO198" s="42"/>
      <c r="AP198" s="42">
        <v>3.9</v>
      </c>
      <c r="AQ198" s="42">
        <f t="shared" si="400"/>
        <v>1.3</v>
      </c>
      <c r="AR198" s="40">
        <f t="shared" si="398"/>
        <v>1.9999999999999887</v>
      </c>
      <c r="AS198" s="40">
        <f t="shared" si="382"/>
        <v>-1.0666666666666704</v>
      </c>
      <c r="AT198" s="40">
        <f t="shared" si="389"/>
        <v>1.9999999999999887</v>
      </c>
      <c r="AU198" s="43">
        <f t="shared" si="411"/>
        <v>0.98333333333333328</v>
      </c>
      <c r="AV198" s="44">
        <f t="shared" si="412"/>
        <v>5.2380952380966628E-2</v>
      </c>
      <c r="AW198" s="45">
        <f t="shared" si="413"/>
        <v>5.3268765133186402E-2</v>
      </c>
      <c r="AX198" s="46">
        <f t="shared" si="414"/>
        <v>56.318181818166501</v>
      </c>
      <c r="AY198" s="72" t="str">
        <f t="shared" si="415"/>
        <v>DOS AÑOS</v>
      </c>
      <c r="AZ198" s="774"/>
      <c r="BA198" s="378"/>
      <c r="BB198" s="371"/>
      <c r="BC198" s="397"/>
      <c r="BD198" s="373"/>
    </row>
    <row r="199" spans="1:56" ht="15" customHeight="1" x14ac:dyDescent="0.25">
      <c r="B199" s="765"/>
      <c r="C199" s="619"/>
      <c r="D199" s="768"/>
      <c r="E199" s="768"/>
      <c r="F199" s="771"/>
      <c r="G199" s="595"/>
      <c r="H199" s="613"/>
      <c r="I199" s="381">
        <v>3</v>
      </c>
      <c r="J199" s="780"/>
      <c r="K199" s="70">
        <v>3</v>
      </c>
      <c r="L199" s="777"/>
      <c r="M199" s="376"/>
      <c r="N199" s="377"/>
      <c r="O199" s="376"/>
      <c r="P199" s="377"/>
      <c r="Q199" s="37"/>
      <c r="R199" s="37">
        <v>500</v>
      </c>
      <c r="S199" s="38"/>
      <c r="T199" s="624"/>
      <c r="U199" s="39"/>
      <c r="V199" s="39"/>
      <c r="W199" s="39"/>
      <c r="X199" s="39"/>
      <c r="Y199" s="39"/>
      <c r="Z199" s="39"/>
      <c r="AA199" s="39"/>
      <c r="AB199" s="39"/>
      <c r="AC199" s="39"/>
      <c r="AD199" s="40"/>
      <c r="AE199" s="40"/>
      <c r="AF199" s="40"/>
      <c r="AG199" s="41">
        <v>44423</v>
      </c>
      <c r="AH199" s="620"/>
      <c r="AI199" s="42">
        <v>499.7</v>
      </c>
      <c r="AJ199" s="42">
        <f t="shared" si="396"/>
        <v>-0.30000000000001137</v>
      </c>
      <c r="AK199" s="42">
        <f t="shared" si="410"/>
        <v>-6.0000000000002274E-2</v>
      </c>
      <c r="AL199" s="42">
        <v>1.1499999999999999</v>
      </c>
      <c r="AM199" s="42">
        <f t="shared" si="397"/>
        <v>0.22999999999999998</v>
      </c>
      <c r="AN199" s="42"/>
      <c r="AO199" s="42"/>
      <c r="AP199" s="42">
        <v>7</v>
      </c>
      <c r="AQ199" s="42">
        <f t="shared" si="400"/>
        <v>1.4</v>
      </c>
      <c r="AR199" s="40">
        <f t="shared" si="398"/>
        <v>1.0999999999999885</v>
      </c>
      <c r="AS199" s="40">
        <f t="shared" si="382"/>
        <v>-1.4600000000000022</v>
      </c>
      <c r="AT199" s="40">
        <f t="shared" si="389"/>
        <v>1.0999999999999885</v>
      </c>
      <c r="AU199" s="43">
        <f t="shared" si="411"/>
        <v>121.625</v>
      </c>
      <c r="AV199" s="44">
        <f t="shared" si="412"/>
        <v>1.0999999999999885</v>
      </c>
      <c r="AW199" s="45">
        <f t="shared" si="413"/>
        <v>9.044193216854993E-3</v>
      </c>
      <c r="AX199" s="46">
        <f t="shared" si="414"/>
        <v>331.70454545454891</v>
      </c>
      <c r="AY199" s="72" t="str">
        <f t="shared" si="415"/>
        <v>DOS AÑOS</v>
      </c>
      <c r="AZ199" s="774"/>
      <c r="BA199" s="378"/>
      <c r="BB199" s="371"/>
      <c r="BC199" s="397"/>
      <c r="BD199" s="373"/>
    </row>
    <row r="200" spans="1:56" ht="15" customHeight="1" x14ac:dyDescent="0.25">
      <c r="B200" s="765"/>
      <c r="C200" s="619"/>
      <c r="D200" s="768"/>
      <c r="E200" s="768"/>
      <c r="F200" s="771"/>
      <c r="G200" s="595"/>
      <c r="H200" s="613"/>
      <c r="I200" s="381">
        <v>3</v>
      </c>
      <c r="J200" s="780"/>
      <c r="K200" s="70">
        <v>3</v>
      </c>
      <c r="L200" s="777"/>
      <c r="M200" s="376"/>
      <c r="N200" s="377"/>
      <c r="O200" s="376"/>
      <c r="P200" s="377"/>
      <c r="Q200" s="37">
        <v>750</v>
      </c>
      <c r="R200" s="37">
        <v>1000</v>
      </c>
      <c r="S200" s="38">
        <v>44063</v>
      </c>
      <c r="T200" s="624"/>
      <c r="U200" s="39">
        <v>750</v>
      </c>
      <c r="V200" s="39">
        <f t="shared" ref="V200:V214" si="420">U200-Q200</f>
        <v>0</v>
      </c>
      <c r="W200" s="39">
        <f t="shared" ref="W200:W204" si="421">V200*100/Q200</f>
        <v>0</v>
      </c>
      <c r="X200" s="39">
        <v>1.1499999999999999</v>
      </c>
      <c r="Y200" s="39">
        <f t="shared" ref="Y200:Y205" si="422">X200*100/U200</f>
        <v>0.15333333333333332</v>
      </c>
      <c r="Z200" s="39"/>
      <c r="AA200" s="39"/>
      <c r="AB200" s="39"/>
      <c r="AC200" s="39">
        <v>2.5</v>
      </c>
      <c r="AD200" s="40">
        <f t="shared" ref="AD200:AD205" si="423">(W200+AC200)</f>
        <v>2.5</v>
      </c>
      <c r="AE200" s="40">
        <f t="shared" ref="AE200:AE205" si="424">(W200-AC200)</f>
        <v>-2.5</v>
      </c>
      <c r="AF200" s="40">
        <f t="shared" ref="AF200:AF231" si="425">MAX(AD200:AE200)</f>
        <v>2.5</v>
      </c>
      <c r="AG200" s="41">
        <v>44424</v>
      </c>
      <c r="AH200" s="620"/>
      <c r="AI200" s="42">
        <v>1003</v>
      </c>
      <c r="AJ200" s="42">
        <f t="shared" si="396"/>
        <v>3</v>
      </c>
      <c r="AK200" s="42">
        <f t="shared" si="410"/>
        <v>0.3</v>
      </c>
      <c r="AL200" s="42">
        <v>0.57999999999999996</v>
      </c>
      <c r="AM200" s="42">
        <f t="shared" si="397"/>
        <v>5.7999999999999996E-2</v>
      </c>
      <c r="AN200" s="42"/>
      <c r="AO200" s="42"/>
      <c r="AP200" s="42">
        <v>13</v>
      </c>
      <c r="AQ200" s="42">
        <f t="shared" si="400"/>
        <v>1.3</v>
      </c>
      <c r="AR200" s="40">
        <f>(AK200+AQ200)</f>
        <v>1.6</v>
      </c>
      <c r="AS200" s="40">
        <f>(AK200-AQ200)</f>
        <v>-1</v>
      </c>
      <c r="AT200" s="40">
        <f t="shared" si="389"/>
        <v>1.6</v>
      </c>
      <c r="AU200" s="43">
        <f t="shared" si="411"/>
        <v>0.98888888888888893</v>
      </c>
      <c r="AV200" s="44">
        <f t="shared" si="412"/>
        <v>0.89999999999999991</v>
      </c>
      <c r="AW200" s="45">
        <f t="shared" si="413"/>
        <v>0.91011235955056169</v>
      </c>
      <c r="AX200" s="46">
        <f t="shared" si="414"/>
        <v>3.2962962962962967</v>
      </c>
      <c r="AY200" s="72" t="str">
        <f t="shared" si="415"/>
        <v>DOS AÑOS</v>
      </c>
      <c r="AZ200" s="774"/>
      <c r="BA200" s="378"/>
      <c r="BB200" s="371"/>
      <c r="BC200" s="397"/>
      <c r="BD200" s="373"/>
    </row>
    <row r="201" spans="1:56" ht="15" customHeight="1" x14ac:dyDescent="0.25">
      <c r="B201" s="765"/>
      <c r="C201" s="619"/>
      <c r="D201" s="768"/>
      <c r="E201" s="768"/>
      <c r="F201" s="771"/>
      <c r="G201" s="595"/>
      <c r="H201" s="613"/>
      <c r="I201" s="381">
        <v>3</v>
      </c>
      <c r="J201" s="780"/>
      <c r="K201" s="70">
        <v>3</v>
      </c>
      <c r="L201" s="777"/>
      <c r="M201" s="376"/>
      <c r="N201" s="377"/>
      <c r="O201" s="376"/>
      <c r="P201" s="377"/>
      <c r="Q201" s="37">
        <v>1200</v>
      </c>
      <c r="R201" s="37">
        <v>1200</v>
      </c>
      <c r="S201" s="38">
        <v>44063</v>
      </c>
      <c r="T201" s="624"/>
      <c r="U201" s="39">
        <v>1202</v>
      </c>
      <c r="V201" s="39">
        <f t="shared" si="420"/>
        <v>2</v>
      </c>
      <c r="W201" s="39">
        <f t="shared" si="421"/>
        <v>0.16666666666666666</v>
      </c>
      <c r="X201" s="39">
        <v>0.57999999999999996</v>
      </c>
      <c r="Y201" s="39">
        <f t="shared" si="422"/>
        <v>4.8252911813643919E-2</v>
      </c>
      <c r="Z201" s="39"/>
      <c r="AA201" s="39"/>
      <c r="AB201" s="39"/>
      <c r="AC201" s="39">
        <v>2.5</v>
      </c>
      <c r="AD201" s="40">
        <f t="shared" si="423"/>
        <v>2.6666666666666665</v>
      </c>
      <c r="AE201" s="40">
        <f t="shared" si="424"/>
        <v>-2.3333333333333335</v>
      </c>
      <c r="AF201" s="40">
        <f t="shared" si="425"/>
        <v>2.6666666666666665</v>
      </c>
      <c r="AG201" s="41">
        <v>44420</v>
      </c>
      <c r="AH201" s="620"/>
      <c r="AI201" s="42">
        <v>1202</v>
      </c>
      <c r="AJ201" s="42">
        <f t="shared" ref="AJ201:AJ205" si="426">AI201-R201</f>
        <v>2</v>
      </c>
      <c r="AK201" s="42">
        <f>(AJ201*100)/R201</f>
        <v>0.16666666666666666</v>
      </c>
      <c r="AL201" s="42">
        <v>0.57999999999999996</v>
      </c>
      <c r="AM201" s="42">
        <f t="shared" ref="AM201:AM205" si="427">AL201*100/R201</f>
        <v>4.8333333333333325E-2</v>
      </c>
      <c r="AN201" s="42"/>
      <c r="AO201" s="42"/>
      <c r="AP201" s="42">
        <v>15</v>
      </c>
      <c r="AQ201" s="42">
        <f t="shared" si="400"/>
        <v>1.25</v>
      </c>
      <c r="AR201" s="40">
        <f>(AK201+AQ201)</f>
        <v>1.4166666666666667</v>
      </c>
      <c r="AS201" s="40">
        <f>(AK201-AQ201)</f>
        <v>-1.0833333333333333</v>
      </c>
      <c r="AT201" s="40">
        <f t="shared" si="389"/>
        <v>1.4166666666666667</v>
      </c>
      <c r="AU201" s="43">
        <f>YEARFRAC(S201,AG201)</f>
        <v>0.97777777777777775</v>
      </c>
      <c r="AV201" s="44">
        <f t="shared" ref="AV201:AV202" si="428">ABS(AT201-AF201)</f>
        <v>1.2499999999999998</v>
      </c>
      <c r="AW201" s="45">
        <f t="shared" ref="AW201:AW202" si="429">(AV201/AU201)</f>
        <v>1.2784090909090908</v>
      </c>
      <c r="AX201" s="46">
        <f t="shared" ref="AX201:AX202" si="430">(I201/AW201)</f>
        <v>2.3466666666666667</v>
      </c>
      <c r="AY201" s="72" t="str">
        <f t="shared" ref="AY201:AY231" si="431">IF(AX201&lt;=1,"UN AÑO",IF(AX201&gt;=1,"DOS AÑOS"))</f>
        <v>DOS AÑOS</v>
      </c>
      <c r="AZ201" s="774"/>
      <c r="BA201" s="378"/>
      <c r="BB201" s="371"/>
      <c r="BC201" s="397"/>
      <c r="BD201" s="373"/>
    </row>
    <row r="202" spans="1:56" ht="15" customHeight="1" x14ac:dyDescent="0.25">
      <c r="B202" s="765"/>
      <c r="C202" s="619"/>
      <c r="D202" s="768"/>
      <c r="E202" s="768"/>
      <c r="F202" s="771"/>
      <c r="G202" s="595"/>
      <c r="H202" s="613"/>
      <c r="I202" s="381">
        <v>3</v>
      </c>
      <c r="J202" s="780"/>
      <c r="K202" s="70">
        <v>3</v>
      </c>
      <c r="L202" s="777"/>
      <c r="M202" s="376"/>
      <c r="N202" s="377"/>
      <c r="O202" s="376"/>
      <c r="P202" s="377"/>
      <c r="Q202" s="37">
        <v>2400</v>
      </c>
      <c r="R202" s="37">
        <v>2400</v>
      </c>
      <c r="S202" s="38">
        <v>44063</v>
      </c>
      <c r="T202" s="624"/>
      <c r="U202" s="39">
        <v>2402</v>
      </c>
      <c r="V202" s="39">
        <f t="shared" si="420"/>
        <v>2</v>
      </c>
      <c r="W202" s="39">
        <f t="shared" si="421"/>
        <v>8.3333333333333329E-2</v>
      </c>
      <c r="X202" s="39">
        <v>0.57999999999999996</v>
      </c>
      <c r="Y202" s="39">
        <f t="shared" si="422"/>
        <v>2.4146544546211488E-2</v>
      </c>
      <c r="Z202" s="39"/>
      <c r="AA202" s="39"/>
      <c r="AB202" s="39"/>
      <c r="AC202" s="39">
        <v>2.2999999999999998</v>
      </c>
      <c r="AD202" s="40">
        <f t="shared" si="423"/>
        <v>2.3833333333333333</v>
      </c>
      <c r="AE202" s="40">
        <f t="shared" si="424"/>
        <v>-2.2166666666666663</v>
      </c>
      <c r="AF202" s="40">
        <f t="shared" si="425"/>
        <v>2.3833333333333333</v>
      </c>
      <c r="AG202" s="41">
        <v>44420</v>
      </c>
      <c r="AH202" s="620"/>
      <c r="AI202" s="42">
        <v>2400</v>
      </c>
      <c r="AJ202" s="42">
        <f t="shared" si="426"/>
        <v>0</v>
      </c>
      <c r="AK202" s="42">
        <f t="shared" ref="AK202" si="432">(AJ202*100)/Q202</f>
        <v>0</v>
      </c>
      <c r="AL202" s="42">
        <v>1.1499999999999999</v>
      </c>
      <c r="AM202" s="42">
        <f t="shared" si="427"/>
        <v>4.7916666666666663E-2</v>
      </c>
      <c r="AN202" s="42"/>
      <c r="AO202" s="42"/>
      <c r="AP202" s="42">
        <v>29</v>
      </c>
      <c r="AQ202" s="42">
        <f t="shared" si="400"/>
        <v>1.2083333333333333</v>
      </c>
      <c r="AR202" s="40">
        <f t="shared" ref="AR202:AR205" si="433">(AK202+AQ202)</f>
        <v>1.2083333333333333</v>
      </c>
      <c r="AS202" s="40">
        <f t="shared" ref="AS202:AS205" si="434">(AK202-AQ202)</f>
        <v>-1.2083333333333333</v>
      </c>
      <c r="AT202" s="40">
        <f t="shared" si="389"/>
        <v>1.2083333333333333</v>
      </c>
      <c r="AU202" s="43">
        <f t="shared" ref="AU202" si="435">YEARFRAC(S202,AG202)</f>
        <v>0.97777777777777775</v>
      </c>
      <c r="AV202" s="44">
        <f t="shared" si="428"/>
        <v>1.175</v>
      </c>
      <c r="AW202" s="45">
        <f t="shared" si="429"/>
        <v>1.2017045454545456</v>
      </c>
      <c r="AX202" s="46">
        <f t="shared" si="430"/>
        <v>2.4964539007092195</v>
      </c>
      <c r="AY202" s="72" t="str">
        <f t="shared" si="431"/>
        <v>DOS AÑOS</v>
      </c>
      <c r="AZ202" s="774"/>
      <c r="BA202" s="378"/>
      <c r="BB202" s="371"/>
      <c r="BC202" s="397"/>
      <c r="BD202" s="373"/>
    </row>
    <row r="203" spans="1:56" ht="15.75" customHeight="1" x14ac:dyDescent="0.25">
      <c r="B203" s="765"/>
      <c r="C203" s="619"/>
      <c r="D203" s="768"/>
      <c r="E203" s="768"/>
      <c r="F203" s="771"/>
      <c r="G203" s="595"/>
      <c r="H203" s="613"/>
      <c r="I203" s="381">
        <v>3</v>
      </c>
      <c r="J203" s="780"/>
      <c r="K203" s="70">
        <v>3</v>
      </c>
      <c r="L203" s="777"/>
      <c r="M203" s="376" t="s">
        <v>68</v>
      </c>
      <c r="N203" s="377"/>
      <c r="O203" s="376" t="s">
        <v>68</v>
      </c>
      <c r="P203" s="377"/>
      <c r="Q203" s="37">
        <v>3601</v>
      </c>
      <c r="R203" s="37">
        <v>3600</v>
      </c>
      <c r="S203" s="38">
        <v>44063</v>
      </c>
      <c r="T203" s="624"/>
      <c r="U203" s="39">
        <v>3602</v>
      </c>
      <c r="V203" s="39">
        <f t="shared" si="420"/>
        <v>1</v>
      </c>
      <c r="W203" s="39">
        <f t="shared" si="421"/>
        <v>2.7770063871146902E-2</v>
      </c>
      <c r="X203" s="39">
        <v>0</v>
      </c>
      <c r="Y203" s="39">
        <f t="shared" si="422"/>
        <v>0</v>
      </c>
      <c r="Z203" s="39"/>
      <c r="AA203" s="39" t="s">
        <v>68</v>
      </c>
      <c r="AB203" s="39" t="s">
        <v>68</v>
      </c>
      <c r="AC203" s="39">
        <v>1.8</v>
      </c>
      <c r="AD203" s="40">
        <f t="shared" si="423"/>
        <v>1.8277700638711469</v>
      </c>
      <c r="AE203" s="40">
        <f t="shared" si="424"/>
        <v>-1.7722299361288532</v>
      </c>
      <c r="AF203" s="40">
        <f t="shared" si="425"/>
        <v>1.8277700638711469</v>
      </c>
      <c r="AG203" s="41">
        <v>44420</v>
      </c>
      <c r="AH203" s="620"/>
      <c r="AI203" s="42">
        <v>3600</v>
      </c>
      <c r="AJ203" s="42">
        <f t="shared" si="426"/>
        <v>0</v>
      </c>
      <c r="AK203" s="42">
        <f t="shared" ref="AK203" si="436">(AJ203*100)/R203</f>
        <v>0</v>
      </c>
      <c r="AL203" s="42">
        <v>1.1499999999999999</v>
      </c>
      <c r="AM203" s="42">
        <f t="shared" si="427"/>
        <v>3.1944444444444442E-2</v>
      </c>
      <c r="AN203" s="42" t="s">
        <v>68</v>
      </c>
      <c r="AO203" s="42" t="s">
        <v>68</v>
      </c>
      <c r="AP203" s="42">
        <v>44</v>
      </c>
      <c r="AQ203" s="42">
        <f t="shared" si="400"/>
        <v>1.2222222222222223</v>
      </c>
      <c r="AR203" s="40">
        <f t="shared" si="433"/>
        <v>1.2222222222222223</v>
      </c>
      <c r="AS203" s="40">
        <f t="shared" si="434"/>
        <v>-1.2222222222222223</v>
      </c>
      <c r="AT203" s="40">
        <f t="shared" si="389"/>
        <v>1.2222222222222223</v>
      </c>
      <c r="AU203" s="43">
        <f t="shared" ref="AU203:AU204" si="437">YEARFRAC(S203,AG203)</f>
        <v>0.97777777777777775</v>
      </c>
      <c r="AV203" s="44">
        <f t="shared" ref="AV203:AV204" si="438">ABS(AT203-AF203)</f>
        <v>0.60554784164892461</v>
      </c>
      <c r="AW203" s="45">
        <f t="shared" ref="AW203:AW204" si="439">(AV203/AU203)</f>
        <v>0.61931029259549109</v>
      </c>
      <c r="AX203" s="46">
        <f t="shared" ref="AX203:AX204" si="440">(I203/AW203)</f>
        <v>4.8440984040926978</v>
      </c>
      <c r="AY203" s="72" t="str">
        <f t="shared" ref="AY203:AY204" si="441">IF(AX203&lt;=1,"UN AÑO",IF(AX203&gt;=1,"DOS AÑOS"))</f>
        <v>DOS AÑOS</v>
      </c>
      <c r="AZ203" s="774"/>
      <c r="BA203" s="378"/>
      <c r="BB203" s="371"/>
      <c r="BC203" s="397"/>
      <c r="BD203" s="373"/>
    </row>
    <row r="204" spans="1:56" ht="15.75" customHeight="1" x14ac:dyDescent="0.25">
      <c r="B204" s="765"/>
      <c r="C204" s="619"/>
      <c r="D204" s="768"/>
      <c r="E204" s="768"/>
      <c r="F204" s="771"/>
      <c r="G204" s="595"/>
      <c r="H204" s="613"/>
      <c r="I204" s="381">
        <v>3</v>
      </c>
      <c r="J204" s="780"/>
      <c r="K204" s="70">
        <v>3</v>
      </c>
      <c r="L204" s="777"/>
      <c r="M204" s="376"/>
      <c r="N204" s="377"/>
      <c r="O204" s="376"/>
      <c r="P204" s="377"/>
      <c r="Q204" s="37">
        <v>4815.3999999999996</v>
      </c>
      <c r="R204" s="37">
        <v>4800</v>
      </c>
      <c r="S204" s="38">
        <v>44063</v>
      </c>
      <c r="T204" s="624"/>
      <c r="U204" s="39">
        <v>4803.3999999999996</v>
      </c>
      <c r="V204" s="39">
        <f t="shared" si="420"/>
        <v>-12</v>
      </c>
      <c r="W204" s="39">
        <f t="shared" si="421"/>
        <v>-0.24920048178759815</v>
      </c>
      <c r="X204" s="39">
        <v>1</v>
      </c>
      <c r="Y204" s="39">
        <f t="shared" si="422"/>
        <v>2.0818586834325688E-2</v>
      </c>
      <c r="Z204" s="39"/>
      <c r="AA204" s="39"/>
      <c r="AB204" s="39" t="s">
        <v>68</v>
      </c>
      <c r="AC204" s="39">
        <v>2.2999999999999998</v>
      </c>
      <c r="AD204" s="40">
        <f t="shared" si="423"/>
        <v>2.0507995182124015</v>
      </c>
      <c r="AE204" s="40">
        <f t="shared" si="424"/>
        <v>-2.5492004817875982</v>
      </c>
      <c r="AF204" s="40">
        <f t="shared" si="425"/>
        <v>2.0507995182124015</v>
      </c>
      <c r="AG204" s="41">
        <v>44420</v>
      </c>
      <c r="AH204" s="620"/>
      <c r="AI204" s="42">
        <v>4803</v>
      </c>
      <c r="AJ204" s="42">
        <f t="shared" si="426"/>
        <v>3</v>
      </c>
      <c r="AK204" s="42">
        <f>(AJ204*100)/R204</f>
        <v>6.25E-2</v>
      </c>
      <c r="AL204" s="42">
        <v>0.57999999999999996</v>
      </c>
      <c r="AM204" s="42">
        <f t="shared" si="427"/>
        <v>1.2083333333333331E-2</v>
      </c>
      <c r="AN204" s="42"/>
      <c r="AO204" s="42"/>
      <c r="AP204" s="42">
        <v>66</v>
      </c>
      <c r="AQ204" s="42">
        <f t="shared" si="400"/>
        <v>1.375</v>
      </c>
      <c r="AR204" s="40">
        <f t="shared" si="433"/>
        <v>1.4375</v>
      </c>
      <c r="AS204" s="40">
        <f t="shared" si="434"/>
        <v>-1.3125</v>
      </c>
      <c r="AT204" s="40">
        <f t="shared" ref="AT204:AT231" si="442">MAX(AR204:AS204)</f>
        <v>1.4375</v>
      </c>
      <c r="AU204" s="43">
        <f t="shared" si="437"/>
        <v>0.97777777777777775</v>
      </c>
      <c r="AV204" s="44">
        <f t="shared" si="438"/>
        <v>0.61329951821240147</v>
      </c>
      <c r="AW204" s="45">
        <f t="shared" si="439"/>
        <v>0.62723814362631969</v>
      </c>
      <c r="AX204" s="46">
        <f t="shared" si="440"/>
        <v>4.7828723914266051</v>
      </c>
      <c r="AY204" s="72" t="str">
        <f t="shared" si="441"/>
        <v>DOS AÑOS</v>
      </c>
      <c r="AZ204" s="774"/>
      <c r="BA204" s="379"/>
      <c r="BB204" s="372"/>
      <c r="BC204" s="74"/>
      <c r="BD204" s="374"/>
    </row>
    <row r="205" spans="1:56" ht="15.75" customHeight="1" thickBot="1" x14ac:dyDescent="0.3">
      <c r="B205" s="766"/>
      <c r="C205" s="619"/>
      <c r="D205" s="385"/>
      <c r="E205" s="769"/>
      <c r="F205" s="772"/>
      <c r="G205" s="595"/>
      <c r="H205" s="613"/>
      <c r="I205" s="381">
        <v>3</v>
      </c>
      <c r="J205" s="781"/>
      <c r="K205" s="70">
        <v>3</v>
      </c>
      <c r="L205" s="778"/>
      <c r="M205" s="376"/>
      <c r="N205" s="377"/>
      <c r="O205" s="376"/>
      <c r="P205" s="377"/>
      <c r="Q205" s="37">
        <v>6060</v>
      </c>
      <c r="R205" s="37">
        <v>6000</v>
      </c>
      <c r="S205" s="38">
        <v>44063</v>
      </c>
      <c r="T205" s="625"/>
      <c r="U205" s="39">
        <v>5999</v>
      </c>
      <c r="V205" s="39">
        <f t="shared" si="420"/>
        <v>-61</v>
      </c>
      <c r="W205" s="39">
        <f>V205*100/Q205</f>
        <v>-1.0066006600660067</v>
      </c>
      <c r="X205" s="39">
        <v>1.1499999999999999</v>
      </c>
      <c r="Y205" s="39">
        <f t="shared" si="422"/>
        <v>1.9169861643607265E-2</v>
      </c>
      <c r="Z205" s="39"/>
      <c r="AA205" s="39"/>
      <c r="AB205" s="39"/>
      <c r="AC205" s="39">
        <v>1</v>
      </c>
      <c r="AD205" s="40">
        <f t="shared" si="423"/>
        <v>-6.6006600660066805E-3</v>
      </c>
      <c r="AE205" s="40">
        <f t="shared" si="424"/>
        <v>-2.0066006600660069</v>
      </c>
      <c r="AF205" s="40">
        <f t="shared" si="425"/>
        <v>-6.6006600660066805E-3</v>
      </c>
      <c r="AG205" s="41">
        <v>44420</v>
      </c>
      <c r="AH205" s="714"/>
      <c r="AI205" s="42">
        <v>5999</v>
      </c>
      <c r="AJ205" s="42">
        <f t="shared" si="426"/>
        <v>-1</v>
      </c>
      <c r="AK205" s="42">
        <f t="shared" ref="AK205" si="443">(AJ205*100)/R205</f>
        <v>-1.6666666666666666E-2</v>
      </c>
      <c r="AL205" s="42">
        <v>0.57999999999999996</v>
      </c>
      <c r="AM205" s="42">
        <f t="shared" si="427"/>
        <v>9.6666666666666654E-3</v>
      </c>
      <c r="AN205" s="42"/>
      <c r="AO205" s="42"/>
      <c r="AP205" s="42">
        <v>82</v>
      </c>
      <c r="AQ205" s="42">
        <f t="shared" si="400"/>
        <v>1.3666666666666667</v>
      </c>
      <c r="AR205" s="40">
        <f t="shared" si="433"/>
        <v>1.35</v>
      </c>
      <c r="AS205" s="40">
        <f t="shared" si="434"/>
        <v>-1.3833333333333333</v>
      </c>
      <c r="AT205" s="40">
        <f t="shared" si="442"/>
        <v>1.35</v>
      </c>
      <c r="AU205" s="43">
        <f t="shared" ref="AU205:AU231" si="444">YEARFRAC(S205,AG205)</f>
        <v>0.97777777777777775</v>
      </c>
      <c r="AV205" s="44">
        <f t="shared" ref="AV205:AV231" si="445">ABS(AT205-AF205)</f>
        <v>1.3566006600660068</v>
      </c>
      <c r="AW205" s="45">
        <f t="shared" ref="AW205:AW231" si="446">(AV205/AU205)</f>
        <v>1.3874324932493252</v>
      </c>
      <c r="AX205" s="46">
        <f t="shared" ref="AX205:AX231" si="447">(I205/AW205)</f>
        <v>2.1622673640676315</v>
      </c>
      <c r="AY205" s="72" t="str">
        <f t="shared" si="431"/>
        <v>DOS AÑOS</v>
      </c>
      <c r="AZ205" s="775"/>
      <c r="BA205" s="379"/>
      <c r="BB205" s="372"/>
      <c r="BC205" s="74"/>
      <c r="BD205" s="374"/>
    </row>
    <row r="206" spans="1:56" s="299" customFormat="1" ht="15.75" customHeight="1" x14ac:dyDescent="0.25">
      <c r="A206" s="321"/>
      <c r="B206" s="764" t="s">
        <v>227</v>
      </c>
      <c r="C206" s="618" t="s">
        <v>194</v>
      </c>
      <c r="D206" s="768" t="s">
        <v>103</v>
      </c>
      <c r="E206" s="767" t="s">
        <v>228</v>
      </c>
      <c r="F206" s="770">
        <v>19022921</v>
      </c>
      <c r="G206" s="594" t="s">
        <v>16</v>
      </c>
      <c r="H206" s="594" t="s">
        <v>229</v>
      </c>
      <c r="I206" s="445">
        <v>3</v>
      </c>
      <c r="J206" s="440"/>
      <c r="K206" s="301">
        <v>2</v>
      </c>
      <c r="L206" s="439"/>
      <c r="M206" s="448" t="s">
        <v>68</v>
      </c>
      <c r="N206" s="444"/>
      <c r="O206" s="448" t="s">
        <v>68</v>
      </c>
      <c r="P206" s="444"/>
      <c r="Q206" s="241">
        <v>0</v>
      </c>
      <c r="R206" s="241">
        <v>0</v>
      </c>
      <c r="S206" s="243">
        <v>44063</v>
      </c>
      <c r="T206" s="623" t="s">
        <v>231</v>
      </c>
      <c r="U206" s="303">
        <v>0</v>
      </c>
      <c r="V206" s="303">
        <f t="shared" si="420"/>
        <v>0</v>
      </c>
      <c r="W206" s="303">
        <v>0</v>
      </c>
      <c r="X206" s="39">
        <f t="shared" ref="X206" si="448">W206*100/30000</f>
        <v>0</v>
      </c>
      <c r="Y206" s="303">
        <v>0</v>
      </c>
      <c r="Z206" s="303" t="s">
        <v>68</v>
      </c>
      <c r="AA206" s="303" t="s">
        <v>68</v>
      </c>
      <c r="AB206" s="303" t="s">
        <v>68</v>
      </c>
      <c r="AC206" s="303">
        <v>0.22</v>
      </c>
      <c r="AD206" s="245">
        <f>(W206+AC206)</f>
        <v>0.22</v>
      </c>
      <c r="AE206" s="245">
        <f>(W206-AC206)</f>
        <v>-0.22</v>
      </c>
      <c r="AF206" s="245">
        <f t="shared" si="425"/>
        <v>0.22</v>
      </c>
      <c r="AG206" s="246">
        <v>44421</v>
      </c>
      <c r="AH206" s="660">
        <v>66157</v>
      </c>
      <c r="AI206" s="304">
        <v>0</v>
      </c>
      <c r="AJ206" s="304">
        <v>0</v>
      </c>
      <c r="AK206" s="304">
        <v>0</v>
      </c>
      <c r="AL206" s="304">
        <v>0</v>
      </c>
      <c r="AM206" s="304">
        <v>0</v>
      </c>
      <c r="AN206" s="304" t="s">
        <v>68</v>
      </c>
      <c r="AO206" s="304" t="s">
        <v>68</v>
      </c>
      <c r="AP206" s="304">
        <v>0.56999999999999995</v>
      </c>
      <c r="AQ206" s="42">
        <f>AP206*100/6000</f>
        <v>9.499999999999998E-3</v>
      </c>
      <c r="AR206" s="245">
        <f>(AK206+AQ206)</f>
        <v>9.499999999999998E-3</v>
      </c>
      <c r="AS206" s="245">
        <f>(AK206-AQ206)</f>
        <v>-9.499999999999998E-3</v>
      </c>
      <c r="AT206" s="245">
        <f t="shared" si="442"/>
        <v>9.499999999999998E-3</v>
      </c>
      <c r="AU206" s="248">
        <f t="shared" si="444"/>
        <v>0.98055555555555551</v>
      </c>
      <c r="AV206" s="249">
        <f t="shared" si="445"/>
        <v>0.21049999999999999</v>
      </c>
      <c r="AW206" s="305">
        <f t="shared" si="446"/>
        <v>0.21467422096317282</v>
      </c>
      <c r="AX206" s="251">
        <f t="shared" si="447"/>
        <v>13.974663499604116</v>
      </c>
      <c r="AY206" s="283" t="str">
        <f t="shared" si="431"/>
        <v>DOS AÑOS</v>
      </c>
      <c r="AZ206" s="438"/>
      <c r="BA206" s="447"/>
      <c r="BB206" s="441"/>
      <c r="BC206" s="397"/>
      <c r="BD206" s="442"/>
    </row>
    <row r="207" spans="1:56" s="73" customFormat="1" ht="15.75" customHeight="1" x14ac:dyDescent="0.25">
      <c r="A207" s="321"/>
      <c r="B207" s="765"/>
      <c r="C207" s="619"/>
      <c r="D207" s="768"/>
      <c r="E207" s="768"/>
      <c r="F207" s="771"/>
      <c r="G207" s="595"/>
      <c r="H207" s="595"/>
      <c r="I207" s="446">
        <v>3</v>
      </c>
      <c r="J207" s="440"/>
      <c r="K207" s="70">
        <v>2</v>
      </c>
      <c r="L207" s="439"/>
      <c r="M207" s="443"/>
      <c r="N207" s="444"/>
      <c r="O207" s="443"/>
      <c r="P207" s="444"/>
      <c r="Q207" s="37">
        <v>99</v>
      </c>
      <c r="R207" s="37">
        <v>49.3</v>
      </c>
      <c r="S207" s="38">
        <v>44063</v>
      </c>
      <c r="T207" s="624"/>
      <c r="U207" s="39">
        <v>98</v>
      </c>
      <c r="V207" s="39">
        <f t="shared" si="420"/>
        <v>-1</v>
      </c>
      <c r="W207" s="39">
        <f>V207*100/6000</f>
        <v>-1.6666666666666666E-2</v>
      </c>
      <c r="X207" s="39">
        <v>0</v>
      </c>
      <c r="Y207" s="39">
        <f>X207*100/6000</f>
        <v>0</v>
      </c>
      <c r="Z207" s="39"/>
      <c r="AA207" s="39"/>
      <c r="AB207" s="39" t="s">
        <v>68</v>
      </c>
      <c r="AC207" s="39">
        <v>0.22</v>
      </c>
      <c r="AD207" s="245">
        <f t="shared" ref="AD207:AD214" si="449">(W207+AC207)</f>
        <v>0.20333333333333334</v>
      </c>
      <c r="AE207" s="245">
        <f t="shared" ref="AE207:AE214" si="450">(W207-AC207)</f>
        <v>-0.23666666666666666</v>
      </c>
      <c r="AF207" s="245">
        <f t="shared" si="425"/>
        <v>0.20333333333333334</v>
      </c>
      <c r="AG207" s="41">
        <v>44421</v>
      </c>
      <c r="AH207" s="620"/>
      <c r="AI207" s="42">
        <v>52</v>
      </c>
      <c r="AJ207" s="42">
        <f>AI207-R207</f>
        <v>2.7000000000000028</v>
      </c>
      <c r="AK207" s="42">
        <f>(AJ207*100)/6000</f>
        <v>4.5000000000000047E-2</v>
      </c>
      <c r="AL207" s="42">
        <v>0</v>
      </c>
      <c r="AM207" s="42">
        <f>AL207*100/6000</f>
        <v>0</v>
      </c>
      <c r="AN207" s="42"/>
      <c r="AO207" s="42"/>
      <c r="AP207" s="42">
        <v>1.1000000000000001</v>
      </c>
      <c r="AQ207" s="42">
        <f t="shared" ref="AQ207:AQ227" si="451">AP207*100/6000</f>
        <v>1.8333333333333337E-2</v>
      </c>
      <c r="AR207" s="245">
        <f t="shared" ref="AR207:AR216" si="452">(AK207+AQ207)</f>
        <v>6.333333333333338E-2</v>
      </c>
      <c r="AS207" s="245">
        <f t="shared" ref="AS207:AS216" si="453">(AK207-AQ207)</f>
        <v>2.666666666666671E-2</v>
      </c>
      <c r="AT207" s="245">
        <f t="shared" si="442"/>
        <v>6.333333333333338E-2</v>
      </c>
      <c r="AU207" s="248">
        <f t="shared" si="444"/>
        <v>0.98055555555555551</v>
      </c>
      <c r="AV207" s="249">
        <f t="shared" si="445"/>
        <v>0.13999999999999996</v>
      </c>
      <c r="AW207" s="305">
        <f t="shared" si="446"/>
        <v>0.14277620396600563</v>
      </c>
      <c r="AX207" s="251">
        <f t="shared" si="447"/>
        <v>21.011904761904766</v>
      </c>
      <c r="AY207" s="283" t="str">
        <f t="shared" si="431"/>
        <v>DOS AÑOS</v>
      </c>
      <c r="AZ207" s="438"/>
      <c r="BA207" s="447"/>
      <c r="BB207" s="441"/>
      <c r="BC207" s="397"/>
      <c r="BD207" s="442"/>
    </row>
    <row r="208" spans="1:56" s="73" customFormat="1" ht="15.75" customHeight="1" x14ac:dyDescent="0.25">
      <c r="A208" s="321"/>
      <c r="B208" s="765"/>
      <c r="C208" s="619"/>
      <c r="D208" s="768"/>
      <c r="E208" s="768"/>
      <c r="F208" s="771"/>
      <c r="G208" s="595"/>
      <c r="H208" s="595"/>
      <c r="I208" s="446">
        <v>3</v>
      </c>
      <c r="J208" s="440"/>
      <c r="K208" s="70">
        <v>2</v>
      </c>
      <c r="L208" s="439"/>
      <c r="M208" s="443"/>
      <c r="N208" s="444"/>
      <c r="O208" s="443"/>
      <c r="P208" s="444"/>
      <c r="Q208" s="37"/>
      <c r="R208" s="37">
        <v>246.5</v>
      </c>
      <c r="S208" s="38"/>
      <c r="T208" s="624"/>
      <c r="U208" s="39"/>
      <c r="V208" s="39"/>
      <c r="W208" s="39"/>
      <c r="X208" s="39"/>
      <c r="Y208" s="39"/>
      <c r="Z208" s="39"/>
      <c r="AA208" s="39"/>
      <c r="AB208" s="39"/>
      <c r="AC208" s="39"/>
      <c r="AD208" s="245"/>
      <c r="AE208" s="245"/>
      <c r="AF208" s="245"/>
      <c r="AG208" s="41">
        <v>44421</v>
      </c>
      <c r="AH208" s="620"/>
      <c r="AI208" s="42">
        <v>251.4</v>
      </c>
      <c r="AJ208" s="42">
        <f>AI208-R208</f>
        <v>4.9000000000000057</v>
      </c>
      <c r="AK208" s="42">
        <f t="shared" ref="AK208:AK227" si="454">(AJ208*100)/6000</f>
        <v>8.1666666666666762E-2</v>
      </c>
      <c r="AL208" s="42">
        <v>3.6</v>
      </c>
      <c r="AM208" s="42">
        <f t="shared" ref="AM208:AM227" si="455">AL208*100/6000</f>
        <v>0.06</v>
      </c>
      <c r="AN208" s="42"/>
      <c r="AO208" s="42"/>
      <c r="AP208" s="42">
        <v>5.5</v>
      </c>
      <c r="AQ208" s="42">
        <f t="shared" si="451"/>
        <v>9.166666666666666E-2</v>
      </c>
      <c r="AR208" s="245">
        <f t="shared" si="452"/>
        <v>0.17333333333333342</v>
      </c>
      <c r="AS208" s="245">
        <f t="shared" si="453"/>
        <v>-9.9999999999998979E-3</v>
      </c>
      <c r="AT208" s="245">
        <f t="shared" si="442"/>
        <v>0.17333333333333342</v>
      </c>
      <c r="AU208" s="248">
        <f t="shared" si="444"/>
        <v>121.61944444444444</v>
      </c>
      <c r="AV208" s="249">
        <f t="shared" si="445"/>
        <v>0.17333333333333342</v>
      </c>
      <c r="AW208" s="305">
        <f t="shared" si="446"/>
        <v>1.4252106982162035E-3</v>
      </c>
      <c r="AX208" s="251">
        <f t="shared" si="447"/>
        <v>2104.951923076922</v>
      </c>
      <c r="AY208" s="283" t="str">
        <f t="shared" si="431"/>
        <v>DOS AÑOS</v>
      </c>
      <c r="AZ208" s="438"/>
      <c r="BA208" s="447"/>
      <c r="BB208" s="441"/>
      <c r="BC208" s="397"/>
      <c r="BD208" s="442"/>
    </row>
    <row r="209" spans="1:56" s="73" customFormat="1" ht="15.75" customHeight="1" x14ac:dyDescent="0.25">
      <c r="A209" s="321"/>
      <c r="B209" s="765"/>
      <c r="C209" s="619"/>
      <c r="D209" s="768"/>
      <c r="E209" s="768"/>
      <c r="F209" s="771"/>
      <c r="G209" s="595"/>
      <c r="H209" s="595"/>
      <c r="I209" s="446">
        <v>3</v>
      </c>
      <c r="J209" s="440"/>
      <c r="K209" s="70">
        <v>2</v>
      </c>
      <c r="L209" s="439"/>
      <c r="M209" s="443"/>
      <c r="N209" s="444"/>
      <c r="O209" s="443"/>
      <c r="P209" s="444"/>
      <c r="Q209" s="37">
        <v>496</v>
      </c>
      <c r="R209" s="37">
        <v>493</v>
      </c>
      <c r="S209" s="38">
        <v>44063</v>
      </c>
      <c r="T209" s="624"/>
      <c r="U209" s="39">
        <v>498</v>
      </c>
      <c r="V209" s="39">
        <f t="shared" si="420"/>
        <v>2</v>
      </c>
      <c r="W209" s="39">
        <f>V209*100/6000</f>
        <v>3.3333333333333333E-2</v>
      </c>
      <c r="X209" s="39">
        <v>1.5</v>
      </c>
      <c r="Y209" s="39">
        <f>X209*100/6000</f>
        <v>2.5000000000000001E-2</v>
      </c>
      <c r="Z209" s="39"/>
      <c r="AA209" s="39"/>
      <c r="AB209" s="39"/>
      <c r="AC209" s="39">
        <v>0.22</v>
      </c>
      <c r="AD209" s="245">
        <f t="shared" si="449"/>
        <v>0.25333333333333335</v>
      </c>
      <c r="AE209" s="245">
        <f t="shared" si="450"/>
        <v>-0.18666666666666668</v>
      </c>
      <c r="AF209" s="245">
        <f t="shared" si="425"/>
        <v>0.25333333333333335</v>
      </c>
      <c r="AG209" s="41">
        <v>44421</v>
      </c>
      <c r="AH209" s="620"/>
      <c r="AI209" s="42">
        <v>508</v>
      </c>
      <c r="AJ209" s="42">
        <f>AI209-R209</f>
        <v>15</v>
      </c>
      <c r="AK209" s="42">
        <f t="shared" si="454"/>
        <v>0.25</v>
      </c>
      <c r="AL209" s="42">
        <v>5.3</v>
      </c>
      <c r="AM209" s="42">
        <f t="shared" si="455"/>
        <v>8.8333333333333333E-2</v>
      </c>
      <c r="AN209" s="42"/>
      <c r="AO209" s="42"/>
      <c r="AP209" s="42">
        <v>9.6999999999999993</v>
      </c>
      <c r="AQ209" s="42">
        <f t="shared" si="451"/>
        <v>0.16166666666666665</v>
      </c>
      <c r="AR209" s="245">
        <f t="shared" si="452"/>
        <v>0.41166666666666663</v>
      </c>
      <c r="AS209" s="245">
        <f t="shared" si="453"/>
        <v>8.8333333333333347E-2</v>
      </c>
      <c r="AT209" s="245">
        <f t="shared" si="442"/>
        <v>0.41166666666666663</v>
      </c>
      <c r="AU209" s="248">
        <f t="shared" si="444"/>
        <v>0.98055555555555551</v>
      </c>
      <c r="AV209" s="249">
        <f t="shared" si="445"/>
        <v>0.15833333333333327</v>
      </c>
      <c r="AW209" s="305">
        <f t="shared" si="446"/>
        <v>0.16147308781869682</v>
      </c>
      <c r="AX209" s="251">
        <f t="shared" si="447"/>
        <v>18.578947368421058</v>
      </c>
      <c r="AY209" s="283" t="str">
        <f t="shared" si="431"/>
        <v>DOS AÑOS</v>
      </c>
      <c r="AZ209" s="438"/>
      <c r="BA209" s="447"/>
      <c r="BB209" s="441"/>
      <c r="BC209" s="397"/>
      <c r="BD209" s="442"/>
    </row>
    <row r="210" spans="1:56" s="73" customFormat="1" ht="15.75" customHeight="1" x14ac:dyDescent="0.25">
      <c r="A210" s="321"/>
      <c r="B210" s="765"/>
      <c r="C210" s="619"/>
      <c r="D210" s="768"/>
      <c r="E210" s="768"/>
      <c r="F210" s="771"/>
      <c r="G210" s="595"/>
      <c r="H210" s="595"/>
      <c r="I210" s="446">
        <v>3</v>
      </c>
      <c r="J210" s="440"/>
      <c r="K210" s="70">
        <v>2</v>
      </c>
      <c r="L210" s="439"/>
      <c r="M210" s="443"/>
      <c r="N210" s="444"/>
      <c r="O210" s="443"/>
      <c r="P210" s="444"/>
      <c r="Q210" s="37"/>
      <c r="R210" s="37">
        <v>986</v>
      </c>
      <c r="S210" s="38"/>
      <c r="T210" s="624"/>
      <c r="U210" s="39"/>
      <c r="V210" s="39"/>
      <c r="W210" s="39"/>
      <c r="X210" s="39"/>
      <c r="Y210" s="39"/>
      <c r="Z210" s="39"/>
      <c r="AA210" s="39"/>
      <c r="AB210" s="39" t="s">
        <v>68</v>
      </c>
      <c r="AC210" s="39"/>
      <c r="AD210" s="245"/>
      <c r="AE210" s="245"/>
      <c r="AF210" s="245"/>
      <c r="AG210" s="41">
        <v>44421</v>
      </c>
      <c r="AH210" s="620"/>
      <c r="AI210" s="42">
        <v>981</v>
      </c>
      <c r="AJ210" s="42">
        <f t="shared" ref="AJ210:AJ212" si="456">AI210-R210</f>
        <v>-5</v>
      </c>
      <c r="AK210" s="42">
        <f t="shared" si="454"/>
        <v>-8.3333333333333329E-2</v>
      </c>
      <c r="AL210" s="42">
        <v>4.5</v>
      </c>
      <c r="AM210" s="42">
        <f t="shared" si="455"/>
        <v>7.4999999999999997E-2</v>
      </c>
      <c r="AN210" s="42"/>
      <c r="AO210" s="42"/>
      <c r="AP210" s="42">
        <v>17</v>
      </c>
      <c r="AQ210" s="42">
        <f t="shared" si="451"/>
        <v>0.28333333333333333</v>
      </c>
      <c r="AR210" s="245">
        <f t="shared" si="452"/>
        <v>0.2</v>
      </c>
      <c r="AS210" s="245">
        <f t="shared" si="453"/>
        <v>-0.36666666666666664</v>
      </c>
      <c r="AT210" s="245">
        <f t="shared" si="442"/>
        <v>0.2</v>
      </c>
      <c r="AU210" s="248">
        <f t="shared" si="444"/>
        <v>121.61944444444444</v>
      </c>
      <c r="AV210" s="249">
        <f t="shared" si="445"/>
        <v>0.2</v>
      </c>
      <c r="AW210" s="305">
        <f t="shared" si="446"/>
        <v>1.6444738825571569E-3</v>
      </c>
      <c r="AX210" s="251">
        <f t="shared" si="447"/>
        <v>1824.2916666666665</v>
      </c>
      <c r="AY210" s="283" t="str">
        <f t="shared" si="431"/>
        <v>DOS AÑOS</v>
      </c>
      <c r="AZ210" s="438"/>
      <c r="BA210" s="447"/>
      <c r="BB210" s="441"/>
      <c r="BC210" s="397"/>
      <c r="BD210" s="442"/>
    </row>
    <row r="211" spans="1:56" s="73" customFormat="1" ht="15.75" customHeight="1" x14ac:dyDescent="0.25">
      <c r="A211" s="321"/>
      <c r="B211" s="765"/>
      <c r="C211" s="619"/>
      <c r="D211" s="768"/>
      <c r="E211" s="768"/>
      <c r="F211" s="771"/>
      <c r="G211" s="595"/>
      <c r="H211" s="595"/>
      <c r="I211" s="446">
        <v>3</v>
      </c>
      <c r="J211" s="440"/>
      <c r="K211" s="70">
        <v>2</v>
      </c>
      <c r="L211" s="439"/>
      <c r="M211" s="443"/>
      <c r="N211" s="444"/>
      <c r="O211" s="443"/>
      <c r="P211" s="444"/>
      <c r="Q211" s="37">
        <v>1984</v>
      </c>
      <c r="R211" s="37">
        <v>1972</v>
      </c>
      <c r="S211" s="38">
        <v>44063</v>
      </c>
      <c r="T211" s="624"/>
      <c r="U211" s="39">
        <v>1975</v>
      </c>
      <c r="V211" s="39">
        <f t="shared" si="420"/>
        <v>-9</v>
      </c>
      <c r="W211" s="39">
        <f t="shared" ref="W211:W214" si="457">V211*100/6000</f>
        <v>-0.15</v>
      </c>
      <c r="X211" s="39">
        <v>1.7</v>
      </c>
      <c r="Y211" s="39">
        <f t="shared" ref="Y211:Y214" si="458">X211*100/6000</f>
        <v>2.8333333333333332E-2</v>
      </c>
      <c r="Z211" s="39"/>
      <c r="AA211" s="39"/>
      <c r="AB211" s="39" t="s">
        <v>68</v>
      </c>
      <c r="AC211" s="39">
        <v>0.22</v>
      </c>
      <c r="AD211" s="245">
        <f t="shared" si="449"/>
        <v>7.0000000000000007E-2</v>
      </c>
      <c r="AE211" s="245">
        <f t="shared" si="450"/>
        <v>-0.37</v>
      </c>
      <c r="AF211" s="245">
        <f t="shared" si="425"/>
        <v>7.0000000000000007E-2</v>
      </c>
      <c r="AG211" s="41">
        <v>44421</v>
      </c>
      <c r="AH211" s="620"/>
      <c r="AI211" s="42">
        <v>1970</v>
      </c>
      <c r="AJ211" s="42">
        <f t="shared" si="456"/>
        <v>-2</v>
      </c>
      <c r="AK211" s="42">
        <f t="shared" si="454"/>
        <v>-3.3333333333333333E-2</v>
      </c>
      <c r="AL211" s="42">
        <v>4.2</v>
      </c>
      <c r="AM211" s="42">
        <f t="shared" si="455"/>
        <v>7.0000000000000007E-2</v>
      </c>
      <c r="AN211" s="42"/>
      <c r="AO211" s="42"/>
      <c r="AP211" s="42">
        <v>34</v>
      </c>
      <c r="AQ211" s="42">
        <f t="shared" si="451"/>
        <v>0.56666666666666665</v>
      </c>
      <c r="AR211" s="245">
        <f t="shared" si="452"/>
        <v>0.53333333333333333</v>
      </c>
      <c r="AS211" s="245">
        <f t="shared" si="453"/>
        <v>-0.6</v>
      </c>
      <c r="AT211" s="245">
        <f t="shared" si="442"/>
        <v>0.53333333333333333</v>
      </c>
      <c r="AU211" s="248">
        <f t="shared" si="444"/>
        <v>0.98055555555555551</v>
      </c>
      <c r="AV211" s="249">
        <f t="shared" si="445"/>
        <v>0.46333333333333332</v>
      </c>
      <c r="AW211" s="305">
        <f t="shared" si="446"/>
        <v>0.47252124645892352</v>
      </c>
      <c r="AX211" s="251">
        <f t="shared" si="447"/>
        <v>6.3489208633093526</v>
      </c>
      <c r="AY211" s="283" t="str">
        <f t="shared" si="431"/>
        <v>DOS AÑOS</v>
      </c>
      <c r="AZ211" s="438"/>
      <c r="BA211" s="447"/>
      <c r="BB211" s="441"/>
      <c r="BC211" s="397"/>
      <c r="BD211" s="442"/>
    </row>
    <row r="212" spans="1:56" s="73" customFormat="1" ht="15.75" customHeight="1" x14ac:dyDescent="0.25">
      <c r="A212" s="321"/>
      <c r="B212" s="765"/>
      <c r="C212" s="619"/>
      <c r="D212" s="768"/>
      <c r="E212" s="768"/>
      <c r="F212" s="771"/>
      <c r="G212" s="595"/>
      <c r="H212" s="595"/>
      <c r="I212" s="446">
        <v>3</v>
      </c>
      <c r="J212" s="440"/>
      <c r="K212" s="70">
        <v>2</v>
      </c>
      <c r="L212" s="439"/>
      <c r="M212" s="443" t="s">
        <v>68</v>
      </c>
      <c r="N212" s="444"/>
      <c r="O212" s="443" t="s">
        <v>68</v>
      </c>
      <c r="P212" s="444"/>
      <c r="Q212" s="37">
        <v>2976</v>
      </c>
      <c r="R212" s="37">
        <v>2958</v>
      </c>
      <c r="S212" s="38">
        <v>44063</v>
      </c>
      <c r="T212" s="624"/>
      <c r="U212" s="39">
        <v>2953</v>
      </c>
      <c r="V212" s="39">
        <f t="shared" si="420"/>
        <v>-23</v>
      </c>
      <c r="W212" s="39">
        <f t="shared" si="457"/>
        <v>-0.38333333333333336</v>
      </c>
      <c r="X212" s="39">
        <v>0.6</v>
      </c>
      <c r="Y212" s="39">
        <f t="shared" si="458"/>
        <v>0.01</v>
      </c>
      <c r="Z212" s="39" t="s">
        <v>68</v>
      </c>
      <c r="AA212" s="39" t="s">
        <v>68</v>
      </c>
      <c r="AB212" s="39" t="s">
        <v>68</v>
      </c>
      <c r="AC212" s="39">
        <v>0.22</v>
      </c>
      <c r="AD212" s="245">
        <f t="shared" si="449"/>
        <v>-0.16333333333333336</v>
      </c>
      <c r="AE212" s="245">
        <f t="shared" si="450"/>
        <v>-0.60333333333333339</v>
      </c>
      <c r="AF212" s="245">
        <f t="shared" si="425"/>
        <v>-0.16333333333333336</v>
      </c>
      <c r="AG212" s="41">
        <v>44421</v>
      </c>
      <c r="AH212" s="620"/>
      <c r="AI212" s="42">
        <v>2953</v>
      </c>
      <c r="AJ212" s="42">
        <f t="shared" si="456"/>
        <v>-5</v>
      </c>
      <c r="AK212" s="42">
        <f t="shared" si="454"/>
        <v>-8.3333333333333329E-2</v>
      </c>
      <c r="AL212" s="42">
        <v>3.6</v>
      </c>
      <c r="AM212" s="42">
        <f t="shared" si="455"/>
        <v>0.06</v>
      </c>
      <c r="AN212" s="42" t="s">
        <v>68</v>
      </c>
      <c r="AO212" s="42" t="s">
        <v>68</v>
      </c>
      <c r="AP212" s="42">
        <v>50</v>
      </c>
      <c r="AQ212" s="42">
        <f t="shared" si="451"/>
        <v>0.83333333333333337</v>
      </c>
      <c r="AR212" s="245">
        <f t="shared" si="452"/>
        <v>0.75</v>
      </c>
      <c r="AS212" s="245">
        <f t="shared" si="453"/>
        <v>-0.91666666666666674</v>
      </c>
      <c r="AT212" s="245">
        <f t="shared" si="442"/>
        <v>0.75</v>
      </c>
      <c r="AU212" s="248">
        <f t="shared" si="444"/>
        <v>0.98055555555555551</v>
      </c>
      <c r="AV212" s="249">
        <f t="shared" si="445"/>
        <v>0.91333333333333333</v>
      </c>
      <c r="AW212" s="305">
        <f t="shared" si="446"/>
        <v>0.93144475920679892</v>
      </c>
      <c r="AX212" s="251">
        <f t="shared" si="447"/>
        <v>3.2208029197080288</v>
      </c>
      <c r="AY212" s="283" t="str">
        <f t="shared" si="431"/>
        <v>DOS AÑOS</v>
      </c>
      <c r="AZ212" s="438"/>
      <c r="BA212" s="447"/>
      <c r="BB212" s="441"/>
      <c r="BC212" s="397"/>
      <c r="BD212" s="442"/>
    </row>
    <row r="213" spans="1:56" s="73" customFormat="1" ht="15.75" customHeight="1" x14ac:dyDescent="0.25">
      <c r="A213" s="321"/>
      <c r="B213" s="765"/>
      <c r="C213" s="619"/>
      <c r="D213" s="768"/>
      <c r="E213" s="768"/>
      <c r="F213" s="771"/>
      <c r="G213" s="595"/>
      <c r="H213" s="595"/>
      <c r="I213" s="446">
        <v>3</v>
      </c>
      <c r="J213" s="440"/>
      <c r="K213" s="70">
        <v>2</v>
      </c>
      <c r="L213" s="439"/>
      <c r="M213" s="443"/>
      <c r="N213" s="444"/>
      <c r="O213" s="443"/>
      <c r="P213" s="444"/>
      <c r="Q213" s="37">
        <v>3969</v>
      </c>
      <c r="R213" s="37">
        <v>3944</v>
      </c>
      <c r="S213" s="38">
        <v>44063</v>
      </c>
      <c r="T213" s="624"/>
      <c r="U213" s="39">
        <v>3939</v>
      </c>
      <c r="V213" s="39">
        <f t="shared" si="420"/>
        <v>-30</v>
      </c>
      <c r="W213" s="39">
        <f t="shared" si="457"/>
        <v>-0.5</v>
      </c>
      <c r="X213" s="39">
        <v>0</v>
      </c>
      <c r="Y213" s="39">
        <f t="shared" si="458"/>
        <v>0</v>
      </c>
      <c r="Z213" s="39"/>
      <c r="AA213" s="39"/>
      <c r="AB213" s="39" t="s">
        <v>68</v>
      </c>
      <c r="AC213" s="39">
        <v>0.22</v>
      </c>
      <c r="AD213" s="245">
        <f t="shared" si="449"/>
        <v>-0.28000000000000003</v>
      </c>
      <c r="AE213" s="245">
        <f t="shared" si="450"/>
        <v>-0.72</v>
      </c>
      <c r="AF213" s="245">
        <f t="shared" si="425"/>
        <v>-0.28000000000000003</v>
      </c>
      <c r="AG213" s="41">
        <v>44421</v>
      </c>
      <c r="AH213" s="620"/>
      <c r="AI213" s="42">
        <v>3948</v>
      </c>
      <c r="AJ213" s="42">
        <f t="shared" ref="AJ213:AJ216" si="459">AI213-R213</f>
        <v>4</v>
      </c>
      <c r="AK213" s="42">
        <f t="shared" si="454"/>
        <v>6.6666666666666666E-2</v>
      </c>
      <c r="AL213" s="42">
        <v>6</v>
      </c>
      <c r="AM213" s="42">
        <f t="shared" si="455"/>
        <v>0.1</v>
      </c>
      <c r="AN213" s="42"/>
      <c r="AO213" s="42"/>
      <c r="AP213" s="42">
        <v>67</v>
      </c>
      <c r="AQ213" s="42">
        <f t="shared" si="451"/>
        <v>1.1166666666666667</v>
      </c>
      <c r="AR213" s="245">
        <f t="shared" si="452"/>
        <v>1.1833333333333333</v>
      </c>
      <c r="AS213" s="245">
        <f t="shared" si="453"/>
        <v>-1.05</v>
      </c>
      <c r="AT213" s="245">
        <f t="shared" si="442"/>
        <v>1.1833333333333333</v>
      </c>
      <c r="AU213" s="248">
        <f t="shared" si="444"/>
        <v>0.98055555555555551</v>
      </c>
      <c r="AV213" s="249">
        <f t="shared" si="445"/>
        <v>1.4633333333333334</v>
      </c>
      <c r="AW213" s="305">
        <f t="shared" si="446"/>
        <v>1.4923512747875356</v>
      </c>
      <c r="AX213" s="251">
        <f t="shared" si="447"/>
        <v>2.0102505694760819</v>
      </c>
      <c r="AY213" s="283" t="str">
        <f t="shared" si="431"/>
        <v>DOS AÑOS</v>
      </c>
      <c r="AZ213" s="438"/>
      <c r="BA213" s="447"/>
      <c r="BB213" s="441"/>
      <c r="BC213" s="397"/>
      <c r="BD213" s="442"/>
    </row>
    <row r="214" spans="1:56" s="73" customFormat="1" ht="15.75" customHeight="1" x14ac:dyDescent="0.25">
      <c r="A214" s="321"/>
      <c r="B214" s="765"/>
      <c r="C214" s="619"/>
      <c r="D214" s="768"/>
      <c r="E214" s="768"/>
      <c r="F214" s="771"/>
      <c r="G214" s="595"/>
      <c r="H214" s="595"/>
      <c r="I214" s="446">
        <v>3</v>
      </c>
      <c r="J214" s="440"/>
      <c r="K214" s="70">
        <v>2</v>
      </c>
      <c r="L214" s="439"/>
      <c r="M214" s="443" t="s">
        <v>68</v>
      </c>
      <c r="N214" s="444"/>
      <c r="O214" s="443" t="s">
        <v>68</v>
      </c>
      <c r="P214" s="444"/>
      <c r="Q214" s="37">
        <v>4961</v>
      </c>
      <c r="R214" s="37">
        <v>4930</v>
      </c>
      <c r="S214" s="38">
        <v>44063</v>
      </c>
      <c r="T214" s="624"/>
      <c r="U214" s="39">
        <v>4927</v>
      </c>
      <c r="V214" s="39">
        <f t="shared" si="420"/>
        <v>-34</v>
      </c>
      <c r="W214" s="39">
        <f t="shared" si="457"/>
        <v>-0.56666666666666665</v>
      </c>
      <c r="X214" s="39">
        <v>0.6</v>
      </c>
      <c r="Y214" s="39">
        <f t="shared" si="458"/>
        <v>0.01</v>
      </c>
      <c r="Z214" s="39" t="s">
        <v>68</v>
      </c>
      <c r="AA214" s="39" t="s">
        <v>68</v>
      </c>
      <c r="AB214" s="39" t="s">
        <v>68</v>
      </c>
      <c r="AC214" s="39">
        <v>0.22</v>
      </c>
      <c r="AD214" s="40">
        <f t="shared" si="449"/>
        <v>-0.34666666666666668</v>
      </c>
      <c r="AE214" s="40">
        <f t="shared" si="450"/>
        <v>-0.78666666666666663</v>
      </c>
      <c r="AF214" s="40">
        <f t="shared" si="425"/>
        <v>-0.34666666666666668</v>
      </c>
      <c r="AG214" s="41">
        <v>44421</v>
      </c>
      <c r="AH214" s="620"/>
      <c r="AI214" s="42">
        <v>4933</v>
      </c>
      <c r="AJ214" s="42">
        <f t="shared" si="459"/>
        <v>3</v>
      </c>
      <c r="AK214" s="42">
        <f t="shared" si="454"/>
        <v>0.05</v>
      </c>
      <c r="AL214" s="42">
        <v>3</v>
      </c>
      <c r="AM214" s="42">
        <f t="shared" si="455"/>
        <v>0.05</v>
      </c>
      <c r="AN214" s="42" t="s">
        <v>68</v>
      </c>
      <c r="AO214" s="42" t="s">
        <v>68</v>
      </c>
      <c r="AP214" s="42">
        <v>84</v>
      </c>
      <c r="AQ214" s="42">
        <f t="shared" si="451"/>
        <v>1.4</v>
      </c>
      <c r="AR214" s="245">
        <f t="shared" si="452"/>
        <v>1.45</v>
      </c>
      <c r="AS214" s="245">
        <f t="shared" si="453"/>
        <v>-1.3499999999999999</v>
      </c>
      <c r="AT214" s="245">
        <f t="shared" si="442"/>
        <v>1.45</v>
      </c>
      <c r="AU214" s="248">
        <f t="shared" si="444"/>
        <v>0.98055555555555551</v>
      </c>
      <c r="AV214" s="249">
        <f t="shared" si="445"/>
        <v>1.7966666666666666</v>
      </c>
      <c r="AW214" s="305">
        <f t="shared" si="446"/>
        <v>1.8322946175637393</v>
      </c>
      <c r="AX214" s="251">
        <f t="shared" si="447"/>
        <v>1.637291280148423</v>
      </c>
      <c r="AY214" s="283" t="str">
        <f t="shared" si="431"/>
        <v>DOS AÑOS</v>
      </c>
      <c r="AZ214" s="438"/>
      <c r="BA214" s="447"/>
      <c r="BB214" s="441"/>
      <c r="BC214" s="397"/>
      <c r="BD214" s="442"/>
    </row>
    <row r="215" spans="1:56" s="454" customFormat="1" ht="15.75" customHeight="1" x14ac:dyDescent="0.25">
      <c r="A215" s="321"/>
      <c r="B215" s="765"/>
      <c r="C215" s="619"/>
      <c r="D215" s="768"/>
      <c r="E215" s="768"/>
      <c r="F215" s="771"/>
      <c r="G215" s="595"/>
      <c r="H215" s="595"/>
      <c r="I215" s="446">
        <v>3</v>
      </c>
      <c r="J215" s="440"/>
      <c r="K215" s="70">
        <v>2</v>
      </c>
      <c r="L215" s="439"/>
      <c r="M215" s="443"/>
      <c r="N215" s="444"/>
      <c r="O215" s="443"/>
      <c r="P215" s="444"/>
      <c r="Q215" s="37"/>
      <c r="R215" s="37">
        <v>5916</v>
      </c>
      <c r="S215" s="38"/>
      <c r="T215" s="624"/>
      <c r="U215" s="39"/>
      <c r="V215" s="39"/>
      <c r="W215" s="39"/>
      <c r="X215" s="39"/>
      <c r="Y215" s="39"/>
      <c r="Z215" s="39"/>
      <c r="AA215" s="39"/>
      <c r="AB215" s="39"/>
      <c r="AC215" s="39"/>
      <c r="AD215" s="245"/>
      <c r="AE215" s="245"/>
      <c r="AF215" s="245"/>
      <c r="AG215" s="41">
        <v>44421</v>
      </c>
      <c r="AH215" s="620"/>
      <c r="AI215" s="42">
        <v>5920</v>
      </c>
      <c r="AJ215" s="42">
        <f t="shared" si="459"/>
        <v>4</v>
      </c>
      <c r="AK215" s="42">
        <f t="shared" si="454"/>
        <v>6.6666666666666666E-2</v>
      </c>
      <c r="AL215" s="42">
        <v>6</v>
      </c>
      <c r="AM215" s="42">
        <f t="shared" si="455"/>
        <v>0.1</v>
      </c>
      <c r="AN215" s="42"/>
      <c r="AO215" s="42"/>
      <c r="AP215" s="42">
        <v>110</v>
      </c>
      <c r="AQ215" s="42">
        <f t="shared" si="451"/>
        <v>1.8333333333333333</v>
      </c>
      <c r="AR215" s="245">
        <f t="shared" si="452"/>
        <v>1.9</v>
      </c>
      <c r="AS215" s="245">
        <f t="shared" si="453"/>
        <v>-1.7666666666666666</v>
      </c>
      <c r="AT215" s="245">
        <f t="shared" si="442"/>
        <v>1.9</v>
      </c>
      <c r="AU215" s="248">
        <f t="shared" si="444"/>
        <v>121.61944444444444</v>
      </c>
      <c r="AV215" s="249">
        <f t="shared" si="445"/>
        <v>1.9</v>
      </c>
      <c r="AW215" s="305">
        <f t="shared" si="446"/>
        <v>1.562250188429299E-2</v>
      </c>
      <c r="AX215" s="251">
        <f t="shared" si="447"/>
        <v>192.03070175438597</v>
      </c>
      <c r="AY215" s="283" t="str">
        <f t="shared" si="431"/>
        <v>DOS AÑOS</v>
      </c>
      <c r="AZ215" s="438"/>
      <c r="BA215" s="447"/>
      <c r="BB215" s="441"/>
      <c r="BC215" s="397"/>
      <c r="BD215" s="442"/>
    </row>
    <row r="216" spans="1:56" s="75" customFormat="1" ht="15.75" customHeight="1" thickBot="1" x14ac:dyDescent="0.3">
      <c r="A216" s="321"/>
      <c r="B216" s="765"/>
      <c r="C216" s="619"/>
      <c r="D216" s="768"/>
      <c r="E216" s="768"/>
      <c r="F216" s="771"/>
      <c r="G216" s="595"/>
      <c r="H216" s="595"/>
      <c r="I216" s="446">
        <v>3</v>
      </c>
      <c r="J216" s="440"/>
      <c r="K216" s="70">
        <v>2</v>
      </c>
      <c r="L216" s="439"/>
      <c r="M216" s="443" t="s">
        <v>68</v>
      </c>
      <c r="N216" s="444"/>
      <c r="O216" s="443" t="s">
        <v>68</v>
      </c>
      <c r="P216" s="444"/>
      <c r="Q216" s="37">
        <v>5953</v>
      </c>
      <c r="R216" s="37">
        <v>5965</v>
      </c>
      <c r="S216" s="38">
        <v>44063</v>
      </c>
      <c r="T216" s="624"/>
      <c r="U216" s="39">
        <v>5918</v>
      </c>
      <c r="V216" s="39">
        <f>U216-Q216</f>
        <v>-35</v>
      </c>
      <c r="W216" s="39">
        <f>V216*100/6000</f>
        <v>-0.58333333333333337</v>
      </c>
      <c r="X216" s="39">
        <v>1.7</v>
      </c>
      <c r="Y216" s="39">
        <f>X216*100/6000</f>
        <v>2.8333333333333332E-2</v>
      </c>
      <c r="Z216" s="39" t="s">
        <v>68</v>
      </c>
      <c r="AA216" s="39" t="s">
        <v>68</v>
      </c>
      <c r="AB216" s="39" t="s">
        <v>68</v>
      </c>
      <c r="AC216" s="39">
        <v>0.22</v>
      </c>
      <c r="AD216" s="245">
        <f t="shared" ref="AD216" si="460">(W216+AC216)</f>
        <v>-0.3633333333333334</v>
      </c>
      <c r="AE216" s="245">
        <f t="shared" ref="AE216" si="461">(W216-AC216)</f>
        <v>-0.80333333333333334</v>
      </c>
      <c r="AF216" s="245">
        <f t="shared" ref="AF216:AF218" si="462">MAX(AD216:AE216)</f>
        <v>-0.3633333333333334</v>
      </c>
      <c r="AG216" s="41">
        <v>44421</v>
      </c>
      <c r="AH216" s="620"/>
      <c r="AI216" s="42">
        <v>5980</v>
      </c>
      <c r="AJ216" s="42">
        <f t="shared" si="459"/>
        <v>15</v>
      </c>
      <c r="AK216" s="42">
        <f t="shared" si="454"/>
        <v>0.25</v>
      </c>
      <c r="AL216" s="42">
        <v>2.9</v>
      </c>
      <c r="AM216" s="42">
        <f t="shared" si="455"/>
        <v>4.8333333333333332E-2</v>
      </c>
      <c r="AN216" s="42" t="s">
        <v>68</v>
      </c>
      <c r="AO216" s="42" t="s">
        <v>68</v>
      </c>
      <c r="AP216" s="42">
        <v>110</v>
      </c>
      <c r="AQ216" s="42">
        <f t="shared" si="451"/>
        <v>1.8333333333333333</v>
      </c>
      <c r="AR216" s="245">
        <f t="shared" si="452"/>
        <v>2.083333333333333</v>
      </c>
      <c r="AS216" s="245">
        <f t="shared" si="453"/>
        <v>-1.5833333333333333</v>
      </c>
      <c r="AT216" s="245">
        <f t="shared" si="442"/>
        <v>2.083333333333333</v>
      </c>
      <c r="AU216" s="248">
        <f t="shared" si="444"/>
        <v>0.98055555555555551</v>
      </c>
      <c r="AV216" s="249" t="s">
        <v>68</v>
      </c>
      <c r="AW216" s="305" t="s">
        <v>68</v>
      </c>
      <c r="AX216" s="251" t="s">
        <v>68</v>
      </c>
      <c r="AY216" s="283" t="str">
        <f t="shared" si="431"/>
        <v>DOS AÑOS</v>
      </c>
      <c r="AZ216" s="438"/>
      <c r="BA216" s="447"/>
      <c r="BB216" s="441"/>
      <c r="BC216" s="397"/>
      <c r="BD216" s="442"/>
    </row>
    <row r="217" spans="1:56" s="299" customFormat="1" ht="15.75" customHeight="1" x14ac:dyDescent="0.25">
      <c r="A217" s="321"/>
      <c r="B217" s="765"/>
      <c r="C217" s="618" t="s">
        <v>195</v>
      </c>
      <c r="D217" s="768"/>
      <c r="E217" s="768"/>
      <c r="F217" s="771"/>
      <c r="G217" s="594" t="s">
        <v>16</v>
      </c>
      <c r="H217" s="594" t="s">
        <v>229</v>
      </c>
      <c r="I217" s="445">
        <v>3</v>
      </c>
      <c r="J217" s="440"/>
      <c r="K217" s="301">
        <v>2</v>
      </c>
      <c r="L217" s="439"/>
      <c r="M217" s="448" t="s">
        <v>68</v>
      </c>
      <c r="N217" s="444"/>
      <c r="O217" s="448" t="s">
        <v>68</v>
      </c>
      <c r="P217" s="444"/>
      <c r="Q217" s="241">
        <v>0</v>
      </c>
      <c r="R217" s="241">
        <v>0</v>
      </c>
      <c r="S217" s="243">
        <v>44063</v>
      </c>
      <c r="T217" s="624"/>
      <c r="U217" s="303">
        <v>0</v>
      </c>
      <c r="V217" s="303">
        <f t="shared" ref="V217:V218" si="463">U217-Q217</f>
        <v>0</v>
      </c>
      <c r="W217" s="303">
        <v>0</v>
      </c>
      <c r="X217" s="39">
        <f t="shared" ref="X217" si="464">W217*100/30000</f>
        <v>0</v>
      </c>
      <c r="Y217" s="303">
        <v>0</v>
      </c>
      <c r="Z217" s="303" t="s">
        <v>68</v>
      </c>
      <c r="AA217" s="303" t="s">
        <v>68</v>
      </c>
      <c r="AB217" s="303" t="s">
        <v>68</v>
      </c>
      <c r="AC217" s="303">
        <v>0.22</v>
      </c>
      <c r="AD217" s="245">
        <f>(W217+AC217)</f>
        <v>0.22</v>
      </c>
      <c r="AE217" s="245">
        <f>(W217-AC217)</f>
        <v>-0.22</v>
      </c>
      <c r="AF217" s="245">
        <f t="shared" si="462"/>
        <v>0.22</v>
      </c>
      <c r="AG217" s="246">
        <v>44421</v>
      </c>
      <c r="AH217" s="620"/>
      <c r="AI217" s="304">
        <v>0</v>
      </c>
      <c r="AJ217" s="304">
        <v>0</v>
      </c>
      <c r="AK217" s="42">
        <f t="shared" si="454"/>
        <v>0</v>
      </c>
      <c r="AL217" s="304">
        <v>0</v>
      </c>
      <c r="AM217" s="42">
        <f t="shared" si="455"/>
        <v>0</v>
      </c>
      <c r="AN217" s="304" t="s">
        <v>68</v>
      </c>
      <c r="AO217" s="304" t="s">
        <v>68</v>
      </c>
      <c r="AP217" s="304">
        <v>0.56999999999999995</v>
      </c>
      <c r="AQ217" s="42">
        <f t="shared" si="451"/>
        <v>9.499999999999998E-3</v>
      </c>
      <c r="AR217" s="245">
        <f>(AK217+AQ217)</f>
        <v>9.499999999999998E-3</v>
      </c>
      <c r="AS217" s="245">
        <f>(AK217-AQ217)</f>
        <v>-9.499999999999998E-3</v>
      </c>
      <c r="AT217" s="245">
        <f t="shared" si="442"/>
        <v>9.499999999999998E-3</v>
      </c>
      <c r="AU217" s="248">
        <f t="shared" si="444"/>
        <v>0.98055555555555551</v>
      </c>
      <c r="AV217" s="249">
        <f t="shared" ref="AV217:AV226" si="465">ABS(AT217-AF217)</f>
        <v>0.21049999999999999</v>
      </c>
      <c r="AW217" s="305">
        <f t="shared" ref="AW217:AW226" si="466">(AV217/AU217)</f>
        <v>0.21467422096317282</v>
      </c>
      <c r="AX217" s="251">
        <f t="shared" ref="AX217:AX226" si="467">(I217/AW217)</f>
        <v>13.974663499604116</v>
      </c>
      <c r="AY217" s="283" t="str">
        <f t="shared" si="431"/>
        <v>DOS AÑOS</v>
      </c>
      <c r="AZ217" s="438"/>
      <c r="BA217" s="447"/>
      <c r="BB217" s="441"/>
      <c r="BC217" s="397"/>
      <c r="BD217" s="442"/>
    </row>
    <row r="218" spans="1:56" s="73" customFormat="1" ht="15.75" customHeight="1" x14ac:dyDescent="0.25">
      <c r="A218" s="321"/>
      <c r="B218" s="765"/>
      <c r="C218" s="619"/>
      <c r="D218" s="768"/>
      <c r="E218" s="768"/>
      <c r="F218" s="771"/>
      <c r="G218" s="595"/>
      <c r="H218" s="595"/>
      <c r="I218" s="446">
        <v>3</v>
      </c>
      <c r="J218" s="440"/>
      <c r="K218" s="70">
        <v>2</v>
      </c>
      <c r="L218" s="439"/>
      <c r="M218" s="443"/>
      <c r="N218" s="444"/>
      <c r="O218" s="443"/>
      <c r="P218" s="444"/>
      <c r="Q218" s="37">
        <v>99</v>
      </c>
      <c r="R218" s="37">
        <v>48.8</v>
      </c>
      <c r="S218" s="38">
        <v>44063</v>
      </c>
      <c r="T218" s="624"/>
      <c r="U218" s="39">
        <v>96</v>
      </c>
      <c r="V218" s="39">
        <f t="shared" si="463"/>
        <v>-3</v>
      </c>
      <c r="W218" s="39">
        <f>V218*100/6000</f>
        <v>-0.05</v>
      </c>
      <c r="X218" s="39">
        <v>2</v>
      </c>
      <c r="Y218" s="39">
        <f>X218*100/6000</f>
        <v>3.3333333333333333E-2</v>
      </c>
      <c r="Z218" s="39"/>
      <c r="AA218" s="39"/>
      <c r="AB218" s="39" t="s">
        <v>68</v>
      </c>
      <c r="AC218" s="39">
        <v>0.22</v>
      </c>
      <c r="AD218" s="245">
        <f t="shared" ref="AD218" si="468">(W218+AC218)</f>
        <v>0.16999999999999998</v>
      </c>
      <c r="AE218" s="245">
        <f t="shared" ref="AE218" si="469">(W218-AC218)</f>
        <v>-0.27</v>
      </c>
      <c r="AF218" s="245">
        <f t="shared" si="462"/>
        <v>0.16999999999999998</v>
      </c>
      <c r="AG218" s="41">
        <v>44421</v>
      </c>
      <c r="AH218" s="620"/>
      <c r="AI218" s="42">
        <v>47</v>
      </c>
      <c r="AJ218" s="42">
        <f>AI218-R218</f>
        <v>-1.7999999999999972</v>
      </c>
      <c r="AK218" s="42">
        <f t="shared" si="454"/>
        <v>-2.9999999999999954E-2</v>
      </c>
      <c r="AL218" s="42">
        <v>0</v>
      </c>
      <c r="AM218" s="42">
        <f t="shared" si="455"/>
        <v>0</v>
      </c>
      <c r="AN218" s="42"/>
      <c r="AO218" s="42"/>
      <c r="AP218" s="42">
        <v>1.1000000000000001</v>
      </c>
      <c r="AQ218" s="42">
        <f t="shared" si="451"/>
        <v>1.8333333333333337E-2</v>
      </c>
      <c r="AR218" s="245">
        <f t="shared" ref="AR218:AR227" si="470">(AK218+AQ218)</f>
        <v>-1.1666666666666617E-2</v>
      </c>
      <c r="AS218" s="245">
        <f t="shared" ref="AS218:AS227" si="471">(AK218-AQ218)</f>
        <v>-4.8333333333333291E-2</v>
      </c>
      <c r="AT218" s="245">
        <f t="shared" si="442"/>
        <v>-1.1666666666666617E-2</v>
      </c>
      <c r="AU218" s="248">
        <f t="shared" si="444"/>
        <v>0.98055555555555551</v>
      </c>
      <c r="AV218" s="249">
        <f t="shared" si="465"/>
        <v>0.18166666666666659</v>
      </c>
      <c r="AW218" s="305">
        <f t="shared" si="466"/>
        <v>0.1852691218130311</v>
      </c>
      <c r="AX218" s="251">
        <f t="shared" si="467"/>
        <v>16.192660550458722</v>
      </c>
      <c r="AY218" s="283" t="str">
        <f t="shared" si="431"/>
        <v>DOS AÑOS</v>
      </c>
      <c r="AZ218" s="438"/>
      <c r="BA218" s="447"/>
      <c r="BB218" s="441"/>
      <c r="BC218" s="397"/>
      <c r="BD218" s="442"/>
    </row>
    <row r="219" spans="1:56" s="73" customFormat="1" ht="15.75" customHeight="1" x14ac:dyDescent="0.25">
      <c r="A219" s="321"/>
      <c r="B219" s="765"/>
      <c r="C219" s="619"/>
      <c r="D219" s="768"/>
      <c r="E219" s="768"/>
      <c r="F219" s="771"/>
      <c r="G219" s="595"/>
      <c r="H219" s="595"/>
      <c r="I219" s="446">
        <v>3</v>
      </c>
      <c r="J219" s="440"/>
      <c r="K219" s="70">
        <v>2</v>
      </c>
      <c r="L219" s="439"/>
      <c r="M219" s="443"/>
      <c r="N219" s="444"/>
      <c r="O219" s="443"/>
      <c r="P219" s="444"/>
      <c r="Q219" s="37"/>
      <c r="R219" s="37">
        <v>244.1</v>
      </c>
      <c r="S219" s="38"/>
      <c r="T219" s="624"/>
      <c r="U219" s="39"/>
      <c r="V219" s="39"/>
      <c r="W219" s="39"/>
      <c r="X219" s="39"/>
      <c r="Y219" s="39"/>
      <c r="Z219" s="39"/>
      <c r="AA219" s="39"/>
      <c r="AB219" s="39"/>
      <c r="AC219" s="39"/>
      <c r="AD219" s="245"/>
      <c r="AE219" s="245"/>
      <c r="AF219" s="245"/>
      <c r="AG219" s="41">
        <v>44421</v>
      </c>
      <c r="AH219" s="620"/>
      <c r="AI219" s="42">
        <v>235.4</v>
      </c>
      <c r="AJ219" s="42">
        <f>AI219-R219</f>
        <v>-8.6999999999999886</v>
      </c>
      <c r="AK219" s="42">
        <f t="shared" si="454"/>
        <v>-0.14499999999999982</v>
      </c>
      <c r="AL219" s="42">
        <v>2.6</v>
      </c>
      <c r="AM219" s="42">
        <f t="shared" si="455"/>
        <v>4.3333333333333335E-2</v>
      </c>
      <c r="AN219" s="42"/>
      <c r="AO219" s="42"/>
      <c r="AP219" s="42">
        <v>4.7</v>
      </c>
      <c r="AQ219" s="42">
        <f t="shared" si="451"/>
        <v>7.8333333333333338E-2</v>
      </c>
      <c r="AR219" s="245">
        <f t="shared" si="470"/>
        <v>-6.6666666666666485E-2</v>
      </c>
      <c r="AS219" s="245">
        <f t="shared" si="471"/>
        <v>-0.22333333333333316</v>
      </c>
      <c r="AT219" s="245">
        <f t="shared" si="442"/>
        <v>-6.6666666666666485E-2</v>
      </c>
      <c r="AU219" s="248">
        <f t="shared" si="444"/>
        <v>121.61944444444444</v>
      </c>
      <c r="AV219" s="249">
        <f t="shared" si="465"/>
        <v>6.6666666666666485E-2</v>
      </c>
      <c r="AW219" s="305">
        <f t="shared" si="466"/>
        <v>5.4815796085238417E-4</v>
      </c>
      <c r="AX219" s="251">
        <f t="shared" si="467"/>
        <v>5472.8750000000146</v>
      </c>
      <c r="AY219" s="283" t="str">
        <f t="shared" si="431"/>
        <v>DOS AÑOS</v>
      </c>
      <c r="AZ219" s="438"/>
      <c r="BA219" s="447"/>
      <c r="BB219" s="441"/>
      <c r="BC219" s="397"/>
      <c r="BD219" s="442"/>
    </row>
    <row r="220" spans="1:56" s="73" customFormat="1" ht="15.75" customHeight="1" x14ac:dyDescent="0.25">
      <c r="A220" s="321"/>
      <c r="B220" s="765"/>
      <c r="C220" s="619"/>
      <c r="D220" s="768"/>
      <c r="E220" s="768"/>
      <c r="F220" s="771"/>
      <c r="G220" s="595"/>
      <c r="H220" s="595"/>
      <c r="I220" s="446">
        <v>3</v>
      </c>
      <c r="J220" s="440"/>
      <c r="K220" s="70">
        <v>2</v>
      </c>
      <c r="L220" s="439"/>
      <c r="M220" s="443"/>
      <c r="N220" s="444"/>
      <c r="O220" s="443"/>
      <c r="P220" s="444"/>
      <c r="Q220" s="37">
        <v>496</v>
      </c>
      <c r="R220" s="37">
        <v>488.1</v>
      </c>
      <c r="S220" s="38">
        <v>44063</v>
      </c>
      <c r="T220" s="624"/>
      <c r="U220" s="39">
        <v>484</v>
      </c>
      <c r="V220" s="39">
        <f t="shared" ref="V220" si="472">U220-Q220</f>
        <v>-12</v>
      </c>
      <c r="W220" s="39">
        <f>V220*100/6000</f>
        <v>-0.2</v>
      </c>
      <c r="X220" s="39">
        <v>2.5</v>
      </c>
      <c r="Y220" s="39">
        <f>X220*100/6000</f>
        <v>4.1666666666666664E-2</v>
      </c>
      <c r="Z220" s="39"/>
      <c r="AA220" s="39"/>
      <c r="AB220" s="39"/>
      <c r="AC220" s="39">
        <v>0.22</v>
      </c>
      <c r="AD220" s="245">
        <f t="shared" ref="AD220" si="473">(W220+AC220)</f>
        <v>1.999999999999999E-2</v>
      </c>
      <c r="AE220" s="245">
        <f t="shared" ref="AE220" si="474">(W220-AC220)</f>
        <v>-0.42000000000000004</v>
      </c>
      <c r="AF220" s="245">
        <f t="shared" ref="AF220" si="475">MAX(AD220:AE220)</f>
        <v>1.999999999999999E-2</v>
      </c>
      <c r="AG220" s="41">
        <v>44421</v>
      </c>
      <c r="AH220" s="620"/>
      <c r="AI220" s="42">
        <v>478.4</v>
      </c>
      <c r="AJ220" s="42">
        <f>AI220-R220</f>
        <v>-9.7000000000000455</v>
      </c>
      <c r="AK220" s="42">
        <f t="shared" si="454"/>
        <v>-0.16166666666666743</v>
      </c>
      <c r="AL220" s="42">
        <v>3.4</v>
      </c>
      <c r="AM220" s="42">
        <f t="shared" si="455"/>
        <v>5.6666666666666664E-2</v>
      </c>
      <c r="AN220" s="42"/>
      <c r="AO220" s="42"/>
      <c r="AP220" s="42">
        <v>8.6</v>
      </c>
      <c r="AQ220" s="42">
        <f t="shared" si="451"/>
        <v>0.14333333333333334</v>
      </c>
      <c r="AR220" s="245">
        <f t="shared" si="470"/>
        <v>-1.833333333333409E-2</v>
      </c>
      <c r="AS220" s="245">
        <f t="shared" si="471"/>
        <v>-0.30500000000000077</v>
      </c>
      <c r="AT220" s="245">
        <f t="shared" si="442"/>
        <v>-1.833333333333409E-2</v>
      </c>
      <c r="AU220" s="248">
        <f t="shared" si="444"/>
        <v>0.98055555555555551</v>
      </c>
      <c r="AV220" s="249">
        <f t="shared" si="465"/>
        <v>3.833333333333408E-2</v>
      </c>
      <c r="AW220" s="305">
        <f t="shared" si="466"/>
        <v>3.9093484419264218E-2</v>
      </c>
      <c r="AX220" s="251">
        <f t="shared" si="467"/>
        <v>76.739130434781117</v>
      </c>
      <c r="AY220" s="283" t="str">
        <f t="shared" si="431"/>
        <v>DOS AÑOS</v>
      </c>
      <c r="AZ220" s="438"/>
      <c r="BA220" s="447"/>
      <c r="BB220" s="441"/>
      <c r="BC220" s="397"/>
      <c r="BD220" s="442"/>
    </row>
    <row r="221" spans="1:56" s="73" customFormat="1" ht="15.75" customHeight="1" x14ac:dyDescent="0.25">
      <c r="A221" s="321"/>
      <c r="B221" s="765"/>
      <c r="C221" s="619"/>
      <c r="D221" s="768"/>
      <c r="E221" s="768"/>
      <c r="F221" s="771"/>
      <c r="G221" s="595"/>
      <c r="H221" s="595"/>
      <c r="I221" s="446">
        <v>3</v>
      </c>
      <c r="J221" s="440"/>
      <c r="K221" s="70">
        <v>2</v>
      </c>
      <c r="L221" s="439"/>
      <c r="M221" s="443"/>
      <c r="N221" s="444"/>
      <c r="O221" s="443"/>
      <c r="P221" s="444"/>
      <c r="Q221" s="37"/>
      <c r="R221" s="37">
        <v>976</v>
      </c>
      <c r="S221" s="38"/>
      <c r="T221" s="624"/>
      <c r="U221" s="39"/>
      <c r="V221" s="39"/>
      <c r="W221" s="39"/>
      <c r="X221" s="39"/>
      <c r="Y221" s="39"/>
      <c r="Z221" s="39"/>
      <c r="AA221" s="39"/>
      <c r="AB221" s="39" t="s">
        <v>68</v>
      </c>
      <c r="AC221" s="39"/>
      <c r="AD221" s="245"/>
      <c r="AE221" s="245"/>
      <c r="AF221" s="245"/>
      <c r="AG221" s="41">
        <v>44421</v>
      </c>
      <c r="AH221" s="620"/>
      <c r="AI221" s="42">
        <v>959</v>
      </c>
      <c r="AJ221" s="42">
        <f t="shared" ref="AJ221:AJ227" si="476">AI221-R221</f>
        <v>-17</v>
      </c>
      <c r="AK221" s="42">
        <f t="shared" si="454"/>
        <v>-0.28333333333333333</v>
      </c>
      <c r="AL221" s="42">
        <v>3.8</v>
      </c>
      <c r="AM221" s="42">
        <f t="shared" si="455"/>
        <v>6.3333333333333339E-2</v>
      </c>
      <c r="AN221" s="42"/>
      <c r="AO221" s="42"/>
      <c r="AP221" s="42">
        <v>16</v>
      </c>
      <c r="AQ221" s="42">
        <f t="shared" si="451"/>
        <v>0.26666666666666666</v>
      </c>
      <c r="AR221" s="245">
        <f t="shared" si="470"/>
        <v>-1.6666666666666663E-2</v>
      </c>
      <c r="AS221" s="245">
        <f t="shared" si="471"/>
        <v>-0.55000000000000004</v>
      </c>
      <c r="AT221" s="245">
        <f t="shared" si="442"/>
        <v>-1.6666666666666663E-2</v>
      </c>
      <c r="AU221" s="248">
        <f t="shared" si="444"/>
        <v>121.61944444444444</v>
      </c>
      <c r="AV221" s="249">
        <f t="shared" si="465"/>
        <v>1.6666666666666663E-2</v>
      </c>
      <c r="AW221" s="305">
        <f t="shared" si="466"/>
        <v>1.3703949021309639E-4</v>
      </c>
      <c r="AX221" s="251">
        <f t="shared" si="467"/>
        <v>21891.500000000004</v>
      </c>
      <c r="AY221" s="283" t="str">
        <f t="shared" si="431"/>
        <v>DOS AÑOS</v>
      </c>
      <c r="AZ221" s="438"/>
      <c r="BA221" s="447"/>
      <c r="BB221" s="441"/>
      <c r="BC221" s="397"/>
      <c r="BD221" s="442"/>
    </row>
    <row r="222" spans="1:56" s="73" customFormat="1" ht="15.75" customHeight="1" x14ac:dyDescent="0.25">
      <c r="A222" s="321"/>
      <c r="B222" s="765"/>
      <c r="C222" s="619"/>
      <c r="D222" s="768"/>
      <c r="E222" s="768"/>
      <c r="F222" s="771"/>
      <c r="G222" s="595"/>
      <c r="H222" s="595"/>
      <c r="I222" s="446">
        <v>3</v>
      </c>
      <c r="J222" s="440"/>
      <c r="K222" s="70">
        <v>2</v>
      </c>
      <c r="L222" s="439"/>
      <c r="M222" s="443"/>
      <c r="N222" s="444"/>
      <c r="O222" s="443"/>
      <c r="P222" s="444"/>
      <c r="Q222" s="37">
        <v>1984</v>
      </c>
      <c r="R222" s="37">
        <v>1952</v>
      </c>
      <c r="S222" s="38">
        <v>44063</v>
      </c>
      <c r="T222" s="624"/>
      <c r="U222" s="39">
        <v>1955</v>
      </c>
      <c r="V222" s="39">
        <f t="shared" ref="V222:V225" si="477">U222-Q222</f>
        <v>-29</v>
      </c>
      <c r="W222" s="39">
        <f t="shared" ref="W222:W225" si="478">V222*100/6000</f>
        <v>-0.48333333333333334</v>
      </c>
      <c r="X222" s="39">
        <v>2.6</v>
      </c>
      <c r="Y222" s="39">
        <f t="shared" ref="Y222:Y225" si="479">X222*100/6000</f>
        <v>4.3333333333333335E-2</v>
      </c>
      <c r="Z222" s="39"/>
      <c r="AA222" s="39"/>
      <c r="AB222" s="39" t="s">
        <v>68</v>
      </c>
      <c r="AC222" s="39">
        <v>0.22</v>
      </c>
      <c r="AD222" s="245">
        <f t="shared" ref="AD222:AD225" si="480">(W222+AC222)</f>
        <v>-0.26333333333333331</v>
      </c>
      <c r="AE222" s="245">
        <f t="shared" ref="AE222:AE225" si="481">(W222-AC222)</f>
        <v>-0.70333333333333337</v>
      </c>
      <c r="AF222" s="245">
        <f t="shared" ref="AF222:AF225" si="482">MAX(AD222:AE222)</f>
        <v>-0.26333333333333331</v>
      </c>
      <c r="AG222" s="41">
        <v>44421</v>
      </c>
      <c r="AH222" s="620"/>
      <c r="AI222" s="42">
        <v>1926</v>
      </c>
      <c r="AJ222" s="42">
        <f t="shared" si="476"/>
        <v>-26</v>
      </c>
      <c r="AK222" s="42">
        <f t="shared" si="454"/>
        <v>-0.43333333333333335</v>
      </c>
      <c r="AL222" s="42">
        <v>5</v>
      </c>
      <c r="AM222" s="42">
        <f t="shared" si="455"/>
        <v>8.3333333333333329E-2</v>
      </c>
      <c r="AN222" s="42"/>
      <c r="AO222" s="42"/>
      <c r="AP222" s="42">
        <v>32</v>
      </c>
      <c r="AQ222" s="42">
        <f t="shared" si="451"/>
        <v>0.53333333333333333</v>
      </c>
      <c r="AR222" s="245">
        <f t="shared" si="470"/>
        <v>9.9999999999999978E-2</v>
      </c>
      <c r="AS222" s="245">
        <f t="shared" si="471"/>
        <v>-0.96666666666666667</v>
      </c>
      <c r="AT222" s="245">
        <f t="shared" si="442"/>
        <v>9.9999999999999978E-2</v>
      </c>
      <c r="AU222" s="248">
        <f t="shared" si="444"/>
        <v>0.98055555555555551</v>
      </c>
      <c r="AV222" s="249">
        <f t="shared" si="465"/>
        <v>0.36333333333333329</v>
      </c>
      <c r="AW222" s="305">
        <f t="shared" si="466"/>
        <v>0.3705382436260623</v>
      </c>
      <c r="AX222" s="251">
        <f t="shared" si="467"/>
        <v>8.0963302752293576</v>
      </c>
      <c r="AY222" s="283" t="str">
        <f t="shared" si="431"/>
        <v>DOS AÑOS</v>
      </c>
      <c r="AZ222" s="438"/>
      <c r="BA222" s="447"/>
      <c r="BB222" s="441"/>
      <c r="BC222" s="397"/>
      <c r="BD222" s="442"/>
    </row>
    <row r="223" spans="1:56" s="73" customFormat="1" ht="15.75" customHeight="1" x14ac:dyDescent="0.25">
      <c r="A223" s="321"/>
      <c r="B223" s="765"/>
      <c r="C223" s="619"/>
      <c r="D223" s="768"/>
      <c r="E223" s="768"/>
      <c r="F223" s="771"/>
      <c r="G223" s="595"/>
      <c r="H223" s="595"/>
      <c r="I223" s="446">
        <v>3</v>
      </c>
      <c r="J223" s="440"/>
      <c r="K223" s="70">
        <v>2</v>
      </c>
      <c r="L223" s="439"/>
      <c r="M223" s="443" t="s">
        <v>68</v>
      </c>
      <c r="N223" s="444"/>
      <c r="O223" s="443" t="s">
        <v>68</v>
      </c>
      <c r="P223" s="444"/>
      <c r="Q223" s="37">
        <v>2976</v>
      </c>
      <c r="R223" s="37">
        <v>2928</v>
      </c>
      <c r="S223" s="38">
        <v>44063</v>
      </c>
      <c r="T223" s="624"/>
      <c r="U223" s="39">
        <v>2957</v>
      </c>
      <c r="V223" s="39">
        <f t="shared" si="477"/>
        <v>-19</v>
      </c>
      <c r="W223" s="39">
        <f t="shared" si="478"/>
        <v>-0.31666666666666665</v>
      </c>
      <c r="X223" s="39">
        <v>0.6</v>
      </c>
      <c r="Y223" s="39">
        <f t="shared" si="479"/>
        <v>0.01</v>
      </c>
      <c r="Z223" s="39" t="s">
        <v>68</v>
      </c>
      <c r="AA223" s="39" t="s">
        <v>68</v>
      </c>
      <c r="AB223" s="39" t="s">
        <v>68</v>
      </c>
      <c r="AC223" s="39">
        <v>0.22</v>
      </c>
      <c r="AD223" s="245">
        <f t="shared" si="480"/>
        <v>-9.6666666666666651E-2</v>
      </c>
      <c r="AE223" s="245">
        <f t="shared" si="481"/>
        <v>-0.53666666666666663</v>
      </c>
      <c r="AF223" s="245">
        <f t="shared" si="482"/>
        <v>-9.6666666666666651E-2</v>
      </c>
      <c r="AG223" s="41">
        <v>44421</v>
      </c>
      <c r="AH223" s="620"/>
      <c r="AI223" s="42">
        <v>2893</v>
      </c>
      <c r="AJ223" s="42">
        <f t="shared" si="476"/>
        <v>-35</v>
      </c>
      <c r="AK223" s="42">
        <f t="shared" si="454"/>
        <v>-0.58333333333333337</v>
      </c>
      <c r="AL223" s="42">
        <v>3.1</v>
      </c>
      <c r="AM223" s="42">
        <f t="shared" si="455"/>
        <v>5.1666666666666666E-2</v>
      </c>
      <c r="AN223" s="42" t="s">
        <v>68</v>
      </c>
      <c r="AO223" s="42" t="s">
        <v>68</v>
      </c>
      <c r="AP223" s="42">
        <v>48</v>
      </c>
      <c r="AQ223" s="42">
        <f t="shared" si="451"/>
        <v>0.8</v>
      </c>
      <c r="AR223" s="245">
        <f t="shared" si="470"/>
        <v>0.21666666666666667</v>
      </c>
      <c r="AS223" s="245">
        <f t="shared" si="471"/>
        <v>-1.3833333333333333</v>
      </c>
      <c r="AT223" s="245">
        <f t="shared" si="442"/>
        <v>0.21666666666666667</v>
      </c>
      <c r="AU223" s="248">
        <f t="shared" si="444"/>
        <v>0.98055555555555551</v>
      </c>
      <c r="AV223" s="249">
        <f t="shared" si="465"/>
        <v>0.31333333333333335</v>
      </c>
      <c r="AW223" s="305">
        <f t="shared" si="466"/>
        <v>0.31954674220963175</v>
      </c>
      <c r="AX223" s="251">
        <f t="shared" si="467"/>
        <v>9.3882978723404253</v>
      </c>
      <c r="AY223" s="283" t="str">
        <f t="shared" si="431"/>
        <v>DOS AÑOS</v>
      </c>
      <c r="AZ223" s="438"/>
      <c r="BA223" s="447"/>
      <c r="BB223" s="441"/>
      <c r="BC223" s="397"/>
      <c r="BD223" s="442"/>
    </row>
    <row r="224" spans="1:56" s="73" customFormat="1" ht="15.75" customHeight="1" x14ac:dyDescent="0.25">
      <c r="A224" s="321"/>
      <c r="B224" s="765"/>
      <c r="C224" s="619"/>
      <c r="D224" s="768"/>
      <c r="E224" s="768"/>
      <c r="F224" s="771"/>
      <c r="G224" s="595"/>
      <c r="H224" s="595"/>
      <c r="I224" s="446">
        <v>3</v>
      </c>
      <c r="J224" s="440"/>
      <c r="K224" s="70">
        <v>2</v>
      </c>
      <c r="L224" s="439"/>
      <c r="M224" s="443"/>
      <c r="N224" s="444"/>
      <c r="O224" s="443"/>
      <c r="P224" s="444"/>
      <c r="Q224" s="37">
        <v>3969</v>
      </c>
      <c r="R224" s="37">
        <v>3904</v>
      </c>
      <c r="S224" s="38">
        <v>44063</v>
      </c>
      <c r="T224" s="624"/>
      <c r="U224" s="39">
        <v>3943</v>
      </c>
      <c r="V224" s="39">
        <f t="shared" si="477"/>
        <v>-26</v>
      </c>
      <c r="W224" s="39">
        <f t="shared" si="478"/>
        <v>-0.43333333333333335</v>
      </c>
      <c r="X224" s="39">
        <v>0</v>
      </c>
      <c r="Y224" s="39">
        <f t="shared" si="479"/>
        <v>0</v>
      </c>
      <c r="Z224" s="39"/>
      <c r="AA224" s="39"/>
      <c r="AB224" s="39" t="s">
        <v>68</v>
      </c>
      <c r="AC224" s="39">
        <v>0.22</v>
      </c>
      <c r="AD224" s="245">
        <f t="shared" si="480"/>
        <v>-0.21333333333333335</v>
      </c>
      <c r="AE224" s="245">
        <f t="shared" si="481"/>
        <v>-0.65333333333333332</v>
      </c>
      <c r="AF224" s="245">
        <f t="shared" si="482"/>
        <v>-0.21333333333333335</v>
      </c>
      <c r="AG224" s="41">
        <v>44421</v>
      </c>
      <c r="AH224" s="620"/>
      <c r="AI224" s="42">
        <v>3868</v>
      </c>
      <c r="AJ224" s="42">
        <f t="shared" si="476"/>
        <v>-36</v>
      </c>
      <c r="AK224" s="42">
        <f t="shared" si="454"/>
        <v>-0.6</v>
      </c>
      <c r="AL224" s="42">
        <v>3.1</v>
      </c>
      <c r="AM224" s="42">
        <f t="shared" si="455"/>
        <v>5.1666666666666666E-2</v>
      </c>
      <c r="AN224" s="42"/>
      <c r="AO224" s="42"/>
      <c r="AP224" s="42">
        <v>64</v>
      </c>
      <c r="AQ224" s="42">
        <f t="shared" si="451"/>
        <v>1.0666666666666667</v>
      </c>
      <c r="AR224" s="245">
        <f t="shared" si="470"/>
        <v>0.46666666666666667</v>
      </c>
      <c r="AS224" s="245">
        <f t="shared" si="471"/>
        <v>-1.6666666666666665</v>
      </c>
      <c r="AT224" s="245">
        <f t="shared" si="442"/>
        <v>0.46666666666666667</v>
      </c>
      <c r="AU224" s="248">
        <f t="shared" si="444"/>
        <v>0.98055555555555551</v>
      </c>
      <c r="AV224" s="249">
        <f t="shared" si="465"/>
        <v>0.68</v>
      </c>
      <c r="AW224" s="305">
        <f t="shared" si="466"/>
        <v>0.69348441926345616</v>
      </c>
      <c r="AX224" s="251">
        <f t="shared" si="467"/>
        <v>4.325980392156862</v>
      </c>
      <c r="AY224" s="283" t="str">
        <f t="shared" si="431"/>
        <v>DOS AÑOS</v>
      </c>
      <c r="AZ224" s="438"/>
      <c r="BA224" s="447"/>
      <c r="BB224" s="441"/>
      <c r="BC224" s="397"/>
      <c r="BD224" s="442"/>
    </row>
    <row r="225" spans="1:56" s="73" customFormat="1" ht="15.75" customHeight="1" x14ac:dyDescent="0.25">
      <c r="A225" s="321"/>
      <c r="B225" s="765"/>
      <c r="C225" s="619"/>
      <c r="D225" s="768"/>
      <c r="E225" s="768"/>
      <c r="F225" s="771"/>
      <c r="G225" s="595"/>
      <c r="H225" s="595"/>
      <c r="I225" s="446">
        <v>3</v>
      </c>
      <c r="J225" s="440"/>
      <c r="K225" s="70">
        <v>2</v>
      </c>
      <c r="L225" s="439"/>
      <c r="M225" s="443"/>
      <c r="N225" s="444"/>
      <c r="O225" s="443"/>
      <c r="P225" s="444"/>
      <c r="Q225" s="37">
        <v>4961</v>
      </c>
      <c r="R225" s="37">
        <v>4881</v>
      </c>
      <c r="S225" s="38">
        <v>44063</v>
      </c>
      <c r="T225" s="624"/>
      <c r="U225" s="39">
        <v>4934</v>
      </c>
      <c r="V225" s="39">
        <f t="shared" si="477"/>
        <v>-27</v>
      </c>
      <c r="W225" s="39">
        <f t="shared" si="478"/>
        <v>-0.45</v>
      </c>
      <c r="X225" s="39">
        <v>0.6</v>
      </c>
      <c r="Y225" s="39">
        <f t="shared" si="479"/>
        <v>0.01</v>
      </c>
      <c r="Z225" s="39" t="s">
        <v>68</v>
      </c>
      <c r="AA225" s="39" t="s">
        <v>68</v>
      </c>
      <c r="AB225" s="39" t="s">
        <v>68</v>
      </c>
      <c r="AC225" s="39">
        <v>0.22</v>
      </c>
      <c r="AD225" s="40">
        <f t="shared" si="480"/>
        <v>-0.23</v>
      </c>
      <c r="AE225" s="40">
        <f t="shared" si="481"/>
        <v>-0.67</v>
      </c>
      <c r="AF225" s="40">
        <f t="shared" si="482"/>
        <v>-0.23</v>
      </c>
      <c r="AG225" s="41">
        <v>44421</v>
      </c>
      <c r="AH225" s="620"/>
      <c r="AI225" s="42">
        <v>4876</v>
      </c>
      <c r="AJ225" s="42">
        <f t="shared" si="476"/>
        <v>-5</v>
      </c>
      <c r="AK225" s="42">
        <f t="shared" si="454"/>
        <v>-8.3333333333333329E-2</v>
      </c>
      <c r="AL225" s="42">
        <v>4</v>
      </c>
      <c r="AM225" s="42">
        <f t="shared" si="455"/>
        <v>6.6666666666666666E-2</v>
      </c>
      <c r="AN225" s="42"/>
      <c r="AO225" s="42"/>
      <c r="AP225" s="42">
        <v>80</v>
      </c>
      <c r="AQ225" s="42">
        <f t="shared" si="451"/>
        <v>1.3333333333333333</v>
      </c>
      <c r="AR225" s="245">
        <f t="shared" ref="AR225" si="483">(AK225+AQ225)</f>
        <v>1.25</v>
      </c>
      <c r="AS225" s="245">
        <f t="shared" ref="AS225" si="484">(AK225-AQ225)</f>
        <v>-1.4166666666666665</v>
      </c>
      <c r="AT225" s="245">
        <f t="shared" ref="AT225" si="485">MAX(AR225:AS225)</f>
        <v>1.25</v>
      </c>
      <c r="AU225" s="248">
        <f t="shared" ref="AU225" si="486">YEARFRAC(S225,AG225)</f>
        <v>0.98055555555555551</v>
      </c>
      <c r="AV225" s="249">
        <f t="shared" ref="AV225" si="487">ABS(AT225-AF225)</f>
        <v>1.48</v>
      </c>
      <c r="AW225" s="305">
        <f t="shared" ref="AW225" si="488">(AV225/AU225)</f>
        <v>1.5093484419263457</v>
      </c>
      <c r="AX225" s="251">
        <f t="shared" ref="AX225" si="489">(I225/AW225)</f>
        <v>1.9876126126126126</v>
      </c>
      <c r="AY225" s="283" t="str">
        <f t="shared" ref="AY225" si="490">IF(AX225&lt;=1,"UN AÑO",IF(AX225&gt;=1,"DOS AÑOS"))</f>
        <v>DOS AÑOS</v>
      </c>
      <c r="AZ225" s="438"/>
      <c r="BA225" s="447"/>
      <c r="BB225" s="441"/>
      <c r="BC225" s="397"/>
      <c r="BD225" s="442"/>
    </row>
    <row r="226" spans="1:56" s="73" customFormat="1" ht="15.75" customHeight="1" x14ac:dyDescent="0.25">
      <c r="A226" s="321"/>
      <c r="B226" s="765"/>
      <c r="C226" s="619"/>
      <c r="D226" s="768"/>
      <c r="E226" s="768"/>
      <c r="F226" s="771"/>
      <c r="G226" s="595"/>
      <c r="H226" s="595"/>
      <c r="I226" s="446">
        <v>3</v>
      </c>
      <c r="J226" s="440"/>
      <c r="K226" s="70">
        <v>2</v>
      </c>
      <c r="L226" s="439"/>
      <c r="M226" s="443" t="s">
        <v>68</v>
      </c>
      <c r="N226" s="444"/>
      <c r="O226" s="443" t="s">
        <v>68</v>
      </c>
      <c r="P226" s="444"/>
      <c r="Q226" s="37"/>
      <c r="R226" s="37">
        <v>5857</v>
      </c>
      <c r="S226" s="38"/>
      <c r="T226" s="624"/>
      <c r="U226" s="39"/>
      <c r="V226" s="39"/>
      <c r="W226" s="39"/>
      <c r="X226" s="39"/>
      <c r="Y226" s="39"/>
      <c r="Z226" s="39"/>
      <c r="AA226" s="39"/>
      <c r="AB226" s="39"/>
      <c r="AC226" s="39"/>
      <c r="AD226" s="245"/>
      <c r="AE226" s="245"/>
      <c r="AF226" s="245"/>
      <c r="AG226" s="41">
        <v>44421</v>
      </c>
      <c r="AH226" s="620"/>
      <c r="AI226" s="42">
        <v>5843</v>
      </c>
      <c r="AJ226" s="42">
        <f t="shared" si="476"/>
        <v>-14</v>
      </c>
      <c r="AK226" s="42">
        <f t="shared" si="454"/>
        <v>-0.23333333333333334</v>
      </c>
      <c r="AL226" s="42">
        <v>2.2999999999999998</v>
      </c>
      <c r="AM226" s="42">
        <f t="shared" si="455"/>
        <v>3.833333333333333E-2</v>
      </c>
      <c r="AN226" s="42" t="s">
        <v>68</v>
      </c>
      <c r="AO226" s="42" t="s">
        <v>68</v>
      </c>
      <c r="AP226" s="42">
        <v>96</v>
      </c>
      <c r="AQ226" s="42">
        <f t="shared" si="451"/>
        <v>1.6</v>
      </c>
      <c r="AR226" s="245">
        <f t="shared" si="470"/>
        <v>1.3666666666666667</v>
      </c>
      <c r="AS226" s="245">
        <f t="shared" si="471"/>
        <v>-1.8333333333333335</v>
      </c>
      <c r="AT226" s="245">
        <f t="shared" si="442"/>
        <v>1.3666666666666667</v>
      </c>
      <c r="AU226" s="248">
        <f t="shared" si="444"/>
        <v>121.61944444444444</v>
      </c>
      <c r="AV226" s="249">
        <f t="shared" si="465"/>
        <v>1.3666666666666667</v>
      </c>
      <c r="AW226" s="305">
        <f t="shared" si="466"/>
        <v>1.1237238197473905E-2</v>
      </c>
      <c r="AX226" s="251">
        <f t="shared" si="467"/>
        <v>266.96951219512198</v>
      </c>
      <c r="AY226" s="283" t="str">
        <f t="shared" si="431"/>
        <v>DOS AÑOS</v>
      </c>
      <c r="AZ226" s="438"/>
      <c r="BA226" s="447"/>
      <c r="BB226" s="441"/>
      <c r="BC226" s="397"/>
      <c r="BD226" s="442"/>
    </row>
    <row r="227" spans="1:56" s="75" customFormat="1" ht="15.75" customHeight="1" thickBot="1" x14ac:dyDescent="0.3">
      <c r="A227" s="321"/>
      <c r="B227" s="766"/>
      <c r="C227" s="619"/>
      <c r="D227" s="769"/>
      <c r="E227" s="769"/>
      <c r="F227" s="772"/>
      <c r="G227" s="595"/>
      <c r="H227" s="595"/>
      <c r="I227" s="446">
        <v>3</v>
      </c>
      <c r="J227" s="440"/>
      <c r="K227" s="70">
        <v>2</v>
      </c>
      <c r="L227" s="439"/>
      <c r="M227" s="443" t="s">
        <v>68</v>
      </c>
      <c r="N227" s="444"/>
      <c r="O227" s="443" t="s">
        <v>68</v>
      </c>
      <c r="P227" s="444"/>
      <c r="Q227" s="37">
        <v>5953</v>
      </c>
      <c r="R227" s="37">
        <v>5954</v>
      </c>
      <c r="S227" s="38">
        <v>44063</v>
      </c>
      <c r="T227" s="625"/>
      <c r="U227" s="39">
        <v>5926</v>
      </c>
      <c r="V227" s="39">
        <f>U227-Q227</f>
        <v>-27</v>
      </c>
      <c r="W227" s="39">
        <f>V227*100/6000</f>
        <v>-0.45</v>
      </c>
      <c r="X227" s="39">
        <v>0.6</v>
      </c>
      <c r="Y227" s="39">
        <f>X227*100/6000</f>
        <v>0.01</v>
      </c>
      <c r="Z227" s="39" t="s">
        <v>68</v>
      </c>
      <c r="AA227" s="39" t="s">
        <v>68</v>
      </c>
      <c r="AB227" s="39" t="s">
        <v>68</v>
      </c>
      <c r="AC227" s="39">
        <v>0.22</v>
      </c>
      <c r="AD227" s="245">
        <f t="shared" ref="AD227" si="491">(W227+AC227)</f>
        <v>-0.23</v>
      </c>
      <c r="AE227" s="245">
        <f t="shared" ref="AE227" si="492">(W227-AC227)</f>
        <v>-0.67</v>
      </c>
      <c r="AF227" s="245">
        <f t="shared" ref="AF227" si="493">MAX(AD227:AE227)</f>
        <v>-0.23</v>
      </c>
      <c r="AG227" s="41">
        <v>44421</v>
      </c>
      <c r="AH227" s="531"/>
      <c r="AI227" s="42">
        <v>5936</v>
      </c>
      <c r="AJ227" s="42">
        <f t="shared" si="476"/>
        <v>-18</v>
      </c>
      <c r="AK227" s="42">
        <f t="shared" si="454"/>
        <v>-0.3</v>
      </c>
      <c r="AL227" s="42">
        <v>4.8</v>
      </c>
      <c r="AM227" s="42">
        <f t="shared" si="455"/>
        <v>0.08</v>
      </c>
      <c r="AN227" s="42" t="s">
        <v>68</v>
      </c>
      <c r="AO227" s="42" t="s">
        <v>68</v>
      </c>
      <c r="AP227" s="42">
        <v>100</v>
      </c>
      <c r="AQ227" s="42">
        <f t="shared" si="451"/>
        <v>1.6666666666666667</v>
      </c>
      <c r="AR227" s="245">
        <f t="shared" si="470"/>
        <v>1.3666666666666667</v>
      </c>
      <c r="AS227" s="245">
        <f t="shared" si="471"/>
        <v>-1.9666666666666668</v>
      </c>
      <c r="AT227" s="245">
        <f t="shared" si="442"/>
        <v>1.3666666666666667</v>
      </c>
      <c r="AU227" s="248">
        <f t="shared" si="444"/>
        <v>0.98055555555555551</v>
      </c>
      <c r="AV227" s="249" t="s">
        <v>68</v>
      </c>
      <c r="AW227" s="305" t="s">
        <v>68</v>
      </c>
      <c r="AX227" s="251" t="s">
        <v>68</v>
      </c>
      <c r="AY227" s="283" t="str">
        <f t="shared" si="431"/>
        <v>DOS AÑOS</v>
      </c>
      <c r="AZ227" s="438"/>
      <c r="BA227" s="447"/>
      <c r="BB227" s="441"/>
      <c r="BC227" s="397"/>
      <c r="BD227" s="442"/>
    </row>
    <row r="228" spans="1:56" x14ac:dyDescent="0.25">
      <c r="A228"/>
      <c r="B228" s="784" t="s">
        <v>199</v>
      </c>
      <c r="C228" s="585" t="s">
        <v>200</v>
      </c>
      <c r="D228" s="588" t="s">
        <v>201</v>
      </c>
      <c r="E228" s="497" t="s">
        <v>202</v>
      </c>
      <c r="F228" s="688" t="s">
        <v>232</v>
      </c>
      <c r="G228" s="573">
        <v>0.01</v>
      </c>
      <c r="H228" s="503" t="s">
        <v>203</v>
      </c>
      <c r="I228" s="401">
        <v>1</v>
      </c>
      <c r="J228" s="752" t="s">
        <v>20</v>
      </c>
      <c r="K228" s="398" t="s">
        <v>68</v>
      </c>
      <c r="L228" s="758" t="s">
        <v>20</v>
      </c>
      <c r="M228" s="398" t="s">
        <v>68</v>
      </c>
      <c r="N228" s="758" t="s">
        <v>20</v>
      </c>
      <c r="O228" s="398" t="s">
        <v>68</v>
      </c>
      <c r="P228" s="758" t="s">
        <v>20</v>
      </c>
      <c r="Q228" s="57">
        <v>0</v>
      </c>
      <c r="R228" s="82">
        <v>0</v>
      </c>
      <c r="S228" s="58">
        <v>44063</v>
      </c>
      <c r="T228" s="527" t="s">
        <v>204</v>
      </c>
      <c r="U228" s="357">
        <v>0</v>
      </c>
      <c r="V228" s="357">
        <f>U228-Q228</f>
        <v>0</v>
      </c>
      <c r="W228" s="357" t="s">
        <v>68</v>
      </c>
      <c r="X228" s="357" t="s">
        <v>68</v>
      </c>
      <c r="Y228" s="357" t="s">
        <v>68</v>
      </c>
      <c r="Z228" s="357" t="s">
        <v>68</v>
      </c>
      <c r="AA228" s="357" t="s">
        <v>68</v>
      </c>
      <c r="AB228" s="357">
        <v>0.6</v>
      </c>
      <c r="AC228" s="357" t="s">
        <v>68</v>
      </c>
      <c r="AD228" s="59">
        <f>(V228+AB228)</f>
        <v>0.6</v>
      </c>
      <c r="AE228" s="59">
        <f>(V228-AB228)</f>
        <v>-0.6</v>
      </c>
      <c r="AF228" s="59">
        <f t="shared" si="425"/>
        <v>0.6</v>
      </c>
      <c r="AG228" s="60">
        <v>44421</v>
      </c>
      <c r="AH228" s="530">
        <v>66141</v>
      </c>
      <c r="AI228" s="61">
        <v>0</v>
      </c>
      <c r="AJ228" s="84">
        <f>AI228-R228</f>
        <v>0</v>
      </c>
      <c r="AK228" s="61" t="s">
        <v>68</v>
      </c>
      <c r="AL228" s="61" t="s">
        <v>68</v>
      </c>
      <c r="AM228" s="61" t="s">
        <v>68</v>
      </c>
      <c r="AN228" s="61" t="s">
        <v>68</v>
      </c>
      <c r="AO228" s="61" t="s">
        <v>68</v>
      </c>
      <c r="AP228" s="61">
        <v>0.69</v>
      </c>
      <c r="AQ228" s="61" t="s">
        <v>68</v>
      </c>
      <c r="AR228" s="358">
        <f>(AJ228+AP228)</f>
        <v>0.69</v>
      </c>
      <c r="AS228" s="59">
        <f>(AJ228-AP228)</f>
        <v>-0.69</v>
      </c>
      <c r="AT228" s="59">
        <f t="shared" si="442"/>
        <v>0.69</v>
      </c>
      <c r="AU228" s="62">
        <f t="shared" si="444"/>
        <v>0.98055555555555551</v>
      </c>
      <c r="AV228" s="63">
        <f t="shared" si="445"/>
        <v>8.9999999999999969E-2</v>
      </c>
      <c r="AW228" s="64">
        <f t="shared" si="446"/>
        <v>9.1784702549575048E-2</v>
      </c>
      <c r="AX228" s="65">
        <f t="shared" si="447"/>
        <v>10.895061728395065</v>
      </c>
      <c r="AY228" s="66" t="str">
        <f t="shared" si="431"/>
        <v>DOS AÑOS</v>
      </c>
      <c r="AZ228" s="704" t="s">
        <v>199</v>
      </c>
      <c r="BA228" s="761" t="s">
        <v>35</v>
      </c>
      <c r="BB228" s="485" t="s">
        <v>34</v>
      </c>
      <c r="BC228" s="359"/>
      <c r="BD228" s="701">
        <f>BC314</f>
        <v>0</v>
      </c>
    </row>
    <row r="229" spans="1:56" x14ac:dyDescent="0.25">
      <c r="A229"/>
      <c r="B229" s="785"/>
      <c r="C229" s="586"/>
      <c r="D229" s="589"/>
      <c r="E229" s="499"/>
      <c r="F229" s="695"/>
      <c r="G229" s="548"/>
      <c r="H229" s="505"/>
      <c r="I229" s="402">
        <v>2</v>
      </c>
      <c r="J229" s="754"/>
      <c r="K229" s="399" t="s">
        <v>68</v>
      </c>
      <c r="L229" s="760"/>
      <c r="M229" s="399" t="s">
        <v>68</v>
      </c>
      <c r="N229" s="760"/>
      <c r="O229" s="399" t="s">
        <v>68</v>
      </c>
      <c r="P229" s="760"/>
      <c r="Q229" s="37">
        <v>23.1</v>
      </c>
      <c r="R229" s="92">
        <v>36.29</v>
      </c>
      <c r="S229" s="38">
        <v>44063</v>
      </c>
      <c r="T229" s="529"/>
      <c r="U229" s="39">
        <v>23.72</v>
      </c>
      <c r="V229" s="39">
        <f>U229-Q229</f>
        <v>0.61999999999999744</v>
      </c>
      <c r="W229" s="39" t="s">
        <v>68</v>
      </c>
      <c r="X229" s="39" t="s">
        <v>68</v>
      </c>
      <c r="Y229" s="39" t="s">
        <v>68</v>
      </c>
      <c r="Z229" s="39" t="s">
        <v>68</v>
      </c>
      <c r="AA229" s="39" t="s">
        <v>68</v>
      </c>
      <c r="AB229" s="39">
        <v>0.6</v>
      </c>
      <c r="AC229" s="39" t="s">
        <v>68</v>
      </c>
      <c r="AD229" s="40">
        <f t="shared" ref="AD229:AD231" si="494">(V229+AB229)</f>
        <v>1.2199999999999975</v>
      </c>
      <c r="AE229" s="40">
        <f t="shared" ref="AE229:AE231" si="495">(V229-AB229)</f>
        <v>1.9999999999997464E-2</v>
      </c>
      <c r="AF229" s="40">
        <f t="shared" si="425"/>
        <v>1.2199999999999975</v>
      </c>
      <c r="AG229" s="41">
        <v>44421</v>
      </c>
      <c r="AH229" s="532"/>
      <c r="AI229" s="42">
        <v>36.4</v>
      </c>
      <c r="AJ229" s="94">
        <f>AI229-R229</f>
        <v>0.10999999999999943</v>
      </c>
      <c r="AK229" s="42" t="s">
        <v>68</v>
      </c>
      <c r="AL229" s="42" t="s">
        <v>68</v>
      </c>
      <c r="AM229" s="42" t="s">
        <v>68</v>
      </c>
      <c r="AN229" s="42" t="s">
        <v>68</v>
      </c>
      <c r="AO229" s="42" t="s">
        <v>68</v>
      </c>
      <c r="AP229" s="42">
        <v>0.77</v>
      </c>
      <c r="AQ229" s="42" t="s">
        <v>68</v>
      </c>
      <c r="AR229" s="360">
        <f t="shared" ref="AR229:AR231" si="496">(AJ229+AP229)</f>
        <v>0.87999999999999945</v>
      </c>
      <c r="AS229" s="40">
        <f t="shared" ref="AS229:AS231" si="497">(AJ229-AP229)</f>
        <v>-0.66000000000000059</v>
      </c>
      <c r="AT229" s="40">
        <f t="shared" si="442"/>
        <v>0.87999999999999945</v>
      </c>
      <c r="AU229" s="43">
        <f t="shared" si="444"/>
        <v>0.98055555555555551</v>
      </c>
      <c r="AV229" s="44">
        <f t="shared" si="445"/>
        <v>0.33999999999999808</v>
      </c>
      <c r="AW229" s="45">
        <f t="shared" si="446"/>
        <v>0.34674220963172608</v>
      </c>
      <c r="AX229" s="46">
        <f t="shared" si="447"/>
        <v>5.7679738562091831</v>
      </c>
      <c r="AY229" s="72" t="str">
        <f t="shared" si="431"/>
        <v>DOS AÑOS</v>
      </c>
      <c r="AZ229" s="705"/>
      <c r="BA229" s="763"/>
      <c r="BB229" s="487"/>
      <c r="BC229" s="362">
        <f>MIN(AX228:AX231)</f>
        <v>2.2285353535353907</v>
      </c>
      <c r="BD229" s="702"/>
    </row>
    <row r="230" spans="1:56" x14ac:dyDescent="0.25">
      <c r="A230"/>
      <c r="B230" s="785"/>
      <c r="C230" s="586"/>
      <c r="D230" s="589"/>
      <c r="E230" s="499"/>
      <c r="F230" s="695"/>
      <c r="G230" s="548"/>
      <c r="H230" s="505"/>
      <c r="I230" s="402">
        <v>2</v>
      </c>
      <c r="J230" s="754"/>
      <c r="K230" s="399"/>
      <c r="L230" s="760"/>
      <c r="M230" s="399"/>
      <c r="N230" s="760"/>
      <c r="O230" s="399"/>
      <c r="P230" s="760"/>
      <c r="Q230" s="37">
        <v>76.7</v>
      </c>
      <c r="R230" s="92">
        <v>74.069999999999993</v>
      </c>
      <c r="S230" s="38">
        <v>44063</v>
      </c>
      <c r="T230" s="529"/>
      <c r="U230" s="39">
        <v>76.38</v>
      </c>
      <c r="V230" s="39">
        <f>U230-Q230</f>
        <v>-0.32000000000000739</v>
      </c>
      <c r="W230" s="39" t="s">
        <v>68</v>
      </c>
      <c r="X230" s="39" t="s">
        <v>68</v>
      </c>
      <c r="Y230" s="39" t="s">
        <v>68</v>
      </c>
      <c r="Z230" s="39" t="s">
        <v>68</v>
      </c>
      <c r="AA230" s="39" t="s">
        <v>68</v>
      </c>
      <c r="AB230" s="39">
        <v>0.6</v>
      </c>
      <c r="AC230" s="39" t="s">
        <v>68</v>
      </c>
      <c r="AD230" s="40">
        <f t="shared" si="494"/>
        <v>0.27999999999999259</v>
      </c>
      <c r="AE230" s="40">
        <f t="shared" si="495"/>
        <v>-0.92000000000000737</v>
      </c>
      <c r="AF230" s="40">
        <f t="shared" si="425"/>
        <v>0.27999999999999259</v>
      </c>
      <c r="AG230" s="41">
        <v>44421</v>
      </c>
      <c r="AH230" s="532"/>
      <c r="AI230" s="42">
        <v>73.8</v>
      </c>
      <c r="AJ230" s="94">
        <f>AI230-R230</f>
        <v>-0.26999999999999602</v>
      </c>
      <c r="AK230" s="42" t="s">
        <v>68</v>
      </c>
      <c r="AL230" s="42"/>
      <c r="AM230" s="42"/>
      <c r="AN230" s="42"/>
      <c r="AO230" s="42"/>
      <c r="AP230" s="42">
        <v>0.77</v>
      </c>
      <c r="AQ230" s="42" t="s">
        <v>68</v>
      </c>
      <c r="AR230" s="360">
        <f t="shared" si="496"/>
        <v>0.500000000000004</v>
      </c>
      <c r="AS230" s="40">
        <f t="shared" si="497"/>
        <v>-1.039999999999996</v>
      </c>
      <c r="AT230" s="40">
        <f t="shared" si="442"/>
        <v>0.500000000000004</v>
      </c>
      <c r="AU230" s="43">
        <f t="shared" si="444"/>
        <v>0.98055555555555551</v>
      </c>
      <c r="AV230" s="44">
        <f t="shared" si="445"/>
        <v>0.22000000000001141</v>
      </c>
      <c r="AW230" s="45">
        <f t="shared" si="446"/>
        <v>0.22436260623230625</v>
      </c>
      <c r="AX230" s="46">
        <f t="shared" si="447"/>
        <v>8.9141414141409516</v>
      </c>
      <c r="AY230" s="72" t="str">
        <f t="shared" si="431"/>
        <v>DOS AÑOS</v>
      </c>
      <c r="AZ230" s="705"/>
      <c r="BA230" s="763"/>
      <c r="BB230" s="487"/>
      <c r="BC230" s="362"/>
      <c r="BD230" s="702"/>
    </row>
    <row r="231" spans="1:56" ht="15.75" thickBot="1" x14ac:dyDescent="0.3">
      <c r="A231"/>
      <c r="B231" s="786"/>
      <c r="C231" s="587"/>
      <c r="D231" s="590"/>
      <c r="E231" s="687"/>
      <c r="F231" s="787"/>
      <c r="G231" s="655"/>
      <c r="H231" s="616"/>
      <c r="I231" s="403">
        <v>1</v>
      </c>
      <c r="J231" s="788"/>
      <c r="K231" s="400" t="s">
        <v>68</v>
      </c>
      <c r="L231" s="782"/>
      <c r="M231" s="400" t="s">
        <v>68</v>
      </c>
      <c r="N231" s="782"/>
      <c r="O231" s="400" t="s">
        <v>68</v>
      </c>
      <c r="P231" s="782"/>
      <c r="Q231" s="177">
        <v>100</v>
      </c>
      <c r="R231" s="110">
        <v>99.67</v>
      </c>
      <c r="S231" s="111">
        <v>44063</v>
      </c>
      <c r="T231" s="579"/>
      <c r="U231" s="48">
        <v>99.9</v>
      </c>
      <c r="V231" s="48">
        <f t="shared" ref="V231" si="498">U231-Q231</f>
        <v>-9.9999999999994316E-2</v>
      </c>
      <c r="W231" s="48" t="s">
        <v>68</v>
      </c>
      <c r="X231" s="48" t="s">
        <v>68</v>
      </c>
      <c r="Y231" s="48" t="s">
        <v>68</v>
      </c>
      <c r="Z231" s="48" t="s">
        <v>68</v>
      </c>
      <c r="AA231" s="48" t="s">
        <v>68</v>
      </c>
      <c r="AB231" s="48">
        <v>0.6</v>
      </c>
      <c r="AC231" s="48" t="s">
        <v>68</v>
      </c>
      <c r="AD231" s="49">
        <f t="shared" si="494"/>
        <v>0.50000000000000566</v>
      </c>
      <c r="AE231" s="49">
        <f t="shared" si="495"/>
        <v>-0.69999999999999429</v>
      </c>
      <c r="AF231" s="49">
        <f t="shared" si="425"/>
        <v>0.50000000000000566</v>
      </c>
      <c r="AG231" s="114">
        <v>44421</v>
      </c>
      <c r="AH231" s="581"/>
      <c r="AI231" s="50">
        <v>100</v>
      </c>
      <c r="AJ231" s="115">
        <f>AI231-R231</f>
        <v>0.32999999999999829</v>
      </c>
      <c r="AK231" s="50" t="s">
        <v>68</v>
      </c>
      <c r="AL231" s="50" t="s">
        <v>68</v>
      </c>
      <c r="AM231" s="50" t="s">
        <v>68</v>
      </c>
      <c r="AN231" s="50" t="s">
        <v>68</v>
      </c>
      <c r="AO231" s="50" t="s">
        <v>68</v>
      </c>
      <c r="AP231" s="50">
        <v>0.61</v>
      </c>
      <c r="AQ231" s="50" t="s">
        <v>68</v>
      </c>
      <c r="AR231" s="363">
        <f t="shared" si="496"/>
        <v>0.93999999999999828</v>
      </c>
      <c r="AS231" s="49">
        <f t="shared" si="497"/>
        <v>-0.28000000000000169</v>
      </c>
      <c r="AT231" s="49">
        <f t="shared" si="442"/>
        <v>0.93999999999999828</v>
      </c>
      <c r="AU231" s="51">
        <f t="shared" si="444"/>
        <v>0.98055555555555551</v>
      </c>
      <c r="AV231" s="52">
        <f t="shared" si="445"/>
        <v>0.43999999999999262</v>
      </c>
      <c r="AW231" s="364">
        <f t="shared" si="446"/>
        <v>0.44872521246458175</v>
      </c>
      <c r="AX231" s="53">
        <f t="shared" si="447"/>
        <v>2.2285353535353907</v>
      </c>
      <c r="AY231" s="120" t="str">
        <f t="shared" si="431"/>
        <v>DOS AÑOS</v>
      </c>
      <c r="AZ231" s="706"/>
      <c r="BA231" s="783"/>
      <c r="BB231" s="666"/>
      <c r="BC231" s="365"/>
      <c r="BD231" s="703"/>
    </row>
    <row r="232" spans="1:56" x14ac:dyDescent="0.25">
      <c r="B232" s="684" t="s">
        <v>11</v>
      </c>
      <c r="C232" s="689" t="s">
        <v>12</v>
      </c>
      <c r="D232" s="497" t="s">
        <v>112</v>
      </c>
      <c r="E232" s="497" t="s">
        <v>118</v>
      </c>
      <c r="F232" s="688" t="s">
        <v>233</v>
      </c>
      <c r="G232" s="503" t="s">
        <v>17</v>
      </c>
      <c r="H232" s="503" t="s">
        <v>119</v>
      </c>
      <c r="I232" s="55">
        <v>10</v>
      </c>
      <c r="J232" s="506" t="s">
        <v>20</v>
      </c>
      <c r="K232" s="56" t="s">
        <v>68</v>
      </c>
      <c r="L232" s="524" t="s">
        <v>20</v>
      </c>
      <c r="M232" s="56" t="s">
        <v>68</v>
      </c>
      <c r="N232" s="524" t="s">
        <v>20</v>
      </c>
      <c r="O232" s="56" t="s">
        <v>68</v>
      </c>
      <c r="P232" s="524" t="s">
        <v>20</v>
      </c>
      <c r="Q232" s="166">
        <v>1</v>
      </c>
      <c r="R232" s="175">
        <v>0</v>
      </c>
      <c r="S232" s="58">
        <v>44063</v>
      </c>
      <c r="T232" s="639" t="s">
        <v>205</v>
      </c>
      <c r="U232" s="61">
        <v>1</v>
      </c>
      <c r="V232" s="61">
        <f>U232-Q232</f>
        <v>0</v>
      </c>
      <c r="W232" s="61">
        <f t="shared" ref="W232:W235" si="499">V232*100/U232</f>
        <v>0</v>
      </c>
      <c r="X232" s="61"/>
      <c r="Y232" s="61"/>
      <c r="Z232" s="61"/>
      <c r="AA232" s="61"/>
      <c r="AB232" s="61"/>
      <c r="AC232" s="61">
        <v>7</v>
      </c>
      <c r="AD232" s="84">
        <f>(W232+AC232)</f>
        <v>7</v>
      </c>
      <c r="AE232" s="84">
        <f>(W232-AC232)</f>
        <v>-7</v>
      </c>
      <c r="AF232" s="84">
        <f t="shared" si="298"/>
        <v>7</v>
      </c>
      <c r="AG232" s="60">
        <v>44421</v>
      </c>
      <c r="AH232" s="650">
        <v>66142</v>
      </c>
      <c r="AI232" s="61">
        <v>0</v>
      </c>
      <c r="AJ232" s="61">
        <f>AI232-R232</f>
        <v>0</v>
      </c>
      <c r="AK232" s="61">
        <v>0</v>
      </c>
      <c r="AL232" s="61" t="s">
        <v>68</v>
      </c>
      <c r="AM232" s="61" t="s">
        <v>68</v>
      </c>
      <c r="AN232" s="61" t="s">
        <v>68</v>
      </c>
      <c r="AO232" s="61" t="s">
        <v>68</v>
      </c>
      <c r="AP232" s="61">
        <v>5.7000000000000002E-2</v>
      </c>
      <c r="AQ232" s="61">
        <v>5.7000000000000002E-2</v>
      </c>
      <c r="AR232" s="59">
        <f>(AJ232+AQ232)</f>
        <v>5.7000000000000002E-2</v>
      </c>
      <c r="AS232" s="59">
        <f>(AK232-AQ232)</f>
        <v>-5.7000000000000002E-2</v>
      </c>
      <c r="AT232" s="59">
        <f t="shared" ref="AT232" si="500">MAX(AR232:AS232)</f>
        <v>5.7000000000000002E-2</v>
      </c>
      <c r="AU232" s="62">
        <f t="shared" si="4"/>
        <v>0.98055555555555551</v>
      </c>
      <c r="AV232" s="63">
        <f t="shared" si="117"/>
        <v>6.9429999999999996</v>
      </c>
      <c r="AW232" s="64">
        <f t="shared" si="300"/>
        <v>7.0806798866855525</v>
      </c>
      <c r="AX232" s="65">
        <f t="shared" si="6"/>
        <v>1.4122937571014771</v>
      </c>
      <c r="AY232" s="66" t="str">
        <f t="shared" si="7"/>
        <v>DOS AÑOS</v>
      </c>
      <c r="AZ232" s="704" t="s">
        <v>11</v>
      </c>
      <c r="BA232" s="482" t="s">
        <v>35</v>
      </c>
      <c r="BB232" s="485" t="s">
        <v>34</v>
      </c>
      <c r="BC232" s="67"/>
      <c r="BD232" s="701" t="e">
        <f>#REF!</f>
        <v>#REF!</v>
      </c>
    </row>
    <row r="233" spans="1:56" x14ac:dyDescent="0.25">
      <c r="B233" s="685"/>
      <c r="C233" s="682"/>
      <c r="D233" s="499"/>
      <c r="E233" s="499"/>
      <c r="F233" s="499"/>
      <c r="G233" s="505"/>
      <c r="H233" s="505"/>
      <c r="I233" s="69">
        <v>10</v>
      </c>
      <c r="J233" s="508"/>
      <c r="K233" s="71" t="s">
        <v>68</v>
      </c>
      <c r="L233" s="526"/>
      <c r="M233" s="71" t="s">
        <v>68</v>
      </c>
      <c r="N233" s="526"/>
      <c r="O233" s="71" t="s">
        <v>68</v>
      </c>
      <c r="P233" s="526"/>
      <c r="Q233" s="168">
        <v>2.5</v>
      </c>
      <c r="R233" s="168">
        <v>2.5</v>
      </c>
      <c r="S233" s="38">
        <v>44063</v>
      </c>
      <c r="T233" s="640"/>
      <c r="U233" s="42">
        <v>2.5</v>
      </c>
      <c r="V233" s="42">
        <f>U233-Q233</f>
        <v>0</v>
      </c>
      <c r="W233" s="42">
        <f t="shared" si="499"/>
        <v>0</v>
      </c>
      <c r="X233" s="42"/>
      <c r="Y233" s="42"/>
      <c r="Z233" s="42"/>
      <c r="AA233" s="42"/>
      <c r="AB233" s="42"/>
      <c r="AC233" s="42">
        <v>3.2</v>
      </c>
      <c r="AD233" s="94">
        <f t="shared" si="115"/>
        <v>3.2</v>
      </c>
      <c r="AE233" s="94">
        <f t="shared" si="105"/>
        <v>-3.2</v>
      </c>
      <c r="AF233" s="94">
        <f t="shared" si="298"/>
        <v>3.2</v>
      </c>
      <c r="AG233" s="41">
        <v>44421</v>
      </c>
      <c r="AH233" s="651"/>
      <c r="AI233" s="42">
        <v>2.5</v>
      </c>
      <c r="AJ233" s="42">
        <f t="shared" ref="AJ233:AJ238" si="501">AI233-R233</f>
        <v>0</v>
      </c>
      <c r="AK233" s="42">
        <f>AJ233*100/R233</f>
        <v>0</v>
      </c>
      <c r="AL233" s="42" t="s">
        <v>68</v>
      </c>
      <c r="AM233" s="42" t="s">
        <v>68</v>
      </c>
      <c r="AN233" s="42" t="s">
        <v>68</v>
      </c>
      <c r="AO233" s="42" t="s">
        <v>68</v>
      </c>
      <c r="AP233" s="42">
        <v>0.14000000000000001</v>
      </c>
      <c r="AQ233" s="42">
        <f>AP233*100/R233</f>
        <v>5.6000000000000005</v>
      </c>
      <c r="AR233" s="40">
        <f t="shared" si="74"/>
        <v>5.6000000000000005</v>
      </c>
      <c r="AS233" s="40">
        <f t="shared" ref="AS233:AS257" si="502">(AK233-AQ233)</f>
        <v>-5.6000000000000005</v>
      </c>
      <c r="AT233" s="40">
        <f t="shared" ref="AT233:AT258" si="503">MAX(AR233:AS233)</f>
        <v>5.6000000000000005</v>
      </c>
      <c r="AU233" s="43">
        <f t="shared" si="4"/>
        <v>0.98055555555555551</v>
      </c>
      <c r="AV233" s="44">
        <f t="shared" si="117"/>
        <v>2.4000000000000004</v>
      </c>
      <c r="AW233" s="45">
        <f t="shared" si="300"/>
        <v>2.4475920679886691</v>
      </c>
      <c r="AX233" s="46">
        <f t="shared" si="6"/>
        <v>4.085648148148147</v>
      </c>
      <c r="AY233" s="72" t="str">
        <f t="shared" si="7"/>
        <v>DOS AÑOS</v>
      </c>
      <c r="AZ233" s="705"/>
      <c r="BA233" s="484"/>
      <c r="BB233" s="487"/>
      <c r="BC233" s="74"/>
      <c r="BD233" s="702"/>
    </row>
    <row r="234" spans="1:56" x14ac:dyDescent="0.25">
      <c r="B234" s="685"/>
      <c r="C234" s="682"/>
      <c r="D234" s="499"/>
      <c r="E234" s="499"/>
      <c r="F234" s="499"/>
      <c r="G234" s="505"/>
      <c r="H234" s="505"/>
      <c r="I234" s="69">
        <v>10</v>
      </c>
      <c r="J234" s="508"/>
      <c r="K234" s="71" t="s">
        <v>68</v>
      </c>
      <c r="L234" s="526"/>
      <c r="M234" s="71" t="s">
        <v>68</v>
      </c>
      <c r="N234" s="526"/>
      <c r="O234" s="71" t="s">
        <v>68</v>
      </c>
      <c r="P234" s="526"/>
      <c r="Q234" s="37">
        <v>5</v>
      </c>
      <c r="R234" s="176">
        <v>10</v>
      </c>
      <c r="S234" s="38">
        <v>44063</v>
      </c>
      <c r="T234" s="640"/>
      <c r="U234" s="42">
        <v>4.99</v>
      </c>
      <c r="V234" s="42">
        <f>U234-Q234</f>
        <v>-9.9999999999997868E-3</v>
      </c>
      <c r="W234" s="42">
        <f t="shared" si="499"/>
        <v>-0.20040080160320214</v>
      </c>
      <c r="X234" s="42"/>
      <c r="Y234" s="42"/>
      <c r="Z234" s="42"/>
      <c r="AA234" s="42"/>
      <c r="AB234" s="42"/>
      <c r="AC234" s="42">
        <v>1.8</v>
      </c>
      <c r="AD234" s="94">
        <f t="shared" si="115"/>
        <v>1.5995991983967979</v>
      </c>
      <c r="AE234" s="94">
        <f t="shared" si="105"/>
        <v>-2.000400801603202</v>
      </c>
      <c r="AF234" s="94">
        <f t="shared" si="298"/>
        <v>1.5995991983967979</v>
      </c>
      <c r="AG234" s="41">
        <v>44421</v>
      </c>
      <c r="AH234" s="651"/>
      <c r="AI234" s="42">
        <v>10.1</v>
      </c>
      <c r="AJ234" s="42">
        <f t="shared" si="501"/>
        <v>9.9999999999999645E-2</v>
      </c>
      <c r="AK234" s="42">
        <f>AJ234*100/R234</f>
        <v>0.99999999999999645</v>
      </c>
      <c r="AL234" s="42" t="s">
        <v>68</v>
      </c>
      <c r="AM234" s="42" t="s">
        <v>68</v>
      </c>
      <c r="AN234" s="42" t="s">
        <v>68</v>
      </c>
      <c r="AO234" s="42" t="s">
        <v>68</v>
      </c>
      <c r="AP234" s="42">
        <v>0.45</v>
      </c>
      <c r="AQ234" s="42">
        <f t="shared" ref="AQ234:AQ235" si="504">AP234*100/R234</f>
        <v>4.5</v>
      </c>
      <c r="AR234" s="40">
        <f t="shared" si="74"/>
        <v>4.5999999999999996</v>
      </c>
      <c r="AS234" s="40">
        <f t="shared" si="502"/>
        <v>-3.5000000000000036</v>
      </c>
      <c r="AT234" s="40">
        <f t="shared" si="503"/>
        <v>4.5999999999999996</v>
      </c>
      <c r="AU234" s="43">
        <f t="shared" ref="AU234:AU239" si="505">YEARFRAC(S234,AG234)</f>
        <v>0.98055555555555551</v>
      </c>
      <c r="AV234" s="44">
        <f t="shared" ref="AV234:AV239" si="506">ABS(AT234-AF234)</f>
        <v>3.0004008016032016</v>
      </c>
      <c r="AW234" s="45">
        <f t="shared" ref="AW234:AW239" si="507">(AV234/AU234)</f>
        <v>3.0598988344961828</v>
      </c>
      <c r="AX234" s="46">
        <f t="shared" ref="AX234:AX239" si="508">(I234/AW234)</f>
        <v>3.2680819010300763</v>
      </c>
      <c r="AY234" s="72" t="str">
        <f t="shared" ref="AY234:AY239" si="509">IF(AX234&lt;=1,"UN AÑO",IF(AX234&gt;=1,"DOS AÑOS"))</f>
        <v>DOS AÑOS</v>
      </c>
      <c r="AZ234" s="705"/>
      <c r="BA234" s="484"/>
      <c r="BB234" s="487"/>
      <c r="BC234" s="74"/>
      <c r="BD234" s="702"/>
    </row>
    <row r="235" spans="1:56" x14ac:dyDescent="0.25">
      <c r="B235" s="685"/>
      <c r="C235" s="682"/>
      <c r="D235" s="499"/>
      <c r="E235" s="499"/>
      <c r="F235" s="499"/>
      <c r="G235" s="505"/>
      <c r="H235" s="505"/>
      <c r="I235" s="69">
        <v>10</v>
      </c>
      <c r="J235" s="508"/>
      <c r="K235" s="71" t="s">
        <v>68</v>
      </c>
      <c r="L235" s="526"/>
      <c r="M235" s="71" t="s">
        <v>68</v>
      </c>
      <c r="N235" s="526"/>
      <c r="O235" s="71" t="s">
        <v>68</v>
      </c>
      <c r="P235" s="526"/>
      <c r="Q235" s="37">
        <v>8</v>
      </c>
      <c r="R235" s="176">
        <v>26</v>
      </c>
      <c r="S235" s="38">
        <v>44063</v>
      </c>
      <c r="T235" s="640"/>
      <c r="U235" s="39">
        <v>8</v>
      </c>
      <c r="V235" s="42">
        <f>U235-Q235</f>
        <v>0</v>
      </c>
      <c r="W235" s="42">
        <f t="shared" si="499"/>
        <v>0</v>
      </c>
      <c r="X235" s="39"/>
      <c r="Y235" s="39"/>
      <c r="Z235" s="39"/>
      <c r="AA235" s="39"/>
      <c r="AB235" s="39"/>
      <c r="AC235" s="39">
        <v>1.5</v>
      </c>
      <c r="AD235" s="40">
        <f t="shared" si="115"/>
        <v>1.5</v>
      </c>
      <c r="AE235" s="40">
        <f t="shared" si="105"/>
        <v>-1.5</v>
      </c>
      <c r="AF235" s="40">
        <f t="shared" si="298"/>
        <v>1.5</v>
      </c>
      <c r="AG235" s="41">
        <v>44421</v>
      </c>
      <c r="AH235" s="651"/>
      <c r="AI235" s="42">
        <v>26.1</v>
      </c>
      <c r="AJ235" s="42">
        <f t="shared" si="501"/>
        <v>0.10000000000000142</v>
      </c>
      <c r="AK235" s="42">
        <f>AJ235*100/R235</f>
        <v>0.38461538461539008</v>
      </c>
      <c r="AL235" s="42" t="s">
        <v>68</v>
      </c>
      <c r="AM235" s="42" t="s">
        <v>68</v>
      </c>
      <c r="AN235" s="42" t="s">
        <v>68</v>
      </c>
      <c r="AO235" s="42" t="s">
        <v>68</v>
      </c>
      <c r="AP235" s="42">
        <v>0.12</v>
      </c>
      <c r="AQ235" s="42">
        <f t="shared" si="504"/>
        <v>0.46153846153846156</v>
      </c>
      <c r="AR235" s="40">
        <f t="shared" si="74"/>
        <v>0.56153846153846299</v>
      </c>
      <c r="AS235" s="40">
        <f t="shared" si="502"/>
        <v>-7.6923076923071487E-2</v>
      </c>
      <c r="AT235" s="40">
        <f t="shared" si="503"/>
        <v>0.56153846153846299</v>
      </c>
      <c r="AU235" s="43">
        <f t="shared" si="505"/>
        <v>0.98055555555555551</v>
      </c>
      <c r="AV235" s="44">
        <f t="shared" si="506"/>
        <v>0.93846153846153701</v>
      </c>
      <c r="AW235" s="45">
        <f t="shared" si="507"/>
        <v>0.95707125735454202</v>
      </c>
      <c r="AX235" s="46">
        <f t="shared" si="508"/>
        <v>10.448542805100198</v>
      </c>
      <c r="AY235" s="72" t="str">
        <f t="shared" si="509"/>
        <v>DOS AÑOS</v>
      </c>
      <c r="AZ235" s="705"/>
      <c r="BA235" s="484"/>
      <c r="BB235" s="487"/>
      <c r="BC235" s="119" t="e">
        <f>MIN(AX232:AX278)</f>
        <v>#VALUE!</v>
      </c>
      <c r="BD235" s="702"/>
    </row>
    <row r="236" spans="1:56" x14ac:dyDescent="0.25">
      <c r="B236" s="685"/>
      <c r="C236" s="682"/>
      <c r="D236" s="499"/>
      <c r="E236" s="499"/>
      <c r="F236" s="499"/>
      <c r="G236" s="505"/>
      <c r="H236" s="505"/>
      <c r="I236" s="69">
        <v>10</v>
      </c>
      <c r="J236" s="508"/>
      <c r="K236" s="71"/>
      <c r="L236" s="526"/>
      <c r="M236" s="71"/>
      <c r="N236" s="526"/>
      <c r="O236" s="71"/>
      <c r="P236" s="526"/>
      <c r="Q236" s="37"/>
      <c r="R236" s="176">
        <v>0</v>
      </c>
      <c r="S236" s="38">
        <v>44063</v>
      </c>
      <c r="T236" s="640"/>
      <c r="U236" s="39"/>
      <c r="V236" s="39"/>
      <c r="W236" s="39"/>
      <c r="X236" s="39"/>
      <c r="Y236" s="39"/>
      <c r="Z236" s="39"/>
      <c r="AA236" s="39"/>
      <c r="AB236" s="39"/>
      <c r="AC236" s="39"/>
      <c r="AD236" s="40"/>
      <c r="AE236" s="40"/>
      <c r="AF236" s="40"/>
      <c r="AG236" s="41">
        <v>44421</v>
      </c>
      <c r="AH236" s="651"/>
      <c r="AI236" s="42">
        <v>0</v>
      </c>
      <c r="AJ236" s="42">
        <f t="shared" si="501"/>
        <v>0</v>
      </c>
      <c r="AK236" s="42">
        <v>0</v>
      </c>
      <c r="AL236" s="42"/>
      <c r="AM236" s="42"/>
      <c r="AN236" s="42"/>
      <c r="AO236" s="42"/>
      <c r="AP236" s="42">
        <v>5.7000000000000002E-2</v>
      </c>
      <c r="AQ236" s="42">
        <v>5.7000000000000002E-2</v>
      </c>
      <c r="AR236" s="40">
        <f t="shared" si="74"/>
        <v>5.7000000000000002E-2</v>
      </c>
      <c r="AS236" s="40">
        <f t="shared" si="502"/>
        <v>-5.7000000000000002E-2</v>
      </c>
      <c r="AT236" s="40">
        <f t="shared" si="503"/>
        <v>5.7000000000000002E-2</v>
      </c>
      <c r="AU236" s="43">
        <f t="shared" si="505"/>
        <v>0.98055555555555551</v>
      </c>
      <c r="AV236" s="44">
        <f t="shared" si="506"/>
        <v>5.7000000000000002E-2</v>
      </c>
      <c r="AW236" s="45">
        <f t="shared" si="507"/>
        <v>5.8130311614730881E-2</v>
      </c>
      <c r="AX236" s="46">
        <f t="shared" si="508"/>
        <v>172.02729044834308</v>
      </c>
      <c r="AY236" s="72" t="str">
        <f t="shared" si="509"/>
        <v>DOS AÑOS</v>
      </c>
      <c r="AZ236" s="705"/>
      <c r="BA236" s="484"/>
      <c r="BB236" s="487"/>
      <c r="BC236" s="119"/>
      <c r="BD236" s="702"/>
    </row>
    <row r="237" spans="1:56" x14ac:dyDescent="0.25">
      <c r="B237" s="685"/>
      <c r="C237" s="682"/>
      <c r="D237" s="499"/>
      <c r="E237" s="499"/>
      <c r="F237" s="499"/>
      <c r="G237" s="505"/>
      <c r="H237" s="505"/>
      <c r="I237" s="69">
        <v>10</v>
      </c>
      <c r="J237" s="508"/>
      <c r="K237" s="71"/>
      <c r="L237" s="526"/>
      <c r="M237" s="71"/>
      <c r="N237" s="526"/>
      <c r="O237" s="71"/>
      <c r="P237" s="526"/>
      <c r="Q237" s="168">
        <v>28</v>
      </c>
      <c r="R237" s="176">
        <v>56</v>
      </c>
      <c r="S237" s="38">
        <v>44063</v>
      </c>
      <c r="T237" s="640"/>
      <c r="U237" s="42">
        <v>27.5</v>
      </c>
      <c r="V237" s="42">
        <f>U237-Q237</f>
        <v>-0.5</v>
      </c>
      <c r="W237" s="42">
        <f t="shared" ref="W237:W238" si="510">V237*100/U237</f>
        <v>-1.8181818181818181</v>
      </c>
      <c r="X237" s="42"/>
      <c r="Y237" s="42"/>
      <c r="Z237" s="42"/>
      <c r="AA237" s="42"/>
      <c r="AB237" s="42"/>
      <c r="AC237" s="42">
        <v>3.9</v>
      </c>
      <c r="AD237" s="94">
        <f t="shared" ref="AD237:AD243" si="511">(W237+AC237)</f>
        <v>2.081818181818182</v>
      </c>
      <c r="AE237" s="94">
        <f t="shared" si="105"/>
        <v>-5.7181818181818178</v>
      </c>
      <c r="AF237" s="94">
        <f t="shared" si="298"/>
        <v>2.081818181818182</v>
      </c>
      <c r="AG237" s="41">
        <v>44421</v>
      </c>
      <c r="AH237" s="651"/>
      <c r="AI237" s="42">
        <v>57.4</v>
      </c>
      <c r="AJ237" s="42">
        <f t="shared" si="501"/>
        <v>1.3999999999999986</v>
      </c>
      <c r="AK237" s="42">
        <f>AJ237*100/R237</f>
        <v>2.4999999999999973</v>
      </c>
      <c r="AL237" s="42"/>
      <c r="AM237" s="42"/>
      <c r="AN237" s="42"/>
      <c r="AO237" s="42"/>
      <c r="AP237" s="42">
        <v>2.4</v>
      </c>
      <c r="AQ237" s="42">
        <f>AP237*100/R237</f>
        <v>4.2857142857142856</v>
      </c>
      <c r="AR237" s="40">
        <f t="shared" si="74"/>
        <v>5.6857142857142842</v>
      </c>
      <c r="AS237" s="40">
        <f t="shared" si="502"/>
        <v>-1.7857142857142883</v>
      </c>
      <c r="AT237" s="40">
        <f t="shared" si="503"/>
        <v>5.6857142857142842</v>
      </c>
      <c r="AU237" s="43">
        <f t="shared" si="505"/>
        <v>0.98055555555555551</v>
      </c>
      <c r="AV237" s="44">
        <f t="shared" si="506"/>
        <v>3.6038961038961022</v>
      </c>
      <c r="AW237" s="45">
        <f t="shared" si="507"/>
        <v>3.6753614657297362</v>
      </c>
      <c r="AX237" s="46">
        <f t="shared" si="508"/>
        <v>2.7208208208208218</v>
      </c>
      <c r="AY237" s="72" t="str">
        <f t="shared" si="509"/>
        <v>DOS AÑOS</v>
      </c>
      <c r="AZ237" s="705"/>
      <c r="BA237" s="484"/>
      <c r="BB237" s="487"/>
      <c r="BC237" s="119"/>
      <c r="BD237" s="702"/>
    </row>
    <row r="238" spans="1:56" x14ac:dyDescent="0.25">
      <c r="B238" s="685"/>
      <c r="C238" s="682"/>
      <c r="D238" s="499"/>
      <c r="E238" s="499"/>
      <c r="F238" s="499"/>
      <c r="G238" s="505"/>
      <c r="H238" s="505"/>
      <c r="I238" s="69">
        <v>10</v>
      </c>
      <c r="J238" s="508"/>
      <c r="K238" s="71"/>
      <c r="L238" s="526"/>
      <c r="M238" s="71"/>
      <c r="N238" s="526"/>
      <c r="O238" s="71"/>
      <c r="P238" s="526"/>
      <c r="Q238" s="176">
        <v>88</v>
      </c>
      <c r="R238" s="176">
        <v>90</v>
      </c>
      <c r="S238" s="38">
        <v>44063</v>
      </c>
      <c r="T238" s="640"/>
      <c r="U238" s="42">
        <v>88</v>
      </c>
      <c r="V238" s="42">
        <f>U238-Q238</f>
        <v>0</v>
      </c>
      <c r="W238" s="42">
        <f t="shared" si="510"/>
        <v>0</v>
      </c>
      <c r="X238" s="42"/>
      <c r="Y238" s="42"/>
      <c r="Z238" s="42"/>
      <c r="AA238" s="42"/>
      <c r="AB238" s="42"/>
      <c r="AC238" s="42">
        <v>4.4000000000000004</v>
      </c>
      <c r="AD238" s="94">
        <f t="shared" si="511"/>
        <v>4.4000000000000004</v>
      </c>
      <c r="AE238" s="94">
        <f t="shared" si="105"/>
        <v>-4.4000000000000004</v>
      </c>
      <c r="AF238" s="94">
        <f t="shared" si="298"/>
        <v>4.4000000000000004</v>
      </c>
      <c r="AG238" s="41">
        <v>44421</v>
      </c>
      <c r="AH238" s="651"/>
      <c r="AI238" s="42">
        <v>91</v>
      </c>
      <c r="AJ238" s="42">
        <f t="shared" si="501"/>
        <v>1</v>
      </c>
      <c r="AK238" s="42">
        <f>AJ238*100/R238</f>
        <v>1.1111111111111112</v>
      </c>
      <c r="AL238" s="42"/>
      <c r="AM238" s="42"/>
      <c r="AN238" s="42"/>
      <c r="AO238" s="42"/>
      <c r="AP238" s="42">
        <v>3.8</v>
      </c>
      <c r="AQ238" s="42">
        <f>AP238*100/R238</f>
        <v>4.2222222222222223</v>
      </c>
      <c r="AR238" s="40">
        <f t="shared" si="74"/>
        <v>5.2222222222222223</v>
      </c>
      <c r="AS238" s="40">
        <f t="shared" si="502"/>
        <v>-3.1111111111111112</v>
      </c>
      <c r="AT238" s="40">
        <f t="shared" si="503"/>
        <v>5.2222222222222223</v>
      </c>
      <c r="AU238" s="43">
        <f t="shared" si="505"/>
        <v>0.98055555555555551</v>
      </c>
      <c r="AV238" s="44">
        <f t="shared" si="506"/>
        <v>0.82222222222222197</v>
      </c>
      <c r="AW238" s="45">
        <f t="shared" si="507"/>
        <v>0.83852691218130293</v>
      </c>
      <c r="AX238" s="46">
        <f t="shared" si="508"/>
        <v>11.925675675675679</v>
      </c>
      <c r="AY238" s="72" t="str">
        <f t="shared" si="509"/>
        <v>DOS AÑOS</v>
      </c>
      <c r="AZ238" s="705"/>
      <c r="BA238" s="484"/>
      <c r="BB238" s="487"/>
      <c r="BC238" s="119"/>
      <c r="BD238" s="702"/>
    </row>
    <row r="239" spans="1:56" x14ac:dyDescent="0.25">
      <c r="B239" s="685"/>
      <c r="C239" s="682" t="s">
        <v>13</v>
      </c>
      <c r="D239" s="499"/>
      <c r="E239" s="499"/>
      <c r="F239" s="499"/>
      <c r="G239" s="548">
        <v>1E-3</v>
      </c>
      <c r="H239" s="505" t="s">
        <v>18</v>
      </c>
      <c r="I239" s="69">
        <v>10</v>
      </c>
      <c r="J239" s="508"/>
      <c r="K239" s="71" t="s">
        <v>68</v>
      </c>
      <c r="L239" s="526"/>
      <c r="M239" s="71" t="s">
        <v>68</v>
      </c>
      <c r="N239" s="526"/>
      <c r="O239" s="71" t="s">
        <v>68</v>
      </c>
      <c r="P239" s="526"/>
      <c r="Q239" s="466">
        <v>0.01</v>
      </c>
      <c r="R239" s="92">
        <v>0</v>
      </c>
      <c r="S239" s="38">
        <v>44063</v>
      </c>
      <c r="T239" s="640"/>
      <c r="U239" s="39">
        <v>0</v>
      </c>
      <c r="V239" s="325">
        <f>Q239-U239</f>
        <v>0.01</v>
      </c>
      <c r="W239" s="325">
        <f>R239-V239</f>
        <v>-0.01</v>
      </c>
      <c r="X239" s="39"/>
      <c r="Y239" s="39"/>
      <c r="Z239" s="39"/>
      <c r="AA239" s="39"/>
      <c r="AB239" s="39"/>
      <c r="AC239" s="39">
        <v>7.0000000000000007E-2</v>
      </c>
      <c r="AD239" s="40">
        <f t="shared" si="511"/>
        <v>6.0000000000000005E-2</v>
      </c>
      <c r="AE239" s="40">
        <f t="shared" si="105"/>
        <v>-0.08</v>
      </c>
      <c r="AF239" s="94">
        <f t="shared" si="298"/>
        <v>6.0000000000000005E-2</v>
      </c>
      <c r="AG239" s="41">
        <v>44421</v>
      </c>
      <c r="AH239" s="651"/>
      <c r="AI239" s="42">
        <v>0</v>
      </c>
      <c r="AJ239" s="42">
        <f>AI239-R239</f>
        <v>0</v>
      </c>
      <c r="AK239" s="42">
        <v>0</v>
      </c>
      <c r="AL239" s="42" t="s">
        <v>68</v>
      </c>
      <c r="AM239" s="42" t="s">
        <v>68</v>
      </c>
      <c r="AN239" s="42" t="s">
        <v>68</v>
      </c>
      <c r="AO239" s="42" t="s">
        <v>68</v>
      </c>
      <c r="AP239" s="42" t="s">
        <v>68</v>
      </c>
      <c r="AQ239" s="42">
        <v>5.8000000000000003E-2</v>
      </c>
      <c r="AR239" s="40">
        <f>(AK239+AQ239)</f>
        <v>5.8000000000000003E-2</v>
      </c>
      <c r="AS239" s="40">
        <f>(AK239-AQ239)</f>
        <v>-5.8000000000000003E-2</v>
      </c>
      <c r="AT239" s="40">
        <f t="shared" si="503"/>
        <v>5.8000000000000003E-2</v>
      </c>
      <c r="AU239" s="43">
        <f t="shared" si="505"/>
        <v>0.98055555555555551</v>
      </c>
      <c r="AV239" s="44">
        <f t="shared" si="506"/>
        <v>2.0000000000000018E-3</v>
      </c>
      <c r="AW239" s="45">
        <f t="shared" si="507"/>
        <v>2.0396600566572258E-3</v>
      </c>
      <c r="AX239" s="46">
        <f t="shared" si="508"/>
        <v>4902.7777777777728</v>
      </c>
      <c r="AY239" s="72" t="str">
        <f t="shared" si="509"/>
        <v>DOS AÑOS</v>
      </c>
      <c r="AZ239" s="705"/>
      <c r="BA239" s="484"/>
      <c r="BB239" s="487"/>
      <c r="BC239" s="74"/>
      <c r="BD239" s="702"/>
    </row>
    <row r="240" spans="1:56" x14ac:dyDescent="0.25">
      <c r="B240" s="685"/>
      <c r="C240" s="682"/>
      <c r="D240" s="499"/>
      <c r="E240" s="499"/>
      <c r="F240" s="499"/>
      <c r="G240" s="548"/>
      <c r="H240" s="505"/>
      <c r="I240" s="324">
        <v>10</v>
      </c>
      <c r="J240" s="508"/>
      <c r="K240" s="323"/>
      <c r="L240" s="526"/>
      <c r="M240" s="323"/>
      <c r="N240" s="526"/>
      <c r="O240" s="323"/>
      <c r="P240" s="526"/>
      <c r="Q240" s="466">
        <v>1.01</v>
      </c>
      <c r="R240" s="92">
        <v>1.002</v>
      </c>
      <c r="S240" s="38">
        <v>44063</v>
      </c>
      <c r="T240" s="640"/>
      <c r="U240" s="39">
        <v>1</v>
      </c>
      <c r="V240" s="325">
        <f t="shared" ref="V240:V243" si="512">Q240-U240</f>
        <v>1.0000000000000009E-2</v>
      </c>
      <c r="W240" s="39">
        <f>V240*100/Q240</f>
        <v>0.99009900990099098</v>
      </c>
      <c r="X240" s="39"/>
      <c r="Y240" s="39"/>
      <c r="Z240" s="39"/>
      <c r="AA240" s="39"/>
      <c r="AB240" s="39"/>
      <c r="AC240" s="39">
        <v>7.0000000000000007E-2</v>
      </c>
      <c r="AD240" s="40">
        <f t="shared" si="511"/>
        <v>1.060099009900991</v>
      </c>
      <c r="AE240" s="40">
        <f t="shared" si="105"/>
        <v>0.92009900990099092</v>
      </c>
      <c r="AF240" s="94">
        <f t="shared" si="298"/>
        <v>1.060099009900991</v>
      </c>
      <c r="AG240" s="41">
        <v>44421</v>
      </c>
      <c r="AH240" s="651"/>
      <c r="AI240" s="42">
        <v>1</v>
      </c>
      <c r="AJ240" s="42">
        <f t="shared" ref="AJ240:AJ250" si="513">AI240-R240</f>
        <v>-2.0000000000000018E-3</v>
      </c>
      <c r="AK240" s="42">
        <f>AJ240*100/R240</f>
        <v>-0.19960079840319378</v>
      </c>
      <c r="AL240" s="42"/>
      <c r="AM240" s="42"/>
      <c r="AN240" s="42"/>
      <c r="AO240" s="42"/>
      <c r="AP240" s="42"/>
      <c r="AQ240" s="42">
        <v>5.8000000000000003E-2</v>
      </c>
      <c r="AR240" s="40">
        <f t="shared" ref="AR240:AR250" si="514">(AK240+AQ240)</f>
        <v>-0.14160079840319378</v>
      </c>
      <c r="AS240" s="40">
        <f t="shared" ref="AS240:AS250" si="515">(AK240-AQ240)</f>
        <v>-0.25760079840319378</v>
      </c>
      <c r="AT240" s="40">
        <f t="shared" ref="AT240:AT250" si="516">MAX(AR240:AS240)</f>
        <v>-0.14160079840319378</v>
      </c>
      <c r="AU240" s="43">
        <f t="shared" ref="AU240:AU250" si="517">YEARFRAC(S240,AG240)</f>
        <v>0.98055555555555551</v>
      </c>
      <c r="AV240" s="44">
        <f t="shared" ref="AV240:AV250" si="518">ABS(AT240-AF240)</f>
        <v>1.2016998083041848</v>
      </c>
      <c r="AW240" s="45">
        <f t="shared" ref="AW240:AW250" si="519">(AV240/AU240)</f>
        <v>1.2255295495453442</v>
      </c>
      <c r="AX240" s="46">
        <f t="shared" ref="AX240:AX250" si="520">(I240/AW240)</f>
        <v>8.1597379709937403</v>
      </c>
      <c r="AY240" s="72" t="str">
        <f t="shared" ref="AY240:AY250" si="521">IF(AX240&lt;=1,"UN AÑO",IF(AX240&gt;=1,"DOS AÑOS"))</f>
        <v>DOS AÑOS</v>
      </c>
      <c r="AZ240" s="705"/>
      <c r="BA240" s="484"/>
      <c r="BB240" s="487"/>
      <c r="BC240" s="74"/>
      <c r="BD240" s="702"/>
    </row>
    <row r="241" spans="2:56" x14ac:dyDescent="0.25">
      <c r="B241" s="685"/>
      <c r="C241" s="682"/>
      <c r="D241" s="499"/>
      <c r="E241" s="499"/>
      <c r="F241" s="499"/>
      <c r="G241" s="548"/>
      <c r="H241" s="505"/>
      <c r="I241" s="324">
        <v>10</v>
      </c>
      <c r="J241" s="508"/>
      <c r="K241" s="323"/>
      <c r="L241" s="526"/>
      <c r="M241" s="323"/>
      <c r="N241" s="526"/>
      <c r="O241" s="323"/>
      <c r="P241" s="526"/>
      <c r="Q241" s="466">
        <v>2.11</v>
      </c>
      <c r="R241" s="92">
        <v>2.0070000000000001</v>
      </c>
      <c r="S241" s="38">
        <v>44063</v>
      </c>
      <c r="T241" s="640"/>
      <c r="U241" s="39">
        <v>2</v>
      </c>
      <c r="V241" s="325">
        <f t="shared" si="512"/>
        <v>0.10999999999999988</v>
      </c>
      <c r="W241" s="39">
        <f>V241*100/Q241</f>
        <v>5.2132701421800896</v>
      </c>
      <c r="X241" s="39"/>
      <c r="Y241" s="39"/>
      <c r="Z241" s="39"/>
      <c r="AA241" s="39"/>
      <c r="AB241" s="39"/>
      <c r="AC241" s="39">
        <v>7.0000000000000007E-2</v>
      </c>
      <c r="AD241" s="40">
        <f t="shared" si="511"/>
        <v>5.2832701421800898</v>
      </c>
      <c r="AE241" s="40">
        <f t="shared" si="105"/>
        <v>5.1432701421800893</v>
      </c>
      <c r="AF241" s="94">
        <f t="shared" si="298"/>
        <v>5.2832701421800898</v>
      </c>
      <c r="AG241" s="41">
        <v>44421</v>
      </c>
      <c r="AH241" s="651"/>
      <c r="AI241" s="42">
        <v>2</v>
      </c>
      <c r="AJ241" s="42">
        <f t="shared" si="513"/>
        <v>-7.0000000000001172E-3</v>
      </c>
      <c r="AK241" s="42">
        <f t="shared" ref="AK241:AK250" si="522">AJ241*100/R241</f>
        <v>-0.34877927254609453</v>
      </c>
      <c r="AL241" s="42"/>
      <c r="AM241" s="42"/>
      <c r="AN241" s="42"/>
      <c r="AO241" s="42"/>
      <c r="AP241" s="42"/>
      <c r="AQ241" s="42">
        <v>5.8000000000000003E-2</v>
      </c>
      <c r="AR241" s="40">
        <f t="shared" si="514"/>
        <v>-0.29077927254609454</v>
      </c>
      <c r="AS241" s="40">
        <f t="shared" si="515"/>
        <v>-0.40677927254609453</v>
      </c>
      <c r="AT241" s="40">
        <f t="shared" si="516"/>
        <v>-0.29077927254609454</v>
      </c>
      <c r="AU241" s="43">
        <f t="shared" si="517"/>
        <v>0.98055555555555551</v>
      </c>
      <c r="AV241" s="44">
        <f t="shared" si="518"/>
        <v>5.5740494147261845</v>
      </c>
      <c r="AW241" s="45">
        <f t="shared" si="519"/>
        <v>5.6845829725252877</v>
      </c>
      <c r="AX241" s="46">
        <f t="shared" si="520"/>
        <v>1.7591439949653256</v>
      </c>
      <c r="AY241" s="72" t="str">
        <f t="shared" si="521"/>
        <v>DOS AÑOS</v>
      </c>
      <c r="AZ241" s="705"/>
      <c r="BA241" s="484"/>
      <c r="BB241" s="487"/>
      <c r="BC241" s="74"/>
      <c r="BD241" s="702"/>
    </row>
    <row r="242" spans="2:56" x14ac:dyDescent="0.25">
      <c r="B242" s="685"/>
      <c r="C242" s="682"/>
      <c r="D242" s="499"/>
      <c r="E242" s="499"/>
      <c r="F242" s="499"/>
      <c r="G242" s="548"/>
      <c r="H242" s="505"/>
      <c r="I242" s="324">
        <v>10</v>
      </c>
      <c r="J242" s="508"/>
      <c r="K242" s="323"/>
      <c r="L242" s="526"/>
      <c r="M242" s="323"/>
      <c r="N242" s="526"/>
      <c r="O242" s="323"/>
      <c r="P242" s="526"/>
      <c r="Q242" s="466">
        <v>2.98</v>
      </c>
      <c r="R242" s="92">
        <v>3.0089999999999999</v>
      </c>
      <c r="S242" s="38">
        <v>44063</v>
      </c>
      <c r="T242" s="640"/>
      <c r="U242" s="39">
        <v>3</v>
      </c>
      <c r="V242" s="325">
        <f t="shared" si="512"/>
        <v>-2.0000000000000018E-2</v>
      </c>
      <c r="W242" s="39">
        <f t="shared" ref="W242:W243" si="523">V242*100/Q242</f>
        <v>-0.67114093959731602</v>
      </c>
      <c r="X242" s="39"/>
      <c r="Y242" s="39"/>
      <c r="Z242" s="39"/>
      <c r="AA242" s="39"/>
      <c r="AB242" s="39"/>
      <c r="AC242" s="39">
        <v>7.0000000000000007E-2</v>
      </c>
      <c r="AD242" s="40">
        <f t="shared" si="511"/>
        <v>-0.60114093959731596</v>
      </c>
      <c r="AE242" s="40">
        <f t="shared" si="105"/>
        <v>-0.74114093959731608</v>
      </c>
      <c r="AF242" s="94">
        <f t="shared" si="298"/>
        <v>-0.60114093959731596</v>
      </c>
      <c r="AG242" s="41">
        <v>44421</v>
      </c>
      <c r="AH242" s="651"/>
      <c r="AI242" s="42">
        <v>3</v>
      </c>
      <c r="AJ242" s="42">
        <f t="shared" si="513"/>
        <v>-8.999999999999897E-3</v>
      </c>
      <c r="AK242" s="42">
        <f t="shared" si="522"/>
        <v>-0.2991026919242239</v>
      </c>
      <c r="AL242" s="42"/>
      <c r="AM242" s="42"/>
      <c r="AN242" s="42"/>
      <c r="AO242" s="42"/>
      <c r="AP242" s="42"/>
      <c r="AQ242" s="42">
        <v>5.8000000000000003E-2</v>
      </c>
      <c r="AR242" s="40">
        <f t="shared" si="514"/>
        <v>-0.2411026919242239</v>
      </c>
      <c r="AS242" s="40">
        <f t="shared" si="515"/>
        <v>-0.35710269192422389</v>
      </c>
      <c r="AT242" s="40">
        <f t="shared" si="516"/>
        <v>-0.2411026919242239</v>
      </c>
      <c r="AU242" s="43">
        <f t="shared" si="517"/>
        <v>0.98055555555555551</v>
      </c>
      <c r="AV242" s="44">
        <f t="shared" si="518"/>
        <v>0.36003824767309206</v>
      </c>
      <c r="AW242" s="45">
        <f t="shared" si="519"/>
        <v>0.36717781632383328</v>
      </c>
      <c r="AX242" s="46">
        <f t="shared" si="520"/>
        <v>27.234760803687763</v>
      </c>
      <c r="AY242" s="72" t="str">
        <f t="shared" si="521"/>
        <v>DOS AÑOS</v>
      </c>
      <c r="AZ242" s="705"/>
      <c r="BA242" s="484"/>
      <c r="BB242" s="487"/>
      <c r="BC242" s="74"/>
      <c r="BD242" s="702"/>
    </row>
    <row r="243" spans="2:56" x14ac:dyDescent="0.25">
      <c r="B243" s="685"/>
      <c r="C243" s="682"/>
      <c r="D243" s="499"/>
      <c r="E243" s="499"/>
      <c r="F243" s="499"/>
      <c r="G243" s="548"/>
      <c r="H243" s="505"/>
      <c r="I243" s="324">
        <v>10</v>
      </c>
      <c r="J243" s="508"/>
      <c r="K243" s="323"/>
      <c r="L243" s="526"/>
      <c r="M243" s="323"/>
      <c r="N243" s="526"/>
      <c r="O243" s="323"/>
      <c r="P243" s="526"/>
      <c r="Q243" s="466">
        <v>4.03</v>
      </c>
      <c r="R243" s="92">
        <v>4.0129999999999999</v>
      </c>
      <c r="S243" s="38">
        <v>44063</v>
      </c>
      <c r="T243" s="640"/>
      <c r="U243" s="39">
        <v>4</v>
      </c>
      <c r="V243" s="325">
        <f t="shared" si="512"/>
        <v>3.0000000000000249E-2</v>
      </c>
      <c r="W243" s="39">
        <f t="shared" si="523"/>
        <v>0.74441687344913765</v>
      </c>
      <c r="X243" s="39"/>
      <c r="Y243" s="39"/>
      <c r="Z243" s="39"/>
      <c r="AA243" s="39"/>
      <c r="AB243" s="39"/>
      <c r="AC243" s="39">
        <v>7.0000000000000007E-2</v>
      </c>
      <c r="AD243" s="40">
        <f t="shared" si="511"/>
        <v>0.81441687344913771</v>
      </c>
      <c r="AE243" s="40">
        <f t="shared" si="105"/>
        <v>0.67441687344913759</v>
      </c>
      <c r="AF243" s="94">
        <f t="shared" si="298"/>
        <v>0.81441687344913771</v>
      </c>
      <c r="AG243" s="41">
        <v>44421</v>
      </c>
      <c r="AH243" s="651"/>
      <c r="AI243" s="42">
        <v>4</v>
      </c>
      <c r="AJ243" s="42">
        <f t="shared" si="513"/>
        <v>-1.2999999999999901E-2</v>
      </c>
      <c r="AK243" s="42">
        <f t="shared" si="522"/>
        <v>-0.32394717169199855</v>
      </c>
      <c r="AL243" s="42"/>
      <c r="AM243" s="42"/>
      <c r="AN243" s="42"/>
      <c r="AO243" s="42"/>
      <c r="AP243" s="42"/>
      <c r="AQ243" s="42">
        <v>5.8999999999999997E-2</v>
      </c>
      <c r="AR243" s="40">
        <f t="shared" si="514"/>
        <v>-0.26494717169199855</v>
      </c>
      <c r="AS243" s="40">
        <f t="shared" si="515"/>
        <v>-0.38294717169199854</v>
      </c>
      <c r="AT243" s="40">
        <f t="shared" si="516"/>
        <v>-0.26494717169199855</v>
      </c>
      <c r="AU243" s="43">
        <f t="shared" si="517"/>
        <v>0.98055555555555551</v>
      </c>
      <c r="AV243" s="44">
        <f t="shared" si="518"/>
        <v>1.0793640451411362</v>
      </c>
      <c r="AW243" s="45">
        <f t="shared" si="519"/>
        <v>1.10076786473317</v>
      </c>
      <c r="AX243" s="46">
        <f t="shared" si="520"/>
        <v>9.0845675281627472</v>
      </c>
      <c r="AY243" s="72" t="str">
        <f t="shared" si="521"/>
        <v>DOS AÑOS</v>
      </c>
      <c r="AZ243" s="705"/>
      <c r="BA243" s="484"/>
      <c r="BB243" s="487"/>
      <c r="BC243" s="74"/>
      <c r="BD243" s="702"/>
    </row>
    <row r="244" spans="2:56" x14ac:dyDescent="0.25">
      <c r="B244" s="685"/>
      <c r="C244" s="682"/>
      <c r="D244" s="499"/>
      <c r="E244" s="499"/>
      <c r="F244" s="499"/>
      <c r="G244" s="548"/>
      <c r="H244" s="505"/>
      <c r="I244" s="324">
        <v>10</v>
      </c>
      <c r="J244" s="508"/>
      <c r="K244" s="323"/>
      <c r="L244" s="526"/>
      <c r="M244" s="323"/>
      <c r="N244" s="526"/>
      <c r="O244" s="323"/>
      <c r="P244" s="526"/>
      <c r="Q244" s="168"/>
      <c r="R244" s="92">
        <v>6.0270000000000001</v>
      </c>
      <c r="S244" s="38"/>
      <c r="T244" s="640"/>
      <c r="U244" s="39"/>
      <c r="V244" s="39"/>
      <c r="W244" s="39"/>
      <c r="X244" s="39"/>
      <c r="Y244" s="39"/>
      <c r="Z244" s="39"/>
      <c r="AA244" s="39"/>
      <c r="AB244" s="39"/>
      <c r="AC244" s="39"/>
      <c r="AD244" s="40"/>
      <c r="AE244" s="40"/>
      <c r="AF244" s="94"/>
      <c r="AG244" s="41">
        <v>44421</v>
      </c>
      <c r="AH244" s="651"/>
      <c r="AI244" s="42">
        <v>6</v>
      </c>
      <c r="AJ244" s="42">
        <f t="shared" si="513"/>
        <v>-2.7000000000000135E-2</v>
      </c>
      <c r="AK244" s="42">
        <f t="shared" si="522"/>
        <v>-0.44798407167745369</v>
      </c>
      <c r="AL244" s="42"/>
      <c r="AM244" s="42"/>
      <c r="AN244" s="42"/>
      <c r="AO244" s="42"/>
      <c r="AP244" s="42"/>
      <c r="AQ244" s="42">
        <v>6.3E-2</v>
      </c>
      <c r="AR244" s="40">
        <f t="shared" si="514"/>
        <v>-0.38498407167745369</v>
      </c>
      <c r="AS244" s="40">
        <f t="shared" si="515"/>
        <v>-0.51098407167745363</v>
      </c>
      <c r="AT244" s="40">
        <f t="shared" si="516"/>
        <v>-0.38498407167745369</v>
      </c>
      <c r="AU244" s="43">
        <f t="shared" si="517"/>
        <v>121.61944444444444</v>
      </c>
      <c r="AV244" s="44">
        <f t="shared" si="518"/>
        <v>0.38498407167745369</v>
      </c>
      <c r="AW244" s="45">
        <f t="shared" si="519"/>
        <v>3.1654812553704253E-3</v>
      </c>
      <c r="AX244" s="46">
        <f t="shared" si="520"/>
        <v>3159.0773071343929</v>
      </c>
      <c r="AY244" s="72" t="str">
        <f t="shared" si="521"/>
        <v>DOS AÑOS</v>
      </c>
      <c r="AZ244" s="705"/>
      <c r="BA244" s="484"/>
      <c r="BB244" s="487"/>
      <c r="BC244" s="74"/>
      <c r="BD244" s="702"/>
    </row>
    <row r="245" spans="2:56" x14ac:dyDescent="0.25">
      <c r="B245" s="685"/>
      <c r="C245" s="682"/>
      <c r="D245" s="499"/>
      <c r="E245" s="499"/>
      <c r="F245" s="499"/>
      <c r="G245" s="548"/>
      <c r="H245" s="505"/>
      <c r="I245" s="324">
        <v>10</v>
      </c>
      <c r="J245" s="508"/>
      <c r="K245" s="323"/>
      <c r="L245" s="526"/>
      <c r="M245" s="323"/>
      <c r="N245" s="526"/>
      <c r="O245" s="323"/>
      <c r="P245" s="526"/>
      <c r="Q245" s="168"/>
      <c r="R245" s="92">
        <v>0</v>
      </c>
      <c r="S245" s="38"/>
      <c r="T245" s="640"/>
      <c r="U245" s="39"/>
      <c r="V245" s="39"/>
      <c r="W245" s="39"/>
      <c r="X245" s="39"/>
      <c r="Y245" s="39"/>
      <c r="Z245" s="39"/>
      <c r="AA245" s="39"/>
      <c r="AB245" s="39"/>
      <c r="AC245" s="39"/>
      <c r="AD245" s="40"/>
      <c r="AE245" s="40"/>
      <c r="AF245" s="94"/>
      <c r="AG245" s="41">
        <v>44421</v>
      </c>
      <c r="AH245" s="651"/>
      <c r="AI245" s="42">
        <v>0</v>
      </c>
      <c r="AJ245" s="42">
        <f t="shared" si="513"/>
        <v>0</v>
      </c>
      <c r="AK245" s="42">
        <v>0</v>
      </c>
      <c r="AL245" s="42"/>
      <c r="AM245" s="42"/>
      <c r="AN245" s="42"/>
      <c r="AO245" s="42"/>
      <c r="AP245" s="42"/>
      <c r="AQ245" s="42">
        <v>5.8000000000000003E-2</v>
      </c>
      <c r="AR245" s="40">
        <f t="shared" si="514"/>
        <v>5.8000000000000003E-2</v>
      </c>
      <c r="AS245" s="40">
        <f t="shared" si="515"/>
        <v>-5.8000000000000003E-2</v>
      </c>
      <c r="AT245" s="40">
        <f t="shared" si="516"/>
        <v>5.8000000000000003E-2</v>
      </c>
      <c r="AU245" s="43">
        <f t="shared" si="517"/>
        <v>121.61944444444444</v>
      </c>
      <c r="AV245" s="44">
        <f t="shared" si="518"/>
        <v>5.8000000000000003E-2</v>
      </c>
      <c r="AW245" s="45">
        <f t="shared" si="519"/>
        <v>4.7689742594157552E-4</v>
      </c>
      <c r="AX245" s="46">
        <f t="shared" si="520"/>
        <v>20968.869731800765</v>
      </c>
      <c r="AY245" s="72" t="str">
        <f t="shared" si="521"/>
        <v>DOS AÑOS</v>
      </c>
      <c r="AZ245" s="705"/>
      <c r="BA245" s="484"/>
      <c r="BB245" s="487"/>
      <c r="BC245" s="74"/>
      <c r="BD245" s="702"/>
    </row>
    <row r="246" spans="2:56" x14ac:dyDescent="0.25">
      <c r="B246" s="685"/>
      <c r="C246" s="682"/>
      <c r="D246" s="499"/>
      <c r="E246" s="499"/>
      <c r="F246" s="499"/>
      <c r="G246" s="548"/>
      <c r="H246" s="505"/>
      <c r="I246" s="324">
        <v>10</v>
      </c>
      <c r="J246" s="508"/>
      <c r="K246" s="323"/>
      <c r="L246" s="526"/>
      <c r="M246" s="323"/>
      <c r="N246" s="526"/>
      <c r="O246" s="323"/>
      <c r="P246" s="526"/>
      <c r="Q246" s="168"/>
      <c r="R246" s="92">
        <v>-1.002</v>
      </c>
      <c r="S246" s="38"/>
      <c r="T246" s="640"/>
      <c r="U246" s="39"/>
      <c r="V246" s="39"/>
      <c r="W246" s="39"/>
      <c r="X246" s="39"/>
      <c r="Y246" s="39"/>
      <c r="Z246" s="39"/>
      <c r="AA246" s="39"/>
      <c r="AB246" s="39"/>
      <c r="AC246" s="39"/>
      <c r="AD246" s="40"/>
      <c r="AE246" s="40"/>
      <c r="AF246" s="94"/>
      <c r="AG246" s="41">
        <v>44421</v>
      </c>
      <c r="AH246" s="651"/>
      <c r="AI246" s="42">
        <v>-1</v>
      </c>
      <c r="AJ246" s="42">
        <f t="shared" si="513"/>
        <v>2.0000000000000018E-3</v>
      </c>
      <c r="AK246" s="42">
        <f t="shared" si="522"/>
        <v>-0.19960079840319378</v>
      </c>
      <c r="AL246" s="42"/>
      <c r="AM246" s="42"/>
      <c r="AN246" s="42"/>
      <c r="AO246" s="42"/>
      <c r="AP246" s="42"/>
      <c r="AQ246" s="42">
        <v>5.8000000000000003E-2</v>
      </c>
      <c r="AR246" s="40">
        <f t="shared" si="514"/>
        <v>-0.14160079840319378</v>
      </c>
      <c r="AS246" s="40">
        <f t="shared" si="515"/>
        <v>-0.25760079840319378</v>
      </c>
      <c r="AT246" s="40">
        <f t="shared" si="516"/>
        <v>-0.14160079840319378</v>
      </c>
      <c r="AU246" s="43">
        <f t="shared" si="517"/>
        <v>121.61944444444444</v>
      </c>
      <c r="AV246" s="44">
        <f t="shared" si="518"/>
        <v>0.14160079840319378</v>
      </c>
      <c r="AW246" s="45">
        <f t="shared" si="519"/>
        <v>1.1642940736164668E-3</v>
      </c>
      <c r="AX246" s="46">
        <f t="shared" si="520"/>
        <v>8588.895388721292</v>
      </c>
      <c r="AY246" s="72" t="str">
        <f t="shared" si="521"/>
        <v>DOS AÑOS</v>
      </c>
      <c r="AZ246" s="705"/>
      <c r="BA246" s="484"/>
      <c r="BB246" s="487"/>
      <c r="BC246" s="74"/>
      <c r="BD246" s="702"/>
    </row>
    <row r="247" spans="2:56" x14ac:dyDescent="0.25">
      <c r="B247" s="685"/>
      <c r="C247" s="682"/>
      <c r="D247" s="499"/>
      <c r="E247" s="499"/>
      <c r="F247" s="499"/>
      <c r="G247" s="548"/>
      <c r="H247" s="505"/>
      <c r="I247" s="69">
        <v>10</v>
      </c>
      <c r="J247" s="508"/>
      <c r="K247" s="71"/>
      <c r="L247" s="526"/>
      <c r="M247" s="71"/>
      <c r="N247" s="526"/>
      <c r="O247" s="71"/>
      <c r="P247" s="526"/>
      <c r="Q247" s="168"/>
      <c r="R247" s="92">
        <v>-2.0070000000000001</v>
      </c>
      <c r="S247" s="38"/>
      <c r="T247" s="640"/>
      <c r="U247" s="42"/>
      <c r="V247" s="42"/>
      <c r="W247" s="42"/>
      <c r="X247" s="42"/>
      <c r="Y247" s="42"/>
      <c r="Z247" s="42"/>
      <c r="AA247" s="42"/>
      <c r="AB247" s="42"/>
      <c r="AC247" s="42"/>
      <c r="AD247" s="94"/>
      <c r="AE247" s="94"/>
      <c r="AF247" s="94"/>
      <c r="AG247" s="41">
        <v>44421</v>
      </c>
      <c r="AH247" s="651"/>
      <c r="AI247" s="42">
        <v>-2</v>
      </c>
      <c r="AJ247" s="42">
        <f t="shared" si="513"/>
        <v>7.0000000000001172E-3</v>
      </c>
      <c r="AK247" s="42">
        <f t="shared" si="522"/>
        <v>-0.34877927254609453</v>
      </c>
      <c r="AL247" s="42"/>
      <c r="AM247" s="42"/>
      <c r="AN247" s="42"/>
      <c r="AO247" s="42"/>
      <c r="AP247" s="42"/>
      <c r="AQ247" s="42">
        <v>5.8000000000000003E-2</v>
      </c>
      <c r="AR247" s="40">
        <f t="shared" si="514"/>
        <v>-0.29077927254609454</v>
      </c>
      <c r="AS247" s="40">
        <f t="shared" si="515"/>
        <v>-0.40677927254609453</v>
      </c>
      <c r="AT247" s="40">
        <f t="shared" si="516"/>
        <v>-0.29077927254609454</v>
      </c>
      <c r="AU247" s="43">
        <f t="shared" si="517"/>
        <v>121.61944444444444</v>
      </c>
      <c r="AV247" s="44">
        <f t="shared" si="518"/>
        <v>0.29077927254609454</v>
      </c>
      <c r="AW247" s="45">
        <f t="shared" si="519"/>
        <v>2.390894596455109E-3</v>
      </c>
      <c r="AX247" s="46">
        <f t="shared" si="520"/>
        <v>4182.5348615646335</v>
      </c>
      <c r="AY247" s="72" t="str">
        <f t="shared" si="521"/>
        <v>DOS AÑOS</v>
      </c>
      <c r="AZ247" s="705"/>
      <c r="BA247" s="484"/>
      <c r="BB247" s="487"/>
      <c r="BC247" s="74"/>
      <c r="BD247" s="702"/>
    </row>
    <row r="248" spans="2:56" x14ac:dyDescent="0.25">
      <c r="B248" s="685"/>
      <c r="C248" s="682"/>
      <c r="D248" s="499"/>
      <c r="E248" s="499"/>
      <c r="F248" s="499"/>
      <c r="G248" s="548"/>
      <c r="H248" s="505"/>
      <c r="I248" s="69">
        <v>10</v>
      </c>
      <c r="J248" s="508"/>
      <c r="K248" s="71"/>
      <c r="L248" s="526"/>
      <c r="M248" s="71"/>
      <c r="N248" s="526"/>
      <c r="O248" s="71"/>
      <c r="P248" s="526"/>
      <c r="Q248" s="168"/>
      <c r="R248" s="92">
        <v>-3.0089999999999999</v>
      </c>
      <c r="S248" s="38"/>
      <c r="T248" s="640"/>
      <c r="U248" s="42"/>
      <c r="V248" s="42"/>
      <c r="W248" s="42"/>
      <c r="X248" s="42"/>
      <c r="Y248" s="42"/>
      <c r="Z248" s="42"/>
      <c r="AA248" s="42"/>
      <c r="AB248" s="42"/>
      <c r="AC248" s="42"/>
      <c r="AD248" s="94"/>
      <c r="AE248" s="94"/>
      <c r="AF248" s="94"/>
      <c r="AG248" s="41">
        <v>44421</v>
      </c>
      <c r="AH248" s="651"/>
      <c r="AI248" s="42">
        <v>-3</v>
      </c>
      <c r="AJ248" s="42">
        <f t="shared" si="513"/>
        <v>8.999999999999897E-3</v>
      </c>
      <c r="AK248" s="42">
        <f t="shared" si="522"/>
        <v>-0.2991026919242239</v>
      </c>
      <c r="AL248" s="42"/>
      <c r="AM248" s="42"/>
      <c r="AN248" s="42"/>
      <c r="AO248" s="42"/>
      <c r="AP248" s="42"/>
      <c r="AQ248" s="42">
        <v>5.8000000000000003E-2</v>
      </c>
      <c r="AR248" s="40">
        <f t="shared" si="514"/>
        <v>-0.2411026919242239</v>
      </c>
      <c r="AS248" s="40">
        <f t="shared" si="515"/>
        <v>-0.35710269192422389</v>
      </c>
      <c r="AT248" s="40">
        <f t="shared" si="516"/>
        <v>-0.2411026919242239</v>
      </c>
      <c r="AU248" s="43">
        <f t="shared" si="517"/>
        <v>121.61944444444444</v>
      </c>
      <c r="AV248" s="44">
        <f t="shared" si="518"/>
        <v>0.2411026919242239</v>
      </c>
      <c r="AW248" s="45">
        <f t="shared" si="519"/>
        <v>1.9824353994180527E-3</v>
      </c>
      <c r="AX248" s="46">
        <f t="shared" si="520"/>
        <v>5044.3005622960109</v>
      </c>
      <c r="AY248" s="72" t="str">
        <f t="shared" si="521"/>
        <v>DOS AÑOS</v>
      </c>
      <c r="AZ248" s="705"/>
      <c r="BA248" s="484"/>
      <c r="BB248" s="487"/>
      <c r="BC248" s="74"/>
      <c r="BD248" s="702"/>
    </row>
    <row r="249" spans="2:56" x14ac:dyDescent="0.25">
      <c r="B249" s="685"/>
      <c r="C249" s="682"/>
      <c r="D249" s="499"/>
      <c r="E249" s="499"/>
      <c r="F249" s="499"/>
      <c r="G249" s="548"/>
      <c r="H249" s="505"/>
      <c r="I249" s="69">
        <v>10</v>
      </c>
      <c r="J249" s="508"/>
      <c r="K249" s="71" t="s">
        <v>68</v>
      </c>
      <c r="L249" s="526"/>
      <c r="M249" s="71" t="s">
        <v>68</v>
      </c>
      <c r="N249" s="526"/>
      <c r="O249" s="71" t="s">
        <v>68</v>
      </c>
      <c r="P249" s="526"/>
      <c r="Q249" s="168"/>
      <c r="R249" s="92">
        <v>-4.0129999999999999</v>
      </c>
      <c r="S249" s="38"/>
      <c r="T249" s="640"/>
      <c r="U249" s="42"/>
      <c r="V249" s="42"/>
      <c r="W249" s="42"/>
      <c r="X249" s="42"/>
      <c r="Y249" s="42"/>
      <c r="Z249" s="42"/>
      <c r="AA249" s="42"/>
      <c r="AB249" s="42"/>
      <c r="AC249" s="42"/>
      <c r="AD249" s="94"/>
      <c r="AE249" s="94"/>
      <c r="AF249" s="94"/>
      <c r="AG249" s="41">
        <v>44421</v>
      </c>
      <c r="AH249" s="651"/>
      <c r="AI249" s="42">
        <v>-4</v>
      </c>
      <c r="AJ249" s="42">
        <f t="shared" si="513"/>
        <v>1.2999999999999901E-2</v>
      </c>
      <c r="AK249" s="42">
        <f t="shared" si="522"/>
        <v>-0.32394717169199855</v>
      </c>
      <c r="AL249" s="42" t="s">
        <v>68</v>
      </c>
      <c r="AM249" s="42" t="s">
        <v>68</v>
      </c>
      <c r="AN249" s="42" t="s">
        <v>68</v>
      </c>
      <c r="AO249" s="42" t="s">
        <v>68</v>
      </c>
      <c r="AP249" s="42" t="s">
        <v>68</v>
      </c>
      <c r="AQ249" s="42">
        <v>5.8999999999999997E-2</v>
      </c>
      <c r="AR249" s="40">
        <f t="shared" si="514"/>
        <v>-0.26494717169199855</v>
      </c>
      <c r="AS249" s="40">
        <f t="shared" si="515"/>
        <v>-0.38294717169199854</v>
      </c>
      <c r="AT249" s="40">
        <f t="shared" si="516"/>
        <v>-0.26494717169199855</v>
      </c>
      <c r="AU249" s="43">
        <f t="shared" si="517"/>
        <v>121.61944444444444</v>
      </c>
      <c r="AV249" s="44">
        <f t="shared" si="518"/>
        <v>0.26494717169199855</v>
      </c>
      <c r="AW249" s="45">
        <f t="shared" si="519"/>
        <v>2.1784935205243928E-3</v>
      </c>
      <c r="AX249" s="46">
        <f t="shared" si="520"/>
        <v>4590.3280894738973</v>
      </c>
      <c r="AY249" s="72" t="str">
        <f t="shared" si="521"/>
        <v>DOS AÑOS</v>
      </c>
      <c r="AZ249" s="705"/>
      <c r="BA249" s="484"/>
      <c r="BB249" s="487"/>
      <c r="BC249" s="74"/>
      <c r="BD249" s="702"/>
    </row>
    <row r="250" spans="2:56" ht="15.75" thickBot="1" x14ac:dyDescent="0.3">
      <c r="B250" s="686"/>
      <c r="C250" s="683"/>
      <c r="D250" s="687"/>
      <c r="E250" s="687"/>
      <c r="F250" s="687"/>
      <c r="G250" s="655"/>
      <c r="H250" s="616"/>
      <c r="I250" s="108">
        <v>10</v>
      </c>
      <c r="J250" s="617"/>
      <c r="K250" s="109" t="s">
        <v>68</v>
      </c>
      <c r="L250" s="658"/>
      <c r="M250" s="109" t="s">
        <v>68</v>
      </c>
      <c r="N250" s="658"/>
      <c r="O250" s="109" t="s">
        <v>68</v>
      </c>
      <c r="P250" s="658"/>
      <c r="Q250" s="177"/>
      <c r="R250" s="110">
        <v>-6.0270000000000001</v>
      </c>
      <c r="S250" s="111"/>
      <c r="T250" s="641"/>
      <c r="U250" s="48"/>
      <c r="V250" s="48"/>
      <c r="W250" s="48"/>
      <c r="X250" s="48"/>
      <c r="Y250" s="48"/>
      <c r="Z250" s="48"/>
      <c r="AA250" s="48"/>
      <c r="AB250" s="48"/>
      <c r="AC250" s="48"/>
      <c r="AD250" s="49"/>
      <c r="AE250" s="49"/>
      <c r="AF250" s="49"/>
      <c r="AG250" s="41">
        <v>44421</v>
      </c>
      <c r="AH250" s="652"/>
      <c r="AI250" s="50">
        <v>-6</v>
      </c>
      <c r="AJ250" s="42">
        <f t="shared" si="513"/>
        <v>2.7000000000000135E-2</v>
      </c>
      <c r="AK250" s="42">
        <f t="shared" si="522"/>
        <v>-0.44798407167745369</v>
      </c>
      <c r="AL250" s="50" t="s">
        <v>68</v>
      </c>
      <c r="AM250" s="50" t="s">
        <v>68</v>
      </c>
      <c r="AN250" s="50" t="s">
        <v>68</v>
      </c>
      <c r="AO250" s="50" t="s">
        <v>68</v>
      </c>
      <c r="AP250" s="50" t="s">
        <v>68</v>
      </c>
      <c r="AQ250" s="50">
        <v>6.3E-2</v>
      </c>
      <c r="AR250" s="40">
        <f t="shared" si="514"/>
        <v>-0.38498407167745369</v>
      </c>
      <c r="AS250" s="40">
        <f t="shared" si="515"/>
        <v>-0.51098407167745363</v>
      </c>
      <c r="AT250" s="40">
        <f t="shared" si="516"/>
        <v>-0.38498407167745369</v>
      </c>
      <c r="AU250" s="43">
        <f t="shared" si="517"/>
        <v>121.61944444444444</v>
      </c>
      <c r="AV250" s="44">
        <f t="shared" si="518"/>
        <v>0.38498407167745369</v>
      </c>
      <c r="AW250" s="45">
        <f t="shared" si="519"/>
        <v>3.1654812553704253E-3</v>
      </c>
      <c r="AX250" s="46">
        <f t="shared" si="520"/>
        <v>3159.0773071343929</v>
      </c>
      <c r="AY250" s="72" t="str">
        <f t="shared" si="521"/>
        <v>DOS AÑOS</v>
      </c>
      <c r="AZ250" s="706"/>
      <c r="BA250" s="665"/>
      <c r="BB250" s="666"/>
      <c r="BC250" s="121"/>
      <c r="BD250" s="703"/>
    </row>
    <row r="251" spans="2:56" ht="1.5" customHeight="1" thickBot="1" x14ac:dyDescent="0.3">
      <c r="B251" s="582" t="s">
        <v>111</v>
      </c>
      <c r="C251" s="627" t="s">
        <v>10</v>
      </c>
      <c r="D251" s="563" t="s">
        <v>112</v>
      </c>
      <c r="E251" s="563" t="s">
        <v>113</v>
      </c>
      <c r="F251" s="633" t="s">
        <v>114</v>
      </c>
      <c r="G251" s="503" t="s">
        <v>15</v>
      </c>
      <c r="H251" s="503" t="s">
        <v>22</v>
      </c>
      <c r="I251" s="55">
        <v>2</v>
      </c>
      <c r="J251" s="506" t="s">
        <v>20</v>
      </c>
      <c r="K251" s="56"/>
      <c r="L251" s="56"/>
      <c r="M251" s="56"/>
      <c r="N251" s="56"/>
      <c r="O251" s="56"/>
      <c r="P251" s="56"/>
      <c r="Q251" s="166">
        <v>600</v>
      </c>
      <c r="R251" s="82">
        <v>400</v>
      </c>
      <c r="S251" s="58">
        <v>43839</v>
      </c>
      <c r="T251" s="527">
        <v>89921201021</v>
      </c>
      <c r="U251" s="167">
        <v>402</v>
      </c>
      <c r="V251" s="167">
        <f>U251-R251</f>
        <v>2</v>
      </c>
      <c r="W251" s="167">
        <f>V251*100/R251</f>
        <v>0.5</v>
      </c>
      <c r="X251" s="167"/>
      <c r="Y251" s="167"/>
      <c r="Z251" s="167"/>
      <c r="AA251" s="167"/>
      <c r="AB251" s="167">
        <v>0.37</v>
      </c>
      <c r="AC251" s="167">
        <f>AB251*100/R251</f>
        <v>9.2499999999999999E-2</v>
      </c>
      <c r="AD251" s="59">
        <f t="shared" ref="AD251:AD258" si="524">(W251+AC251)</f>
        <v>0.59250000000000003</v>
      </c>
      <c r="AE251" s="59">
        <f t="shared" ref="AE251:AE258" si="525">(W251-AC251)</f>
        <v>0.40749999999999997</v>
      </c>
      <c r="AF251" s="59">
        <f t="shared" ref="AF251:AF258" si="526">MAX(AD251:AE251)</f>
        <v>0.59250000000000003</v>
      </c>
      <c r="AG251" s="60">
        <v>44207</v>
      </c>
      <c r="AH251" s="530">
        <v>8992211021</v>
      </c>
      <c r="AI251" s="61">
        <f>(600+601+599+599+599)/5</f>
        <v>599.6</v>
      </c>
      <c r="AJ251" s="61">
        <f>AI251-Q251</f>
        <v>-0.39999999999997726</v>
      </c>
      <c r="AK251" s="61">
        <f>AJ251*100/Q251</f>
        <v>-6.6666666666662877E-2</v>
      </c>
      <c r="AL251" s="61"/>
      <c r="AM251" s="61"/>
      <c r="AN251" s="61"/>
      <c r="AO251" s="61"/>
      <c r="AP251" s="61">
        <v>0.14000000000000001</v>
      </c>
      <c r="AQ251" s="61">
        <f>AP251*100/Q251</f>
        <v>2.3333333333333338E-2</v>
      </c>
      <c r="AR251" s="59">
        <f t="shared" si="74"/>
        <v>-0.37666666666664395</v>
      </c>
      <c r="AS251" s="59">
        <f t="shared" si="502"/>
        <v>-8.9999999999996222E-2</v>
      </c>
      <c r="AT251" s="59">
        <f t="shared" si="503"/>
        <v>-8.9999999999996222E-2</v>
      </c>
      <c r="AU251" s="62">
        <f t="shared" si="4"/>
        <v>1.0055555555555555</v>
      </c>
      <c r="AV251" s="63">
        <f t="shared" si="117"/>
        <v>0.68249999999999622</v>
      </c>
      <c r="AW251" s="85">
        <f t="shared" ref="AW251:AW257" si="527">(AV251/AU251)</f>
        <v>0.67872928176795211</v>
      </c>
      <c r="AX251" s="65">
        <f t="shared" si="6"/>
        <v>2.9466829466829627</v>
      </c>
      <c r="AY251" s="66" t="str">
        <f t="shared" si="7"/>
        <v>DOS AÑOS</v>
      </c>
      <c r="AZ251" s="479" t="s">
        <v>10</v>
      </c>
      <c r="BA251" s="482" t="s">
        <v>56</v>
      </c>
      <c r="BB251" s="485" t="s">
        <v>34</v>
      </c>
      <c r="BC251" s="698" t="e">
        <f>MIN(AX234:AX282)</f>
        <v>#VALUE!</v>
      </c>
      <c r="BD251" s="701">
        <f>BD182</f>
        <v>0</v>
      </c>
    </row>
    <row r="252" spans="2:56" ht="15.75" hidden="1" thickBot="1" x14ac:dyDescent="0.3">
      <c r="B252" s="583"/>
      <c r="C252" s="628"/>
      <c r="D252" s="565"/>
      <c r="E252" s="565"/>
      <c r="F252" s="634"/>
      <c r="G252" s="505"/>
      <c r="H252" s="505"/>
      <c r="I252" s="69">
        <v>2</v>
      </c>
      <c r="J252" s="508"/>
      <c r="K252" s="71"/>
      <c r="L252" s="71"/>
      <c r="M252" s="71"/>
      <c r="N252" s="71"/>
      <c r="O252" s="71"/>
      <c r="P252" s="71"/>
      <c r="Q252" s="168">
        <v>800</v>
      </c>
      <c r="R252" s="92"/>
      <c r="S252" s="38">
        <v>43839</v>
      </c>
      <c r="T252" s="529"/>
      <c r="U252" s="39"/>
      <c r="V252" s="39"/>
      <c r="W252" s="39"/>
      <c r="X252" s="39"/>
      <c r="Y252" s="39"/>
      <c r="Z252" s="39"/>
      <c r="AA252" s="39"/>
      <c r="AB252" s="39"/>
      <c r="AC252" s="39"/>
      <c r="AD252" s="40"/>
      <c r="AE252" s="40"/>
      <c r="AF252" s="40"/>
      <c r="AG252" s="41">
        <v>44207</v>
      </c>
      <c r="AH252" s="532"/>
      <c r="AI252" s="42">
        <f>(801+801+802+799+799)/5</f>
        <v>800.4</v>
      </c>
      <c r="AJ252" s="42">
        <f t="shared" ref="AJ252:AJ258" si="528">AI252-Q252</f>
        <v>0.39999999999997726</v>
      </c>
      <c r="AK252" s="42">
        <f t="shared" ref="AK252:AK258" si="529">AJ252*100/Q252</f>
        <v>4.9999999999997158E-2</v>
      </c>
      <c r="AL252" s="42"/>
      <c r="AM252" s="42"/>
      <c r="AN252" s="42"/>
      <c r="AO252" s="42"/>
      <c r="AP252" s="42">
        <v>0.16</v>
      </c>
      <c r="AQ252" s="42">
        <f t="shared" ref="AQ252:AQ258" si="530">AP252*100/Q252</f>
        <v>0.02</v>
      </c>
      <c r="AR252" s="40">
        <f t="shared" si="74"/>
        <v>0.41999999999997728</v>
      </c>
      <c r="AS252" s="40">
        <f t="shared" si="502"/>
        <v>2.9999999999997157E-2</v>
      </c>
      <c r="AT252" s="40">
        <f t="shared" si="503"/>
        <v>0.41999999999997728</v>
      </c>
      <c r="AU252" s="43">
        <f t="shared" si="4"/>
        <v>1.0055555555555555</v>
      </c>
      <c r="AV252" s="44">
        <f t="shared" si="117"/>
        <v>0.41999999999997728</v>
      </c>
      <c r="AW252" s="95">
        <f t="shared" si="527"/>
        <v>0.41767955801102713</v>
      </c>
      <c r="AX252" s="46">
        <f t="shared" si="6"/>
        <v>4.7883597883600473</v>
      </c>
      <c r="AY252" s="72" t="str">
        <f t="shared" si="7"/>
        <v>DOS AÑOS</v>
      </c>
      <c r="AZ252" s="481"/>
      <c r="BA252" s="484"/>
      <c r="BB252" s="487"/>
      <c r="BC252" s="699"/>
      <c r="BD252" s="702"/>
    </row>
    <row r="253" spans="2:56" ht="15.75" hidden="1" thickBot="1" x14ac:dyDescent="0.3">
      <c r="B253" s="583"/>
      <c r="C253" s="628"/>
      <c r="D253" s="565"/>
      <c r="E253" s="565"/>
      <c r="F253" s="634"/>
      <c r="G253" s="505"/>
      <c r="H253" s="505"/>
      <c r="I253" s="69">
        <v>2</v>
      </c>
      <c r="J253" s="508"/>
      <c r="K253" s="71"/>
      <c r="L253" s="71"/>
      <c r="M253" s="71"/>
      <c r="N253" s="71"/>
      <c r="O253" s="71"/>
      <c r="P253" s="71"/>
      <c r="Q253" s="168">
        <v>900</v>
      </c>
      <c r="R253" s="92"/>
      <c r="S253" s="38">
        <v>43839</v>
      </c>
      <c r="T253" s="529"/>
      <c r="U253" s="39"/>
      <c r="V253" s="39"/>
      <c r="W253" s="39"/>
      <c r="X253" s="39"/>
      <c r="Y253" s="39"/>
      <c r="Z253" s="39"/>
      <c r="AA253" s="39"/>
      <c r="AB253" s="39"/>
      <c r="AC253" s="39"/>
      <c r="AD253" s="40"/>
      <c r="AE253" s="40"/>
      <c r="AF253" s="40"/>
      <c r="AG253" s="41">
        <v>44207</v>
      </c>
      <c r="AH253" s="532"/>
      <c r="AI253" s="42">
        <f>(901+901+899+899+898)/5</f>
        <v>899.6</v>
      </c>
      <c r="AJ253" s="42">
        <f t="shared" si="528"/>
        <v>-0.39999999999997726</v>
      </c>
      <c r="AK253" s="42">
        <f t="shared" si="529"/>
        <v>-4.444444444444192E-2</v>
      </c>
      <c r="AL253" s="42"/>
      <c r="AM253" s="42"/>
      <c r="AN253" s="42"/>
      <c r="AO253" s="42"/>
      <c r="AP253" s="42">
        <v>0.16</v>
      </c>
      <c r="AQ253" s="42">
        <f t="shared" si="530"/>
        <v>1.7777777777777778E-2</v>
      </c>
      <c r="AR253" s="40">
        <f t="shared" si="74"/>
        <v>-0.38222222222219948</v>
      </c>
      <c r="AS253" s="40">
        <f t="shared" si="502"/>
        <v>-6.2222222222219695E-2</v>
      </c>
      <c r="AT253" s="40">
        <f t="shared" si="503"/>
        <v>-6.2222222222219695E-2</v>
      </c>
      <c r="AU253" s="43">
        <f t="shared" si="4"/>
        <v>1.0055555555555555</v>
      </c>
      <c r="AV253" s="44">
        <f t="shared" si="117"/>
        <v>6.2222222222219695E-2</v>
      </c>
      <c r="AW253" s="95">
        <f t="shared" si="527"/>
        <v>6.1878453038671524E-2</v>
      </c>
      <c r="AX253" s="46">
        <f t="shared" si="6"/>
        <v>32.321428571429884</v>
      </c>
      <c r="AY253" s="72" t="str">
        <f t="shared" si="7"/>
        <v>DOS AÑOS</v>
      </c>
      <c r="AZ253" s="481"/>
      <c r="BA253" s="484"/>
      <c r="BB253" s="487"/>
      <c r="BC253" s="699"/>
      <c r="BD253" s="702"/>
    </row>
    <row r="254" spans="2:56" ht="15.75" hidden="1" thickBot="1" x14ac:dyDescent="0.3">
      <c r="B254" s="583"/>
      <c r="C254" s="628"/>
      <c r="D254" s="565"/>
      <c r="E254" s="565"/>
      <c r="F254" s="634"/>
      <c r="G254" s="505"/>
      <c r="H254" s="505"/>
      <c r="I254" s="69">
        <v>2</v>
      </c>
      <c r="J254" s="508"/>
      <c r="K254" s="71"/>
      <c r="L254" s="71"/>
      <c r="M254" s="71"/>
      <c r="N254" s="71"/>
      <c r="O254" s="71"/>
      <c r="P254" s="71"/>
      <c r="Q254" s="168">
        <v>1800</v>
      </c>
      <c r="R254" s="92">
        <v>1800</v>
      </c>
      <c r="S254" s="38">
        <v>43839</v>
      </c>
      <c r="T254" s="529"/>
      <c r="U254" s="169">
        <v>1804</v>
      </c>
      <c r="V254" s="169">
        <f>U254-R254</f>
        <v>4</v>
      </c>
      <c r="W254" s="169">
        <f>V254*100/R254</f>
        <v>0.22222222222222221</v>
      </c>
      <c r="X254" s="169"/>
      <c r="Y254" s="169"/>
      <c r="Z254" s="169"/>
      <c r="AA254" s="169"/>
      <c r="AB254" s="169">
        <v>0.38</v>
      </c>
      <c r="AC254" s="169">
        <f>AB254*100/R254</f>
        <v>2.1111111111111112E-2</v>
      </c>
      <c r="AD254" s="40">
        <f>(W254+AC254)</f>
        <v>0.24333333333333332</v>
      </c>
      <c r="AE254" s="40">
        <f t="shared" si="525"/>
        <v>0.2011111111111111</v>
      </c>
      <c r="AF254" s="40">
        <f t="shared" si="526"/>
        <v>0.24333333333333332</v>
      </c>
      <c r="AG254" s="41">
        <v>44207</v>
      </c>
      <c r="AH254" s="532"/>
      <c r="AI254" s="42">
        <f>(1800+1799+1799+1799+1799)/5</f>
        <v>1799.2</v>
      </c>
      <c r="AJ254" s="42">
        <f t="shared" si="528"/>
        <v>-0.79999999999995453</v>
      </c>
      <c r="AK254" s="42">
        <f t="shared" si="529"/>
        <v>-4.444444444444192E-2</v>
      </c>
      <c r="AL254" s="42"/>
      <c r="AM254" s="42"/>
      <c r="AN254" s="42"/>
      <c r="AO254" s="42"/>
      <c r="AP254" s="42">
        <v>0.11</v>
      </c>
      <c r="AQ254" s="42">
        <f t="shared" si="530"/>
        <v>6.1111111111111114E-3</v>
      </c>
      <c r="AR254" s="40">
        <f t="shared" si="74"/>
        <v>-0.79388888888884346</v>
      </c>
      <c r="AS254" s="40">
        <f t="shared" si="502"/>
        <v>-5.0555555555553029E-2</v>
      </c>
      <c r="AT254" s="40">
        <f t="shared" si="503"/>
        <v>-5.0555555555553029E-2</v>
      </c>
      <c r="AU254" s="43">
        <f t="shared" si="4"/>
        <v>1.0055555555555555</v>
      </c>
      <c r="AV254" s="44">
        <f t="shared" si="117"/>
        <v>0.29388888888888637</v>
      </c>
      <c r="AW254" s="95">
        <f t="shared" si="527"/>
        <v>0.29226519337016327</v>
      </c>
      <c r="AX254" s="46">
        <f t="shared" si="6"/>
        <v>6.8431001890359751</v>
      </c>
      <c r="AY254" s="72" t="str">
        <f t="shared" si="7"/>
        <v>DOS AÑOS</v>
      </c>
      <c r="AZ254" s="481"/>
      <c r="BA254" s="484"/>
      <c r="BB254" s="487"/>
      <c r="BC254" s="699"/>
      <c r="BD254" s="702"/>
    </row>
    <row r="255" spans="2:56" ht="15.75" hidden="1" thickBot="1" x14ac:dyDescent="0.3">
      <c r="B255" s="583"/>
      <c r="C255" s="628"/>
      <c r="D255" s="565"/>
      <c r="E255" s="565"/>
      <c r="F255" s="634"/>
      <c r="G255" s="505"/>
      <c r="H255" s="505"/>
      <c r="I255" s="69">
        <v>2</v>
      </c>
      <c r="J255" s="508"/>
      <c r="K255" s="71"/>
      <c r="L255" s="71"/>
      <c r="M255" s="71"/>
      <c r="N255" s="71"/>
      <c r="O255" s="71"/>
      <c r="P255" s="71"/>
      <c r="Q255" s="168">
        <v>2500</v>
      </c>
      <c r="R255" s="92"/>
      <c r="S255" s="38">
        <v>43839</v>
      </c>
      <c r="T255" s="529"/>
      <c r="U255" s="39"/>
      <c r="V255" s="39"/>
      <c r="W255" s="39"/>
      <c r="X255" s="39"/>
      <c r="Y255" s="39"/>
      <c r="Z255" s="39"/>
      <c r="AA255" s="39"/>
      <c r="AB255" s="39"/>
      <c r="AC255" s="39"/>
      <c r="AD255" s="40"/>
      <c r="AE255" s="40"/>
      <c r="AF255" s="40"/>
      <c r="AG255" s="41">
        <v>44207</v>
      </c>
      <c r="AH255" s="532"/>
      <c r="AI255" s="42">
        <f>(2501+2501+2499+2499+2499)/5</f>
        <v>2499.8000000000002</v>
      </c>
      <c r="AJ255" s="42">
        <f t="shared" si="528"/>
        <v>-0.1999999999998181</v>
      </c>
      <c r="AK255" s="42">
        <f t="shared" si="529"/>
        <v>-7.9999999999927247E-3</v>
      </c>
      <c r="AL255" s="42"/>
      <c r="AM255" s="42"/>
      <c r="AN255" s="42"/>
      <c r="AO255" s="42"/>
      <c r="AP255" s="42">
        <v>0.15</v>
      </c>
      <c r="AQ255" s="42">
        <f t="shared" si="530"/>
        <v>6.0000000000000001E-3</v>
      </c>
      <c r="AR255" s="40">
        <f t="shared" si="74"/>
        <v>-0.1939999999998181</v>
      </c>
      <c r="AS255" s="40">
        <f t="shared" si="502"/>
        <v>-1.3999999999992725E-2</v>
      </c>
      <c r="AT255" s="40">
        <f t="shared" si="503"/>
        <v>-1.3999999999992725E-2</v>
      </c>
      <c r="AU255" s="43">
        <f t="shared" si="4"/>
        <v>1.0055555555555555</v>
      </c>
      <c r="AV255" s="44">
        <f t="shared" si="117"/>
        <v>1.3999999999992725E-2</v>
      </c>
      <c r="AW255" s="95">
        <f t="shared" si="527"/>
        <v>1.3922651933694423E-2</v>
      </c>
      <c r="AX255" s="46">
        <f t="shared" si="6"/>
        <v>143.65079365086828</v>
      </c>
      <c r="AY255" s="72" t="str">
        <f t="shared" si="7"/>
        <v>DOS AÑOS</v>
      </c>
      <c r="AZ255" s="481"/>
      <c r="BA255" s="484"/>
      <c r="BB255" s="487"/>
      <c r="BC255" s="699"/>
      <c r="BD255" s="702"/>
    </row>
    <row r="256" spans="2:56" ht="15.75" hidden="1" customHeight="1" thickBot="1" x14ac:dyDescent="0.3">
      <c r="B256" s="583"/>
      <c r="C256" s="628"/>
      <c r="D256" s="565"/>
      <c r="E256" s="565"/>
      <c r="F256" s="634"/>
      <c r="G256" s="505"/>
      <c r="H256" s="505"/>
      <c r="I256" s="69">
        <v>2</v>
      </c>
      <c r="J256" s="508"/>
      <c r="K256" s="71" t="s">
        <v>68</v>
      </c>
      <c r="L256" s="526" t="s">
        <v>20</v>
      </c>
      <c r="M256" s="71" t="s">
        <v>68</v>
      </c>
      <c r="N256" s="526" t="s">
        <v>20</v>
      </c>
      <c r="O256" s="71" t="s">
        <v>68</v>
      </c>
      <c r="P256" s="526" t="s">
        <v>20</v>
      </c>
      <c r="Q256" s="37">
        <v>3500</v>
      </c>
      <c r="R256" s="37">
        <v>3200</v>
      </c>
      <c r="S256" s="38">
        <v>43839</v>
      </c>
      <c r="T256" s="529"/>
      <c r="U256" s="170">
        <v>3205</v>
      </c>
      <c r="V256" s="170">
        <f>U256-R256</f>
        <v>5</v>
      </c>
      <c r="W256" s="170">
        <f>V256*100/R256</f>
        <v>0.15625</v>
      </c>
      <c r="X256" s="170" t="s">
        <v>68</v>
      </c>
      <c r="Y256" s="170" t="s">
        <v>68</v>
      </c>
      <c r="Z256" s="170" t="s">
        <v>68</v>
      </c>
      <c r="AA256" s="170" t="s">
        <v>68</v>
      </c>
      <c r="AB256" s="170">
        <v>0.5</v>
      </c>
      <c r="AC256" s="170">
        <f>AB256*100/R256</f>
        <v>1.5625E-2</v>
      </c>
      <c r="AD256" s="40">
        <f t="shared" si="524"/>
        <v>0.171875</v>
      </c>
      <c r="AE256" s="40">
        <f t="shared" si="525"/>
        <v>0.140625</v>
      </c>
      <c r="AF256" s="40">
        <f t="shared" si="526"/>
        <v>0.171875</v>
      </c>
      <c r="AG256" s="41">
        <v>44207</v>
      </c>
      <c r="AH256" s="532"/>
      <c r="AI256" s="94">
        <f>(3500+3501+3501+3499+3499)/5</f>
        <v>3500</v>
      </c>
      <c r="AJ256" s="42">
        <f t="shared" si="528"/>
        <v>0</v>
      </c>
      <c r="AK256" s="42">
        <f t="shared" si="529"/>
        <v>0</v>
      </c>
      <c r="AL256" s="94" t="s">
        <v>68</v>
      </c>
      <c r="AM256" s="94" t="s">
        <v>68</v>
      </c>
      <c r="AN256" s="94" t="s">
        <v>68</v>
      </c>
      <c r="AO256" s="94" t="s">
        <v>68</v>
      </c>
      <c r="AP256" s="135">
        <v>0.14000000000000001</v>
      </c>
      <c r="AQ256" s="42">
        <f t="shared" si="530"/>
        <v>4.0000000000000001E-3</v>
      </c>
      <c r="AR256" s="40">
        <f t="shared" si="74"/>
        <v>4.0000000000000001E-3</v>
      </c>
      <c r="AS256" s="40">
        <f t="shared" si="502"/>
        <v>-4.0000000000000001E-3</v>
      </c>
      <c r="AT256" s="40">
        <f t="shared" si="503"/>
        <v>4.0000000000000001E-3</v>
      </c>
      <c r="AU256" s="43">
        <f t="shared" ref="AU256:AU258" si="531">YEARFRAC(S256,AG256)</f>
        <v>1.0055555555555555</v>
      </c>
      <c r="AV256" s="44">
        <f t="shared" si="117"/>
        <v>0.167875</v>
      </c>
      <c r="AW256" s="95">
        <f t="shared" si="527"/>
        <v>0.1669475138121547</v>
      </c>
      <c r="AX256" s="46">
        <f t="shared" si="6"/>
        <v>11.979813022255316</v>
      </c>
      <c r="AY256" s="72" t="str">
        <f t="shared" ref="AY256:AY258" si="532">IF(AX256&lt;=1,"UN AÑO",IF(AX256&gt;=1,"DOS AÑOS"))</f>
        <v>DOS AÑOS</v>
      </c>
      <c r="AZ256" s="481"/>
      <c r="BA256" s="484"/>
      <c r="BB256" s="487"/>
      <c r="BC256" s="699"/>
      <c r="BD256" s="702"/>
    </row>
    <row r="257" spans="1:56" ht="15.75" hidden="1" thickBot="1" x14ac:dyDescent="0.3">
      <c r="B257" s="583"/>
      <c r="C257" s="628"/>
      <c r="D257" s="565"/>
      <c r="E257" s="565"/>
      <c r="F257" s="634"/>
      <c r="G257" s="505"/>
      <c r="H257" s="505"/>
      <c r="I257" s="69">
        <v>2</v>
      </c>
      <c r="J257" s="508"/>
      <c r="K257" s="71" t="s">
        <v>68</v>
      </c>
      <c r="L257" s="526"/>
      <c r="M257" s="71" t="s">
        <v>68</v>
      </c>
      <c r="N257" s="526"/>
      <c r="O257" s="71" t="s">
        <v>68</v>
      </c>
      <c r="P257" s="526"/>
      <c r="Q257" s="37">
        <v>4000</v>
      </c>
      <c r="R257" s="37" t="s">
        <v>23</v>
      </c>
      <c r="S257" s="38">
        <v>43839</v>
      </c>
      <c r="T257" s="529"/>
      <c r="U257" s="96"/>
      <c r="V257" s="96" t="s">
        <v>68</v>
      </c>
      <c r="W257" s="96">
        <v>0</v>
      </c>
      <c r="X257" s="96" t="s">
        <v>68</v>
      </c>
      <c r="Y257" s="96" t="s">
        <v>68</v>
      </c>
      <c r="Z257" s="96" t="s">
        <v>68</v>
      </c>
      <c r="AA257" s="96" t="s">
        <v>68</v>
      </c>
      <c r="AB257" s="96"/>
      <c r="AC257" s="96"/>
      <c r="AD257" s="40"/>
      <c r="AE257" s="40"/>
      <c r="AF257" s="40"/>
      <c r="AG257" s="41">
        <v>44207</v>
      </c>
      <c r="AH257" s="532"/>
      <c r="AI257" s="94">
        <f>(4000+4000+4001+3999+3998)/5</f>
        <v>3999.6</v>
      </c>
      <c r="AJ257" s="42">
        <f t="shared" si="528"/>
        <v>-0.40000000000009095</v>
      </c>
      <c r="AK257" s="42">
        <f t="shared" si="529"/>
        <v>-1.0000000000002274E-2</v>
      </c>
      <c r="AL257" s="94" t="s">
        <v>68</v>
      </c>
      <c r="AM257" s="94" t="s">
        <v>68</v>
      </c>
      <c r="AN257" s="94" t="s">
        <v>68</v>
      </c>
      <c r="AO257" s="94" t="s">
        <v>68</v>
      </c>
      <c r="AP257" s="94">
        <v>0.15</v>
      </c>
      <c r="AQ257" s="42">
        <f t="shared" si="530"/>
        <v>3.7499999999999999E-3</v>
      </c>
      <c r="AR257" s="40">
        <f t="shared" si="74"/>
        <v>-0.39625000000009097</v>
      </c>
      <c r="AS257" s="40">
        <f t="shared" si="502"/>
        <v>-1.3750000000002274E-2</v>
      </c>
      <c r="AT257" s="40">
        <f t="shared" si="503"/>
        <v>-1.3750000000002274E-2</v>
      </c>
      <c r="AU257" s="43">
        <f t="shared" si="531"/>
        <v>1.0055555555555555</v>
      </c>
      <c r="AV257" s="44">
        <f t="shared" si="117"/>
        <v>1.3750000000002274E-2</v>
      </c>
      <c r="AW257" s="95">
        <f t="shared" si="527"/>
        <v>1.3674033149173533E-2</v>
      </c>
      <c r="AX257" s="46">
        <f t="shared" si="6"/>
        <v>146.26262626260205</v>
      </c>
      <c r="AY257" s="72" t="str">
        <f t="shared" si="532"/>
        <v>DOS AÑOS</v>
      </c>
      <c r="AZ257" s="481"/>
      <c r="BA257" s="484"/>
      <c r="BB257" s="487"/>
      <c r="BC257" s="699"/>
      <c r="BD257" s="702"/>
    </row>
    <row r="258" spans="1:56" ht="15.75" hidden="1" thickBot="1" x14ac:dyDescent="0.3">
      <c r="B258" s="584"/>
      <c r="C258" s="709"/>
      <c r="D258" s="567"/>
      <c r="E258" s="567"/>
      <c r="F258" s="647"/>
      <c r="G258" s="616"/>
      <c r="H258" s="616"/>
      <c r="I258" s="108">
        <v>2</v>
      </c>
      <c r="J258" s="617"/>
      <c r="K258" s="109" t="s">
        <v>68</v>
      </c>
      <c r="L258" s="658"/>
      <c r="M258" s="109" t="s">
        <v>68</v>
      </c>
      <c r="N258" s="658"/>
      <c r="O258" s="109" t="s">
        <v>68</v>
      </c>
      <c r="P258" s="658"/>
      <c r="Q258" s="47">
        <v>9000</v>
      </c>
      <c r="R258" s="47">
        <v>9000</v>
      </c>
      <c r="S258" s="111">
        <v>43839</v>
      </c>
      <c r="T258" s="579"/>
      <c r="U258" s="171">
        <v>9006</v>
      </c>
      <c r="V258" s="171">
        <f>U258-R258</f>
        <v>6</v>
      </c>
      <c r="W258" s="171">
        <f>V258*100/R258</f>
        <v>6.6666666666666666E-2</v>
      </c>
      <c r="X258" s="171" t="s">
        <v>68</v>
      </c>
      <c r="Y258" s="171" t="s">
        <v>68</v>
      </c>
      <c r="Z258" s="171" t="s">
        <v>68</v>
      </c>
      <c r="AA258" s="171" t="s">
        <v>68</v>
      </c>
      <c r="AB258" s="171">
        <v>0.38</v>
      </c>
      <c r="AC258" s="171">
        <f>AB258*100/R258</f>
        <v>4.2222222222222218E-3</v>
      </c>
      <c r="AD258" s="49">
        <f t="shared" si="524"/>
        <v>7.088888888888889E-2</v>
      </c>
      <c r="AE258" s="49">
        <f t="shared" si="525"/>
        <v>6.2444444444444441E-2</v>
      </c>
      <c r="AF258" s="49">
        <f t="shared" si="526"/>
        <v>7.088888888888889E-2</v>
      </c>
      <c r="AG258" s="114">
        <v>44207</v>
      </c>
      <c r="AH258" s="581"/>
      <c r="AI258" s="115">
        <f>(9001+9001+8999+8999+8998)/5</f>
        <v>8999.6</v>
      </c>
      <c r="AJ258" s="50">
        <f t="shared" si="528"/>
        <v>-0.3999999999996362</v>
      </c>
      <c r="AK258" s="50">
        <f t="shared" si="529"/>
        <v>-4.4444444444404025E-3</v>
      </c>
      <c r="AL258" s="115" t="s">
        <v>68</v>
      </c>
      <c r="AM258" s="115" t="s">
        <v>68</v>
      </c>
      <c r="AN258" s="115" t="s">
        <v>68</v>
      </c>
      <c r="AO258" s="115" t="s">
        <v>68</v>
      </c>
      <c r="AP258" s="115">
        <v>0.16</v>
      </c>
      <c r="AQ258" s="50">
        <f t="shared" si="530"/>
        <v>1.7777777777777779E-3</v>
      </c>
      <c r="AR258" s="49">
        <f>(AJ258+AQ258)</f>
        <v>-0.39822222222185844</v>
      </c>
      <c r="AS258" s="49">
        <f t="shared" ref="AS258" si="533">(AK258-AQ258)</f>
        <v>-6.2222222222181808E-3</v>
      </c>
      <c r="AT258" s="49">
        <f t="shared" si="503"/>
        <v>-6.2222222222181808E-3</v>
      </c>
      <c r="AU258" s="51">
        <f t="shared" si="531"/>
        <v>1.0055555555555555</v>
      </c>
      <c r="AV258" s="52">
        <f t="shared" ref="AV258:AV269" si="534">ABS(AT258-AF258)</f>
        <v>7.7111111111107078E-2</v>
      </c>
      <c r="AW258" s="116">
        <f t="shared" si="300"/>
        <v>7.6685082872924165E-2</v>
      </c>
      <c r="AX258" s="53">
        <f t="shared" ref="AX258:AX273" si="535">(I258/AW258)</f>
        <v>26.08069164265266</v>
      </c>
      <c r="AY258" s="120" t="str">
        <f t="shared" si="532"/>
        <v>DOS AÑOS</v>
      </c>
      <c r="AZ258" s="550"/>
      <c r="BA258" s="665"/>
      <c r="BB258" s="666"/>
      <c r="BC258" s="700"/>
      <c r="BD258" s="703"/>
    </row>
    <row r="259" spans="1:56" x14ac:dyDescent="0.25">
      <c r="B259" s="582" t="s">
        <v>120</v>
      </c>
      <c r="C259" s="627" t="s">
        <v>124</v>
      </c>
      <c r="D259" s="630" t="s">
        <v>237</v>
      </c>
      <c r="E259" s="563" t="s">
        <v>152</v>
      </c>
      <c r="F259" s="633" t="s">
        <v>235</v>
      </c>
      <c r="G259" s="503" t="s">
        <v>121</v>
      </c>
      <c r="H259" s="503" t="s">
        <v>122</v>
      </c>
      <c r="I259" s="127">
        <v>0.1</v>
      </c>
      <c r="J259" s="506" t="s">
        <v>123</v>
      </c>
      <c r="K259" s="128"/>
      <c r="L259" s="128"/>
      <c r="M259" s="128"/>
      <c r="N259" s="128"/>
      <c r="O259" s="128"/>
      <c r="P259" s="128"/>
      <c r="Q259" s="57">
        <v>0</v>
      </c>
      <c r="R259" s="57" t="s">
        <v>123</v>
      </c>
      <c r="S259" s="38"/>
      <c r="T259" s="623"/>
      <c r="U259" s="184"/>
      <c r="V259" s="184"/>
      <c r="W259" s="184"/>
      <c r="X259" s="184"/>
      <c r="Y259" s="184"/>
      <c r="Z259" s="184"/>
      <c r="AA259" s="184"/>
      <c r="AB259" s="184"/>
      <c r="AC259" s="184"/>
      <c r="AD259" s="184"/>
      <c r="AE259" s="184"/>
      <c r="AF259" s="59"/>
      <c r="AG259" s="41">
        <v>44421</v>
      </c>
      <c r="AH259" s="660" t="s">
        <v>234</v>
      </c>
      <c r="AI259" s="84"/>
      <c r="AJ259" s="61">
        <v>0</v>
      </c>
      <c r="AK259" s="61"/>
      <c r="AL259" s="84"/>
      <c r="AM259" s="84"/>
      <c r="AN259" s="84"/>
      <c r="AO259" s="84"/>
      <c r="AP259" s="247">
        <f>6/1000</f>
        <v>6.0000000000000001E-3</v>
      </c>
      <c r="AQ259" s="61"/>
      <c r="AR259" s="59">
        <f>(AJ259+AP259)</f>
        <v>6.0000000000000001E-3</v>
      </c>
      <c r="AS259" s="59">
        <f>(AP259-AJ259)</f>
        <v>6.0000000000000001E-3</v>
      </c>
      <c r="AT259" s="40">
        <f t="shared" ref="AT259:AT277" si="536">MAX(AR259:AS259)</f>
        <v>6.0000000000000001E-3</v>
      </c>
      <c r="AU259" s="43">
        <f t="shared" ref="AU259:AU275" si="537">YEARFRAC(S259,AG259)</f>
        <v>121.61944444444444</v>
      </c>
      <c r="AV259" s="44">
        <f t="shared" si="534"/>
        <v>6.0000000000000001E-3</v>
      </c>
      <c r="AW259" s="95">
        <f t="shared" si="300"/>
        <v>4.9334216476714706E-5</v>
      </c>
      <c r="AX259" s="46">
        <f t="shared" si="535"/>
        <v>2026.9907407407409</v>
      </c>
      <c r="AY259" s="72" t="str">
        <f t="shared" ref="AY259:AY273" si="538">IF(AX259&lt;=1,"UN AÑO",IF(AX259&gt;=1,"DOS AÑOS"))</f>
        <v>DOS AÑOS</v>
      </c>
      <c r="AZ259" s="711"/>
      <c r="BA259" s="676" t="s">
        <v>56</v>
      </c>
      <c r="BB259" s="129"/>
      <c r="BC259" s="172"/>
      <c r="BD259" s="118"/>
    </row>
    <row r="260" spans="1:56" x14ac:dyDescent="0.25">
      <c r="B260" s="583"/>
      <c r="C260" s="628"/>
      <c r="D260" s="631"/>
      <c r="E260" s="565"/>
      <c r="F260" s="634"/>
      <c r="G260" s="505"/>
      <c r="H260" s="505"/>
      <c r="I260" s="130">
        <v>0.1</v>
      </c>
      <c r="J260" s="508"/>
      <c r="K260" s="131"/>
      <c r="L260" s="131"/>
      <c r="M260" s="131"/>
      <c r="N260" s="131"/>
      <c r="O260" s="131"/>
      <c r="P260" s="131"/>
      <c r="Q260" s="37">
        <v>0.5</v>
      </c>
      <c r="R260" s="37" t="s">
        <v>123</v>
      </c>
      <c r="S260" s="38"/>
      <c r="T260" s="624"/>
      <c r="U260" s="96"/>
      <c r="V260" s="96"/>
      <c r="W260" s="96"/>
      <c r="X260" s="96"/>
      <c r="Y260" s="96"/>
      <c r="Z260" s="96"/>
      <c r="AA260" s="96"/>
      <c r="AB260" s="96"/>
      <c r="AC260" s="96"/>
      <c r="AD260" s="40"/>
      <c r="AE260" s="40"/>
      <c r="AF260" s="40"/>
      <c r="AG260" s="41">
        <v>44421</v>
      </c>
      <c r="AH260" s="620"/>
      <c r="AI260" s="94"/>
      <c r="AJ260" s="42">
        <f>9.9/1000</f>
        <v>9.9000000000000008E-3</v>
      </c>
      <c r="AK260" s="42"/>
      <c r="AL260" s="94"/>
      <c r="AM260" s="94"/>
      <c r="AN260" s="94"/>
      <c r="AO260" s="94"/>
      <c r="AP260" s="247">
        <f>6/1000</f>
        <v>6.0000000000000001E-3</v>
      </c>
      <c r="AQ260" s="42"/>
      <c r="AR260" s="40">
        <f t="shared" ref="AR260:AR269" si="539">(AJ260+AP260)</f>
        <v>1.5900000000000001E-2</v>
      </c>
      <c r="AS260" s="40">
        <f>(AP260-AJ260)</f>
        <v>-3.9000000000000007E-3</v>
      </c>
      <c r="AT260" s="40">
        <f t="shared" si="536"/>
        <v>1.5900000000000001E-2</v>
      </c>
      <c r="AU260" s="43">
        <f t="shared" si="537"/>
        <v>121.61944444444444</v>
      </c>
      <c r="AV260" s="44">
        <f t="shared" si="534"/>
        <v>1.5900000000000001E-2</v>
      </c>
      <c r="AW260" s="95">
        <f t="shared" si="300"/>
        <v>1.3073567366329397E-4</v>
      </c>
      <c r="AX260" s="46">
        <f t="shared" si="535"/>
        <v>764.90216631726071</v>
      </c>
      <c r="AY260" s="72" t="str">
        <f t="shared" si="538"/>
        <v>DOS AÑOS</v>
      </c>
      <c r="AZ260" s="712"/>
      <c r="BA260" s="677"/>
      <c r="BB260" s="132"/>
      <c r="BC260" s="173"/>
      <c r="BD260" s="122"/>
    </row>
    <row r="261" spans="1:56" x14ac:dyDescent="0.25">
      <c r="B261" s="583"/>
      <c r="C261" s="628"/>
      <c r="D261" s="631"/>
      <c r="E261" s="565"/>
      <c r="F261" s="634"/>
      <c r="G261" s="505"/>
      <c r="H261" s="505"/>
      <c r="I261" s="130">
        <v>0.1</v>
      </c>
      <c r="J261" s="508"/>
      <c r="K261" s="131"/>
      <c r="L261" s="131"/>
      <c r="M261" s="131"/>
      <c r="N261" s="131"/>
      <c r="O261" s="131"/>
      <c r="P261" s="131"/>
      <c r="Q261" s="37">
        <v>1</v>
      </c>
      <c r="R261" s="37" t="s">
        <v>123</v>
      </c>
      <c r="S261" s="38"/>
      <c r="T261" s="624"/>
      <c r="U261" s="170"/>
      <c r="V261" s="170"/>
      <c r="W261" s="170"/>
      <c r="X261" s="170"/>
      <c r="Y261" s="170"/>
      <c r="Z261" s="170"/>
      <c r="AA261" s="170"/>
      <c r="AB261" s="170"/>
      <c r="AC261" s="170"/>
      <c r="AD261" s="170"/>
      <c r="AE261" s="170"/>
      <c r="AF261" s="40"/>
      <c r="AG261" s="41">
        <v>44421</v>
      </c>
      <c r="AH261" s="620"/>
      <c r="AI261" s="94"/>
      <c r="AJ261" s="42">
        <f>9.9/1000</f>
        <v>9.9000000000000008E-3</v>
      </c>
      <c r="AK261" s="42"/>
      <c r="AL261" s="94"/>
      <c r="AM261" s="94"/>
      <c r="AN261" s="94"/>
      <c r="AO261" s="94"/>
      <c r="AP261" s="247">
        <f>6/1000</f>
        <v>6.0000000000000001E-3</v>
      </c>
      <c r="AQ261" s="42"/>
      <c r="AR261" s="40">
        <f t="shared" si="539"/>
        <v>1.5900000000000001E-2</v>
      </c>
      <c r="AS261" s="40">
        <f t="shared" ref="AS261:AS269" si="540">(AP261-AJ261)</f>
        <v>-3.9000000000000007E-3</v>
      </c>
      <c r="AT261" s="40">
        <f t="shared" si="536"/>
        <v>1.5900000000000001E-2</v>
      </c>
      <c r="AU261" s="43">
        <f t="shared" si="537"/>
        <v>121.61944444444444</v>
      </c>
      <c r="AV261" s="44">
        <f t="shared" si="534"/>
        <v>1.5900000000000001E-2</v>
      </c>
      <c r="AW261" s="95">
        <f t="shared" si="300"/>
        <v>1.3073567366329397E-4</v>
      </c>
      <c r="AX261" s="46">
        <f t="shared" si="535"/>
        <v>764.90216631726071</v>
      </c>
      <c r="AY261" s="72" t="str">
        <f t="shared" si="538"/>
        <v>DOS AÑOS</v>
      </c>
      <c r="AZ261" s="712"/>
      <c r="BA261" s="677"/>
      <c r="BB261" s="132"/>
      <c r="BC261" s="173"/>
      <c r="BD261" s="122"/>
    </row>
    <row r="262" spans="1:56" x14ac:dyDescent="0.25">
      <c r="B262" s="583"/>
      <c r="C262" s="628"/>
      <c r="D262" s="631"/>
      <c r="E262" s="565"/>
      <c r="F262" s="634"/>
      <c r="G262" s="505"/>
      <c r="H262" s="505"/>
      <c r="I262" s="130">
        <v>0.1</v>
      </c>
      <c r="J262" s="508"/>
      <c r="K262" s="131"/>
      <c r="L262" s="131"/>
      <c r="M262" s="131"/>
      <c r="N262" s="131"/>
      <c r="O262" s="131"/>
      <c r="P262" s="131"/>
      <c r="Q262" s="37">
        <v>1.6</v>
      </c>
      <c r="R262" s="37" t="s">
        <v>123</v>
      </c>
      <c r="S262" s="38"/>
      <c r="T262" s="624"/>
      <c r="U262" s="170"/>
      <c r="V262" s="170"/>
      <c r="W262" s="170"/>
      <c r="X262" s="170"/>
      <c r="Y262" s="170"/>
      <c r="Z262" s="170"/>
      <c r="AA262" s="170"/>
      <c r="AB262" s="170"/>
      <c r="AC262" s="170"/>
      <c r="AD262" s="170"/>
      <c r="AE262" s="170"/>
      <c r="AF262" s="40"/>
      <c r="AG262" s="41">
        <v>44421</v>
      </c>
      <c r="AH262" s="620"/>
      <c r="AI262" s="94"/>
      <c r="AJ262" s="42">
        <f>10.1/1000</f>
        <v>1.01E-2</v>
      </c>
      <c r="AK262" s="42"/>
      <c r="AL262" s="94"/>
      <c r="AM262" s="94"/>
      <c r="AN262" s="94"/>
      <c r="AO262" s="94"/>
      <c r="AP262" s="247">
        <f>6/1000</f>
        <v>6.0000000000000001E-3</v>
      </c>
      <c r="AQ262" s="42"/>
      <c r="AR262" s="40">
        <f t="shared" si="539"/>
        <v>1.61E-2</v>
      </c>
      <c r="AS262" s="40">
        <f t="shared" si="540"/>
        <v>-4.0999999999999995E-3</v>
      </c>
      <c r="AT262" s="40">
        <f t="shared" si="536"/>
        <v>1.61E-2</v>
      </c>
      <c r="AU262" s="43">
        <f t="shared" si="537"/>
        <v>121.61944444444444</v>
      </c>
      <c r="AV262" s="44">
        <f t="shared" si="534"/>
        <v>1.61E-2</v>
      </c>
      <c r="AW262" s="95">
        <f t="shared" si="300"/>
        <v>1.3238014754585114E-4</v>
      </c>
      <c r="AX262" s="46">
        <f t="shared" si="535"/>
        <v>755.40027605244995</v>
      </c>
      <c r="AY262" s="72" t="str">
        <f t="shared" si="538"/>
        <v>DOS AÑOS</v>
      </c>
      <c r="AZ262" s="712"/>
      <c r="BA262" s="677"/>
      <c r="BB262" s="132"/>
      <c r="BC262" s="173"/>
      <c r="BD262" s="122"/>
    </row>
    <row r="263" spans="1:56" x14ac:dyDescent="0.25">
      <c r="B263" s="583"/>
      <c r="C263" s="628"/>
      <c r="D263" s="631"/>
      <c r="E263" s="565"/>
      <c r="F263" s="634"/>
      <c r="G263" s="505"/>
      <c r="H263" s="505"/>
      <c r="I263" s="130">
        <v>0.1</v>
      </c>
      <c r="J263" s="508"/>
      <c r="K263" s="131"/>
      <c r="L263" s="131"/>
      <c r="M263" s="131"/>
      <c r="N263" s="131"/>
      <c r="O263" s="131"/>
      <c r="P263" s="131"/>
      <c r="Q263" s="37">
        <v>2</v>
      </c>
      <c r="R263" s="37" t="s">
        <v>123</v>
      </c>
      <c r="S263" s="38"/>
      <c r="T263" s="624"/>
      <c r="U263" s="170"/>
      <c r="V263" s="170"/>
      <c r="W263" s="170"/>
      <c r="X263" s="170"/>
      <c r="Y263" s="170"/>
      <c r="Z263" s="170"/>
      <c r="AA263" s="170"/>
      <c r="AB263" s="170"/>
      <c r="AC263" s="170"/>
      <c r="AD263" s="170"/>
      <c r="AE263" s="170"/>
      <c r="AF263" s="40"/>
      <c r="AG263" s="41">
        <v>44421</v>
      </c>
      <c r="AH263" s="620"/>
      <c r="AI263" s="94"/>
      <c r="AJ263" s="42">
        <f>10/1000</f>
        <v>0.01</v>
      </c>
      <c r="AK263" s="42"/>
      <c r="AL263" s="94"/>
      <c r="AM263" s="94"/>
      <c r="AN263" s="94"/>
      <c r="AO263" s="94"/>
      <c r="AP263" s="247">
        <f>6/1000</f>
        <v>6.0000000000000001E-3</v>
      </c>
      <c r="AQ263" s="42"/>
      <c r="AR263" s="40">
        <f t="shared" si="539"/>
        <v>1.6E-2</v>
      </c>
      <c r="AS263" s="40">
        <f t="shared" si="540"/>
        <v>-4.0000000000000001E-3</v>
      </c>
      <c r="AT263" s="40">
        <f t="shared" si="536"/>
        <v>1.6E-2</v>
      </c>
      <c r="AU263" s="43">
        <f t="shared" si="537"/>
        <v>121.61944444444444</v>
      </c>
      <c r="AV263" s="44">
        <f t="shared" si="534"/>
        <v>1.6E-2</v>
      </c>
      <c r="AW263" s="95">
        <f t="shared" si="300"/>
        <v>1.3155791060457257E-4</v>
      </c>
      <c r="AX263" s="46">
        <f t="shared" si="535"/>
        <v>760.12152777777771</v>
      </c>
      <c r="AY263" s="72" t="str">
        <f t="shared" si="538"/>
        <v>DOS AÑOS</v>
      </c>
      <c r="AZ263" s="712"/>
      <c r="BA263" s="677"/>
      <c r="BB263" s="132"/>
      <c r="BC263" s="173"/>
      <c r="BD263" s="122"/>
    </row>
    <row r="264" spans="1:56" x14ac:dyDescent="0.25">
      <c r="B264" s="583"/>
      <c r="C264" s="628"/>
      <c r="D264" s="631"/>
      <c r="E264" s="565"/>
      <c r="F264" s="634"/>
      <c r="G264" s="505"/>
      <c r="H264" s="505"/>
      <c r="I264" s="130">
        <v>0.1</v>
      </c>
      <c r="J264" s="508"/>
      <c r="K264" s="131"/>
      <c r="L264" s="131"/>
      <c r="M264" s="131"/>
      <c r="N264" s="131"/>
      <c r="O264" s="131"/>
      <c r="P264" s="131"/>
      <c r="Q264" s="37">
        <v>5</v>
      </c>
      <c r="R264" s="37" t="s">
        <v>123</v>
      </c>
      <c r="S264" s="38"/>
      <c r="T264" s="624"/>
      <c r="U264" s="96"/>
      <c r="V264" s="96"/>
      <c r="W264" s="96"/>
      <c r="X264" s="96"/>
      <c r="Y264" s="96"/>
      <c r="Z264" s="96"/>
      <c r="AA264" s="96"/>
      <c r="AB264" s="96"/>
      <c r="AC264" s="96"/>
      <c r="AD264" s="40"/>
      <c r="AE264" s="40"/>
      <c r="AF264" s="40"/>
      <c r="AG264" s="41">
        <v>44421</v>
      </c>
      <c r="AH264" s="620"/>
      <c r="AI264" s="94"/>
      <c r="AJ264" s="42">
        <f>4/1000</f>
        <v>4.0000000000000001E-3</v>
      </c>
      <c r="AK264" s="42"/>
      <c r="AL264" s="94"/>
      <c r="AM264" s="94"/>
      <c r="AN264" s="94"/>
      <c r="AO264" s="94"/>
      <c r="AP264" s="94">
        <f>8.1/1000</f>
        <v>8.0999999999999996E-3</v>
      </c>
      <c r="AQ264" s="42"/>
      <c r="AR264" s="40">
        <f t="shared" si="539"/>
        <v>1.21E-2</v>
      </c>
      <c r="AS264" s="40">
        <f t="shared" si="540"/>
        <v>4.0999999999999995E-3</v>
      </c>
      <c r="AT264" s="40">
        <f t="shared" si="536"/>
        <v>1.21E-2</v>
      </c>
      <c r="AU264" s="43">
        <f t="shared" si="537"/>
        <v>121.61944444444444</v>
      </c>
      <c r="AV264" s="44">
        <f t="shared" si="534"/>
        <v>1.21E-2</v>
      </c>
      <c r="AW264" s="95">
        <f t="shared" si="300"/>
        <v>9.9490669894707995E-5</v>
      </c>
      <c r="AX264" s="46">
        <f t="shared" si="535"/>
        <v>1005.119375573921</v>
      </c>
      <c r="AY264" s="72" t="str">
        <f t="shared" si="538"/>
        <v>DOS AÑOS</v>
      </c>
      <c r="AZ264" s="712"/>
      <c r="BA264" s="677"/>
      <c r="BB264" s="132"/>
      <c r="BC264" s="173"/>
      <c r="BD264" s="122"/>
    </row>
    <row r="265" spans="1:56" x14ac:dyDescent="0.25">
      <c r="B265" s="583"/>
      <c r="C265" s="628"/>
      <c r="D265" s="631"/>
      <c r="E265" s="565"/>
      <c r="F265" s="634"/>
      <c r="G265" s="505"/>
      <c r="H265" s="505"/>
      <c r="I265" s="130">
        <v>0.1</v>
      </c>
      <c r="J265" s="508"/>
      <c r="K265" s="131"/>
      <c r="L265" s="131"/>
      <c r="M265" s="131"/>
      <c r="N265" s="131"/>
      <c r="O265" s="131"/>
      <c r="P265" s="131"/>
      <c r="Q265" s="37">
        <v>10</v>
      </c>
      <c r="R265" s="37" t="s">
        <v>123</v>
      </c>
      <c r="S265" s="38"/>
      <c r="T265" s="624"/>
      <c r="U265" s="117"/>
      <c r="V265" s="96"/>
      <c r="W265" s="96"/>
      <c r="X265" s="96"/>
      <c r="Y265" s="96"/>
      <c r="Z265" s="96"/>
      <c r="AA265" s="96"/>
      <c r="AB265" s="96"/>
      <c r="AC265" s="96"/>
      <c r="AD265" s="40"/>
      <c r="AE265" s="40"/>
      <c r="AF265" s="40"/>
      <c r="AG265" s="41">
        <v>44421</v>
      </c>
      <c r="AH265" s="620"/>
      <c r="AI265" s="94"/>
      <c r="AJ265" s="42">
        <v>0</v>
      </c>
      <c r="AK265" s="42"/>
      <c r="AL265" s="94"/>
      <c r="AM265" s="94"/>
      <c r="AN265" s="94"/>
      <c r="AO265" s="94"/>
      <c r="AP265" s="247">
        <f>6/1000</f>
        <v>6.0000000000000001E-3</v>
      </c>
      <c r="AQ265" s="42"/>
      <c r="AR265" s="40">
        <f t="shared" si="539"/>
        <v>6.0000000000000001E-3</v>
      </c>
      <c r="AS265" s="40">
        <f t="shared" si="540"/>
        <v>6.0000000000000001E-3</v>
      </c>
      <c r="AT265" s="40">
        <f t="shared" si="536"/>
        <v>6.0000000000000001E-3</v>
      </c>
      <c r="AU265" s="43">
        <f t="shared" si="537"/>
        <v>121.61944444444444</v>
      </c>
      <c r="AV265" s="44">
        <f t="shared" si="534"/>
        <v>6.0000000000000001E-3</v>
      </c>
      <c r="AW265" s="95">
        <f t="shared" si="300"/>
        <v>4.9334216476714706E-5</v>
      </c>
      <c r="AX265" s="46">
        <f t="shared" si="535"/>
        <v>2026.9907407407409</v>
      </c>
      <c r="AY265" s="72" t="str">
        <f t="shared" si="538"/>
        <v>DOS AÑOS</v>
      </c>
      <c r="AZ265" s="712"/>
      <c r="BA265" s="677"/>
      <c r="BB265" s="132"/>
      <c r="BC265" s="173"/>
      <c r="BD265" s="122"/>
    </row>
    <row r="266" spans="1:56" x14ac:dyDescent="0.25">
      <c r="B266" s="583"/>
      <c r="C266" s="628"/>
      <c r="D266" s="631"/>
      <c r="E266" s="565"/>
      <c r="F266" s="634"/>
      <c r="G266" s="505"/>
      <c r="H266" s="505"/>
      <c r="I266" s="130">
        <v>0.1</v>
      </c>
      <c r="J266" s="508"/>
      <c r="K266" s="131"/>
      <c r="L266" s="131"/>
      <c r="M266" s="131"/>
      <c r="N266" s="131"/>
      <c r="O266" s="131"/>
      <c r="P266" s="131"/>
      <c r="Q266" s="37">
        <v>15</v>
      </c>
      <c r="R266" s="37" t="s">
        <v>123</v>
      </c>
      <c r="S266" s="38"/>
      <c r="T266" s="624"/>
      <c r="U266" s="96"/>
      <c r="V266" s="96"/>
      <c r="W266" s="96"/>
      <c r="X266" s="96"/>
      <c r="Y266" s="96"/>
      <c r="Z266" s="96"/>
      <c r="AA266" s="96"/>
      <c r="AB266" s="96"/>
      <c r="AC266" s="96"/>
      <c r="AD266" s="40"/>
      <c r="AE266" s="40"/>
      <c r="AF266" s="40"/>
      <c r="AG266" s="41">
        <v>44421</v>
      </c>
      <c r="AH266" s="620"/>
      <c r="AI266" s="94"/>
      <c r="AJ266" s="42">
        <f>-5.9/1000</f>
        <v>-5.9000000000000007E-3</v>
      </c>
      <c r="AK266" s="42"/>
      <c r="AL266" s="94"/>
      <c r="AM266" s="94"/>
      <c r="AN266" s="94"/>
      <c r="AO266" s="94"/>
      <c r="AP266" s="94">
        <f>8.1/1000</f>
        <v>8.0999999999999996E-3</v>
      </c>
      <c r="AQ266" s="42"/>
      <c r="AR266" s="40">
        <f t="shared" si="539"/>
        <v>2.1999999999999988E-3</v>
      </c>
      <c r="AS266" s="40">
        <f t="shared" si="540"/>
        <v>1.4E-2</v>
      </c>
      <c r="AT266" s="40">
        <f t="shared" si="536"/>
        <v>1.4E-2</v>
      </c>
      <c r="AU266" s="43">
        <f t="shared" si="537"/>
        <v>121.61944444444444</v>
      </c>
      <c r="AV266" s="44">
        <f t="shared" si="534"/>
        <v>1.4E-2</v>
      </c>
      <c r="AW266" s="95">
        <f t="shared" si="300"/>
        <v>1.1511317177900098E-4</v>
      </c>
      <c r="AX266" s="46">
        <f t="shared" si="535"/>
        <v>868.71031746031747</v>
      </c>
      <c r="AY266" s="72" t="str">
        <f t="shared" si="538"/>
        <v>DOS AÑOS</v>
      </c>
      <c r="AZ266" s="712"/>
      <c r="BA266" s="677"/>
      <c r="BB266" s="132"/>
      <c r="BC266" s="173"/>
      <c r="BD266" s="122"/>
    </row>
    <row r="267" spans="1:56" x14ac:dyDescent="0.25">
      <c r="B267" s="583"/>
      <c r="C267" s="628"/>
      <c r="D267" s="631"/>
      <c r="E267" s="565"/>
      <c r="F267" s="634"/>
      <c r="G267" s="505"/>
      <c r="H267" s="505"/>
      <c r="I267" s="130">
        <v>0.1</v>
      </c>
      <c r="J267" s="508"/>
      <c r="K267" s="131"/>
      <c r="L267" s="131"/>
      <c r="M267" s="131"/>
      <c r="N267" s="131"/>
      <c r="O267" s="131"/>
      <c r="P267" s="131"/>
      <c r="Q267" s="37">
        <v>17</v>
      </c>
      <c r="R267" s="37" t="s">
        <v>123</v>
      </c>
      <c r="S267" s="38"/>
      <c r="T267" s="624"/>
      <c r="U267" s="96"/>
      <c r="V267" s="96"/>
      <c r="W267" s="96"/>
      <c r="X267" s="96"/>
      <c r="Y267" s="96"/>
      <c r="Z267" s="96"/>
      <c r="AA267" s="96"/>
      <c r="AB267" s="96"/>
      <c r="AC267" s="96"/>
      <c r="AD267" s="40"/>
      <c r="AE267" s="40"/>
      <c r="AF267" s="40"/>
      <c r="AG267" s="41">
        <v>44421</v>
      </c>
      <c r="AH267" s="620"/>
      <c r="AI267" s="94"/>
      <c r="AJ267" s="42">
        <f>28.2/1000</f>
        <v>2.8199999999999999E-2</v>
      </c>
      <c r="AK267" s="42"/>
      <c r="AL267" s="94"/>
      <c r="AM267" s="94"/>
      <c r="AN267" s="94"/>
      <c r="AO267" s="94"/>
      <c r="AP267" s="94">
        <f>7.4/1000</f>
        <v>7.4000000000000003E-3</v>
      </c>
      <c r="AQ267" s="42"/>
      <c r="AR267" s="40">
        <f t="shared" si="539"/>
        <v>3.56E-2</v>
      </c>
      <c r="AS267" s="40">
        <f t="shared" si="540"/>
        <v>-2.0799999999999999E-2</v>
      </c>
      <c r="AT267" s="40">
        <f t="shared" si="536"/>
        <v>3.56E-2</v>
      </c>
      <c r="AU267" s="43">
        <f t="shared" si="537"/>
        <v>121.61944444444444</v>
      </c>
      <c r="AV267" s="44">
        <f t="shared" si="534"/>
        <v>3.56E-2</v>
      </c>
      <c r="AW267" s="95">
        <f t="shared" si="300"/>
        <v>2.9271635109517392E-4</v>
      </c>
      <c r="AX267" s="46">
        <f t="shared" si="535"/>
        <v>341.62765293383274</v>
      </c>
      <c r="AY267" s="72" t="str">
        <f t="shared" si="538"/>
        <v>DOS AÑOS</v>
      </c>
      <c r="AZ267" s="712"/>
      <c r="BA267" s="677"/>
      <c r="BB267" s="132"/>
      <c r="BC267" s="173"/>
      <c r="BD267" s="122"/>
    </row>
    <row r="268" spans="1:56" x14ac:dyDescent="0.25">
      <c r="B268" s="626"/>
      <c r="C268" s="629"/>
      <c r="D268" s="632"/>
      <c r="E268" s="566"/>
      <c r="F268" s="635"/>
      <c r="G268" s="545"/>
      <c r="H268" s="545"/>
      <c r="I268" s="413">
        <v>0.1</v>
      </c>
      <c r="J268" s="659"/>
      <c r="K268" s="414"/>
      <c r="L268" s="414"/>
      <c r="M268" s="414"/>
      <c r="N268" s="414"/>
      <c r="O268" s="414"/>
      <c r="P268" s="414"/>
      <c r="Q268" s="415">
        <v>20</v>
      </c>
      <c r="R268" s="415" t="s">
        <v>123</v>
      </c>
      <c r="S268" s="38"/>
      <c r="T268" s="624"/>
      <c r="U268" s="253"/>
      <c r="V268" s="253"/>
      <c r="W268" s="253"/>
      <c r="X268" s="253"/>
      <c r="Y268" s="253"/>
      <c r="Z268" s="253"/>
      <c r="AA268" s="253"/>
      <c r="AB268" s="253"/>
      <c r="AC268" s="253"/>
      <c r="AD268" s="255"/>
      <c r="AE268" s="255"/>
      <c r="AF268" s="255"/>
      <c r="AG268" s="41">
        <v>44421</v>
      </c>
      <c r="AH268" s="620"/>
      <c r="AI268" s="257"/>
      <c r="AJ268" s="416">
        <f>-4/1000</f>
        <v>-4.0000000000000001E-3</v>
      </c>
      <c r="AK268" s="416"/>
      <c r="AL268" s="257"/>
      <c r="AM268" s="257"/>
      <c r="AN268" s="257"/>
      <c r="AO268" s="257"/>
      <c r="AP268" s="94">
        <f t="shared" ref="AP268:AP269" si="541">8.1/1000</f>
        <v>8.0999999999999996E-3</v>
      </c>
      <c r="AQ268" s="416"/>
      <c r="AR268" s="40">
        <f t="shared" ref="AR268" si="542">(AJ268+AP268)</f>
        <v>4.0999999999999995E-3</v>
      </c>
      <c r="AS268" s="40">
        <f t="shared" ref="AS268" si="543">(AP268-AJ268)</f>
        <v>1.21E-2</v>
      </c>
      <c r="AT268" s="40">
        <f t="shared" ref="AT268" si="544">MAX(AR268:AS268)</f>
        <v>1.21E-2</v>
      </c>
      <c r="AU268" s="43">
        <f t="shared" ref="AU268" si="545">YEARFRAC(S268,AG268)</f>
        <v>121.61944444444444</v>
      </c>
      <c r="AV268" s="44">
        <f t="shared" ref="AV268" si="546">ABS(AT268-AF268)</f>
        <v>1.21E-2</v>
      </c>
      <c r="AW268" s="95">
        <f t="shared" ref="AW268" si="547">(AV268/AU268)</f>
        <v>9.9490669894707995E-5</v>
      </c>
      <c r="AX268" s="46">
        <f t="shared" ref="AX268" si="548">(I268/AW268)</f>
        <v>1005.119375573921</v>
      </c>
      <c r="AY268" s="72" t="str">
        <f t="shared" ref="AY268" si="549">IF(AX268&lt;=1,"UN AÑO",IF(AX268&gt;=1,"DOS AÑOS"))</f>
        <v>DOS AÑOS</v>
      </c>
      <c r="AZ268" s="712"/>
      <c r="BA268" s="677"/>
      <c r="BB268" s="417"/>
      <c r="BC268" s="418"/>
      <c r="BD268" s="419"/>
    </row>
    <row r="269" spans="1:56" ht="15.75" thickBot="1" x14ac:dyDescent="0.3">
      <c r="B269" s="626"/>
      <c r="C269" s="629"/>
      <c r="D269" s="632"/>
      <c r="E269" s="566"/>
      <c r="F269" s="635"/>
      <c r="G269" s="545"/>
      <c r="H269" s="545"/>
      <c r="I269" s="461">
        <v>0.1</v>
      </c>
      <c r="J269" s="659"/>
      <c r="K269" s="414"/>
      <c r="L269" s="414"/>
      <c r="M269" s="414"/>
      <c r="N269" s="414"/>
      <c r="O269" s="414"/>
      <c r="P269" s="414"/>
      <c r="Q269" s="415">
        <v>25</v>
      </c>
      <c r="R269" s="415" t="s">
        <v>123</v>
      </c>
      <c r="S269" s="252"/>
      <c r="T269" s="624"/>
      <c r="U269" s="478"/>
      <c r="V269" s="478"/>
      <c r="W269" s="478"/>
      <c r="X269" s="478"/>
      <c r="Y269" s="478"/>
      <c r="Z269" s="478"/>
      <c r="AA269" s="478"/>
      <c r="AB269" s="478"/>
      <c r="AC269" s="478"/>
      <c r="AD269" s="478"/>
      <c r="AE269" s="478"/>
      <c r="AF269" s="255"/>
      <c r="AG269" s="256">
        <v>44421</v>
      </c>
      <c r="AH269" s="620"/>
      <c r="AI269" s="257"/>
      <c r="AJ269" s="416">
        <f>4.1/1000</f>
        <v>4.0999999999999995E-3</v>
      </c>
      <c r="AK269" s="416"/>
      <c r="AL269" s="257"/>
      <c r="AM269" s="257"/>
      <c r="AN269" s="257"/>
      <c r="AO269" s="257"/>
      <c r="AP269" s="257">
        <f t="shared" si="541"/>
        <v>8.0999999999999996E-3</v>
      </c>
      <c r="AQ269" s="416"/>
      <c r="AR269" s="255">
        <f t="shared" si="539"/>
        <v>1.2199999999999999E-2</v>
      </c>
      <c r="AS269" s="255">
        <f t="shared" si="540"/>
        <v>4.0000000000000001E-3</v>
      </c>
      <c r="AT269" s="255">
        <f t="shared" si="536"/>
        <v>1.2199999999999999E-2</v>
      </c>
      <c r="AU269" s="470">
        <f t="shared" si="537"/>
        <v>121.61944444444444</v>
      </c>
      <c r="AV269" s="471">
        <f t="shared" si="534"/>
        <v>1.2199999999999999E-2</v>
      </c>
      <c r="AW269" s="472">
        <f t="shared" si="300"/>
        <v>1.0031290683598656E-4</v>
      </c>
      <c r="AX269" s="473">
        <f t="shared" si="535"/>
        <v>996.88069216757754</v>
      </c>
      <c r="AY269" s="474" t="str">
        <f t="shared" si="538"/>
        <v>DOS AÑOS</v>
      </c>
      <c r="AZ269" s="713"/>
      <c r="BA269" s="678"/>
      <c r="BB269" s="137"/>
      <c r="BC269" s="174"/>
      <c r="BD269" s="123"/>
    </row>
    <row r="270" spans="1:56" x14ac:dyDescent="0.25">
      <c r="A270"/>
      <c r="B270" s="789" t="s">
        <v>238</v>
      </c>
      <c r="C270" s="562" t="s">
        <v>239</v>
      </c>
      <c r="D270" s="792" t="s">
        <v>112</v>
      </c>
      <c r="E270" s="792" t="s">
        <v>240</v>
      </c>
      <c r="F270" s="794" t="s">
        <v>247</v>
      </c>
      <c r="G270" s="503" t="s">
        <v>241</v>
      </c>
      <c r="H270" s="503" t="s">
        <v>203</v>
      </c>
      <c r="I270" s="458">
        <v>2</v>
      </c>
      <c r="J270" s="752" t="s">
        <v>242</v>
      </c>
      <c r="K270" s="455" t="s">
        <v>68</v>
      </c>
      <c r="L270" s="758" t="s">
        <v>242</v>
      </c>
      <c r="M270" s="455" t="s">
        <v>68</v>
      </c>
      <c r="N270" s="758" t="s">
        <v>242</v>
      </c>
      <c r="O270" s="455" t="s">
        <v>68</v>
      </c>
      <c r="P270" s="758" t="s">
        <v>242</v>
      </c>
      <c r="Q270" s="57">
        <v>4.9000000000000004</v>
      </c>
      <c r="R270" s="82" t="s">
        <v>81</v>
      </c>
      <c r="S270" s="58"/>
      <c r="T270" s="527"/>
      <c r="U270" s="357"/>
      <c r="V270" s="357"/>
      <c r="W270" s="357"/>
      <c r="X270" s="357"/>
      <c r="Y270" s="357"/>
      <c r="Z270" s="357"/>
      <c r="AA270" s="357"/>
      <c r="AB270" s="357"/>
      <c r="AC270" s="357"/>
      <c r="AD270" s="358"/>
      <c r="AE270" s="59"/>
      <c r="AF270" s="59"/>
      <c r="AG270" s="60">
        <v>44463</v>
      </c>
      <c r="AH270" s="530" t="s">
        <v>249</v>
      </c>
      <c r="AI270" s="61">
        <v>4.9000000000000004</v>
      </c>
      <c r="AJ270" s="84">
        <f t="shared" ref="AJ270:AJ275" si="550">AI270-Q270</f>
        <v>0</v>
      </c>
      <c r="AK270" s="61" t="s">
        <v>68</v>
      </c>
      <c r="AL270" s="61" t="s">
        <v>68</v>
      </c>
      <c r="AM270" s="61" t="s">
        <v>68</v>
      </c>
      <c r="AN270" s="61" t="s">
        <v>68</v>
      </c>
      <c r="AO270" s="61" t="s">
        <v>68</v>
      </c>
      <c r="AP270" s="61">
        <v>1.2</v>
      </c>
      <c r="AQ270" s="61" t="s">
        <v>68</v>
      </c>
      <c r="AR270" s="358">
        <f>(AJ270+AP270)</f>
        <v>1.2</v>
      </c>
      <c r="AS270" s="59">
        <f>(AJ270-AP270)</f>
        <v>-1.2</v>
      </c>
      <c r="AT270" s="59">
        <f t="shared" si="536"/>
        <v>1.2</v>
      </c>
      <c r="AU270" s="62">
        <f t="shared" si="537"/>
        <v>121.73333333333333</v>
      </c>
      <c r="AV270" s="63">
        <f t="shared" ref="AV270:AV273" si="551">ABS(AT270+AF270)</f>
        <v>1.2</v>
      </c>
      <c r="AW270" s="64">
        <f t="shared" ref="AW270:AW273" si="552">(AV270/AU270)</f>
        <v>9.8576122672508204E-3</v>
      </c>
      <c r="AX270" s="65">
        <f t="shared" si="535"/>
        <v>202.88888888888891</v>
      </c>
      <c r="AY270" s="475" t="str">
        <f t="shared" si="538"/>
        <v>DOS AÑOS</v>
      </c>
      <c r="AZ270" s="796" t="s">
        <v>243</v>
      </c>
      <c r="BA270" s="798" t="s">
        <v>56</v>
      </c>
      <c r="BB270" s="800" t="s">
        <v>34</v>
      </c>
      <c r="BC270" s="467"/>
      <c r="BD270" s="802">
        <f>$BC$171</f>
        <v>0</v>
      </c>
    </row>
    <row r="271" spans="1:56" x14ac:dyDescent="0.25">
      <c r="A271"/>
      <c r="B271" s="790"/>
      <c r="C271" s="547"/>
      <c r="D271" s="793"/>
      <c r="E271" s="793"/>
      <c r="F271" s="795"/>
      <c r="G271" s="505"/>
      <c r="H271" s="505"/>
      <c r="I271" s="459">
        <v>2</v>
      </c>
      <c r="J271" s="754"/>
      <c r="K271" s="456"/>
      <c r="L271" s="760"/>
      <c r="M271" s="456"/>
      <c r="N271" s="760"/>
      <c r="O271" s="456"/>
      <c r="P271" s="760"/>
      <c r="Q271" s="37">
        <v>25.1</v>
      </c>
      <c r="R271" s="92" t="s">
        <v>81</v>
      </c>
      <c r="S271" s="38"/>
      <c r="T271" s="529"/>
      <c r="U271" s="39"/>
      <c r="V271" s="39"/>
      <c r="W271" s="39"/>
      <c r="X271" s="39"/>
      <c r="Y271" s="39"/>
      <c r="Z271" s="39"/>
      <c r="AA271" s="39"/>
      <c r="AB271" s="39"/>
      <c r="AC271" s="39"/>
      <c r="AD271" s="360"/>
      <c r="AE271" s="40"/>
      <c r="AF271" s="40"/>
      <c r="AG271" s="41">
        <v>44463</v>
      </c>
      <c r="AH271" s="532"/>
      <c r="AI271" s="42">
        <v>25.1</v>
      </c>
      <c r="AJ271" s="94">
        <f t="shared" si="550"/>
        <v>0</v>
      </c>
      <c r="AK271" s="42"/>
      <c r="AL271" s="42"/>
      <c r="AM271" s="42"/>
      <c r="AN271" s="42"/>
      <c r="AO271" s="42"/>
      <c r="AP271" s="42">
        <v>1.2</v>
      </c>
      <c r="AQ271" s="42"/>
      <c r="AR271" s="360">
        <f>(AJ271+AP271)</f>
        <v>1.2</v>
      </c>
      <c r="AS271" s="40">
        <f>(AJ271-AP271)</f>
        <v>-1.2</v>
      </c>
      <c r="AT271" s="40">
        <f t="shared" si="536"/>
        <v>1.2</v>
      </c>
      <c r="AU271" s="43">
        <f t="shared" si="537"/>
        <v>121.73333333333333</v>
      </c>
      <c r="AV271" s="44">
        <f t="shared" ref="AV271" si="553">ABS(AT271+AF271)</f>
        <v>1.2</v>
      </c>
      <c r="AW271" s="45">
        <f t="shared" ref="AW271" si="554">(AV271/AU271)</f>
        <v>9.8576122672508204E-3</v>
      </c>
      <c r="AX271" s="46">
        <f t="shared" ref="AX271" si="555">(I271/AW271)</f>
        <v>202.88888888888891</v>
      </c>
      <c r="AY271" s="476" t="str">
        <f t="shared" ref="AY271" si="556">IF(AX271&lt;=1,"UN AÑO",IF(AX271&gt;=1,"DOS AÑOS"))</f>
        <v>DOS AÑOS</v>
      </c>
      <c r="AZ271" s="796"/>
      <c r="BA271" s="798"/>
      <c r="BB271" s="800"/>
      <c r="BC271" s="467"/>
      <c r="BD271" s="802"/>
    </row>
    <row r="272" spans="1:56" x14ac:dyDescent="0.25">
      <c r="A272"/>
      <c r="B272" s="790"/>
      <c r="C272" s="547"/>
      <c r="D272" s="793"/>
      <c r="E272" s="793"/>
      <c r="F272" s="795"/>
      <c r="G272" s="505"/>
      <c r="H272" s="505"/>
      <c r="I272" s="459">
        <v>2</v>
      </c>
      <c r="J272" s="754"/>
      <c r="K272" s="456" t="s">
        <v>68</v>
      </c>
      <c r="L272" s="760"/>
      <c r="M272" s="456" t="s">
        <v>68</v>
      </c>
      <c r="N272" s="760"/>
      <c r="O272" s="456" t="s">
        <v>68</v>
      </c>
      <c r="P272" s="760"/>
      <c r="Q272" s="37">
        <v>55.2</v>
      </c>
      <c r="R272" s="92" t="s">
        <v>81</v>
      </c>
      <c r="S272" s="38"/>
      <c r="T272" s="529"/>
      <c r="U272" s="39"/>
      <c r="V272" s="39"/>
      <c r="W272" s="39"/>
      <c r="X272" s="39"/>
      <c r="Y272" s="39"/>
      <c r="Z272" s="39"/>
      <c r="AA272" s="39"/>
      <c r="AB272" s="39"/>
      <c r="AC272" s="39"/>
      <c r="AD272" s="360"/>
      <c r="AE272" s="40"/>
      <c r="AF272" s="40"/>
      <c r="AG272" s="41">
        <v>44463</v>
      </c>
      <c r="AH272" s="532"/>
      <c r="AI272" s="42">
        <v>55.2</v>
      </c>
      <c r="AJ272" s="94">
        <f t="shared" si="550"/>
        <v>0</v>
      </c>
      <c r="AK272" s="42" t="s">
        <v>68</v>
      </c>
      <c r="AL272" s="42" t="s">
        <v>68</v>
      </c>
      <c r="AM272" s="42" t="s">
        <v>68</v>
      </c>
      <c r="AN272" s="42" t="s">
        <v>68</v>
      </c>
      <c r="AO272" s="42" t="s">
        <v>68</v>
      </c>
      <c r="AP272" s="42">
        <v>1.3</v>
      </c>
      <c r="AQ272" s="42" t="s">
        <v>68</v>
      </c>
      <c r="AR272" s="360">
        <f>(AJ272+AP272)</f>
        <v>1.3</v>
      </c>
      <c r="AS272" s="40">
        <f>(AJ272-AP272)</f>
        <v>-1.3</v>
      </c>
      <c r="AT272" s="40">
        <f t="shared" si="536"/>
        <v>1.3</v>
      </c>
      <c r="AU272" s="43">
        <f t="shared" si="537"/>
        <v>121.73333333333333</v>
      </c>
      <c r="AV272" s="44">
        <f t="shared" si="551"/>
        <v>1.3</v>
      </c>
      <c r="AW272" s="45">
        <f t="shared" si="552"/>
        <v>1.067907995618839E-2</v>
      </c>
      <c r="AX272" s="46">
        <f t="shared" si="535"/>
        <v>187.28205128205127</v>
      </c>
      <c r="AY272" s="476" t="str">
        <f t="shared" si="538"/>
        <v>DOS AÑOS</v>
      </c>
      <c r="AZ272" s="796"/>
      <c r="BA272" s="798"/>
      <c r="BB272" s="800"/>
      <c r="BC272" s="468"/>
      <c r="BD272" s="802"/>
    </row>
    <row r="273" spans="1:56" x14ac:dyDescent="0.25">
      <c r="A273"/>
      <c r="B273" s="790"/>
      <c r="C273" s="547" t="s">
        <v>244</v>
      </c>
      <c r="D273" s="793" t="s">
        <v>112</v>
      </c>
      <c r="E273" s="793" t="s">
        <v>240</v>
      </c>
      <c r="F273" s="795" t="s">
        <v>247</v>
      </c>
      <c r="G273" s="807">
        <v>0.01</v>
      </c>
      <c r="H273" s="505" t="s">
        <v>245</v>
      </c>
      <c r="I273" s="459">
        <v>3</v>
      </c>
      <c r="J273" s="754" t="s">
        <v>20</v>
      </c>
      <c r="K273" s="456" t="s">
        <v>68</v>
      </c>
      <c r="L273" s="760" t="s">
        <v>20</v>
      </c>
      <c r="M273" s="456" t="s">
        <v>68</v>
      </c>
      <c r="N273" s="760" t="s">
        <v>20</v>
      </c>
      <c r="O273" s="456" t="s">
        <v>68</v>
      </c>
      <c r="P273" s="760" t="s">
        <v>20</v>
      </c>
      <c r="Q273" s="37">
        <v>30.3</v>
      </c>
      <c r="R273" s="92" t="s">
        <v>246</v>
      </c>
      <c r="S273" s="38"/>
      <c r="T273" s="529"/>
      <c r="U273" s="39"/>
      <c r="V273" s="39"/>
      <c r="W273" s="39"/>
      <c r="X273" s="39"/>
      <c r="Y273" s="39"/>
      <c r="Z273" s="39"/>
      <c r="AA273" s="39"/>
      <c r="AB273" s="39"/>
      <c r="AC273" s="39"/>
      <c r="AD273" s="40"/>
      <c r="AE273" s="40"/>
      <c r="AF273" s="40"/>
      <c r="AG273" s="41">
        <v>44464</v>
      </c>
      <c r="AH273" s="532" t="s">
        <v>248</v>
      </c>
      <c r="AI273" s="42">
        <v>30.2</v>
      </c>
      <c r="AJ273" s="94">
        <f t="shared" si="550"/>
        <v>-0.10000000000000142</v>
      </c>
      <c r="AK273" s="42"/>
      <c r="AL273" s="42" t="s">
        <v>68</v>
      </c>
      <c r="AM273" s="42" t="s">
        <v>68</v>
      </c>
      <c r="AN273" s="42" t="s">
        <v>68</v>
      </c>
      <c r="AO273" s="42" t="s">
        <v>68</v>
      </c>
      <c r="AP273" s="42">
        <v>1.5</v>
      </c>
      <c r="AQ273" s="42"/>
      <c r="AR273" s="360">
        <f>(AJ273+AP273)</f>
        <v>1.3999999999999986</v>
      </c>
      <c r="AS273" s="40">
        <f>(AJ273-AP273)</f>
        <v>-1.6000000000000014</v>
      </c>
      <c r="AT273" s="40">
        <f t="shared" si="536"/>
        <v>1.3999999999999986</v>
      </c>
      <c r="AU273" s="43">
        <f t="shared" si="537"/>
        <v>121.73611111111111</v>
      </c>
      <c r="AV273" s="44">
        <f t="shared" si="551"/>
        <v>1.3999999999999986</v>
      </c>
      <c r="AW273" s="45">
        <f t="shared" si="552"/>
        <v>1.1500285225327997E-2</v>
      </c>
      <c r="AX273" s="46">
        <f t="shared" si="535"/>
        <v>260.86309523809553</v>
      </c>
      <c r="AY273" s="476" t="str">
        <f t="shared" si="538"/>
        <v>DOS AÑOS</v>
      </c>
      <c r="AZ273" s="796"/>
      <c r="BA273" s="798"/>
      <c r="BB273" s="800"/>
      <c r="BC273" s="468">
        <f>MIN(AX270:AX275)</f>
        <v>187.28205128205127</v>
      </c>
      <c r="BD273" s="802"/>
    </row>
    <row r="274" spans="1:56" x14ac:dyDescent="0.25">
      <c r="A274"/>
      <c r="B274" s="790"/>
      <c r="C274" s="547"/>
      <c r="D274" s="793"/>
      <c r="E274" s="793"/>
      <c r="F274" s="795"/>
      <c r="G274" s="807"/>
      <c r="H274" s="505"/>
      <c r="I274" s="459">
        <v>3</v>
      </c>
      <c r="J274" s="754"/>
      <c r="K274" s="456"/>
      <c r="L274" s="760"/>
      <c r="M274" s="456"/>
      <c r="N274" s="760"/>
      <c r="O274" s="456"/>
      <c r="P274" s="760"/>
      <c r="Q274" s="37">
        <v>60.2</v>
      </c>
      <c r="R274" s="92" t="s">
        <v>246</v>
      </c>
      <c r="S274" s="38"/>
      <c r="T274" s="529"/>
      <c r="U274" s="39"/>
      <c r="V274" s="39"/>
      <c r="W274" s="39"/>
      <c r="X274" s="39"/>
      <c r="Y274" s="39"/>
      <c r="Z274" s="39"/>
      <c r="AA274" s="39"/>
      <c r="AB274" s="39"/>
      <c r="AC274" s="39"/>
      <c r="AD274" s="40"/>
      <c r="AE274" s="40"/>
      <c r="AF274" s="40"/>
      <c r="AG274" s="41">
        <v>44464</v>
      </c>
      <c r="AH274" s="532"/>
      <c r="AI274" s="42">
        <v>60.2</v>
      </c>
      <c r="AJ274" s="94">
        <f t="shared" si="550"/>
        <v>0</v>
      </c>
      <c r="AK274" s="42"/>
      <c r="AL274" s="42"/>
      <c r="AM274" s="42"/>
      <c r="AN274" s="42"/>
      <c r="AO274" s="42"/>
      <c r="AP274" s="42">
        <v>1.9</v>
      </c>
      <c r="AQ274" s="42"/>
      <c r="AR274" s="360">
        <f t="shared" ref="AR274:AR275" si="557">(AJ274+AP274)</f>
        <v>1.9</v>
      </c>
      <c r="AS274" s="40">
        <f t="shared" ref="AS274:AS275" si="558">(AJ274-AP274)</f>
        <v>-1.9</v>
      </c>
      <c r="AT274" s="40">
        <f t="shared" ref="AT274:AT275" si="559">MAX(AR274:AS274)</f>
        <v>1.9</v>
      </c>
      <c r="AU274" s="43">
        <f t="shared" si="537"/>
        <v>121.73611111111111</v>
      </c>
      <c r="AV274" s="44">
        <f t="shared" ref="AV274:AV275" si="560">ABS(AT274+AF274)</f>
        <v>1.9</v>
      </c>
      <c r="AW274" s="45">
        <f t="shared" ref="AW274:AW275" si="561">(AV274/AU274)</f>
        <v>1.5607529948659439E-2</v>
      </c>
      <c r="AX274" s="46">
        <f t="shared" ref="AX274:AX275" si="562">(I274/AW274)</f>
        <v>192.21491228070178</v>
      </c>
      <c r="AY274" s="476" t="str">
        <f t="shared" ref="AY274:AY275" si="563">IF(AX274&lt;=1,"UN AÑO",IF(AX274&gt;=1,"DOS AÑOS"))</f>
        <v>DOS AÑOS</v>
      </c>
      <c r="AZ274" s="796"/>
      <c r="BA274" s="798"/>
      <c r="BB274" s="800"/>
      <c r="BC274" s="468"/>
      <c r="BD274" s="802"/>
    </row>
    <row r="275" spans="1:56" ht="15.75" thickBot="1" x14ac:dyDescent="0.3">
      <c r="A275"/>
      <c r="B275" s="791"/>
      <c r="C275" s="804"/>
      <c r="D275" s="805"/>
      <c r="E275" s="805"/>
      <c r="F275" s="806"/>
      <c r="G275" s="808"/>
      <c r="H275" s="616"/>
      <c r="I275" s="460">
        <v>3</v>
      </c>
      <c r="J275" s="788"/>
      <c r="K275" s="457" t="s">
        <v>68</v>
      </c>
      <c r="L275" s="782"/>
      <c r="M275" s="457" t="s">
        <v>68</v>
      </c>
      <c r="N275" s="782"/>
      <c r="O275" s="457" t="s">
        <v>68</v>
      </c>
      <c r="P275" s="782"/>
      <c r="Q275" s="47">
        <v>90.4</v>
      </c>
      <c r="R275" s="110" t="s">
        <v>246</v>
      </c>
      <c r="S275" s="111"/>
      <c r="T275" s="579"/>
      <c r="U275" s="48"/>
      <c r="V275" s="48"/>
      <c r="W275" s="48"/>
      <c r="X275" s="48"/>
      <c r="Y275" s="48"/>
      <c r="Z275" s="48"/>
      <c r="AA275" s="48"/>
      <c r="AB275" s="48"/>
      <c r="AC275" s="48"/>
      <c r="AD275" s="49"/>
      <c r="AE275" s="49"/>
      <c r="AF275" s="49"/>
      <c r="AG275" s="114">
        <v>44464</v>
      </c>
      <c r="AH275" s="581"/>
      <c r="AI275" s="50">
        <v>90.3</v>
      </c>
      <c r="AJ275" s="115">
        <f t="shared" si="550"/>
        <v>-0.10000000000000853</v>
      </c>
      <c r="AK275" s="50"/>
      <c r="AL275" s="50" t="s">
        <v>68</v>
      </c>
      <c r="AM275" s="50" t="s">
        <v>68</v>
      </c>
      <c r="AN275" s="50" t="s">
        <v>68</v>
      </c>
      <c r="AO275" s="50" t="s">
        <v>68</v>
      </c>
      <c r="AP275" s="50">
        <v>1.9</v>
      </c>
      <c r="AQ275" s="50"/>
      <c r="AR275" s="363">
        <f t="shared" si="557"/>
        <v>1.7999999999999914</v>
      </c>
      <c r="AS275" s="49">
        <f t="shared" si="558"/>
        <v>-2.0000000000000084</v>
      </c>
      <c r="AT275" s="49">
        <f t="shared" si="559"/>
        <v>1.7999999999999914</v>
      </c>
      <c r="AU275" s="51">
        <f t="shared" si="537"/>
        <v>121.73611111111111</v>
      </c>
      <c r="AV275" s="52">
        <f t="shared" si="560"/>
        <v>1.7999999999999914</v>
      </c>
      <c r="AW275" s="364">
        <f t="shared" si="561"/>
        <v>1.4786081003993083E-2</v>
      </c>
      <c r="AX275" s="53">
        <f t="shared" si="562"/>
        <v>202.8935185185195</v>
      </c>
      <c r="AY275" s="477" t="str">
        <f t="shared" si="563"/>
        <v>DOS AÑOS</v>
      </c>
      <c r="AZ275" s="797"/>
      <c r="BA275" s="799"/>
      <c r="BB275" s="801"/>
      <c r="BC275" s="469"/>
      <c r="BD275" s="803"/>
    </row>
    <row r="276" spans="1:56" ht="15.75" thickBot="1" x14ac:dyDescent="0.3">
      <c r="B276" s="730" t="s">
        <v>163</v>
      </c>
      <c r="C276" s="732" t="s">
        <v>164</v>
      </c>
      <c r="D276" s="734" t="s">
        <v>165</v>
      </c>
      <c r="E276" s="736">
        <v>407750</v>
      </c>
      <c r="F276" s="738">
        <v>3132092</v>
      </c>
      <c r="G276" s="740" t="s">
        <v>166</v>
      </c>
      <c r="H276" s="742"/>
      <c r="I276" s="328">
        <v>1.5</v>
      </c>
      <c r="J276" s="743" t="s">
        <v>167</v>
      </c>
      <c r="K276" s="329"/>
      <c r="L276" s="329"/>
      <c r="M276" s="329"/>
      <c r="N276" s="329"/>
      <c r="O276" s="329"/>
      <c r="P276" s="329"/>
      <c r="Q276" s="330">
        <v>93.9</v>
      </c>
      <c r="R276" s="331" t="s">
        <v>167</v>
      </c>
      <c r="S276" s="332"/>
      <c r="T276" s="333"/>
      <c r="U276" s="334"/>
      <c r="V276" s="334"/>
      <c r="W276" s="334"/>
      <c r="X276" s="334"/>
      <c r="Y276" s="334"/>
      <c r="Z276" s="334"/>
      <c r="AA276" s="334"/>
      <c r="AB276" s="334"/>
      <c r="AC276" s="334"/>
      <c r="AD276" s="335"/>
      <c r="AE276" s="335"/>
      <c r="AF276" s="335"/>
      <c r="AG276" s="336">
        <v>44421</v>
      </c>
      <c r="AH276" s="745" t="s">
        <v>168</v>
      </c>
      <c r="AI276" s="337">
        <v>94</v>
      </c>
      <c r="AJ276" s="337">
        <f>AI276-Q276</f>
        <v>9.9999999999994316E-2</v>
      </c>
      <c r="AK276" s="337"/>
      <c r="AL276" s="337"/>
      <c r="AM276" s="337"/>
      <c r="AN276" s="337"/>
      <c r="AO276" s="337"/>
      <c r="AP276" s="337">
        <v>0.23</v>
      </c>
      <c r="AQ276" s="338"/>
      <c r="AR276" s="335">
        <f>AJ276+AP276</f>
        <v>0.3299999999999943</v>
      </c>
      <c r="AS276" s="335">
        <f>AJ276-AP276</f>
        <v>-0.13000000000000569</v>
      </c>
      <c r="AT276" s="40">
        <f t="shared" si="536"/>
        <v>0.3299999999999943</v>
      </c>
      <c r="AU276" s="43">
        <f t="shared" ref="AU276:AU277" si="564">YEARFRAC(S276,AG276)</f>
        <v>121.61944444444444</v>
      </c>
      <c r="AV276" s="44">
        <f t="shared" ref="AV276:AV277" si="565">ABS(AT276-AF276)</f>
        <v>0.3299999999999943</v>
      </c>
      <c r="AW276" s="95">
        <f t="shared" ref="AW276:AW277" si="566">(AV276/AU276)</f>
        <v>2.7133819062192619E-3</v>
      </c>
      <c r="AX276" s="46">
        <f t="shared" ref="AX276:AX277" si="567">(I276/AW276)</f>
        <v>552.81565656566613</v>
      </c>
      <c r="AY276" s="72" t="str">
        <f t="shared" ref="AY276:AY277" si="568">IF(AX276&lt;=1,"UN AÑO",IF(AX276&gt;=1,"DOS AÑOS"))</f>
        <v>DOS AÑOS</v>
      </c>
      <c r="AZ276" s="339"/>
      <c r="BA276" s="340"/>
      <c r="BB276" s="341"/>
      <c r="BC276" s="342"/>
      <c r="BD276" s="343"/>
    </row>
    <row r="277" spans="1:56" ht="15.75" thickBot="1" x14ac:dyDescent="0.3">
      <c r="B277" s="731"/>
      <c r="C277" s="733"/>
      <c r="D277" s="735"/>
      <c r="E277" s="737"/>
      <c r="F277" s="739"/>
      <c r="G277" s="741"/>
      <c r="H277" s="741"/>
      <c r="I277" s="328">
        <v>1.5</v>
      </c>
      <c r="J277" s="744"/>
      <c r="K277" s="329"/>
      <c r="L277" s="329"/>
      <c r="M277" s="329"/>
      <c r="N277" s="329"/>
      <c r="O277" s="329"/>
      <c r="P277" s="329"/>
      <c r="Q277" s="330">
        <v>114.4</v>
      </c>
      <c r="R277" s="331" t="s">
        <v>167</v>
      </c>
      <c r="S277" s="332"/>
      <c r="T277" s="333"/>
      <c r="U277" s="334"/>
      <c r="V277" s="334"/>
      <c r="W277" s="334"/>
      <c r="X277" s="334"/>
      <c r="Y277" s="334"/>
      <c r="Z277" s="334"/>
      <c r="AA277" s="334"/>
      <c r="AB277" s="334"/>
      <c r="AC277" s="334"/>
      <c r="AD277" s="335"/>
      <c r="AE277" s="335"/>
      <c r="AF277" s="335"/>
      <c r="AG277" s="336">
        <v>44421</v>
      </c>
      <c r="AH277" s="746"/>
      <c r="AI277" s="337">
        <v>114.4</v>
      </c>
      <c r="AJ277" s="337" t="s">
        <v>236</v>
      </c>
      <c r="AK277" s="337"/>
      <c r="AL277" s="337"/>
      <c r="AM277" s="337"/>
      <c r="AN277" s="337"/>
      <c r="AO277" s="337"/>
      <c r="AP277" s="337">
        <v>0.23</v>
      </c>
      <c r="AQ277" s="338"/>
      <c r="AR277" s="335" t="e">
        <f>AJ277+AP277</f>
        <v>#VALUE!</v>
      </c>
      <c r="AS277" s="335" t="e">
        <f>AJ277-AP277</f>
        <v>#VALUE!</v>
      </c>
      <c r="AT277" s="40" t="e">
        <f t="shared" si="536"/>
        <v>#VALUE!</v>
      </c>
      <c r="AU277" s="43">
        <f t="shared" si="564"/>
        <v>121.61944444444444</v>
      </c>
      <c r="AV277" s="44" t="e">
        <f t="shared" si="565"/>
        <v>#VALUE!</v>
      </c>
      <c r="AW277" s="95" t="e">
        <f t="shared" si="566"/>
        <v>#VALUE!</v>
      </c>
      <c r="AX277" s="46" t="e">
        <f t="shared" si="567"/>
        <v>#VALUE!</v>
      </c>
      <c r="AY277" s="72" t="e">
        <f t="shared" si="568"/>
        <v>#VALUE!</v>
      </c>
      <c r="AZ277" s="339"/>
      <c r="BA277" s="340"/>
      <c r="BB277" s="341"/>
      <c r="BC277" s="342"/>
      <c r="BD277" s="343"/>
    </row>
    <row r="278" spans="1:56" ht="60.75" thickBot="1" x14ac:dyDescent="0.3">
      <c r="B278" s="320" t="s">
        <v>3</v>
      </c>
      <c r="C278" s="8" t="s">
        <v>2</v>
      </c>
      <c r="D278" s="32" t="s">
        <v>0</v>
      </c>
      <c r="E278" s="32" t="s">
        <v>1</v>
      </c>
      <c r="F278" s="33" t="s">
        <v>4</v>
      </c>
      <c r="G278" s="8" t="s">
        <v>5</v>
      </c>
      <c r="H278" s="13" t="s">
        <v>27</v>
      </c>
      <c r="I278" s="656" t="s">
        <v>21</v>
      </c>
      <c r="J278" s="657"/>
      <c r="K278" s="648" t="s">
        <v>65</v>
      </c>
      <c r="L278" s="649"/>
      <c r="M278" s="648" t="s">
        <v>66</v>
      </c>
      <c r="N278" s="649"/>
      <c r="O278" s="648" t="s">
        <v>67</v>
      </c>
      <c r="P278" s="649"/>
      <c r="Q278" s="653" t="s">
        <v>52</v>
      </c>
      <c r="R278" s="654"/>
      <c r="S278" s="178" t="s">
        <v>25</v>
      </c>
      <c r="T278" s="179" t="s">
        <v>69</v>
      </c>
      <c r="U278" s="178" t="s">
        <v>70</v>
      </c>
      <c r="V278" s="178" t="s">
        <v>71</v>
      </c>
      <c r="W278" s="178" t="s">
        <v>72</v>
      </c>
      <c r="X278" s="180" t="s">
        <v>73</v>
      </c>
      <c r="Y278" s="180" t="s">
        <v>74</v>
      </c>
      <c r="Z278" s="31" t="s">
        <v>75</v>
      </c>
      <c r="AA278" s="181" t="s">
        <v>76</v>
      </c>
      <c r="AB278" s="178" t="s">
        <v>77</v>
      </c>
      <c r="AC278" s="178" t="s">
        <v>78</v>
      </c>
      <c r="AD278" s="178" t="s">
        <v>28</v>
      </c>
      <c r="AE278" s="178" t="s">
        <v>29</v>
      </c>
      <c r="AF278" s="182" t="s">
        <v>36</v>
      </c>
      <c r="AG278" s="14" t="s">
        <v>51</v>
      </c>
      <c r="AH278" s="183" t="s">
        <v>79</v>
      </c>
      <c r="AI278" s="14" t="s">
        <v>80</v>
      </c>
      <c r="AJ278" s="14" t="s">
        <v>71</v>
      </c>
      <c r="AK278" s="14" t="s">
        <v>72</v>
      </c>
      <c r="AL278" s="180" t="s">
        <v>73</v>
      </c>
      <c r="AM278" s="180" t="s">
        <v>74</v>
      </c>
      <c r="AN278" s="31" t="s">
        <v>75</v>
      </c>
      <c r="AO278" s="181" t="s">
        <v>76</v>
      </c>
      <c r="AP278" s="14" t="s">
        <v>77</v>
      </c>
      <c r="AQ278" s="14" t="s">
        <v>78</v>
      </c>
      <c r="AR278" s="14" t="s">
        <v>28</v>
      </c>
      <c r="AS278" s="14" t="s">
        <v>29</v>
      </c>
      <c r="AT278" s="30" t="s">
        <v>31</v>
      </c>
      <c r="AU278" s="31" t="s">
        <v>24</v>
      </c>
      <c r="AV278" s="31" t="s">
        <v>53</v>
      </c>
      <c r="AW278" s="31" t="s">
        <v>26</v>
      </c>
      <c r="AX278" s="31" t="s">
        <v>43</v>
      </c>
      <c r="AY278" s="31" t="s">
        <v>37</v>
      </c>
      <c r="AZ278" s="9" t="s">
        <v>3</v>
      </c>
      <c r="BA278" s="15" t="s">
        <v>32</v>
      </c>
      <c r="BB278" s="15" t="s">
        <v>33</v>
      </c>
      <c r="BC278" s="23" t="e">
        <f>MIN(BC10:BC250)</f>
        <v>#DIV/0!</v>
      </c>
      <c r="BD278" s="15" t="s">
        <v>57</v>
      </c>
    </row>
    <row r="279" spans="1:56" x14ac:dyDescent="0.25">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C279" s="24"/>
    </row>
    <row r="280" spans="1:56" x14ac:dyDescent="0.25">
      <c r="B280" t="s">
        <v>61</v>
      </c>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spans="1:56" x14ac:dyDescent="0.25">
      <c r="B281" t="s">
        <v>62</v>
      </c>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spans="1:56" x14ac:dyDescent="0.25">
      <c r="B282" t="s">
        <v>64</v>
      </c>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spans="1:56" x14ac:dyDescent="0.25">
      <c r="B283" t="s">
        <v>63</v>
      </c>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92" spans="35:35" x14ac:dyDescent="0.25">
      <c r="AI292">
        <v>9</v>
      </c>
    </row>
  </sheetData>
  <mergeCells count="373">
    <mergeCell ref="N270:N272"/>
    <mergeCell ref="P270:P272"/>
    <mergeCell ref="T270:T272"/>
    <mergeCell ref="AH270:AH272"/>
    <mergeCell ref="AZ270:AZ275"/>
    <mergeCell ref="BA270:BA275"/>
    <mergeCell ref="BB270:BB275"/>
    <mergeCell ref="BD270:BD275"/>
    <mergeCell ref="C273:C275"/>
    <mergeCell ref="D273:D275"/>
    <mergeCell ref="E273:E275"/>
    <mergeCell ref="F273:F275"/>
    <mergeCell ref="G273:G275"/>
    <mergeCell ref="H273:H275"/>
    <mergeCell ref="J273:J275"/>
    <mergeCell ref="L273:L275"/>
    <mergeCell ref="N273:N275"/>
    <mergeCell ref="P273:P275"/>
    <mergeCell ref="T273:T275"/>
    <mergeCell ref="AH273:AH275"/>
    <mergeCell ref="B270:B275"/>
    <mergeCell ref="C270:C272"/>
    <mergeCell ref="D270:D272"/>
    <mergeCell ref="E270:E272"/>
    <mergeCell ref="F270:F272"/>
    <mergeCell ref="G270:G272"/>
    <mergeCell ref="H270:H272"/>
    <mergeCell ref="J270:J272"/>
    <mergeCell ref="L270:L272"/>
    <mergeCell ref="C206:C216"/>
    <mergeCell ref="G206:G216"/>
    <mergeCell ref="H206:H216"/>
    <mergeCell ref="AH206:AH227"/>
    <mergeCell ref="C217:C227"/>
    <mergeCell ref="G217:G227"/>
    <mergeCell ref="H217:H227"/>
    <mergeCell ref="B206:B227"/>
    <mergeCell ref="D206:D227"/>
    <mergeCell ref="E206:E227"/>
    <mergeCell ref="F206:F227"/>
    <mergeCell ref="T206:T227"/>
    <mergeCell ref="N228:N231"/>
    <mergeCell ref="P228:P231"/>
    <mergeCell ref="T228:T231"/>
    <mergeCell ref="AH228:AH231"/>
    <mergeCell ref="AZ228:AZ231"/>
    <mergeCell ref="BA228:BA231"/>
    <mergeCell ref="BB228:BB231"/>
    <mergeCell ref="BD228:BD231"/>
    <mergeCell ref="B228:B231"/>
    <mergeCell ref="C228:C231"/>
    <mergeCell ref="D228:D231"/>
    <mergeCell ref="E228:E231"/>
    <mergeCell ref="F228:F231"/>
    <mergeCell ref="G228:G231"/>
    <mergeCell ref="H228:H231"/>
    <mergeCell ref="J228:J231"/>
    <mergeCell ref="L228:L231"/>
    <mergeCell ref="J136:J146"/>
    <mergeCell ref="B158:B205"/>
    <mergeCell ref="D158:D204"/>
    <mergeCell ref="E158:E205"/>
    <mergeCell ref="F158:F205"/>
    <mergeCell ref="AZ158:AZ205"/>
    <mergeCell ref="L158:L205"/>
    <mergeCell ref="J158:J205"/>
    <mergeCell ref="C168:C177"/>
    <mergeCell ref="G168:G177"/>
    <mergeCell ref="H168:H177"/>
    <mergeCell ref="BB126:BB135"/>
    <mergeCell ref="BD126:BD135"/>
    <mergeCell ref="C131:C135"/>
    <mergeCell ref="H126:H135"/>
    <mergeCell ref="J126:J135"/>
    <mergeCell ref="L126:L135"/>
    <mergeCell ref="N126:N135"/>
    <mergeCell ref="P126:P135"/>
    <mergeCell ref="T126:T135"/>
    <mergeCell ref="AH126:AH135"/>
    <mergeCell ref="AZ126:AZ135"/>
    <mergeCell ref="BA126:BA135"/>
    <mergeCell ref="B276:B277"/>
    <mergeCell ref="C276:C277"/>
    <mergeCell ref="D276:D277"/>
    <mergeCell ref="E276:E277"/>
    <mergeCell ref="F276:F277"/>
    <mergeCell ref="G276:G277"/>
    <mergeCell ref="H276:H277"/>
    <mergeCell ref="J276:J277"/>
    <mergeCell ref="AH276:AH277"/>
    <mergeCell ref="B10:B41"/>
    <mergeCell ref="D10:D41"/>
    <mergeCell ref="E10:E41"/>
    <mergeCell ref="F10:F41"/>
    <mergeCell ref="J74:J76"/>
    <mergeCell ref="T74:T76"/>
    <mergeCell ref="P232:P250"/>
    <mergeCell ref="T10:T41"/>
    <mergeCell ref="L74:L76"/>
    <mergeCell ref="L77:L89"/>
    <mergeCell ref="L232:L250"/>
    <mergeCell ref="N158:N191"/>
    <mergeCell ref="P158:P191"/>
    <mergeCell ref="B77:B89"/>
    <mergeCell ref="C77:C89"/>
    <mergeCell ref="D77:D89"/>
    <mergeCell ref="E77:E89"/>
    <mergeCell ref="J77:J89"/>
    <mergeCell ref="T77:T89"/>
    <mergeCell ref="B136:B157"/>
    <mergeCell ref="T136:T157"/>
    <mergeCell ref="C192:C205"/>
    <mergeCell ref="G192:G205"/>
    <mergeCell ref="H192:H205"/>
    <mergeCell ref="E90:E102"/>
    <mergeCell ref="F90:F102"/>
    <mergeCell ref="G90:G102"/>
    <mergeCell ref="C251:C258"/>
    <mergeCell ref="D251:D258"/>
    <mergeCell ref="C126:C130"/>
    <mergeCell ref="E251:E258"/>
    <mergeCell ref="AZ259:AZ269"/>
    <mergeCell ref="BA259:BA269"/>
    <mergeCell ref="H259:H269"/>
    <mergeCell ref="T259:T269"/>
    <mergeCell ref="AH158:AH177"/>
    <mergeCell ref="AH183:AH191"/>
    <mergeCell ref="AH192:AH196"/>
    <mergeCell ref="AH197:AH205"/>
    <mergeCell ref="C147:C157"/>
    <mergeCell ref="G147:G157"/>
    <mergeCell ref="H147:H157"/>
    <mergeCell ref="J147:J157"/>
    <mergeCell ref="AH147:AH151"/>
    <mergeCell ref="AH152:AH157"/>
    <mergeCell ref="D136:D157"/>
    <mergeCell ref="E136:E157"/>
    <mergeCell ref="F136:F157"/>
    <mergeCell ref="C22:C25"/>
    <mergeCell ref="C26:C29"/>
    <mergeCell ref="G26:G29"/>
    <mergeCell ref="H26:H29"/>
    <mergeCell ref="C30:C33"/>
    <mergeCell ref="G30:G33"/>
    <mergeCell ref="H30:H33"/>
    <mergeCell ref="C34:C37"/>
    <mergeCell ref="G34:G37"/>
    <mergeCell ref="H34:H37"/>
    <mergeCell ref="BA251:BA258"/>
    <mergeCell ref="BB251:BB258"/>
    <mergeCell ref="BC251:BC258"/>
    <mergeCell ref="BD251:BD258"/>
    <mergeCell ref="AZ232:AZ250"/>
    <mergeCell ref="BB232:BB250"/>
    <mergeCell ref="BD10:BD41"/>
    <mergeCell ref="BC10:BC41"/>
    <mergeCell ref="BB10:BB41"/>
    <mergeCell ref="BA10:BA41"/>
    <mergeCell ref="BC158:BC189"/>
    <mergeCell ref="BD158:BD189"/>
    <mergeCell ref="BD232:BD250"/>
    <mergeCell ref="BA158:BA189"/>
    <mergeCell ref="BA232:BA250"/>
    <mergeCell ref="BB158:BB189"/>
    <mergeCell ref="AZ10:AZ25"/>
    <mergeCell ref="AZ77:AZ89"/>
    <mergeCell ref="BB77:BB89"/>
    <mergeCell ref="BD77:BD89"/>
    <mergeCell ref="AZ74:AZ76"/>
    <mergeCell ref="BA74:BA76"/>
    <mergeCell ref="BD90:BD102"/>
    <mergeCell ref="BA77:BA89"/>
    <mergeCell ref="B74:B76"/>
    <mergeCell ref="C74:C76"/>
    <mergeCell ref="D74:D76"/>
    <mergeCell ref="E74:E76"/>
    <mergeCell ref="F74:F76"/>
    <mergeCell ref="G158:G167"/>
    <mergeCell ref="C239:C250"/>
    <mergeCell ref="B232:B250"/>
    <mergeCell ref="D232:D250"/>
    <mergeCell ref="E232:E250"/>
    <mergeCell ref="F232:F250"/>
    <mergeCell ref="C232:C238"/>
    <mergeCell ref="B90:B102"/>
    <mergeCell ref="B126:B135"/>
    <mergeCell ref="D126:D135"/>
    <mergeCell ref="E126:E135"/>
    <mergeCell ref="F126:F135"/>
    <mergeCell ref="G126:G135"/>
    <mergeCell ref="C136:C146"/>
    <mergeCell ref="G136:G146"/>
    <mergeCell ref="F77:F89"/>
    <mergeCell ref="G77:G89"/>
    <mergeCell ref="C90:C102"/>
    <mergeCell ref="D90:D102"/>
    <mergeCell ref="BB74:BB76"/>
    <mergeCell ref="H90:H102"/>
    <mergeCell ref="AU8:AZ8"/>
    <mergeCell ref="BA8:BD8"/>
    <mergeCell ref="J90:J102"/>
    <mergeCell ref="L90:L102"/>
    <mergeCell ref="N90:N102"/>
    <mergeCell ref="P90:P102"/>
    <mergeCell ref="T90:T102"/>
    <mergeCell ref="AH90:AH102"/>
    <mergeCell ref="AZ90:AZ102"/>
    <mergeCell ref="BA90:BA102"/>
    <mergeCell ref="BB90:BB102"/>
    <mergeCell ref="Q9:R9"/>
    <mergeCell ref="K9:L9"/>
    <mergeCell ref="BD74:BD76"/>
    <mergeCell ref="AZ26:AZ41"/>
    <mergeCell ref="AG8:AT8"/>
    <mergeCell ref="O9:P9"/>
    <mergeCell ref="P77:P89"/>
    <mergeCell ref="H77:H89"/>
    <mergeCell ref="AZ42:AZ57"/>
    <mergeCell ref="BA42:BA73"/>
    <mergeCell ref="BB42:BB73"/>
    <mergeCell ref="O278:P278"/>
    <mergeCell ref="AH232:AH250"/>
    <mergeCell ref="Q278:R278"/>
    <mergeCell ref="G239:G250"/>
    <mergeCell ref="I278:J278"/>
    <mergeCell ref="K278:L278"/>
    <mergeCell ref="N74:N76"/>
    <mergeCell ref="N77:N89"/>
    <mergeCell ref="N232:N250"/>
    <mergeCell ref="M278:N278"/>
    <mergeCell ref="H239:H250"/>
    <mergeCell ref="L256:L258"/>
    <mergeCell ref="N256:N258"/>
    <mergeCell ref="P256:P258"/>
    <mergeCell ref="AH251:AH258"/>
    <mergeCell ref="J232:J250"/>
    <mergeCell ref="J259:J269"/>
    <mergeCell ref="G251:G258"/>
    <mergeCell ref="AH259:AH269"/>
    <mergeCell ref="G259:G269"/>
    <mergeCell ref="AH116:AH125"/>
    <mergeCell ref="H136:H146"/>
    <mergeCell ref="AH136:AH140"/>
    <mergeCell ref="AH141:AH146"/>
    <mergeCell ref="B259:B269"/>
    <mergeCell ref="C259:C269"/>
    <mergeCell ref="D259:D269"/>
    <mergeCell ref="E259:E269"/>
    <mergeCell ref="F259:F269"/>
    <mergeCell ref="S8:AF8"/>
    <mergeCell ref="C178:C191"/>
    <mergeCell ref="G178:G191"/>
    <mergeCell ref="H178:H191"/>
    <mergeCell ref="H38:H41"/>
    <mergeCell ref="C14:C17"/>
    <mergeCell ref="C38:C41"/>
    <mergeCell ref="G14:G17"/>
    <mergeCell ref="H14:H17"/>
    <mergeCell ref="H10:H13"/>
    <mergeCell ref="B251:B258"/>
    <mergeCell ref="T232:T250"/>
    <mergeCell ref="H158:H167"/>
    <mergeCell ref="M9:N9"/>
    <mergeCell ref="B8:R8"/>
    <mergeCell ref="G22:G25"/>
    <mergeCell ref="H22:H25"/>
    <mergeCell ref="G10:G13"/>
    <mergeCell ref="F251:F258"/>
    <mergeCell ref="AP2:AV6"/>
    <mergeCell ref="G232:G238"/>
    <mergeCell ref="H232:H238"/>
    <mergeCell ref="H251:H258"/>
    <mergeCell ref="J251:J258"/>
    <mergeCell ref="T251:T258"/>
    <mergeCell ref="C158:C167"/>
    <mergeCell ref="C10:C13"/>
    <mergeCell ref="AH178:AH182"/>
    <mergeCell ref="AH74:AH76"/>
    <mergeCell ref="AH77:AH89"/>
    <mergeCell ref="AH10:AH41"/>
    <mergeCell ref="I9:J9"/>
    <mergeCell ref="G74:G76"/>
    <mergeCell ref="H74:H76"/>
    <mergeCell ref="G18:G21"/>
    <mergeCell ref="H18:H21"/>
    <mergeCell ref="C18:C21"/>
    <mergeCell ref="G38:G41"/>
    <mergeCell ref="P74:P76"/>
    <mergeCell ref="T158:T205"/>
    <mergeCell ref="N116:N125"/>
    <mergeCell ref="P116:P125"/>
    <mergeCell ref="T116:T125"/>
    <mergeCell ref="AZ251:AZ258"/>
    <mergeCell ref="B42:B73"/>
    <mergeCell ref="C42:C45"/>
    <mergeCell ref="D42:D73"/>
    <mergeCell ref="E42:E73"/>
    <mergeCell ref="F42:F73"/>
    <mergeCell ref="G42:G45"/>
    <mergeCell ref="H42:H45"/>
    <mergeCell ref="T42:T73"/>
    <mergeCell ref="AH42:AH73"/>
    <mergeCell ref="B103:B105"/>
    <mergeCell ref="C103:C105"/>
    <mergeCell ref="D103:D105"/>
    <mergeCell ref="E103:E105"/>
    <mergeCell ref="F103:F105"/>
    <mergeCell ref="G103:G105"/>
    <mergeCell ref="H103:H105"/>
    <mergeCell ref="J103:J105"/>
    <mergeCell ref="L103:L105"/>
    <mergeCell ref="N103:N105"/>
    <mergeCell ref="P103:P105"/>
    <mergeCell ref="T103:T105"/>
    <mergeCell ref="AH103:AH105"/>
    <mergeCell ref="AZ103:AZ105"/>
    <mergeCell ref="BC42:BC73"/>
    <mergeCell ref="BD42:BD73"/>
    <mergeCell ref="C46:C49"/>
    <mergeCell ref="G46:G49"/>
    <mergeCell ref="H46:H49"/>
    <mergeCell ref="C50:C53"/>
    <mergeCell ref="G50:G53"/>
    <mergeCell ref="H50:H53"/>
    <mergeCell ref="C54:C57"/>
    <mergeCell ref="G54:G57"/>
    <mergeCell ref="H54:H57"/>
    <mergeCell ref="C58:C61"/>
    <mergeCell ref="G58:G61"/>
    <mergeCell ref="H58:H61"/>
    <mergeCell ref="AZ58:AZ73"/>
    <mergeCell ref="C62:C65"/>
    <mergeCell ref="G62:G65"/>
    <mergeCell ref="H62:H65"/>
    <mergeCell ref="C66:C69"/>
    <mergeCell ref="G66:G69"/>
    <mergeCell ref="H66:H69"/>
    <mergeCell ref="C70:C73"/>
    <mergeCell ref="G70:G73"/>
    <mergeCell ref="H70:H73"/>
    <mergeCell ref="BA103:BA105"/>
    <mergeCell ref="BB103:BB105"/>
    <mergeCell ref="BD103:BD105"/>
    <mergeCell ref="B106:B115"/>
    <mergeCell ref="C106:C115"/>
    <mergeCell ref="D106:D115"/>
    <mergeCell ref="E106:E115"/>
    <mergeCell ref="F106:F115"/>
    <mergeCell ref="G106:G115"/>
    <mergeCell ref="H106:H115"/>
    <mergeCell ref="J106:J115"/>
    <mergeCell ref="L106:L115"/>
    <mergeCell ref="N106:N115"/>
    <mergeCell ref="P106:P115"/>
    <mergeCell ref="T106:T115"/>
    <mergeCell ref="AH106:AH115"/>
    <mergeCell ref="AZ106:AZ115"/>
    <mergeCell ref="BA106:BA115"/>
    <mergeCell ref="BB106:BB115"/>
    <mergeCell ref="BD106:BD115"/>
    <mergeCell ref="AZ116:AZ125"/>
    <mergeCell ref="BA116:BA125"/>
    <mergeCell ref="BB116:BB125"/>
    <mergeCell ref="BD116:BD125"/>
    <mergeCell ref="B116:B125"/>
    <mergeCell ref="C116:C125"/>
    <mergeCell ref="D116:D125"/>
    <mergeCell ref="E116:E125"/>
    <mergeCell ref="F116:F125"/>
    <mergeCell ref="G116:G125"/>
    <mergeCell ref="H116:H125"/>
    <mergeCell ref="J116:J125"/>
    <mergeCell ref="L116:L125"/>
  </mergeCells>
  <conditionalFormatting sqref="AY77:AY87 AY10:AY41 AY89:AY100 AY158:AY167 AY232:AY250 AY178:AY192 AY106:AY114 AY116:AY124 AY276:AY277">
    <cfRule type="cellIs" dxfId="253" priority="104" operator="lessThan">
      <formula>$F$166</formula>
    </cfRule>
    <cfRule type="cellIs" dxfId="252" priority="105" operator="lessThan">
      <formula>0.05</formula>
    </cfRule>
  </conditionalFormatting>
  <conditionalFormatting sqref="AY77:AY87 AY10:AY41 AY89:AY100 AY158:AY167 AY232:AY250 AY178:AY192 AY106:AY114 AY116:AY124 AY276:AY277">
    <cfRule type="cellIs" dxfId="251" priority="108" operator="between">
      <formula>$F$166</formula>
      <formula>$G$166</formula>
    </cfRule>
  </conditionalFormatting>
  <conditionalFormatting sqref="AY74:AY76">
    <cfRule type="cellIs" dxfId="250" priority="76" operator="lessThan">
      <formula>$F$166</formula>
    </cfRule>
    <cfRule type="cellIs" dxfId="249" priority="77" operator="lessThan">
      <formula>0.05</formula>
    </cfRule>
  </conditionalFormatting>
  <conditionalFormatting sqref="AY74:AY76">
    <cfRule type="cellIs" dxfId="248" priority="78" operator="between">
      <formula>$F$166</formula>
      <formula>$G$166</formula>
    </cfRule>
  </conditionalFormatting>
  <conditionalFormatting sqref="AY251:AY258">
    <cfRule type="cellIs" dxfId="247" priority="70" operator="lessThan">
      <formula>$F$166</formula>
    </cfRule>
    <cfRule type="cellIs" dxfId="246" priority="71" operator="lessThan">
      <formula>0.05</formula>
    </cfRule>
  </conditionalFormatting>
  <conditionalFormatting sqref="AY251:AY258">
    <cfRule type="cellIs" dxfId="245" priority="72" operator="between">
      <formula>$F$166</formula>
      <formula>$G$166</formula>
    </cfRule>
  </conditionalFormatting>
  <conditionalFormatting sqref="AY259">
    <cfRule type="cellIs" dxfId="244" priority="61" operator="lessThan">
      <formula>$F$166</formula>
    </cfRule>
    <cfRule type="cellIs" dxfId="243" priority="62" operator="lessThan">
      <formula>0.05</formula>
    </cfRule>
  </conditionalFormatting>
  <conditionalFormatting sqref="AY259">
    <cfRule type="cellIs" dxfId="242" priority="63" operator="between">
      <formula>$F$166</formula>
      <formula>$G$166</formula>
    </cfRule>
  </conditionalFormatting>
  <conditionalFormatting sqref="AY260:AY269">
    <cfRule type="cellIs" dxfId="241" priority="58" operator="lessThan">
      <formula>$F$166</formula>
    </cfRule>
    <cfRule type="cellIs" dxfId="240" priority="59" operator="lessThan">
      <formula>0.05</formula>
    </cfRule>
  </conditionalFormatting>
  <conditionalFormatting sqref="AY260:AY269">
    <cfRule type="cellIs" dxfId="239" priority="60" operator="between">
      <formula>$F$166</formula>
      <formula>$G$166</formula>
    </cfRule>
  </conditionalFormatting>
  <conditionalFormatting sqref="AY88">
    <cfRule type="cellIs" dxfId="238" priority="55" operator="lessThan">
      <formula>$F$166</formula>
    </cfRule>
    <cfRule type="cellIs" dxfId="237" priority="56" operator="lessThan">
      <formula>0.05</formula>
    </cfRule>
  </conditionalFormatting>
  <conditionalFormatting sqref="AY88">
    <cfRule type="cellIs" dxfId="236" priority="57" operator="between">
      <formula>$F$166</formula>
      <formula>$G$166</formula>
    </cfRule>
  </conditionalFormatting>
  <conditionalFormatting sqref="AY102">
    <cfRule type="cellIs" dxfId="235" priority="52" operator="lessThan">
      <formula>$F$166</formula>
    </cfRule>
    <cfRule type="cellIs" dxfId="234" priority="53" operator="lessThan">
      <formula>0.05</formula>
    </cfRule>
  </conditionalFormatting>
  <conditionalFormatting sqref="AY102">
    <cfRule type="cellIs" dxfId="233" priority="54" operator="between">
      <formula>$F$166</formula>
      <formula>$G$166</formula>
    </cfRule>
  </conditionalFormatting>
  <conditionalFormatting sqref="AY101">
    <cfRule type="cellIs" dxfId="232" priority="49" operator="lessThan">
      <formula>$F$166</formula>
    </cfRule>
    <cfRule type="cellIs" dxfId="231" priority="50" operator="lessThan">
      <formula>0.05</formula>
    </cfRule>
  </conditionalFormatting>
  <conditionalFormatting sqref="AY101">
    <cfRule type="cellIs" dxfId="230" priority="51" operator="between">
      <formula>$F$166</formula>
      <formula>$G$166</formula>
    </cfRule>
  </conditionalFormatting>
  <conditionalFormatting sqref="AY126:AY135">
    <cfRule type="cellIs" dxfId="229" priority="47" operator="lessThan">
      <formula>#REF!</formula>
    </cfRule>
    <cfRule type="cellIs" dxfId="228" priority="48" operator="lessThan">
      <formula>0.05</formula>
    </cfRule>
  </conditionalFormatting>
  <conditionalFormatting sqref="AY126:AY135">
    <cfRule type="cellIs" dxfId="227" priority="46" operator="between">
      <formula>#REF!</formula>
      <formula>#REF!</formula>
    </cfRule>
  </conditionalFormatting>
  <conditionalFormatting sqref="AY136:AY146">
    <cfRule type="cellIs" dxfId="226" priority="43" operator="lessThan">
      <formula>$F$166</formula>
    </cfRule>
    <cfRule type="cellIs" dxfId="225" priority="44" operator="lessThan">
      <formula>0.05</formula>
    </cfRule>
  </conditionalFormatting>
  <conditionalFormatting sqref="AY136:AY146">
    <cfRule type="cellIs" dxfId="224" priority="45" operator="between">
      <formula>$F$166</formula>
      <formula>$G$166</formula>
    </cfRule>
  </conditionalFormatting>
  <conditionalFormatting sqref="AY147:AY157">
    <cfRule type="cellIs" dxfId="223" priority="40" operator="lessThan">
      <formula>$F$166</formula>
    </cfRule>
    <cfRule type="cellIs" dxfId="222" priority="41" operator="lessThan">
      <formula>0.05</formula>
    </cfRule>
  </conditionalFormatting>
  <conditionalFormatting sqref="AY147:AY157">
    <cfRule type="cellIs" dxfId="221" priority="42" operator="between">
      <formula>$F$166</formula>
      <formula>$G$166</formula>
    </cfRule>
  </conditionalFormatting>
  <conditionalFormatting sqref="AY168:AY177">
    <cfRule type="cellIs" dxfId="220" priority="37" operator="lessThan">
      <formula>$F$166</formula>
    </cfRule>
    <cfRule type="cellIs" dxfId="219" priority="38" operator="lessThan">
      <formula>0.05</formula>
    </cfRule>
  </conditionalFormatting>
  <conditionalFormatting sqref="AY168:AY177">
    <cfRule type="cellIs" dxfId="218" priority="39" operator="between">
      <formula>$F$166</formula>
      <formula>$G$166</formula>
    </cfRule>
  </conditionalFormatting>
  <conditionalFormatting sqref="AY193:AY205">
    <cfRule type="cellIs" dxfId="217" priority="34" operator="lessThan">
      <formula>$F$166</formula>
    </cfRule>
    <cfRule type="cellIs" dxfId="216" priority="35" operator="lessThan">
      <formula>0.05</formula>
    </cfRule>
  </conditionalFormatting>
  <conditionalFormatting sqref="AY193:AY205">
    <cfRule type="cellIs" dxfId="215" priority="36" operator="between">
      <formula>$F$166</formula>
      <formula>$G$166</formula>
    </cfRule>
  </conditionalFormatting>
  <conditionalFormatting sqref="AY228:AY231">
    <cfRule type="cellIs" dxfId="214" priority="32" operator="lessThan">
      <formula>#REF!</formula>
    </cfRule>
    <cfRule type="cellIs" dxfId="213" priority="33" operator="lessThan">
      <formula>0.05</formula>
    </cfRule>
  </conditionalFormatting>
  <conditionalFormatting sqref="AY228:AY231">
    <cfRule type="cellIs" dxfId="212" priority="31" operator="between">
      <formula>#REF!</formula>
      <formula>#REF!</formula>
    </cfRule>
  </conditionalFormatting>
  <conditionalFormatting sqref="AY42:AY73">
    <cfRule type="cellIs" dxfId="211" priority="28" operator="lessThan">
      <formula>$F$166</formula>
    </cfRule>
    <cfRule type="cellIs" dxfId="210" priority="29" operator="lessThan">
      <formula>0.05</formula>
    </cfRule>
  </conditionalFormatting>
  <conditionalFormatting sqref="AY42:AY73">
    <cfRule type="cellIs" dxfId="209" priority="30" operator="between">
      <formula>$F$166</formula>
      <formula>$G$166</formula>
    </cfRule>
  </conditionalFormatting>
  <conditionalFormatting sqref="AY103:AY105">
    <cfRule type="cellIs" dxfId="208" priority="22" operator="lessThan">
      <formula>$F$166</formula>
    </cfRule>
    <cfRule type="cellIs" dxfId="207" priority="23" operator="lessThan">
      <formula>0.05</formula>
    </cfRule>
  </conditionalFormatting>
  <conditionalFormatting sqref="AY103:AY105">
    <cfRule type="cellIs" dxfId="206" priority="24" operator="between">
      <formula>$F$166</formula>
      <formula>$G$166</formula>
    </cfRule>
  </conditionalFormatting>
  <conditionalFormatting sqref="AY115">
    <cfRule type="cellIs" dxfId="205" priority="19" operator="lessThan">
      <formula>$F$166</formula>
    </cfRule>
    <cfRule type="cellIs" dxfId="204" priority="20" operator="lessThan">
      <formula>0.05</formula>
    </cfRule>
  </conditionalFormatting>
  <conditionalFormatting sqref="AY115">
    <cfRule type="cellIs" dxfId="203" priority="21" operator="between">
      <formula>$F$166</formula>
      <formula>$G$166</formula>
    </cfRule>
  </conditionalFormatting>
  <conditionalFormatting sqref="AY125">
    <cfRule type="cellIs" dxfId="202" priority="13" operator="lessThan">
      <formula>$F$166</formula>
    </cfRule>
    <cfRule type="cellIs" dxfId="201" priority="14" operator="lessThan">
      <formula>0.05</formula>
    </cfRule>
  </conditionalFormatting>
  <conditionalFormatting sqref="AY125">
    <cfRule type="cellIs" dxfId="200" priority="15" operator="between">
      <formula>$F$166</formula>
      <formula>$G$166</formula>
    </cfRule>
  </conditionalFormatting>
  <conditionalFormatting sqref="AY206:AY216">
    <cfRule type="cellIs" dxfId="199" priority="10" operator="lessThan">
      <formula>$F$166</formula>
    </cfRule>
    <cfRule type="cellIs" dxfId="198" priority="11" operator="lessThan">
      <formula>0.05</formula>
    </cfRule>
  </conditionalFormatting>
  <conditionalFormatting sqref="AY206:AY216">
    <cfRule type="cellIs" dxfId="197" priority="12" operator="between">
      <formula>$F$166</formula>
      <formula>$G$166</formula>
    </cfRule>
  </conditionalFormatting>
  <conditionalFormatting sqref="AY217:AY227">
    <cfRule type="cellIs" dxfId="196" priority="7" operator="lessThan">
      <formula>$F$166</formula>
    </cfRule>
    <cfRule type="cellIs" dxfId="195" priority="8" operator="lessThan">
      <formula>0.05</formula>
    </cfRule>
  </conditionalFormatting>
  <conditionalFormatting sqref="AY217:AY227">
    <cfRule type="cellIs" dxfId="194" priority="9" operator="between">
      <formula>$F$166</formula>
      <formula>$G$166</formula>
    </cfRule>
  </conditionalFormatting>
  <conditionalFormatting sqref="AY270 AY272:AY275">
    <cfRule type="cellIs" dxfId="193" priority="5" operator="lessThan">
      <formula>#REF!</formula>
    </cfRule>
    <cfRule type="cellIs" dxfId="192" priority="6" operator="lessThan">
      <formula>0.05</formula>
    </cfRule>
  </conditionalFormatting>
  <conditionalFormatting sqref="AY270 AY272:AY275">
    <cfRule type="cellIs" dxfId="191" priority="4" operator="between">
      <formula>#REF!</formula>
      <formula>#REF!</formula>
    </cfRule>
  </conditionalFormatting>
  <conditionalFormatting sqref="AY271">
    <cfRule type="cellIs" dxfId="190" priority="2" operator="lessThan">
      <formula>#REF!</formula>
    </cfRule>
    <cfRule type="cellIs" dxfId="189" priority="3" operator="lessThan">
      <formula>0.05</formula>
    </cfRule>
  </conditionalFormatting>
  <conditionalFormatting sqref="AY271">
    <cfRule type="cellIs" dxfId="188" priority="1" operator="between">
      <formula>#REF!</formula>
      <formula>#REF!</formula>
    </cfRule>
  </conditionalFormatting>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46" workbookViewId="0">
      <selection activeCell="B40" sqref="B40:F42"/>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CONTROL'!B74</f>
        <v>TEMPERATURA 1</v>
      </c>
      <c r="D7" s="832"/>
      <c r="E7" s="833"/>
    </row>
    <row r="8" spans="1:11" x14ac:dyDescent="0.25">
      <c r="B8" s="224" t="s">
        <v>156</v>
      </c>
      <c r="C8" s="831" t="str">
        <f>'CARTA DE CONTROL'!D74</f>
        <v>BRAIN BEE</v>
      </c>
      <c r="D8" s="832"/>
      <c r="E8" s="833"/>
    </row>
    <row r="9" spans="1:11" x14ac:dyDescent="0.25">
      <c r="B9" s="224" t="s">
        <v>157</v>
      </c>
      <c r="C9" s="831" t="str">
        <f>'CARTA DE CONTROL'!E74</f>
        <v xml:space="preserve"> MGT 300 EVO</v>
      </c>
      <c r="D9" s="832"/>
      <c r="E9" s="833"/>
    </row>
    <row r="10" spans="1:11" x14ac:dyDescent="0.25">
      <c r="B10" s="224" t="s">
        <v>158</v>
      </c>
      <c r="C10" s="847">
        <f>'CARTA DE CONTROL'!F74</f>
        <v>180115000416</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CONTROL'!R74</f>
        <v>39.729999999999997</v>
      </c>
      <c r="C40" s="4">
        <f>'CARTA DE CONTROL'!AR77</f>
        <v>1.6274411617426197</v>
      </c>
      <c r="D40" s="4">
        <f>'CARTA DE CONTROL'!AS77</f>
        <v>-1.3269904857285872</v>
      </c>
      <c r="E40" s="6">
        <f>'CARTA DE CONTROL'!I74</f>
        <v>5</v>
      </c>
      <c r="F40" s="7">
        <f>-('CARTA DE CONTROL'!I74)</f>
        <v>-5</v>
      </c>
      <c r="G40" s="5" t="str">
        <f>IF(C40&lt;=5,IF(D40&gt;=-5,"PASS","NO PASS"))</f>
        <v>PASS</v>
      </c>
    </row>
    <row r="41" spans="1:8" ht="15.75" thickBot="1" x14ac:dyDescent="0.3">
      <c r="B41" s="3">
        <f>'CARTA DE CONTROL'!R75</f>
        <v>59.64</v>
      </c>
      <c r="C41" s="4">
        <f>'CARTA DE CONTROL'!AR78</f>
        <v>1.4434643143544483</v>
      </c>
      <c r="D41" s="4">
        <f>'CARTA DE CONTROL'!AS78</f>
        <v>-0.96230954290296944</v>
      </c>
      <c r="E41" s="6">
        <f>'CARTA DE CONTROL'!I75</f>
        <v>5</v>
      </c>
      <c r="F41" s="7">
        <f>-('CARTA DE CONTROL'!I75)</f>
        <v>-5</v>
      </c>
      <c r="G41" s="5" t="str">
        <f t="shared" ref="G41:G42" si="0">IF(C41&lt;=5,IF(D41&gt;=-5,"PASS","NO PASS"))</f>
        <v>PASS</v>
      </c>
    </row>
    <row r="42" spans="1:8" ht="15.75" thickBot="1" x14ac:dyDescent="0.3">
      <c r="B42" s="3">
        <f>'CARTA DE CONTROL'!R76</f>
        <v>99.5</v>
      </c>
      <c r="C42" s="4">
        <f>'CARTA DE CONTROL'!AR79</f>
        <v>0</v>
      </c>
      <c r="D42" s="4">
        <f>'CARTA DE CONTROL'!AS79</f>
        <v>0</v>
      </c>
      <c r="E42" s="6">
        <f>'CARTA DE CONTROL'!I76</f>
        <v>5</v>
      </c>
      <c r="F42" s="7">
        <f>-('CARTA DE CONTROL'!I76)</f>
        <v>-5</v>
      </c>
      <c r="G42" s="5" t="str">
        <f t="shared" si="0"/>
        <v>PASS</v>
      </c>
    </row>
    <row r="43" spans="1:8" x14ac:dyDescent="0.25">
      <c r="A43" s="1"/>
      <c r="B43" s="1"/>
      <c r="C43" s="1"/>
      <c r="D43" s="1"/>
      <c r="E43" s="1"/>
      <c r="F43" s="1"/>
      <c r="G43" s="1"/>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113" priority="8" operator="lessThan">
      <formula>$F$70</formula>
    </cfRule>
    <cfRule type="cellIs" dxfId="112" priority="9" operator="lessThan">
      <formula>0.05</formula>
    </cfRule>
  </conditionalFormatting>
  <conditionalFormatting sqref="G40">
    <cfRule type="cellIs" dxfId="111" priority="7" operator="between">
      <formula>$F$70</formula>
      <formula>$G$70</formula>
    </cfRule>
  </conditionalFormatting>
  <conditionalFormatting sqref="G41:G42">
    <cfRule type="cellIs" dxfId="110" priority="2" operator="lessThan">
      <formula>$F$70</formula>
    </cfRule>
    <cfRule type="cellIs" dxfId="109" priority="3" operator="lessThan">
      <formula>0.05</formula>
    </cfRule>
  </conditionalFormatting>
  <conditionalFormatting sqref="G41:G42">
    <cfRule type="cellIs" dxfId="108" priority="1" operator="between">
      <formula>$F$70</formula>
      <formula>$G$70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49" workbookViewId="0">
      <selection activeCell="E42" sqref="E42"/>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CONTROL'!B77</f>
        <v>REVOLUCIONES POR MINUTO  (VIBRACION) 1</v>
      </c>
      <c r="D7" s="832"/>
      <c r="E7" s="833"/>
    </row>
    <row r="8" spans="1:11" x14ac:dyDescent="0.25">
      <c r="B8" s="224" t="s">
        <v>156</v>
      </c>
      <c r="C8" s="831" t="str">
        <f>'CARTA DE CONTROL'!D74</f>
        <v>BRAIN BEE</v>
      </c>
      <c r="D8" s="832"/>
      <c r="E8" s="833"/>
    </row>
    <row r="9" spans="1:11" x14ac:dyDescent="0.25">
      <c r="B9" s="224" t="s">
        <v>157</v>
      </c>
      <c r="C9" s="831" t="str">
        <f>'CARTA DE CONTROL'!E74</f>
        <v xml:space="preserve"> MGT 300 EVO</v>
      </c>
      <c r="D9" s="832"/>
      <c r="E9" s="833"/>
    </row>
    <row r="10" spans="1:11" x14ac:dyDescent="0.25">
      <c r="B10" s="224" t="s">
        <v>158</v>
      </c>
      <c r="C10" s="847">
        <f>'CARTA DE CONTROL'!F74</f>
        <v>180115000416</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s="1" customFormat="1" ht="25.5" customHeight="1" thickBot="1" x14ac:dyDescent="0.25">
      <c r="A38" s="193"/>
      <c r="B38" s="194"/>
      <c r="C38" s="194"/>
      <c r="D38" s="194"/>
      <c r="E38" s="195"/>
      <c r="F38" s="322"/>
      <c r="G38" s="322"/>
    </row>
    <row r="39" spans="1:7" ht="15.75" thickBot="1" x14ac:dyDescent="0.3">
      <c r="B39" s="812" t="s">
        <v>161</v>
      </c>
      <c r="C39" s="813"/>
      <c r="D39" s="813"/>
      <c r="E39" s="813"/>
      <c r="F39" s="813"/>
      <c r="G39" s="814"/>
    </row>
    <row r="40" spans="1:7" ht="79.5" thickBot="1" x14ac:dyDescent="0.3">
      <c r="B40" s="2" t="s">
        <v>39</v>
      </c>
      <c r="C40" s="11" t="s">
        <v>91</v>
      </c>
      <c r="D40" s="11" t="s">
        <v>92</v>
      </c>
      <c r="E40" s="2" t="s">
        <v>93</v>
      </c>
      <c r="F40" s="2" t="s">
        <v>94</v>
      </c>
      <c r="G40" s="21" t="s">
        <v>95</v>
      </c>
    </row>
    <row r="41" spans="1:7" ht="15.75" thickBot="1" x14ac:dyDescent="0.3">
      <c r="B41" s="3">
        <f>'CARTA DE CONTROL'!R77</f>
        <v>399.4</v>
      </c>
      <c r="C41" s="4">
        <f>'CARTA DE CONTROL'!AR77</f>
        <v>1.6274411617426197</v>
      </c>
      <c r="D41" s="4">
        <f>'CARTA DE CONTROL'!AS77</f>
        <v>-1.3269904857285872</v>
      </c>
      <c r="E41" s="6">
        <f>'CARTA DE CONTROL'!I77</f>
        <v>2</v>
      </c>
      <c r="F41" s="7">
        <f>-('CARTA DE CONTROL'!I77)</f>
        <v>-2</v>
      </c>
      <c r="G41" s="5" t="str">
        <f>IF(C41&lt;=2,IF(D41&gt;=-2,"PASS","NO PASS"))</f>
        <v>PASS</v>
      </c>
    </row>
    <row r="42" spans="1:7" ht="15.75" thickBot="1" x14ac:dyDescent="0.3">
      <c r="B42" s="3">
        <f>'CARTA DE CONTROL'!R78</f>
        <v>498.8</v>
      </c>
      <c r="C42" s="4">
        <f>'CARTA DE CONTROL'!AR78</f>
        <v>1.4434643143544483</v>
      </c>
      <c r="D42" s="4">
        <f>'CARTA DE CONTROL'!AS78</f>
        <v>-0.96230954290296944</v>
      </c>
      <c r="E42" s="6">
        <f>'CARTA DE CONTROL'!I79</f>
        <v>2</v>
      </c>
      <c r="F42" s="7">
        <f>-('CARTA DE CONTROL'!I79)</f>
        <v>-2</v>
      </c>
      <c r="G42" s="5" t="str">
        <f t="shared" ref="G42:G49" si="0">IF(C42&lt;=2,IF(D42&gt;=-2,"PASS","NO PASS"))</f>
        <v>PASS</v>
      </c>
    </row>
    <row r="43" spans="1:7" ht="15.75" thickBot="1" x14ac:dyDescent="0.3">
      <c r="B43" s="3">
        <f>'CARTA DE CONTROL'!R80</f>
        <v>800.7</v>
      </c>
      <c r="C43" s="4">
        <f>'CARTA DE CONTROL'!AR80</f>
        <v>0.72436617959285055</v>
      </c>
      <c r="D43" s="4">
        <f>'CARTA DE CONTROL'!AS80</f>
        <v>-0.89921318846010301</v>
      </c>
      <c r="E43" s="6">
        <f>'CARTA DE CONTROL'!I80</f>
        <v>2</v>
      </c>
      <c r="F43" s="7">
        <f>-('CARTA DE CONTROL'!I80)</f>
        <v>-2</v>
      </c>
      <c r="G43" s="5" t="str">
        <f t="shared" si="0"/>
        <v>PASS</v>
      </c>
    </row>
    <row r="44" spans="1:7" ht="15.75" thickBot="1" x14ac:dyDescent="0.3">
      <c r="B44" s="3">
        <f>'CARTA DE CONTROL'!R81</f>
        <v>997.5</v>
      </c>
      <c r="C44" s="4">
        <f>'CARTA DE CONTROL'!AR81</f>
        <v>0.95238095238095233</v>
      </c>
      <c r="D44" s="4">
        <f>'CARTA DE CONTROL'!AS81</f>
        <v>-0.45112781954887216</v>
      </c>
      <c r="E44" s="6">
        <f>'CARTA DE CONTROL'!I81</f>
        <v>2</v>
      </c>
      <c r="F44" s="7">
        <f>-('CARTA DE CONTROL'!I81)</f>
        <v>-2</v>
      </c>
      <c r="G44" s="5" t="str">
        <f t="shared" si="0"/>
        <v>PASS</v>
      </c>
    </row>
    <row r="45" spans="1:7" ht="15.75" thickBot="1" x14ac:dyDescent="0.3">
      <c r="B45" s="3">
        <f>'CARTA DE CONTROL'!R82</f>
        <v>1800</v>
      </c>
      <c r="C45" s="4">
        <f>'CARTA DE CONTROL'!AR82</f>
        <v>0.51111111111111107</v>
      </c>
      <c r="D45" s="4">
        <f>'CARTA DE CONTROL'!AS82</f>
        <v>-0.51111111111111107</v>
      </c>
      <c r="E45" s="6">
        <f>'CARTA DE CONTROL'!I82</f>
        <v>2</v>
      </c>
      <c r="F45" s="7">
        <f>-('CARTA DE CONTROL'!I82)</f>
        <v>-2</v>
      </c>
      <c r="G45" s="5" t="str">
        <f t="shared" si="0"/>
        <v>PASS</v>
      </c>
    </row>
    <row r="46" spans="1:7" ht="15.75" thickBot="1" x14ac:dyDescent="0.3">
      <c r="B46" s="3">
        <f>'CARTA DE CONTROL'!R83</f>
        <v>2499</v>
      </c>
      <c r="C46" s="4">
        <f>'CARTA DE CONTROL'!AR83</f>
        <v>0.52020808323329326</v>
      </c>
      <c r="D46" s="4">
        <f>'CARTA DE CONTROL'!AS83</f>
        <v>-0.44017607042817125</v>
      </c>
      <c r="E46" s="6">
        <f>'CARTA DE CONTROL'!I83</f>
        <v>2</v>
      </c>
      <c r="F46" s="7">
        <f>-('CARTA DE CONTROL'!I83)</f>
        <v>-2</v>
      </c>
      <c r="G46" s="5" t="str">
        <f t="shared" si="0"/>
        <v>PASS</v>
      </c>
    </row>
    <row r="47" spans="1:7" ht="15.75" thickBot="1" x14ac:dyDescent="0.3">
      <c r="B47" s="3">
        <f>'CARTA DE CONTROL'!R84</f>
        <v>3000</v>
      </c>
      <c r="C47" s="4">
        <f>'CARTA DE CONTROL'!AR84</f>
        <v>0.43333333333333335</v>
      </c>
      <c r="D47" s="4">
        <f>'CARTA DE CONTROL'!AS84</f>
        <v>-0.43333333333333335</v>
      </c>
      <c r="E47" s="6">
        <f>'CARTA DE CONTROL'!I84</f>
        <v>2</v>
      </c>
      <c r="F47" s="7">
        <f>-('CARTA DE CONTROL'!I84)</f>
        <v>-2</v>
      </c>
      <c r="G47" s="5" t="str">
        <f t="shared" si="0"/>
        <v>PASS</v>
      </c>
    </row>
    <row r="48" spans="1:7" ht="15.75" thickBot="1" x14ac:dyDescent="0.3">
      <c r="B48" s="3">
        <f>'CARTA DE CONTROL'!R85</f>
        <v>3999</v>
      </c>
      <c r="C48" s="4">
        <f>'CARTA DE CONTROL'!AR85</f>
        <v>0.45011252813203301</v>
      </c>
      <c r="D48" s="4">
        <f>'CARTA DE CONTROL'!AS85</f>
        <v>-0.40010002500625158</v>
      </c>
      <c r="E48" s="6">
        <f>'CARTA DE CONTROL'!I85</f>
        <v>2</v>
      </c>
      <c r="F48" s="7">
        <f>-('CARTA DE CONTROL'!I85)</f>
        <v>-2</v>
      </c>
      <c r="G48" s="5" t="str">
        <f t="shared" si="0"/>
        <v>PASS</v>
      </c>
    </row>
    <row r="49" spans="1:8" ht="15.75" thickBot="1" x14ac:dyDescent="0.3">
      <c r="B49" s="3">
        <f>'CARTA DE CONTROL'!R86</f>
        <v>7001</v>
      </c>
      <c r="C49" s="4">
        <f>'CARTA DE CONTROL'!AR86</f>
        <v>0.39994286530495643</v>
      </c>
      <c r="D49" s="4">
        <f>'CARTA DE CONTROL'!AS86</f>
        <v>-0.42851021282673901</v>
      </c>
      <c r="E49" s="6">
        <f>'CARTA DE CONTROL'!I86</f>
        <v>2</v>
      </c>
      <c r="F49" s="7">
        <f>-('CARTA DE CONTROL'!I86)</f>
        <v>-2</v>
      </c>
      <c r="G49" s="5" t="str">
        <f t="shared" si="0"/>
        <v>PASS</v>
      </c>
    </row>
    <row r="50" spans="1:8" ht="15.75" thickBot="1" x14ac:dyDescent="0.3">
      <c r="B50" s="3">
        <f>'CARTA DE CONTROL'!R88</f>
        <v>9004</v>
      </c>
      <c r="C50" s="4">
        <f>'CARTA DE CONTROL'!AR88</f>
        <v>0.36650377609951135</v>
      </c>
      <c r="D50" s="4">
        <f>'CARTA DE CONTROL'!AS88</f>
        <v>-0.45535317636605954</v>
      </c>
      <c r="E50" s="6">
        <f>'CARTA DE CONTROL'!I88</f>
        <v>2</v>
      </c>
      <c r="F50" s="7">
        <f>-('CARTA DE CONTROL'!I88)</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39:G39"/>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0">
    <cfRule type="cellIs" dxfId="107" priority="2" operator="lessThan">
      <formula>$F$78</formula>
    </cfRule>
    <cfRule type="cellIs" dxfId="106" priority="3" operator="lessThan">
      <formula>0.05</formula>
    </cfRule>
  </conditionalFormatting>
  <conditionalFormatting sqref="G41:G50">
    <cfRule type="cellIs" dxfId="105" priority="1" operator="between">
      <formula>$F$78</formula>
      <formula>$G$78</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13" workbookViewId="0">
      <selection activeCell="F43" sqref="F43"/>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278"/>
      <c r="C2" s="278"/>
      <c r="D2" s="278"/>
      <c r="E2" s="212"/>
      <c r="F2" s="278"/>
      <c r="G2" s="278"/>
      <c r="H2" s="278"/>
    </row>
    <row r="3" spans="1:11" ht="15" customHeight="1" x14ac:dyDescent="0.25">
      <c r="B3" s="278"/>
      <c r="C3" s="278"/>
      <c r="D3" s="278"/>
      <c r="E3" s="212"/>
      <c r="F3" s="278"/>
      <c r="G3" s="278"/>
      <c r="H3" s="278"/>
    </row>
    <row r="4" spans="1:11" ht="15" customHeight="1" x14ac:dyDescent="0.25">
      <c r="B4" s="278"/>
      <c r="C4" s="278"/>
      <c r="D4" s="278"/>
      <c r="E4" s="212"/>
      <c r="F4" s="278"/>
      <c r="G4" s="278"/>
      <c r="H4" s="278"/>
    </row>
    <row r="5" spans="1:11" ht="15" customHeight="1" x14ac:dyDescent="0.25">
      <c r="B5" s="278"/>
      <c r="C5" s="278"/>
      <c r="D5" s="278"/>
      <c r="E5" s="212"/>
      <c r="F5" s="278"/>
      <c r="G5" s="278"/>
      <c r="H5" s="278"/>
    </row>
    <row r="6" spans="1:11" ht="15" customHeight="1" x14ac:dyDescent="0.25">
      <c r="B6" s="278"/>
      <c r="C6" s="278"/>
      <c r="D6" s="278"/>
      <c r="E6" s="212"/>
      <c r="F6" s="278"/>
      <c r="G6" s="278"/>
      <c r="H6" s="278"/>
    </row>
    <row r="7" spans="1:11" x14ac:dyDescent="0.25">
      <c r="B7" s="224" t="s">
        <v>155</v>
      </c>
      <c r="C7" s="831" t="str">
        <f>'CARTA DE CONTROL'!B90</f>
        <v>REVOLUCIONES POR MINUTO (BATERIA) 1</v>
      </c>
      <c r="D7" s="832"/>
      <c r="E7" s="833"/>
    </row>
    <row r="8" spans="1:11" x14ac:dyDescent="0.25">
      <c r="B8" s="224" t="s">
        <v>156</v>
      </c>
      <c r="C8" s="831" t="str">
        <f>'CARTA DE CONTROL'!D90</f>
        <v>BRAIN BEE</v>
      </c>
      <c r="D8" s="832"/>
      <c r="E8" s="833"/>
    </row>
    <row r="9" spans="1:11" x14ac:dyDescent="0.25">
      <c r="B9" s="224" t="s">
        <v>157</v>
      </c>
      <c r="C9" s="831" t="str">
        <f>'CARTA DE CONTROL'!E90</f>
        <v xml:space="preserve"> MGT 300 EVO</v>
      </c>
      <c r="D9" s="832"/>
      <c r="E9" s="833"/>
    </row>
    <row r="10" spans="1:11" x14ac:dyDescent="0.25">
      <c r="B10" s="224" t="s">
        <v>158</v>
      </c>
      <c r="C10" s="847">
        <f>'CARTA DE CONTROL'!F90</f>
        <v>180115000416</v>
      </c>
      <c r="D10" s="848"/>
      <c r="E10" s="849"/>
    </row>
    <row r="11" spans="1:11" ht="15" customHeight="1" thickBot="1" x14ac:dyDescent="0.3">
      <c r="B11" s="278"/>
      <c r="C11" s="278"/>
      <c r="D11" s="278"/>
      <c r="E11" s="212"/>
      <c r="F11" s="278"/>
      <c r="G11" s="278"/>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280" t="s">
        <v>128</v>
      </c>
      <c r="F13" s="843" t="s">
        <v>129</v>
      </c>
      <c r="G13" s="844"/>
      <c r="H13" s="203"/>
      <c r="I13" s="203"/>
      <c r="J13" s="203"/>
      <c r="K13" s="203"/>
    </row>
    <row r="14" spans="1:11" s="1" customFormat="1" ht="35.25" customHeight="1" x14ac:dyDescent="0.2">
      <c r="A14" s="206">
        <v>1</v>
      </c>
      <c r="B14" s="822" t="s">
        <v>130</v>
      </c>
      <c r="C14" s="822"/>
      <c r="D14" s="822"/>
      <c r="E14" s="279" t="s">
        <v>131</v>
      </c>
      <c r="F14" s="823"/>
      <c r="G14" s="824"/>
      <c r="H14" s="204"/>
      <c r="I14" s="204"/>
      <c r="J14" s="204"/>
      <c r="K14" s="204"/>
    </row>
    <row r="15" spans="1:11" s="1" customFormat="1" ht="35.25" customHeight="1" x14ac:dyDescent="0.2">
      <c r="A15" s="206">
        <v>2</v>
      </c>
      <c r="B15" s="822" t="s">
        <v>132</v>
      </c>
      <c r="C15" s="822"/>
      <c r="D15" s="822"/>
      <c r="E15" s="279" t="s">
        <v>131</v>
      </c>
      <c r="F15" s="823"/>
      <c r="G15" s="824"/>
    </row>
    <row r="16" spans="1:11" s="1" customFormat="1" ht="35.25" customHeight="1" x14ac:dyDescent="0.2">
      <c r="A16" s="206">
        <v>3</v>
      </c>
      <c r="B16" s="822" t="s">
        <v>133</v>
      </c>
      <c r="C16" s="822"/>
      <c r="D16" s="822"/>
      <c r="E16" s="279" t="s">
        <v>131</v>
      </c>
      <c r="F16" s="823"/>
      <c r="G16" s="824"/>
    </row>
    <row r="17" spans="1:11" s="1" customFormat="1" ht="35.25" customHeight="1" x14ac:dyDescent="0.2">
      <c r="A17" s="206">
        <v>4</v>
      </c>
      <c r="B17" s="822" t="s">
        <v>134</v>
      </c>
      <c r="C17" s="822"/>
      <c r="D17" s="822"/>
      <c r="E17" s="279" t="s">
        <v>131</v>
      </c>
      <c r="F17" s="845"/>
      <c r="G17" s="846"/>
    </row>
    <row r="18" spans="1:11" s="1" customFormat="1" ht="35.25" customHeight="1" x14ac:dyDescent="0.2">
      <c r="A18" s="206">
        <v>5</v>
      </c>
      <c r="B18" s="822" t="s">
        <v>135</v>
      </c>
      <c r="C18" s="822"/>
      <c r="D18" s="822"/>
      <c r="E18" s="279" t="s">
        <v>131</v>
      </c>
      <c r="F18" s="823"/>
      <c r="G18" s="824"/>
    </row>
    <row r="19" spans="1:11" s="1" customFormat="1" ht="35.25" customHeight="1" x14ac:dyDescent="0.2">
      <c r="A19" s="206">
        <v>6</v>
      </c>
      <c r="B19" s="822" t="s">
        <v>136</v>
      </c>
      <c r="C19" s="822"/>
      <c r="D19" s="822"/>
      <c r="E19" s="279" t="s">
        <v>131</v>
      </c>
      <c r="F19" s="823"/>
      <c r="G19" s="824"/>
    </row>
    <row r="20" spans="1:11" s="1" customFormat="1" ht="35.25" customHeight="1" x14ac:dyDescent="0.2">
      <c r="A20" s="206">
        <v>7</v>
      </c>
      <c r="B20" s="822" t="s">
        <v>137</v>
      </c>
      <c r="C20" s="822"/>
      <c r="D20" s="822"/>
      <c r="E20" s="279" t="s">
        <v>131</v>
      </c>
      <c r="F20" s="823"/>
      <c r="G20" s="824"/>
    </row>
    <row r="21" spans="1:11" s="1" customFormat="1" ht="35.25" customHeight="1" x14ac:dyDescent="0.2">
      <c r="A21" s="206">
        <v>8</v>
      </c>
      <c r="B21" s="822" t="s">
        <v>138</v>
      </c>
      <c r="C21" s="822"/>
      <c r="D21" s="822"/>
      <c r="E21" s="279" t="s">
        <v>131</v>
      </c>
      <c r="F21" s="823"/>
      <c r="G21" s="824"/>
    </row>
    <row r="22" spans="1:11" s="1" customFormat="1" ht="35.25" customHeight="1" x14ac:dyDescent="0.2">
      <c r="A22" s="206">
        <v>9</v>
      </c>
      <c r="B22" s="822" t="s">
        <v>139</v>
      </c>
      <c r="C22" s="822"/>
      <c r="D22" s="822"/>
      <c r="E22" s="279" t="s">
        <v>131</v>
      </c>
      <c r="F22" s="823"/>
      <c r="G22" s="824"/>
    </row>
    <row r="23" spans="1:11" s="1" customFormat="1" ht="35.25" customHeight="1" x14ac:dyDescent="0.2">
      <c r="A23" s="206">
        <v>10</v>
      </c>
      <c r="B23" s="822" t="s">
        <v>140</v>
      </c>
      <c r="C23" s="822"/>
      <c r="D23" s="822"/>
      <c r="E23" s="279" t="s">
        <v>131</v>
      </c>
      <c r="F23" s="823"/>
      <c r="G23" s="824"/>
    </row>
    <row r="24" spans="1:11" s="1" customFormat="1" ht="35.25" customHeight="1" x14ac:dyDescent="0.2">
      <c r="A24" s="206">
        <v>11</v>
      </c>
      <c r="B24" s="822" t="s">
        <v>141</v>
      </c>
      <c r="C24" s="822"/>
      <c r="D24" s="822"/>
      <c r="E24" s="279"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279" t="s">
        <v>131</v>
      </c>
      <c r="F26" s="823"/>
      <c r="G26" s="824"/>
    </row>
    <row r="27" spans="1:11" s="1" customFormat="1" ht="35.25" customHeight="1" x14ac:dyDescent="0.2">
      <c r="A27" s="206">
        <v>14</v>
      </c>
      <c r="B27" s="822" t="s">
        <v>144</v>
      </c>
      <c r="C27" s="822"/>
      <c r="D27" s="822"/>
      <c r="E27" s="279" t="s">
        <v>131</v>
      </c>
      <c r="F27" s="823"/>
      <c r="G27" s="824"/>
    </row>
    <row r="28" spans="1:11" s="1" customFormat="1" ht="54.75" customHeight="1" thickBot="1" x14ac:dyDescent="0.25">
      <c r="A28" s="208">
        <v>15</v>
      </c>
      <c r="B28" s="825" t="s">
        <v>145</v>
      </c>
      <c r="C28" s="825"/>
      <c r="D28" s="825"/>
      <c r="E28" s="281"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82"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s="1" customFormat="1" ht="25.5" customHeight="1" thickBot="1" x14ac:dyDescent="0.25">
      <c r="A38" s="193"/>
      <c r="B38" s="194"/>
      <c r="C38" s="194"/>
      <c r="D38" s="194"/>
      <c r="E38" s="195"/>
      <c r="F38" s="322"/>
      <c r="G38" s="322"/>
    </row>
    <row r="39" spans="1:7" ht="15.75" thickBot="1" x14ac:dyDescent="0.3">
      <c r="B39" s="812" t="s">
        <v>161</v>
      </c>
      <c r="C39" s="813"/>
      <c r="D39" s="813"/>
      <c r="E39" s="813"/>
      <c r="F39" s="813"/>
      <c r="G39" s="814"/>
    </row>
    <row r="40" spans="1:7" ht="79.5" thickBot="1" x14ac:dyDescent="0.3">
      <c r="B40" s="2" t="s">
        <v>39</v>
      </c>
      <c r="C40" s="11" t="s">
        <v>91</v>
      </c>
      <c r="D40" s="11" t="s">
        <v>92</v>
      </c>
      <c r="E40" s="2" t="s">
        <v>93</v>
      </c>
      <c r="F40" s="2" t="s">
        <v>94</v>
      </c>
      <c r="G40" s="21" t="s">
        <v>95</v>
      </c>
    </row>
    <row r="41" spans="1:7" ht="15.75" thickBot="1" x14ac:dyDescent="0.3">
      <c r="B41" s="3">
        <f>'CARTA DE CONTROL'!R90</f>
        <v>399.4</v>
      </c>
      <c r="C41" s="4">
        <f>'CARTA DE CONTROL'!AR90</f>
        <v>1.6274411617426197</v>
      </c>
      <c r="D41" s="4">
        <f>'CARTA DE CONTROL'!AS90</f>
        <v>-1.3269904857285872</v>
      </c>
      <c r="E41" s="6">
        <f>'CARTA DE CONTROL'!I90</f>
        <v>2</v>
      </c>
      <c r="F41" s="7">
        <f>-('CARTA DE CONTROL'!I90)</f>
        <v>-2</v>
      </c>
      <c r="G41" s="5" t="str">
        <f>IF(C41&lt;=2,IF(D41&gt;=-2,"PASS","NO PASS"))</f>
        <v>PASS</v>
      </c>
    </row>
    <row r="42" spans="1:7" ht="15.75" thickBot="1" x14ac:dyDescent="0.3">
      <c r="B42" s="3">
        <f>'CARTA DE CONTROL'!R91</f>
        <v>500.6</v>
      </c>
      <c r="C42" s="4">
        <f>'CARTA DE CONTROL'!AR91</f>
        <v>1.0787055533359922</v>
      </c>
      <c r="D42" s="4">
        <f>'CARTA DE CONTROL'!AS91</f>
        <v>-1.3184178985217783</v>
      </c>
      <c r="E42" s="6">
        <f>'CARTA DE CONTROL'!I92</f>
        <v>2</v>
      </c>
      <c r="F42" s="7">
        <f>-('CARTA DE CONTROL'!I92)</f>
        <v>-2</v>
      </c>
      <c r="G42" s="5" t="str">
        <f t="shared" ref="G42:G48" si="0">IF(C42&lt;=2,IF(D42&gt;=-2,"PASS","NO PASS"))</f>
        <v>PASS</v>
      </c>
    </row>
    <row r="43" spans="1:7" ht="15.75" thickBot="1" x14ac:dyDescent="0.3">
      <c r="B43" s="3">
        <f>'CARTA DE CONTROL'!R93</f>
        <v>800.7</v>
      </c>
      <c r="C43" s="4">
        <f>'CARTA DE CONTROL'!AR93</f>
        <v>0.72436617959285055</v>
      </c>
      <c r="D43" s="4">
        <f>'CARTA DE CONTROL'!AS93</f>
        <v>-0.89921318846010301</v>
      </c>
      <c r="E43" s="6">
        <f>'CARTA DE CONTROL'!I93</f>
        <v>2</v>
      </c>
      <c r="F43" s="7">
        <f>-('CARTA DE CONTROL'!I93)</f>
        <v>-2</v>
      </c>
      <c r="G43" s="5" t="str">
        <f t="shared" si="0"/>
        <v>PASS</v>
      </c>
    </row>
    <row r="44" spans="1:7" ht="15.75" thickBot="1" x14ac:dyDescent="0.3">
      <c r="B44" s="3">
        <f>'CARTA DE CONTROL'!R94</f>
        <v>997.5</v>
      </c>
      <c r="C44" s="4">
        <f>'CARTA DE CONTROL'!AR94</f>
        <v>0.95238095238095233</v>
      </c>
      <c r="D44" s="4">
        <f>'CARTA DE CONTROL'!AS94</f>
        <v>-0.45112781954887216</v>
      </c>
      <c r="E44" s="6">
        <f>'CARTA DE CONTROL'!I94</f>
        <v>2</v>
      </c>
      <c r="F44" s="7">
        <f>-('CARTA DE CONTROL'!I94)</f>
        <v>-2</v>
      </c>
      <c r="G44" s="5" t="str">
        <f t="shared" si="0"/>
        <v>PASS</v>
      </c>
    </row>
    <row r="45" spans="1:7" ht="15.75" thickBot="1" x14ac:dyDescent="0.3">
      <c r="B45" s="3">
        <f>'CARTA DE CONTROL'!R95</f>
        <v>1800</v>
      </c>
      <c r="C45" s="4">
        <f>'CARTA DE CONTROL'!AR95</f>
        <v>1.0666666666666667</v>
      </c>
      <c r="D45" s="4">
        <f>'CARTA DE CONTROL'!AS95</f>
        <v>4.4444444444444509E-2</v>
      </c>
      <c r="E45" s="6">
        <f>'CARTA DE CONTROL'!I95</f>
        <v>2</v>
      </c>
      <c r="F45" s="7">
        <f>-('CARTA DE CONTROL'!I95)</f>
        <v>-2</v>
      </c>
      <c r="G45" s="5" t="str">
        <f t="shared" si="0"/>
        <v>PASS</v>
      </c>
    </row>
    <row r="46" spans="1:7" ht="15.75" thickBot="1" x14ac:dyDescent="0.3">
      <c r="B46" s="3">
        <f>'CARTA DE CONTROL'!R96</f>
        <v>2499</v>
      </c>
      <c r="C46" s="4">
        <f>'CARTA DE CONTROL'!AR96</f>
        <v>1.720688275310124</v>
      </c>
      <c r="D46" s="4">
        <f>'CARTA DE CONTROL'!AS96</f>
        <v>0.76030412164865957</v>
      </c>
      <c r="E46" s="6">
        <f>'CARTA DE CONTROL'!I96</f>
        <v>2</v>
      </c>
      <c r="F46" s="7">
        <f>-('CARTA DE CONTROL'!I96)</f>
        <v>-2</v>
      </c>
      <c r="G46" s="5" t="str">
        <f t="shared" si="0"/>
        <v>PASS</v>
      </c>
    </row>
    <row r="47" spans="1:7" ht="15.75" thickBot="1" x14ac:dyDescent="0.3">
      <c r="B47" s="3">
        <f>'CARTA DE CONTROL'!R97</f>
        <v>3000</v>
      </c>
      <c r="C47" s="4">
        <f>'CARTA DE CONTROL'!AR97</f>
        <v>1.4333333333333333</v>
      </c>
      <c r="D47" s="4">
        <f>'CARTA DE CONTROL'!AS97</f>
        <v>0.56666666666666665</v>
      </c>
      <c r="E47" s="6">
        <f>'CARTA DE CONTROL'!I97</f>
        <v>2</v>
      </c>
      <c r="F47" s="7">
        <f>-('CARTA DE CONTROL'!I97)</f>
        <v>-2</v>
      </c>
      <c r="G47" s="5" t="str">
        <f t="shared" si="0"/>
        <v>PASS</v>
      </c>
    </row>
    <row r="48" spans="1:7" ht="15.75" thickBot="1" x14ac:dyDescent="0.3">
      <c r="B48" s="3">
        <f>'CARTA DE CONTROL'!R98</f>
        <v>3999</v>
      </c>
      <c r="C48" s="4">
        <f>'CARTA DE CONTROL'!AR98</f>
        <v>1.7004251062765692</v>
      </c>
      <c r="D48" s="4">
        <f>'CARTA DE CONTROL'!AS98</f>
        <v>0.8502125531382847</v>
      </c>
      <c r="E48" s="6">
        <f>'CARTA DE CONTROL'!I98</f>
        <v>2</v>
      </c>
      <c r="F48" s="7">
        <f>-('CARTA DE CONTROL'!I98)</f>
        <v>-2</v>
      </c>
      <c r="G48" s="5" t="str">
        <f t="shared" si="0"/>
        <v>PASS</v>
      </c>
    </row>
    <row r="49" spans="1:8" ht="15.75" thickBot="1" x14ac:dyDescent="0.3">
      <c r="B49" s="3">
        <f>'CARTA DE CONTROL'!R99</f>
        <v>7001</v>
      </c>
      <c r="C49" s="4">
        <f>'CARTA DE CONTROL'!AR99</f>
        <v>0.82845307813169544</v>
      </c>
      <c r="D49" s="4">
        <f>'CARTA DE CONTROL'!AS99</f>
        <v>0</v>
      </c>
      <c r="E49" s="6">
        <f>'CARTA DE CONTROL'!I99</f>
        <v>2</v>
      </c>
      <c r="F49" s="7">
        <f>-('CARTA DE CONTROL'!I99)</f>
        <v>-2</v>
      </c>
      <c r="G49" s="5" t="str">
        <f>IF(C49&lt;=2,IF(D49&gt;=-2,"PASS","NO PASS"))</f>
        <v>PASS</v>
      </c>
    </row>
    <row r="50" spans="1:8" ht="15.75" thickBot="1" x14ac:dyDescent="0.3">
      <c r="B50" s="3">
        <f>'CARTA DE CONTROL'!R101</f>
        <v>9004</v>
      </c>
      <c r="C50" s="4">
        <f>'CARTA DE CONTROL'!AR101</f>
        <v>0.69968902709906711</v>
      </c>
      <c r="D50" s="4">
        <f>'CARTA DE CONTROL'!AS101</f>
        <v>-0.12216792536650378</v>
      </c>
      <c r="E50" s="6">
        <f>'CARTA DE CONTROL'!I101</f>
        <v>2</v>
      </c>
      <c r="F50" s="7">
        <f>-('CARTA DE CONTROL'!I101)</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37:D37"/>
    <mergeCell ref="F37:G37"/>
    <mergeCell ref="B39:G39"/>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0">
    <cfRule type="cellIs" dxfId="104" priority="103" operator="lessThan">
      <formula>$F$78</formula>
    </cfRule>
    <cfRule type="cellIs" dxfId="103" priority="104" operator="lessThan">
      <formula>0.05</formula>
    </cfRule>
  </conditionalFormatting>
  <conditionalFormatting sqref="G41:G50">
    <cfRule type="cellIs" dxfId="102" priority="107" operator="between">
      <formula>$F$78</formula>
      <formula>$G$78</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7" workbookViewId="0">
      <selection activeCell="B40" sqref="B40:F42"/>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CONTROL'!B103</f>
        <v>TEMPERATURA 2</v>
      </c>
      <c r="D7" s="832"/>
      <c r="E7" s="833"/>
    </row>
    <row r="8" spans="1:11" x14ac:dyDescent="0.25">
      <c r="B8" s="224" t="s">
        <v>156</v>
      </c>
      <c r="C8" s="831" t="str">
        <f>'CARTA DE CONTROL'!D103</f>
        <v>BRAIN BEE</v>
      </c>
      <c r="D8" s="832"/>
      <c r="E8" s="833"/>
    </row>
    <row r="9" spans="1:11" x14ac:dyDescent="0.25">
      <c r="B9" s="224" t="s">
        <v>157</v>
      </c>
      <c r="C9" s="831" t="str">
        <f>'CARTA DE CONTROL'!E103</f>
        <v xml:space="preserve"> MGT 300 EVO</v>
      </c>
      <c r="D9" s="832"/>
      <c r="E9" s="833"/>
    </row>
    <row r="10" spans="1:11" x14ac:dyDescent="0.25">
      <c r="B10" s="224" t="s">
        <v>158</v>
      </c>
      <c r="C10" s="847">
        <f>'CARTA DE CONTROL'!F103</f>
        <v>180522000304</v>
      </c>
      <c r="D10" s="848"/>
      <c r="E10" s="849"/>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CONTROL'!R103</f>
        <v>39.799999999999997</v>
      </c>
      <c r="C40" s="4">
        <f>'CARTA DE CONTROL'!AR103</f>
        <v>2.4361809045226162</v>
      </c>
      <c r="D40" s="4">
        <f>'CARTA DE CONTROL'!AS103</f>
        <v>-2.0361809045226105</v>
      </c>
      <c r="E40" s="6">
        <f>'CARTA DE CONTROL'!I103</f>
        <v>5</v>
      </c>
      <c r="F40" s="7">
        <f>-('CARTA DE CONTROL'!I103)</f>
        <v>-5</v>
      </c>
      <c r="G40" s="5" t="str">
        <f>IF(C40&lt;=5,IF(D40&gt;=-5,"PASS","NO PASS"))</f>
        <v>PASS</v>
      </c>
    </row>
    <row r="41" spans="1:8" ht="15.75" thickBot="1" x14ac:dyDescent="0.3">
      <c r="B41" s="3">
        <f>'CARTA DE CONTROL'!R104</f>
        <v>59.74</v>
      </c>
      <c r="C41" s="4">
        <f>'CARTA DE CONTROL'!AR104</f>
        <v>1.8502243053230645</v>
      </c>
      <c r="D41" s="4">
        <f>'CARTA DE CONTROL'!AS104</f>
        <v>-1.3302243053230685</v>
      </c>
      <c r="E41" s="6">
        <f>'CARTA DE CONTROL'!I104</f>
        <v>5</v>
      </c>
      <c r="F41" s="7">
        <f>-('CARTA DE CONTROL'!I104)</f>
        <v>-5</v>
      </c>
      <c r="G41" s="5" t="str">
        <f t="shared" ref="G41:G42" si="0">IF(C41&lt;=5,IF(D41&gt;=-5,"PASS","NO PASS"))</f>
        <v>PASS</v>
      </c>
    </row>
    <row r="42" spans="1:8" ht="15.75" thickBot="1" x14ac:dyDescent="0.3">
      <c r="B42" s="3">
        <f>'CARTA DE CONTROL'!R105</f>
        <v>99.5</v>
      </c>
      <c r="C42" s="4">
        <f>'CARTA DE CONTROL'!AR105</f>
        <v>1.806532663316583</v>
      </c>
      <c r="D42" s="4">
        <f>'CARTA DE CONTROL'!AS105</f>
        <v>-0.80653266331658302</v>
      </c>
      <c r="E42" s="6">
        <f>'CARTA DE CONTROL'!I105</f>
        <v>5</v>
      </c>
      <c r="F42" s="7">
        <f>-('CARTA DE CONTROL'!I105)</f>
        <v>-5</v>
      </c>
      <c r="G42" s="5" t="str">
        <f t="shared" si="0"/>
        <v>PASS</v>
      </c>
    </row>
    <row r="43" spans="1:8" x14ac:dyDescent="0.25">
      <c r="A43" s="1"/>
      <c r="B43" s="1"/>
      <c r="C43" s="1"/>
      <c r="D43" s="1"/>
      <c r="E43" s="1"/>
      <c r="F43" s="1"/>
      <c r="G43" s="1"/>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4:D34"/>
    <mergeCell ref="F34:G34"/>
    <mergeCell ref="B35:D35"/>
    <mergeCell ref="F35:G35"/>
    <mergeCell ref="B36:D36"/>
    <mergeCell ref="F36:G36"/>
  </mergeCells>
  <conditionalFormatting sqref="G40">
    <cfRule type="cellIs" dxfId="101" priority="5" operator="lessThan">
      <formula>$F$70</formula>
    </cfRule>
    <cfRule type="cellIs" dxfId="100" priority="6" operator="lessThan">
      <formula>0.05</formula>
    </cfRule>
  </conditionalFormatting>
  <conditionalFormatting sqref="G40">
    <cfRule type="cellIs" dxfId="99" priority="4" operator="between">
      <formula>$F$70</formula>
      <formula>$G$70</formula>
    </cfRule>
  </conditionalFormatting>
  <conditionalFormatting sqref="G41:G42">
    <cfRule type="cellIs" dxfId="98" priority="2" operator="lessThan">
      <formula>$F$70</formula>
    </cfRule>
    <cfRule type="cellIs" dxfId="97" priority="3" operator="lessThan">
      <formula>0.05</formula>
    </cfRule>
  </conditionalFormatting>
  <conditionalFormatting sqref="G41:G42">
    <cfRule type="cellIs" dxfId="96" priority="1" operator="between">
      <formula>$F$70</formula>
      <formula>$G$70</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7" workbookViewId="0">
      <selection activeCell="B41" sqref="B41"/>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CONTROL'!B106</f>
        <v>REVOLUCIONES POR MINUTO  (VIBRACION) 2</v>
      </c>
      <c r="D7" s="832"/>
      <c r="E7" s="833"/>
    </row>
    <row r="8" spans="1:11" x14ac:dyDescent="0.25">
      <c r="B8" s="224" t="s">
        <v>156</v>
      </c>
      <c r="C8" s="831" t="str">
        <f>'CARTA DE CONTROL'!D106</f>
        <v>BRAIN BEE</v>
      </c>
      <c r="D8" s="832"/>
      <c r="E8" s="833"/>
    </row>
    <row r="9" spans="1:11" x14ac:dyDescent="0.25">
      <c r="B9" s="224" t="s">
        <v>157</v>
      </c>
      <c r="C9" s="831" t="str">
        <f>'CARTA DE CONTROL'!E106</f>
        <v xml:space="preserve"> MGT 300 EVO</v>
      </c>
      <c r="D9" s="832"/>
      <c r="E9" s="833"/>
    </row>
    <row r="10" spans="1:11" x14ac:dyDescent="0.25">
      <c r="B10" s="224" t="s">
        <v>158</v>
      </c>
      <c r="C10" s="847">
        <f>'CARTA DE CONTROL'!F106</f>
        <v>180522000304</v>
      </c>
      <c r="D10" s="848"/>
      <c r="E10" s="849"/>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s="1" customFormat="1" ht="25.5" customHeight="1" thickBot="1" x14ac:dyDescent="0.25">
      <c r="A38" s="193"/>
      <c r="B38" s="194"/>
      <c r="C38" s="194"/>
      <c r="D38" s="194"/>
      <c r="E38" s="195"/>
      <c r="F38" s="322"/>
      <c r="G38" s="322"/>
    </row>
    <row r="39" spans="1:7" ht="15.75" thickBot="1" x14ac:dyDescent="0.3">
      <c r="B39" s="812" t="s">
        <v>161</v>
      </c>
      <c r="C39" s="813"/>
      <c r="D39" s="813"/>
      <c r="E39" s="813"/>
      <c r="F39" s="813"/>
      <c r="G39" s="814"/>
    </row>
    <row r="40" spans="1:7" ht="79.5" thickBot="1" x14ac:dyDescent="0.3">
      <c r="B40" s="2" t="s">
        <v>39</v>
      </c>
      <c r="C40" s="11" t="s">
        <v>91</v>
      </c>
      <c r="D40" s="11" t="s">
        <v>92</v>
      </c>
      <c r="E40" s="2" t="s">
        <v>93</v>
      </c>
      <c r="F40" s="2" t="s">
        <v>94</v>
      </c>
      <c r="G40" s="21" t="s">
        <v>95</v>
      </c>
    </row>
    <row r="41" spans="1:7" ht="15.75" thickBot="1" x14ac:dyDescent="0.3">
      <c r="B41" s="3">
        <f>'CARTA DE CONTROL'!R106</f>
        <v>399.4</v>
      </c>
      <c r="C41" s="4">
        <f>'CARTA DE CONTROL'!AR106</f>
        <v>1.6274411617426197</v>
      </c>
      <c r="D41" s="4">
        <f>'CARTA DE CONTROL'!AS106</f>
        <v>-1.3269904857285872</v>
      </c>
      <c r="E41" s="6">
        <f>'CARTA DE CONTROL'!I106</f>
        <v>2</v>
      </c>
      <c r="F41" s="7">
        <f>-('CARTA DE CONTROL'!I106)</f>
        <v>-2</v>
      </c>
      <c r="G41" s="5" t="str">
        <f>IF(C41&lt;=2,IF(D41&gt;=-2,"PASS","NO PASS"))</f>
        <v>PASS</v>
      </c>
    </row>
    <row r="42" spans="1:7" ht="15.75" thickBot="1" x14ac:dyDescent="0.3">
      <c r="B42" s="3">
        <f>'CARTA DE CONTROL'!R107</f>
        <v>498.8</v>
      </c>
      <c r="C42" s="4">
        <f>'CARTA DE CONTROL'!AR107</f>
        <v>1.4434643143544483</v>
      </c>
      <c r="D42" s="4">
        <f>'CARTA DE CONTROL'!AS107</f>
        <v>-0.96230954290296944</v>
      </c>
      <c r="E42" s="6">
        <f>'CARTA DE CONTROL'!I107</f>
        <v>2</v>
      </c>
      <c r="F42" s="7">
        <f>-('CARTA DE CONTROL'!I107)</f>
        <v>-2</v>
      </c>
      <c r="G42" s="5" t="str">
        <f t="shared" ref="G42:G49" si="0">IF(C42&lt;=2,IF(D42&gt;=-2,"PASS","NO PASS"))</f>
        <v>PASS</v>
      </c>
    </row>
    <row r="43" spans="1:7" ht="15.75" thickBot="1" x14ac:dyDescent="0.3">
      <c r="B43" s="3">
        <f>'CARTA DE CONTROL'!R108</f>
        <v>800.7</v>
      </c>
      <c r="C43" s="4">
        <f>'CARTA DE CONTROL'!AR108</f>
        <v>0.72436617959285055</v>
      </c>
      <c r="D43" s="4">
        <f>'CARTA DE CONTROL'!AS108</f>
        <v>-0.89921318846010301</v>
      </c>
      <c r="E43" s="6">
        <f>'CARTA DE CONTROL'!I108</f>
        <v>2</v>
      </c>
      <c r="F43" s="7">
        <f>-('CARTA DE CONTROL'!I108)</f>
        <v>-2</v>
      </c>
      <c r="G43" s="5" t="str">
        <f t="shared" si="0"/>
        <v>PASS</v>
      </c>
    </row>
    <row r="44" spans="1:7" ht="15.75" thickBot="1" x14ac:dyDescent="0.3">
      <c r="B44" s="3">
        <f>'CARTA DE CONTROL'!R109</f>
        <v>997.5</v>
      </c>
      <c r="C44" s="4">
        <f>'CARTA DE CONTROL'!AR109</f>
        <v>0.95238095238095233</v>
      </c>
      <c r="D44" s="4">
        <f>'CARTA DE CONTROL'!AS109</f>
        <v>-0.45112781954887216</v>
      </c>
      <c r="E44" s="6">
        <f>'CARTA DE CONTROL'!I109</f>
        <v>2</v>
      </c>
      <c r="F44" s="7">
        <f>-('CARTA DE CONTROL'!I109)</f>
        <v>-2</v>
      </c>
      <c r="G44" s="5" t="str">
        <f t="shared" si="0"/>
        <v>PASS</v>
      </c>
    </row>
    <row r="45" spans="1:7" ht="15.75" thickBot="1" x14ac:dyDescent="0.3">
      <c r="B45" s="3">
        <f>'CARTA DE CONTROL'!R110</f>
        <v>1800</v>
      </c>
      <c r="C45" s="4">
        <f>'CARTA DE CONTROL'!AR110</f>
        <v>0.51111111111111107</v>
      </c>
      <c r="D45" s="4">
        <f>'CARTA DE CONTROL'!AS110</f>
        <v>-0.51111111111111107</v>
      </c>
      <c r="E45" s="6">
        <f>'CARTA DE CONTROL'!I110</f>
        <v>2</v>
      </c>
      <c r="F45" s="7">
        <f>-('CARTA DE CONTROL'!I110)</f>
        <v>-2</v>
      </c>
      <c r="G45" s="5" t="str">
        <f t="shared" si="0"/>
        <v>PASS</v>
      </c>
    </row>
    <row r="46" spans="1:7" ht="15.75" thickBot="1" x14ac:dyDescent="0.3">
      <c r="B46" s="3">
        <f>'CARTA DE CONTROL'!R111</f>
        <v>2499</v>
      </c>
      <c r="C46" s="4">
        <f>'CARTA DE CONTROL'!AR111</f>
        <v>0.52020808323329326</v>
      </c>
      <c r="D46" s="4">
        <f>'CARTA DE CONTROL'!AS111</f>
        <v>-0.44017607042817125</v>
      </c>
      <c r="E46" s="6">
        <f>'CARTA DE CONTROL'!I111</f>
        <v>2</v>
      </c>
      <c r="F46" s="7">
        <f>-('CARTA DE CONTROL'!I111)</f>
        <v>-2</v>
      </c>
      <c r="G46" s="5" t="str">
        <f t="shared" si="0"/>
        <v>PASS</v>
      </c>
    </row>
    <row r="47" spans="1:7" ht="15.75" thickBot="1" x14ac:dyDescent="0.3">
      <c r="B47" s="3">
        <f>'CARTA DE CONTROL'!R112</f>
        <v>3000</v>
      </c>
      <c r="C47" s="4">
        <f>'CARTA DE CONTROL'!AR112</f>
        <v>0.43333333333333335</v>
      </c>
      <c r="D47" s="4">
        <f>'CARTA DE CONTROL'!AS112</f>
        <v>-0.43333333333333335</v>
      </c>
      <c r="E47" s="6">
        <f>'CARTA DE CONTROL'!I112</f>
        <v>2</v>
      </c>
      <c r="F47" s="7">
        <f>-('CARTA DE CONTROL'!I112)</f>
        <v>-2</v>
      </c>
      <c r="G47" s="5" t="str">
        <f t="shared" si="0"/>
        <v>PASS</v>
      </c>
    </row>
    <row r="48" spans="1:7" ht="15.75" thickBot="1" x14ac:dyDescent="0.3">
      <c r="B48" s="3">
        <f>'CARTA DE CONTROL'!R113</f>
        <v>3999</v>
      </c>
      <c r="C48" s="4">
        <f>'CARTA DE CONTROL'!AR113</f>
        <v>0.45011252813203301</v>
      </c>
      <c r="D48" s="4">
        <f>'CARTA DE CONTROL'!AS113</f>
        <v>-0.40010002500625158</v>
      </c>
      <c r="E48" s="6">
        <f>'CARTA DE CONTROL'!I113</f>
        <v>2</v>
      </c>
      <c r="F48" s="7">
        <f>-('CARTA DE CONTROL'!I113)</f>
        <v>-2</v>
      </c>
      <c r="G48" s="5" t="str">
        <f t="shared" si="0"/>
        <v>PASS</v>
      </c>
    </row>
    <row r="49" spans="1:8" ht="15.75" thickBot="1" x14ac:dyDescent="0.3">
      <c r="B49" s="3">
        <f>'CARTA DE CONTROL'!R114</f>
        <v>7001</v>
      </c>
      <c r="C49" s="4">
        <f>'CARTA DE CONTROL'!AR114</f>
        <v>0.39994286530495643</v>
      </c>
      <c r="D49" s="4">
        <f>'CARTA DE CONTROL'!AS114</f>
        <v>-0.42851021282673901</v>
      </c>
      <c r="E49" s="6">
        <f>'CARTA DE CONTROL'!I114</f>
        <v>2</v>
      </c>
      <c r="F49" s="7">
        <f>-('CARTA DE CONTROL'!I114)</f>
        <v>-2</v>
      </c>
      <c r="G49" s="5" t="str">
        <f t="shared" si="0"/>
        <v>PASS</v>
      </c>
    </row>
    <row r="50" spans="1:8" ht="15.75" thickBot="1" x14ac:dyDescent="0.3">
      <c r="B50" s="3">
        <f>'CARTA DE CONTROL'!R115</f>
        <v>9004</v>
      </c>
      <c r="C50" s="4">
        <f>'CARTA DE CONTROL'!AR115</f>
        <v>0.36650377609951135</v>
      </c>
      <c r="D50" s="4">
        <f>'CARTA DE CONTROL'!AS115</f>
        <v>-0.45535317636605954</v>
      </c>
      <c r="E50" s="6">
        <f>'CARTA DE CONTROL'!I115</f>
        <v>2</v>
      </c>
      <c r="F50" s="7">
        <f>-('CARTA DE CONTROL'!I115)</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9:G39"/>
    <mergeCell ref="B34:D34"/>
    <mergeCell ref="F34:G34"/>
    <mergeCell ref="B35:D35"/>
    <mergeCell ref="F35:G35"/>
    <mergeCell ref="B36:D36"/>
    <mergeCell ref="F36:G36"/>
  </mergeCells>
  <conditionalFormatting sqref="G41:G50">
    <cfRule type="cellIs" dxfId="95" priority="2" operator="lessThan">
      <formula>$F$78</formula>
    </cfRule>
    <cfRule type="cellIs" dxfId="94" priority="3" operator="lessThan">
      <formula>0.05</formula>
    </cfRule>
  </conditionalFormatting>
  <conditionalFormatting sqref="G41:G50">
    <cfRule type="cellIs" dxfId="93" priority="1" operator="between">
      <formula>$F$78</formula>
      <formula>$G$78</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40" workbookViewId="0">
      <selection activeCell="H52" sqref="H52"/>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CONTROL'!B116</f>
        <v>REVOLUCIONES POR MINUTO (BATERIA) 2</v>
      </c>
      <c r="D7" s="832"/>
      <c r="E7" s="833"/>
    </row>
    <row r="8" spans="1:11" x14ac:dyDescent="0.25">
      <c r="B8" s="224" t="s">
        <v>156</v>
      </c>
      <c r="C8" s="831" t="str">
        <f>'CARTA DE CONTROL'!D116</f>
        <v>BRAIN BEE</v>
      </c>
      <c r="D8" s="832"/>
      <c r="E8" s="833"/>
    </row>
    <row r="9" spans="1:11" x14ac:dyDescent="0.25">
      <c r="B9" s="224" t="s">
        <v>157</v>
      </c>
      <c r="C9" s="831" t="str">
        <f>'CARTA DE CONTROL'!E116</f>
        <v xml:space="preserve"> MGT 300 EVO</v>
      </c>
      <c r="D9" s="832"/>
      <c r="E9" s="833"/>
    </row>
    <row r="10" spans="1:11" x14ac:dyDescent="0.25">
      <c r="B10" s="224" t="s">
        <v>158</v>
      </c>
      <c r="C10" s="847">
        <f>'CARTA DE CONTROL'!F116</f>
        <v>180522000304</v>
      </c>
      <c r="D10" s="848"/>
      <c r="E10" s="849"/>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s="1" customFormat="1" ht="25.5" customHeight="1" thickBot="1" x14ac:dyDescent="0.25">
      <c r="A38" s="193"/>
      <c r="B38" s="194"/>
      <c r="C38" s="194"/>
      <c r="D38" s="194"/>
      <c r="E38" s="195"/>
      <c r="F38" s="322"/>
      <c r="G38" s="322"/>
    </row>
    <row r="39" spans="1:7" ht="15.75" thickBot="1" x14ac:dyDescent="0.3">
      <c r="B39" s="812" t="s">
        <v>161</v>
      </c>
      <c r="C39" s="813"/>
      <c r="D39" s="813"/>
      <c r="E39" s="813"/>
      <c r="F39" s="813"/>
      <c r="G39" s="814"/>
    </row>
    <row r="40" spans="1:7" ht="79.5" thickBot="1" x14ac:dyDescent="0.3">
      <c r="B40" s="2" t="s">
        <v>39</v>
      </c>
      <c r="C40" s="11" t="s">
        <v>91</v>
      </c>
      <c r="D40" s="11" t="s">
        <v>92</v>
      </c>
      <c r="E40" s="2" t="s">
        <v>93</v>
      </c>
      <c r="F40" s="2" t="s">
        <v>94</v>
      </c>
      <c r="G40" s="21" t="s">
        <v>95</v>
      </c>
    </row>
    <row r="41" spans="1:7" ht="15.75" thickBot="1" x14ac:dyDescent="0.3">
      <c r="B41" s="3">
        <f>'CARTA DE CONTROL'!R116</f>
        <v>399.4</v>
      </c>
      <c r="C41" s="4">
        <f>'CARTA DE CONTROL'!AR116</f>
        <v>1.6274411617426197</v>
      </c>
      <c r="D41" s="4">
        <f>'CARTA DE CONTROL'!AS116</f>
        <v>-1.3269904857285872</v>
      </c>
      <c r="E41" s="6">
        <f>'CARTA DE CONTROL'!I116</f>
        <v>2</v>
      </c>
      <c r="F41" s="7">
        <f>-('CARTA DE CONTROL'!I116)</f>
        <v>-2</v>
      </c>
      <c r="G41" s="5" t="str">
        <f>IF(C41&lt;=2,IF(D41&gt;=-2,"PASS","NO PASS"))</f>
        <v>PASS</v>
      </c>
    </row>
    <row r="42" spans="1:7" ht="15.75" thickBot="1" x14ac:dyDescent="0.3">
      <c r="B42" s="3">
        <f>'CARTA DE CONTROL'!R117</f>
        <v>500.6</v>
      </c>
      <c r="C42" s="4">
        <f>'CARTA DE CONTROL'!AR117</f>
        <v>1.0787055533359922</v>
      </c>
      <c r="D42" s="4">
        <f>'CARTA DE CONTROL'!AS117</f>
        <v>-1.3184178985217783</v>
      </c>
      <c r="E42" s="6">
        <f>'CARTA DE CONTROL'!I117</f>
        <v>2</v>
      </c>
      <c r="F42" s="7">
        <f>-('CARTA DE CONTROL'!I117)</f>
        <v>-2</v>
      </c>
      <c r="G42" s="5" t="str">
        <f t="shared" ref="G42:G50" si="0">IF(C42&lt;=2,IF(D42&gt;=-2,"PASS","NO PASS"))</f>
        <v>PASS</v>
      </c>
    </row>
    <row r="43" spans="1:7" ht="15.75" thickBot="1" x14ac:dyDescent="0.3">
      <c r="B43" s="3">
        <f>'CARTA DE CONTROL'!R118</f>
        <v>800.7</v>
      </c>
      <c r="C43" s="4">
        <f>'CARTA DE CONTROL'!AR118</f>
        <v>0.72436617959285055</v>
      </c>
      <c r="D43" s="4">
        <f>'CARTA DE CONTROL'!AS118</f>
        <v>-0.89921318846010301</v>
      </c>
      <c r="E43" s="6">
        <f>'CARTA DE CONTROL'!I118</f>
        <v>2</v>
      </c>
      <c r="F43" s="7">
        <f>-('CARTA DE CONTROL'!I118)</f>
        <v>-2</v>
      </c>
      <c r="G43" s="5" t="str">
        <f t="shared" si="0"/>
        <v>PASS</v>
      </c>
    </row>
    <row r="44" spans="1:7" ht="15.75" thickBot="1" x14ac:dyDescent="0.3">
      <c r="B44" s="3">
        <f>'CARTA DE CONTROL'!R119</f>
        <v>997.5</v>
      </c>
      <c r="C44" s="4">
        <f>'CARTA DE CONTROL'!AR119</f>
        <v>0.95238095238095233</v>
      </c>
      <c r="D44" s="4">
        <f>'CARTA DE CONTROL'!AS119</f>
        <v>-0.45112781954887216</v>
      </c>
      <c r="E44" s="6">
        <f>'CARTA DE CONTROL'!I119</f>
        <v>2</v>
      </c>
      <c r="F44" s="7">
        <f>-('CARTA DE CONTROL'!I119)</f>
        <v>-2</v>
      </c>
      <c r="G44" s="5" t="str">
        <f t="shared" si="0"/>
        <v>PASS</v>
      </c>
    </row>
    <row r="45" spans="1:7" ht="15.75" thickBot="1" x14ac:dyDescent="0.3">
      <c r="B45" s="3">
        <f>'CARTA DE CONTROL'!R120</f>
        <v>1800</v>
      </c>
      <c r="C45" s="4">
        <f>'CARTA DE CONTROL'!AR120</f>
        <v>1.0666666666666667</v>
      </c>
      <c r="D45" s="4">
        <f>'CARTA DE CONTROL'!AS120</f>
        <v>4.4444444444444509E-2</v>
      </c>
      <c r="E45" s="6">
        <f>'CARTA DE CONTROL'!I120</f>
        <v>2</v>
      </c>
      <c r="F45" s="7">
        <f>-('CARTA DE CONTROL'!I120)</f>
        <v>-2</v>
      </c>
      <c r="G45" s="5" t="str">
        <f t="shared" si="0"/>
        <v>PASS</v>
      </c>
    </row>
    <row r="46" spans="1:7" ht="15.75" thickBot="1" x14ac:dyDescent="0.3">
      <c r="B46" s="3">
        <f>'CARTA DE CONTROL'!R121</f>
        <v>2499</v>
      </c>
      <c r="C46" s="4">
        <f>'CARTA DE CONTROL'!AR121</f>
        <v>0.92036814725890359</v>
      </c>
      <c r="D46" s="4">
        <f>'CARTA DE CONTROL'!AS121</f>
        <v>-4.0016006402561033E-2</v>
      </c>
      <c r="E46" s="6">
        <f>'CARTA DE CONTROL'!I121</f>
        <v>2</v>
      </c>
      <c r="F46" s="7">
        <f>-('CARTA DE CONTROL'!I121)</f>
        <v>-2</v>
      </c>
      <c r="G46" s="5" t="str">
        <f t="shared" si="0"/>
        <v>PASS</v>
      </c>
    </row>
    <row r="47" spans="1:7" ht="15.75" thickBot="1" x14ac:dyDescent="0.3">
      <c r="B47" s="3">
        <f>'CARTA DE CONTROL'!R122</f>
        <v>3000</v>
      </c>
      <c r="C47" s="4">
        <f>'CARTA DE CONTROL'!AR122</f>
        <v>1.4333333333333333</v>
      </c>
      <c r="D47" s="4">
        <f>'CARTA DE CONTROL'!AS122</f>
        <v>0.56666666666666665</v>
      </c>
      <c r="E47" s="6">
        <f>'CARTA DE CONTROL'!I122</f>
        <v>2</v>
      </c>
      <c r="F47" s="7">
        <f>-('CARTA DE CONTROL'!I122)</f>
        <v>-2</v>
      </c>
      <c r="G47" s="5" t="str">
        <f t="shared" si="0"/>
        <v>PASS</v>
      </c>
    </row>
    <row r="48" spans="1:7" ht="15.75" thickBot="1" x14ac:dyDescent="0.3">
      <c r="B48" s="3">
        <f>'CARTA DE CONTROL'!R123</f>
        <v>3999</v>
      </c>
      <c r="C48" s="4">
        <f>'CARTA DE CONTROL'!AR123</f>
        <v>1.2003000750187547</v>
      </c>
      <c r="D48" s="4">
        <f>'CARTA DE CONTROL'!AS123</f>
        <v>0.35008752188047015</v>
      </c>
      <c r="E48" s="6">
        <f>'CARTA DE CONTROL'!I123</f>
        <v>2</v>
      </c>
      <c r="F48" s="7">
        <f>-('CARTA DE CONTROL'!I123)</f>
        <v>-2</v>
      </c>
      <c r="G48" s="5" t="str">
        <f t="shared" si="0"/>
        <v>PASS</v>
      </c>
    </row>
    <row r="49" spans="1:8" ht="15.75" thickBot="1" x14ac:dyDescent="0.3">
      <c r="B49" s="3">
        <f>'CARTA DE CONTROL'!R124</f>
        <v>7001</v>
      </c>
      <c r="C49" s="4">
        <f>'CARTA DE CONTROL'!AR124</f>
        <v>0.39994286530495643</v>
      </c>
      <c r="D49" s="4">
        <f>'CARTA DE CONTROL'!AS124</f>
        <v>-0.42851021282673901</v>
      </c>
      <c r="E49" s="6">
        <f>'CARTA DE CONTROL'!I124</f>
        <v>2</v>
      </c>
      <c r="F49" s="7">
        <f>-('CARTA DE CONTROL'!I124)</f>
        <v>-2</v>
      </c>
      <c r="G49" s="5" t="str">
        <f t="shared" si="0"/>
        <v>PASS</v>
      </c>
    </row>
    <row r="50" spans="1:8" ht="15.75" thickBot="1" x14ac:dyDescent="0.3">
      <c r="B50" s="3">
        <f>'CARTA DE CONTROL'!R125</f>
        <v>9004</v>
      </c>
      <c r="C50" s="4">
        <f>'CARTA DE CONTROL'!AR125</f>
        <v>0.36650377609951135</v>
      </c>
      <c r="D50" s="4">
        <f>'CARTA DE CONTROL'!AS125</f>
        <v>-0.45535317636605954</v>
      </c>
      <c r="E50" s="6">
        <f>'CARTA DE CONTROL'!I125</f>
        <v>2</v>
      </c>
      <c r="F50" s="7">
        <f>-('CARTA DE CONTROL'!I125)</f>
        <v>-2</v>
      </c>
      <c r="G50" s="5" t="str">
        <f t="shared" si="0"/>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9:G39"/>
    <mergeCell ref="B34:D34"/>
    <mergeCell ref="F34:G34"/>
    <mergeCell ref="B35:D35"/>
    <mergeCell ref="F35:G35"/>
    <mergeCell ref="B36:D36"/>
    <mergeCell ref="F36:G36"/>
  </mergeCells>
  <conditionalFormatting sqref="G41:G50">
    <cfRule type="cellIs" dxfId="92" priority="1" operator="lessThan">
      <formula>$F$78</formula>
    </cfRule>
    <cfRule type="cellIs" dxfId="91" priority="2" operator="lessThan">
      <formula>0.05</formula>
    </cfRule>
  </conditionalFormatting>
  <conditionalFormatting sqref="G41:G50">
    <cfRule type="cellIs" dxfId="90" priority="3" operator="between">
      <formula>$F$78</formula>
      <formula>$G$78</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82" workbookViewId="0">
      <selection activeCell="F43" sqref="F43"/>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386"/>
      <c r="C2" s="386"/>
      <c r="D2" s="386"/>
      <c r="E2" s="212"/>
      <c r="F2" s="386"/>
      <c r="G2" s="386"/>
      <c r="H2" s="386"/>
    </row>
    <row r="3" spans="1:11" ht="15" customHeight="1" x14ac:dyDescent="0.25">
      <c r="B3" s="386"/>
      <c r="C3" s="386"/>
      <c r="D3" s="386"/>
      <c r="E3" s="212"/>
      <c r="F3" s="386"/>
      <c r="G3" s="386"/>
      <c r="H3" s="386"/>
    </row>
    <row r="4" spans="1:11" ht="15" customHeight="1" x14ac:dyDescent="0.25">
      <c r="B4" s="386"/>
      <c r="C4" s="386"/>
      <c r="D4" s="386"/>
      <c r="E4" s="212"/>
      <c r="F4" s="386"/>
      <c r="G4" s="386"/>
      <c r="H4" s="386"/>
    </row>
    <row r="5" spans="1:11" ht="15" customHeight="1" x14ac:dyDescent="0.25">
      <c r="B5" s="386"/>
      <c r="C5" s="386"/>
      <c r="D5" s="386"/>
      <c r="E5" s="212"/>
      <c r="F5" s="386"/>
      <c r="G5" s="386"/>
      <c r="H5" s="386"/>
    </row>
    <row r="6" spans="1:11" ht="15" customHeight="1" x14ac:dyDescent="0.25">
      <c r="B6" s="386"/>
      <c r="C6" s="386"/>
      <c r="D6" s="386"/>
      <c r="E6" s="212"/>
      <c r="F6" s="386"/>
      <c r="G6" s="386"/>
      <c r="H6" s="386"/>
    </row>
    <row r="7" spans="1:11" x14ac:dyDescent="0.25">
      <c r="B7" s="224" t="s">
        <v>155</v>
      </c>
      <c r="C7" s="831" t="str">
        <f>'CARTA DE CONTROL'!B126</f>
        <v xml:space="preserve">ALINEADOR AL PASO </v>
      </c>
      <c r="D7" s="832"/>
      <c r="E7" s="833"/>
    </row>
    <row r="8" spans="1:11" x14ac:dyDescent="0.25">
      <c r="B8" s="224" t="s">
        <v>156</v>
      </c>
      <c r="C8" s="831" t="str">
        <f>'CARTA DE CONTROL'!D126</f>
        <v>VAMAG</v>
      </c>
      <c r="D8" s="832"/>
      <c r="E8" s="833"/>
    </row>
    <row r="9" spans="1:11" x14ac:dyDescent="0.25">
      <c r="B9" s="224" t="s">
        <v>157</v>
      </c>
      <c r="C9" s="831" t="str">
        <f>'CARTA DE CONTROL'!E126</f>
        <v>TRZ</v>
      </c>
      <c r="D9" s="832"/>
      <c r="E9" s="833"/>
    </row>
    <row r="10" spans="1:11" x14ac:dyDescent="0.25">
      <c r="B10" s="224" t="s">
        <v>158</v>
      </c>
      <c r="C10" s="847" t="str">
        <f>'CARTA DE CONTROL'!F126</f>
        <v>TRZM-024</v>
      </c>
      <c r="D10" s="848"/>
      <c r="E10" s="849"/>
    </row>
    <row r="11" spans="1:11" ht="15" customHeight="1" thickBot="1" x14ac:dyDescent="0.3">
      <c r="B11" s="386"/>
      <c r="C11" s="386"/>
      <c r="D11" s="386"/>
      <c r="E11" s="212"/>
      <c r="F11" s="386"/>
      <c r="G11" s="386"/>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388" t="s">
        <v>128</v>
      </c>
      <c r="F13" s="843" t="s">
        <v>129</v>
      </c>
      <c r="G13" s="844"/>
      <c r="H13" s="203"/>
      <c r="I13" s="203"/>
      <c r="J13" s="203"/>
      <c r="K13" s="203"/>
    </row>
    <row r="14" spans="1:11" s="1" customFormat="1" ht="35.25" customHeight="1" x14ac:dyDescent="0.2">
      <c r="A14" s="206">
        <v>1</v>
      </c>
      <c r="B14" s="822" t="s">
        <v>130</v>
      </c>
      <c r="C14" s="822"/>
      <c r="D14" s="822"/>
      <c r="E14" s="387" t="s">
        <v>131</v>
      </c>
      <c r="F14" s="823"/>
      <c r="G14" s="824"/>
      <c r="H14" s="204"/>
      <c r="I14" s="204"/>
      <c r="J14" s="204"/>
      <c r="K14" s="204"/>
    </row>
    <row r="15" spans="1:11" s="1" customFormat="1" ht="35.25" customHeight="1" x14ac:dyDescent="0.2">
      <c r="A15" s="206">
        <v>2</v>
      </c>
      <c r="B15" s="822" t="s">
        <v>132</v>
      </c>
      <c r="C15" s="822"/>
      <c r="D15" s="822"/>
      <c r="E15" s="387" t="s">
        <v>131</v>
      </c>
      <c r="F15" s="823"/>
      <c r="G15" s="824"/>
    </row>
    <row r="16" spans="1:11" s="1" customFormat="1" ht="35.25" customHeight="1" x14ac:dyDescent="0.2">
      <c r="A16" s="206">
        <v>3</v>
      </c>
      <c r="B16" s="822" t="s">
        <v>133</v>
      </c>
      <c r="C16" s="822"/>
      <c r="D16" s="822"/>
      <c r="E16" s="387" t="s">
        <v>131</v>
      </c>
      <c r="F16" s="823"/>
      <c r="G16" s="824"/>
    </row>
    <row r="17" spans="1:11" s="1" customFormat="1" ht="35.25" customHeight="1" x14ac:dyDescent="0.2">
      <c r="A17" s="206">
        <v>4</v>
      </c>
      <c r="B17" s="822" t="s">
        <v>134</v>
      </c>
      <c r="C17" s="822"/>
      <c r="D17" s="822"/>
      <c r="E17" s="387" t="s">
        <v>131</v>
      </c>
      <c r="F17" s="845"/>
      <c r="G17" s="846"/>
    </row>
    <row r="18" spans="1:11" s="1" customFormat="1" ht="35.25" customHeight="1" x14ac:dyDescent="0.2">
      <c r="A18" s="206">
        <v>5</v>
      </c>
      <c r="B18" s="822" t="s">
        <v>135</v>
      </c>
      <c r="C18" s="822"/>
      <c r="D18" s="822"/>
      <c r="E18" s="387" t="s">
        <v>131</v>
      </c>
      <c r="F18" s="823"/>
      <c r="G18" s="824"/>
    </row>
    <row r="19" spans="1:11" s="1" customFormat="1" ht="35.25" customHeight="1" x14ac:dyDescent="0.2">
      <c r="A19" s="206">
        <v>6</v>
      </c>
      <c r="B19" s="822" t="s">
        <v>136</v>
      </c>
      <c r="C19" s="822"/>
      <c r="D19" s="822"/>
      <c r="E19" s="387" t="s">
        <v>131</v>
      </c>
      <c r="F19" s="823"/>
      <c r="G19" s="824"/>
    </row>
    <row r="20" spans="1:11" s="1" customFormat="1" ht="35.25" customHeight="1" x14ac:dyDescent="0.2">
      <c r="A20" s="206">
        <v>7</v>
      </c>
      <c r="B20" s="822" t="s">
        <v>137</v>
      </c>
      <c r="C20" s="822"/>
      <c r="D20" s="822"/>
      <c r="E20" s="387" t="s">
        <v>131</v>
      </c>
      <c r="F20" s="823"/>
      <c r="G20" s="824"/>
    </row>
    <row r="21" spans="1:11" s="1" customFormat="1" ht="35.25" customHeight="1" x14ac:dyDescent="0.2">
      <c r="A21" s="206">
        <v>8</v>
      </c>
      <c r="B21" s="822" t="s">
        <v>138</v>
      </c>
      <c r="C21" s="822"/>
      <c r="D21" s="822"/>
      <c r="E21" s="387" t="s">
        <v>131</v>
      </c>
      <c r="F21" s="823"/>
      <c r="G21" s="824"/>
    </row>
    <row r="22" spans="1:11" s="1" customFormat="1" ht="35.25" customHeight="1" x14ac:dyDescent="0.2">
      <c r="A22" s="206">
        <v>9</v>
      </c>
      <c r="B22" s="822" t="s">
        <v>139</v>
      </c>
      <c r="C22" s="822"/>
      <c r="D22" s="822"/>
      <c r="E22" s="387" t="s">
        <v>131</v>
      </c>
      <c r="F22" s="823"/>
      <c r="G22" s="824"/>
    </row>
    <row r="23" spans="1:11" s="1" customFormat="1" ht="35.25" customHeight="1" x14ac:dyDescent="0.2">
      <c r="A23" s="206">
        <v>10</v>
      </c>
      <c r="B23" s="822" t="s">
        <v>140</v>
      </c>
      <c r="C23" s="822"/>
      <c r="D23" s="822"/>
      <c r="E23" s="387" t="s">
        <v>131</v>
      </c>
      <c r="F23" s="823"/>
      <c r="G23" s="824"/>
    </row>
    <row r="24" spans="1:11" s="1" customFormat="1" ht="35.25" customHeight="1" x14ac:dyDescent="0.2">
      <c r="A24" s="206">
        <v>11</v>
      </c>
      <c r="B24" s="822" t="s">
        <v>141</v>
      </c>
      <c r="C24" s="822"/>
      <c r="D24" s="822"/>
      <c r="E24" s="387"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387" t="s">
        <v>131</v>
      </c>
      <c r="F26" s="823"/>
      <c r="G26" s="824"/>
    </row>
    <row r="27" spans="1:11" s="1" customFormat="1" ht="35.25" customHeight="1" x14ac:dyDescent="0.2">
      <c r="A27" s="206">
        <v>14</v>
      </c>
      <c r="B27" s="822" t="s">
        <v>144</v>
      </c>
      <c r="C27" s="822"/>
      <c r="D27" s="822"/>
      <c r="E27" s="387" t="s">
        <v>131</v>
      </c>
      <c r="F27" s="823"/>
      <c r="G27" s="824"/>
    </row>
    <row r="28" spans="1:11" s="1" customFormat="1" ht="54.75" customHeight="1" thickBot="1" x14ac:dyDescent="0.25">
      <c r="A28" s="208">
        <v>15</v>
      </c>
      <c r="B28" s="825" t="s">
        <v>145</v>
      </c>
      <c r="C28" s="825"/>
      <c r="D28" s="825"/>
      <c r="E28" s="389"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390"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s="1" customFormat="1" ht="25.5" customHeight="1" thickBot="1" x14ac:dyDescent="0.25">
      <c r="A38" s="193"/>
      <c r="B38" s="194"/>
      <c r="C38" s="194"/>
      <c r="D38" s="194"/>
      <c r="E38" s="195"/>
      <c r="F38" s="322"/>
      <c r="G38" s="322"/>
    </row>
    <row r="39" spans="1:7" ht="15.75" thickBot="1" x14ac:dyDescent="0.3">
      <c r="B39" s="812" t="s">
        <v>161</v>
      </c>
      <c r="C39" s="813"/>
      <c r="D39" s="813"/>
      <c r="E39" s="813"/>
      <c r="F39" s="813"/>
      <c r="G39" s="814"/>
    </row>
    <row r="40" spans="1:7" ht="79.5" thickBot="1" x14ac:dyDescent="0.3">
      <c r="B40" s="2" t="s">
        <v>179</v>
      </c>
      <c r="C40" s="11" t="s">
        <v>180</v>
      </c>
      <c r="D40" s="11" t="s">
        <v>181</v>
      </c>
      <c r="E40" s="2" t="s">
        <v>182</v>
      </c>
      <c r="F40" s="2" t="s">
        <v>183</v>
      </c>
      <c r="G40" s="21" t="s">
        <v>95</v>
      </c>
    </row>
    <row r="41" spans="1:7" ht="15.75" thickBot="1" x14ac:dyDescent="0.3">
      <c r="B41" s="3">
        <f>'CARTA DE CONTROL'!R126</f>
        <v>1.4999999999999999E-2</v>
      </c>
      <c r="C41" s="4">
        <f>'CARTA DE CONTROL'!AR126</f>
        <v>7.8E-2</v>
      </c>
      <c r="D41" s="4">
        <f>'CARTA DE CONTROL'!AS126</f>
        <v>-0.108</v>
      </c>
      <c r="E41" s="6">
        <f>'CARTA DE CONTROL'!I126</f>
        <v>1</v>
      </c>
      <c r="F41" s="7">
        <f>-('CARTA DE CONTROL'!I126)</f>
        <v>-1</v>
      </c>
      <c r="G41" s="5" t="str">
        <f>IF(C41&lt;=1,IF(D41&gt;=-1,"PASS","NO PASS"))</f>
        <v>PASS</v>
      </c>
    </row>
    <row r="42" spans="1:7" ht="15.75" thickBot="1" x14ac:dyDescent="0.3">
      <c r="B42" s="3">
        <f>'CARTA DE CONTROL'!R127</f>
        <v>-4.508</v>
      </c>
      <c r="C42" s="4">
        <f>'CARTA DE CONTROL'!AR127</f>
        <v>-0.52100000000000013</v>
      </c>
      <c r="D42" s="4">
        <f>'CARTA DE CONTROL'!AS127</f>
        <v>-0.70300000000000007</v>
      </c>
      <c r="E42" s="6">
        <v>1</v>
      </c>
      <c r="F42" s="7">
        <v>-1</v>
      </c>
      <c r="G42" s="5" t="str">
        <f t="shared" ref="G42:G50" si="0">IF(C42&lt;=1,IF(D42&gt;=-1,"PASS","NO PASS"))</f>
        <v>PASS</v>
      </c>
    </row>
    <row r="43" spans="1:7" ht="15.75" thickBot="1" x14ac:dyDescent="0.3">
      <c r="B43" s="3">
        <f>'CARTA DE CONTROL'!R128</f>
        <v>-7.8380000000000001</v>
      </c>
      <c r="C43" s="4">
        <f>'CARTA DE CONTROL'!AR128</f>
        <v>-0.30200000000000038</v>
      </c>
      <c r="D43" s="4">
        <f>'CARTA DE CONTROL'!AS128</f>
        <v>-0.48200000000000032</v>
      </c>
      <c r="E43" s="6">
        <f>'CARTA DE CONTROL'!I128</f>
        <v>1</v>
      </c>
      <c r="F43" s="7">
        <f>-('CARTA DE CONTROL'!I128)</f>
        <v>-1</v>
      </c>
      <c r="G43" s="5" t="str">
        <f t="shared" si="0"/>
        <v>PASS</v>
      </c>
    </row>
    <row r="44" spans="1:7" ht="15.75" thickBot="1" x14ac:dyDescent="0.3">
      <c r="B44" s="3">
        <f>'CARTA DE CONTROL'!R129</f>
        <v>-11.465</v>
      </c>
      <c r="C44" s="4">
        <f>'CARTA DE CONTROL'!AR129</f>
        <v>-0.34100000000000052</v>
      </c>
      <c r="D44" s="4">
        <f>'CARTA DE CONTROL'!AS129</f>
        <v>-0.52900000000000047</v>
      </c>
      <c r="E44" s="6">
        <f>'CARTA DE CONTROL'!I129</f>
        <v>1</v>
      </c>
      <c r="F44" s="7">
        <f>-('CARTA DE CONTROL'!I129)</f>
        <v>-1</v>
      </c>
      <c r="G44" s="5" t="str">
        <f t="shared" si="0"/>
        <v>PASS</v>
      </c>
    </row>
    <row r="45" spans="1:7" ht="15.75" thickBot="1" x14ac:dyDescent="0.3">
      <c r="B45" s="3">
        <f>'CARTA DE CONTROL'!R130</f>
        <v>-14.923999999999999</v>
      </c>
      <c r="C45" s="4">
        <f>'CARTA DE CONTROL'!AR130</f>
        <v>-0.14900000000000044</v>
      </c>
      <c r="D45" s="4">
        <f>'CARTA DE CONTROL'!AS130</f>
        <v>-0.34300000000000042</v>
      </c>
      <c r="E45" s="6">
        <f>'CARTA DE CONTROL'!I130</f>
        <v>1</v>
      </c>
      <c r="F45" s="7">
        <f>-('CARTA DE CONTROL'!I130)</f>
        <v>-1</v>
      </c>
      <c r="G45" s="5" t="str">
        <f t="shared" si="0"/>
        <v>PASS</v>
      </c>
    </row>
    <row r="46" spans="1:7" ht="15.75" thickBot="1" x14ac:dyDescent="0.3">
      <c r="B46" s="3">
        <f>'CARTA DE CONTROL'!R131</f>
        <v>1.2E-2</v>
      </c>
      <c r="C46" s="4">
        <f>'CARTA DE CONTROL'!AR131</f>
        <v>7.8E-2</v>
      </c>
      <c r="D46" s="4">
        <f>'CARTA DE CONTROL'!AS131</f>
        <v>-0.10199999999999999</v>
      </c>
      <c r="E46" s="6">
        <f>'CARTA DE CONTROL'!I131</f>
        <v>1</v>
      </c>
      <c r="F46" s="7">
        <f>-('CARTA DE CONTROL'!I131)</f>
        <v>-1</v>
      </c>
      <c r="G46" s="5" t="str">
        <f t="shared" si="0"/>
        <v>PASS</v>
      </c>
    </row>
    <row r="47" spans="1:7" ht="15.75" thickBot="1" x14ac:dyDescent="0.3">
      <c r="B47" s="3">
        <f>'CARTA DE CONTROL'!R132</f>
        <v>4.8680000000000003</v>
      </c>
      <c r="C47" s="4">
        <f>'CARTA DE CONTROL'!AR132</f>
        <v>0.2040000000000001</v>
      </c>
      <c r="D47" s="4">
        <f>'CARTA DE CONTROL'!AS132</f>
        <v>2.0000000000000101E-2</v>
      </c>
      <c r="E47" s="6">
        <f>'CARTA DE CONTROL'!I132</f>
        <v>1</v>
      </c>
      <c r="F47" s="7">
        <f>-('CARTA DE CONTROL'!I132)</f>
        <v>-1</v>
      </c>
      <c r="G47" s="5" t="str">
        <f t="shared" si="0"/>
        <v>PASS</v>
      </c>
    </row>
    <row r="48" spans="1:7" ht="15.75" thickBot="1" x14ac:dyDescent="0.3">
      <c r="B48" s="3">
        <f>'CARTA DE CONTROL'!R133</f>
        <v>7.9320000000000004</v>
      </c>
      <c r="C48" s="4">
        <f>'CARTA DE CONTROL'!AR133</f>
        <v>0.49899999999999944</v>
      </c>
      <c r="D48" s="4">
        <f>'CARTA DE CONTROL'!AS133</f>
        <v>0.3169999999999995</v>
      </c>
      <c r="E48" s="6">
        <f>'CARTA DE CONTROL'!I133</f>
        <v>1</v>
      </c>
      <c r="F48" s="7">
        <f>-('CARTA DE CONTROL'!I133)</f>
        <v>-1</v>
      </c>
      <c r="G48" s="5" t="str">
        <f t="shared" si="0"/>
        <v>PASS</v>
      </c>
    </row>
    <row r="49" spans="1:8" ht="15.75" thickBot="1" x14ac:dyDescent="0.3">
      <c r="B49" s="3">
        <f>'CARTA DE CONTROL'!R134</f>
        <v>11.632999999999999</v>
      </c>
      <c r="C49" s="4">
        <f>'CARTA DE CONTROL'!AR134</f>
        <v>0.4180000000000017</v>
      </c>
      <c r="D49" s="4">
        <f>'CARTA DE CONTROL'!AS134</f>
        <v>0.23600000000000174</v>
      </c>
      <c r="E49" s="6">
        <f>'CARTA DE CONTROL'!I134</f>
        <v>1</v>
      </c>
      <c r="F49" s="7">
        <f>-('CARTA DE CONTROL'!I134)</f>
        <v>-1</v>
      </c>
      <c r="G49" s="5" t="str">
        <f t="shared" si="0"/>
        <v>PASS</v>
      </c>
    </row>
    <row r="50" spans="1:8" ht="15.75" thickBot="1" x14ac:dyDescent="0.3">
      <c r="B50" s="3">
        <f>'CARTA DE CONTROL'!R135</f>
        <v>14.99</v>
      </c>
      <c r="C50" s="4">
        <f>'CARTA DE CONTROL'!AR135</f>
        <v>0.28299999999999947</v>
      </c>
      <c r="D50" s="4">
        <f>'CARTA DE CONTROL'!AS135</f>
        <v>9.6999999999999503E-2</v>
      </c>
      <c r="E50" s="6">
        <f>'CARTA DE CONTROL'!I135</f>
        <v>1</v>
      </c>
      <c r="F50" s="7">
        <f>-('CARTA DE CONTROL'!I135)</f>
        <v>-1</v>
      </c>
      <c r="G50" s="5" t="str">
        <f t="shared" si="0"/>
        <v>PASS</v>
      </c>
    </row>
    <row r="51" spans="1:8" x14ac:dyDescent="0.25">
      <c r="A51" s="1"/>
      <c r="B51" s="1"/>
      <c r="C51" s="1"/>
      <c r="D51" s="1"/>
    </row>
    <row r="52" spans="1:8" x14ac:dyDescent="0.25">
      <c r="A52" s="1"/>
      <c r="B52" s="1"/>
      <c r="C52" s="1"/>
      <c r="D52" s="1"/>
    </row>
    <row r="53" spans="1:8" x14ac:dyDescent="0.25">
      <c r="A53" s="1"/>
      <c r="B53" s="1"/>
      <c r="C53" s="1"/>
      <c r="D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sheetData>
  <mergeCells count="53">
    <mergeCell ref="B37:D37"/>
    <mergeCell ref="F37:G37"/>
    <mergeCell ref="B39:G39"/>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0">
    <cfRule type="cellIs" dxfId="89" priority="1" operator="lessThan">
      <formula>$F$77</formula>
    </cfRule>
    <cfRule type="cellIs" dxfId="88" priority="2" operator="lessThan">
      <formula>0.05</formula>
    </cfRule>
  </conditionalFormatting>
  <conditionalFormatting sqref="G41:G50">
    <cfRule type="cellIs" dxfId="87" priority="3" operator="between">
      <formula>$F$77</formula>
      <formula>$G$77</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topLeftCell="A169" zoomScaleNormal="100" workbookViewId="0">
      <selection activeCell="F227" sqref="F227"/>
    </sheetView>
  </sheetViews>
  <sheetFormatPr baseColWidth="10" defaultRowHeight="15" x14ac:dyDescent="0.25"/>
  <cols>
    <col min="1" max="1" width="5.140625" customWidth="1"/>
    <col min="2" max="2" width="22.85546875" customWidth="1"/>
    <col min="3" max="3" width="21.7109375" customWidth="1"/>
    <col min="4" max="4" width="21" customWidth="1"/>
    <col min="5" max="5" width="22.7109375" customWidth="1"/>
  </cols>
  <sheetData>
    <row r="1" spans="1:11" ht="15" customHeight="1" x14ac:dyDescent="0.25">
      <c r="E1" s="211"/>
    </row>
    <row r="2" spans="1:11" ht="15" customHeight="1" x14ac:dyDescent="0.25">
      <c r="B2" s="386"/>
      <c r="C2" s="386"/>
      <c r="D2" s="386"/>
      <c r="E2" s="212"/>
      <c r="F2" s="386"/>
      <c r="G2" s="386"/>
      <c r="H2" s="386"/>
    </row>
    <row r="3" spans="1:11" ht="15" customHeight="1" x14ac:dyDescent="0.25">
      <c r="B3" s="386"/>
      <c r="C3" s="386"/>
      <c r="D3" s="386"/>
      <c r="E3" s="212"/>
      <c r="F3" s="386"/>
      <c r="G3" s="386"/>
      <c r="H3" s="386"/>
    </row>
    <row r="4" spans="1:11" ht="15" customHeight="1" x14ac:dyDescent="0.25">
      <c r="B4" s="386"/>
      <c r="C4" s="386"/>
      <c r="D4" s="386"/>
      <c r="E4" s="212"/>
      <c r="F4" s="386"/>
      <c r="G4" s="386"/>
      <c r="H4" s="386"/>
    </row>
    <row r="5" spans="1:11" ht="15" customHeight="1" x14ac:dyDescent="0.25">
      <c r="B5" s="386"/>
      <c r="C5" s="386"/>
      <c r="D5" s="386"/>
      <c r="E5" s="212"/>
      <c r="F5" s="386"/>
      <c r="G5" s="386"/>
      <c r="H5" s="386"/>
    </row>
    <row r="6" spans="1:11" ht="15" customHeight="1" x14ac:dyDescent="0.25">
      <c r="B6" s="386"/>
      <c r="C6" s="386"/>
      <c r="D6" s="386"/>
      <c r="E6" s="212"/>
      <c r="F6" s="386"/>
      <c r="G6" s="386"/>
      <c r="H6" s="386"/>
    </row>
    <row r="7" spans="1:11" x14ac:dyDescent="0.25">
      <c r="B7" s="224" t="s">
        <v>155</v>
      </c>
      <c r="C7" s="831" t="str">
        <f>'CARTA DE CONTROL'!B136</f>
        <v xml:space="preserve">ANALIZADOR DE SUSPENSION </v>
      </c>
      <c r="D7" s="832"/>
      <c r="E7" s="833"/>
    </row>
    <row r="8" spans="1:11" x14ac:dyDescent="0.25">
      <c r="B8" s="224" t="s">
        <v>156</v>
      </c>
      <c r="C8" s="831" t="str">
        <f>'CARTA DE CONTROL'!D136</f>
        <v>VAMAG</v>
      </c>
      <c r="D8" s="832"/>
      <c r="E8" s="833"/>
    </row>
    <row r="9" spans="1:11" x14ac:dyDescent="0.25">
      <c r="B9" s="224" t="s">
        <v>157</v>
      </c>
      <c r="C9" s="831" t="str">
        <f>'CARTA DE CONTROL'!E136</f>
        <v>MODULO STL</v>
      </c>
      <c r="D9" s="832"/>
      <c r="E9" s="833"/>
    </row>
    <row r="10" spans="1:11" x14ac:dyDescent="0.25">
      <c r="B10" s="224" t="s">
        <v>158</v>
      </c>
      <c r="C10" s="847" t="str">
        <f>'CARTA DE CONTROL'!F136</f>
        <v>18062320</v>
      </c>
      <c r="D10" s="848"/>
      <c r="E10" s="849"/>
    </row>
    <row r="11" spans="1:11" ht="15" customHeight="1" thickBot="1" x14ac:dyDescent="0.3">
      <c r="B11" s="386"/>
      <c r="C11" s="386"/>
      <c r="D11" s="386"/>
      <c r="E11" s="212"/>
      <c r="F11" s="386"/>
      <c r="G11" s="386"/>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388" t="s">
        <v>128</v>
      </c>
      <c r="F13" s="843" t="s">
        <v>129</v>
      </c>
      <c r="G13" s="844"/>
      <c r="H13" s="203"/>
      <c r="I13" s="203"/>
      <c r="J13" s="203"/>
      <c r="K13" s="203"/>
    </row>
    <row r="14" spans="1:11" s="1" customFormat="1" ht="35.25" customHeight="1" x14ac:dyDescent="0.2">
      <c r="A14" s="206">
        <v>1</v>
      </c>
      <c r="B14" s="822" t="s">
        <v>130</v>
      </c>
      <c r="C14" s="822"/>
      <c r="D14" s="822"/>
      <c r="E14" s="387" t="s">
        <v>131</v>
      </c>
      <c r="F14" s="823"/>
      <c r="G14" s="824"/>
      <c r="H14" s="204"/>
      <c r="I14" s="204"/>
      <c r="J14" s="204"/>
      <c r="K14" s="204"/>
    </row>
    <row r="15" spans="1:11" s="1" customFormat="1" ht="35.25" customHeight="1" x14ac:dyDescent="0.2">
      <c r="A15" s="206">
        <v>2</v>
      </c>
      <c r="B15" s="822" t="s">
        <v>132</v>
      </c>
      <c r="C15" s="822"/>
      <c r="D15" s="822"/>
      <c r="E15" s="387" t="s">
        <v>131</v>
      </c>
      <c r="F15" s="823"/>
      <c r="G15" s="824"/>
    </row>
    <row r="16" spans="1:11" s="1" customFormat="1" ht="35.25" customHeight="1" x14ac:dyDescent="0.2">
      <c r="A16" s="206">
        <v>3</v>
      </c>
      <c r="B16" s="822" t="s">
        <v>133</v>
      </c>
      <c r="C16" s="822"/>
      <c r="D16" s="822"/>
      <c r="E16" s="387" t="s">
        <v>131</v>
      </c>
      <c r="F16" s="823"/>
      <c r="G16" s="824"/>
    </row>
    <row r="17" spans="1:11" s="1" customFormat="1" ht="35.25" customHeight="1" x14ac:dyDescent="0.2">
      <c r="A17" s="206">
        <v>4</v>
      </c>
      <c r="B17" s="822" t="s">
        <v>134</v>
      </c>
      <c r="C17" s="822"/>
      <c r="D17" s="822"/>
      <c r="E17" s="387" t="s">
        <v>131</v>
      </c>
      <c r="F17" s="845"/>
      <c r="G17" s="846"/>
    </row>
    <row r="18" spans="1:11" s="1" customFormat="1" ht="35.25" customHeight="1" x14ac:dyDescent="0.2">
      <c r="A18" s="206">
        <v>5</v>
      </c>
      <c r="B18" s="822" t="s">
        <v>135</v>
      </c>
      <c r="C18" s="822"/>
      <c r="D18" s="822"/>
      <c r="E18" s="387" t="s">
        <v>131</v>
      </c>
      <c r="F18" s="823"/>
      <c r="G18" s="824"/>
    </row>
    <row r="19" spans="1:11" s="1" customFormat="1" ht="35.25" customHeight="1" x14ac:dyDescent="0.2">
      <c r="A19" s="206">
        <v>6</v>
      </c>
      <c r="B19" s="822" t="s">
        <v>136</v>
      </c>
      <c r="C19" s="822"/>
      <c r="D19" s="822"/>
      <c r="E19" s="387" t="s">
        <v>131</v>
      </c>
      <c r="F19" s="823"/>
      <c r="G19" s="824"/>
    </row>
    <row r="20" spans="1:11" s="1" customFormat="1" ht="35.25" customHeight="1" x14ac:dyDescent="0.2">
      <c r="A20" s="206">
        <v>7</v>
      </c>
      <c r="B20" s="822" t="s">
        <v>137</v>
      </c>
      <c r="C20" s="822"/>
      <c r="D20" s="822"/>
      <c r="E20" s="387" t="s">
        <v>131</v>
      </c>
      <c r="F20" s="823"/>
      <c r="G20" s="824"/>
    </row>
    <row r="21" spans="1:11" s="1" customFormat="1" ht="35.25" customHeight="1" x14ac:dyDescent="0.2">
      <c r="A21" s="206">
        <v>8</v>
      </c>
      <c r="B21" s="822" t="s">
        <v>138</v>
      </c>
      <c r="C21" s="822"/>
      <c r="D21" s="822"/>
      <c r="E21" s="387" t="s">
        <v>131</v>
      </c>
      <c r="F21" s="823"/>
      <c r="G21" s="824"/>
    </row>
    <row r="22" spans="1:11" s="1" customFormat="1" ht="35.25" customHeight="1" x14ac:dyDescent="0.2">
      <c r="A22" s="206">
        <v>9</v>
      </c>
      <c r="B22" s="822" t="s">
        <v>139</v>
      </c>
      <c r="C22" s="822"/>
      <c r="D22" s="822"/>
      <c r="E22" s="387" t="s">
        <v>131</v>
      </c>
      <c r="F22" s="823"/>
      <c r="G22" s="824"/>
    </row>
    <row r="23" spans="1:11" s="1" customFormat="1" ht="35.25" customHeight="1" x14ac:dyDescent="0.2">
      <c r="A23" s="206">
        <v>10</v>
      </c>
      <c r="B23" s="822" t="s">
        <v>140</v>
      </c>
      <c r="C23" s="822"/>
      <c r="D23" s="822"/>
      <c r="E23" s="387" t="s">
        <v>131</v>
      </c>
      <c r="F23" s="823"/>
      <c r="G23" s="824"/>
    </row>
    <row r="24" spans="1:11" s="1" customFormat="1" ht="35.25" customHeight="1" x14ac:dyDescent="0.2">
      <c r="A24" s="206">
        <v>11</v>
      </c>
      <c r="B24" s="822" t="s">
        <v>141</v>
      </c>
      <c r="C24" s="822"/>
      <c r="D24" s="822"/>
      <c r="E24" s="387"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387" t="s">
        <v>131</v>
      </c>
      <c r="F26" s="823"/>
      <c r="G26" s="824"/>
    </row>
    <row r="27" spans="1:11" s="1" customFormat="1" ht="35.25" customHeight="1" x14ac:dyDescent="0.2">
      <c r="A27" s="206">
        <v>14</v>
      </c>
      <c r="B27" s="822" t="s">
        <v>144</v>
      </c>
      <c r="C27" s="822"/>
      <c r="D27" s="822"/>
      <c r="E27" s="387" t="s">
        <v>131</v>
      </c>
      <c r="F27" s="823"/>
      <c r="G27" s="824"/>
    </row>
    <row r="28" spans="1:11" s="1" customFormat="1" ht="54.75" customHeight="1" thickBot="1" x14ac:dyDescent="0.25">
      <c r="A28" s="208">
        <v>15</v>
      </c>
      <c r="B28" s="825" t="s">
        <v>145</v>
      </c>
      <c r="C28" s="825"/>
      <c r="D28" s="825"/>
      <c r="E28" s="389"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390"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15.75" thickBot="1" x14ac:dyDescent="0.3">
      <c r="B39" s="812" t="s">
        <v>190</v>
      </c>
      <c r="C39" s="813"/>
      <c r="D39" s="813"/>
      <c r="E39" s="813"/>
      <c r="F39" s="813"/>
      <c r="G39" s="814"/>
    </row>
    <row r="40" spans="1:8" ht="72.75" thickBot="1" x14ac:dyDescent="0.3">
      <c r="B40" s="2" t="s">
        <v>39</v>
      </c>
      <c r="C40" s="11" t="s">
        <v>107</v>
      </c>
      <c r="D40" s="11" t="s">
        <v>108</v>
      </c>
      <c r="E40" s="22" t="s">
        <v>101</v>
      </c>
      <c r="F40" s="22" t="s">
        <v>102</v>
      </c>
      <c r="G40" s="22" t="s">
        <v>38</v>
      </c>
    </row>
    <row r="41" spans="1:8" ht="15.75" thickBot="1" x14ac:dyDescent="0.3">
      <c r="B41" s="54">
        <f>'CARTA DE CONTROL'!R136</f>
        <v>0</v>
      </c>
      <c r="C41" s="4">
        <f>'CARTA DE CONTROL'!AR136</f>
        <v>0.56999999999999995</v>
      </c>
      <c r="D41" s="4">
        <f>'CARTA DE CONTROL'!AS136</f>
        <v>-0.56999999999999995</v>
      </c>
      <c r="E41" s="6">
        <f>'CARTA DE CONTROL'!I136</f>
        <v>3</v>
      </c>
      <c r="F41" s="7">
        <f>-('CARTA DE CONTROL'!I136)</f>
        <v>-3</v>
      </c>
      <c r="G41" s="5" t="str">
        <f>IF(C41&lt;=2,IF(D41&gt;=-2,"PASS","NO PASS"))</f>
        <v>PASS</v>
      </c>
    </row>
    <row r="42" spans="1:8" ht="15.75" thickBot="1" x14ac:dyDescent="0.3">
      <c r="B42" s="54">
        <f>'CARTA DE CONTROL'!R137</f>
        <v>30</v>
      </c>
      <c r="C42" s="4">
        <f>'CARTA DE CONTROL'!AR137</f>
        <v>1.8999999999999997</v>
      </c>
      <c r="D42" s="4">
        <f>'CARTA DE CONTROL'!AS137</f>
        <v>-1.8999999999999997</v>
      </c>
      <c r="E42" s="6">
        <f>'CARTA DE CONTROL'!I137</f>
        <v>3</v>
      </c>
      <c r="F42" s="7">
        <f>-('CARTA DE CONTROL'!I137)</f>
        <v>-3</v>
      </c>
      <c r="G42" s="5" t="str">
        <f t="shared" ref="G42:G45" si="0">IF(C42&lt;=2,IF(D42&gt;=-2,"PASS","NO PASS"))</f>
        <v>PASS</v>
      </c>
    </row>
    <row r="43" spans="1:8" ht="15.75" thickBot="1" x14ac:dyDescent="0.3">
      <c r="B43" s="54">
        <f>'CARTA DE CONTROL'!R138</f>
        <v>40</v>
      </c>
      <c r="C43" s="4">
        <f>'CARTA DE CONTROL'!AR138</f>
        <v>1.4499999999999997</v>
      </c>
      <c r="D43" s="4">
        <f>'CARTA DE CONTROL'!AS138</f>
        <v>-1.4499999999999997</v>
      </c>
      <c r="E43" s="6">
        <f>'CARTA DE CONTROL'!I138</f>
        <v>3</v>
      </c>
      <c r="F43" s="7">
        <f>-('CARTA DE CONTROL'!I138)</f>
        <v>-3</v>
      </c>
      <c r="G43" s="5" t="str">
        <f t="shared" si="0"/>
        <v>PASS</v>
      </c>
    </row>
    <row r="44" spans="1:8" ht="15.75" thickBot="1" x14ac:dyDescent="0.3">
      <c r="B44" s="54">
        <f>'CARTA DE CONTROL'!R139</f>
        <v>60</v>
      </c>
      <c r="C44" s="4">
        <f>'CARTA DE CONTROL'!AR139</f>
        <v>0.98333333333333328</v>
      </c>
      <c r="D44" s="4">
        <f>'CARTA DE CONTROL'!AS139</f>
        <v>-0.98333333333333328</v>
      </c>
      <c r="E44" s="6">
        <f>'CARTA DE CONTROL'!I139</f>
        <v>3</v>
      </c>
      <c r="F44" s="7">
        <f>-('CARTA DE CONTROL'!I139)</f>
        <v>-3</v>
      </c>
      <c r="G44" s="5" t="str">
        <f t="shared" si="0"/>
        <v>PASS</v>
      </c>
    </row>
    <row r="45" spans="1:8" ht="15.75" thickBot="1" x14ac:dyDescent="0.3">
      <c r="B45" s="54">
        <f>'CARTA DE CONTROL'!R140</f>
        <v>100</v>
      </c>
      <c r="C45" s="4">
        <f>'CARTA DE CONTROL'!AR140</f>
        <v>0.63</v>
      </c>
      <c r="D45" s="4">
        <f>'CARTA DE CONTROL'!AS140</f>
        <v>-0.63</v>
      </c>
      <c r="E45" s="6">
        <f>'CARTA DE CONTROL'!I140</f>
        <v>3</v>
      </c>
      <c r="F45" s="7">
        <f>-('CARTA DE CONTROL'!I140)</f>
        <v>-3</v>
      </c>
      <c r="G45" s="5" t="str">
        <f t="shared" si="0"/>
        <v>PASS</v>
      </c>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64" spans="1:8" ht="15.75" thickBot="1" x14ac:dyDescent="0.3"/>
    <row r="65" spans="2:5" ht="15.75" thickBot="1" x14ac:dyDescent="0.3">
      <c r="B65" s="812" t="s">
        <v>191</v>
      </c>
      <c r="C65" s="813"/>
      <c r="D65" s="813"/>
      <c r="E65" s="814"/>
    </row>
    <row r="66" spans="2:5" ht="34.5" thickBot="1" x14ac:dyDescent="0.3">
      <c r="B66" s="2" t="s">
        <v>39</v>
      </c>
      <c r="C66" s="10" t="s">
        <v>109</v>
      </c>
      <c r="D66" s="2" t="s">
        <v>90</v>
      </c>
      <c r="E66" s="21" t="s">
        <v>89</v>
      </c>
    </row>
    <row r="67" spans="2:5" ht="15.75" thickBot="1" x14ac:dyDescent="0.3">
      <c r="B67" s="3">
        <f>'CARTA DE CONTROL'!R136</f>
        <v>0</v>
      </c>
      <c r="C67" s="4">
        <f>'CARTA DE CONTROL'!AM136</f>
        <v>0</v>
      </c>
      <c r="D67" s="6">
        <f>'CARTA DE CONTROL'!K136</f>
        <v>3</v>
      </c>
      <c r="E67" s="5" t="str">
        <f>IF(C67&lt;=3,IF(C67&gt;=-3,"PASS","NO PASS"))</f>
        <v>PASS</v>
      </c>
    </row>
    <row r="68" spans="2:5" ht="15.75" thickBot="1" x14ac:dyDescent="0.3">
      <c r="B68" s="3">
        <f>'CARTA DE CONTROL'!R137</f>
        <v>30</v>
      </c>
      <c r="C68" s="4">
        <f>'CARTA DE CONTROL'!AM137</f>
        <v>0</v>
      </c>
      <c r="D68" s="6">
        <f>'CARTA DE CONTROL'!K137</f>
        <v>3</v>
      </c>
      <c r="E68" s="5" t="str">
        <f t="shared" ref="E68:E71" si="1">IF(C68&lt;=3,IF(C68&gt;=-3,"PASS","NO PASS"))</f>
        <v>PASS</v>
      </c>
    </row>
    <row r="69" spans="2:5" ht="15.75" thickBot="1" x14ac:dyDescent="0.3">
      <c r="B69" s="3">
        <f>'CARTA DE CONTROL'!R138</f>
        <v>40</v>
      </c>
      <c r="C69" s="4">
        <f>'CARTA DE CONTROL'!AM138</f>
        <v>0</v>
      </c>
      <c r="D69" s="6">
        <f>'CARTA DE CONTROL'!K138</f>
        <v>3</v>
      </c>
      <c r="E69" s="5" t="str">
        <f t="shared" si="1"/>
        <v>PASS</v>
      </c>
    </row>
    <row r="70" spans="2:5" ht="15.75" thickBot="1" x14ac:dyDescent="0.3">
      <c r="B70" s="3">
        <f>'CARTA DE CONTROL'!R139</f>
        <v>60</v>
      </c>
      <c r="C70" s="4">
        <f>'CARTA DE CONTROL'!AM139</f>
        <v>0</v>
      </c>
      <c r="D70" s="6">
        <f>'CARTA DE CONTROL'!K139</f>
        <v>3</v>
      </c>
      <c r="E70" s="5" t="str">
        <f t="shared" si="1"/>
        <v>PASS</v>
      </c>
    </row>
    <row r="71" spans="2:5" ht="15.75" thickBot="1" x14ac:dyDescent="0.3">
      <c r="B71" s="3">
        <f>'CARTA DE CONTROL'!R140</f>
        <v>100</v>
      </c>
      <c r="C71" s="4">
        <f>'CARTA DE CONTROL'!AM140</f>
        <v>0</v>
      </c>
      <c r="D71" s="6">
        <f>'CARTA DE CONTROL'!K140</f>
        <v>3</v>
      </c>
      <c r="E71" s="5" t="str">
        <f t="shared" si="1"/>
        <v>PASS</v>
      </c>
    </row>
    <row r="85" spans="1:8" ht="15.75" thickBot="1" x14ac:dyDescent="0.3"/>
    <row r="86" spans="1:8" ht="15.75" thickBot="1" x14ac:dyDescent="0.3">
      <c r="B86" s="812" t="s">
        <v>190</v>
      </c>
      <c r="C86" s="813"/>
      <c r="D86" s="813"/>
      <c r="E86" s="813"/>
      <c r="F86" s="813"/>
      <c r="G86" s="814"/>
    </row>
    <row r="87" spans="1:8" ht="72.75" thickBot="1" x14ac:dyDescent="0.3">
      <c r="B87" s="2" t="s">
        <v>39</v>
      </c>
      <c r="C87" s="11" t="s">
        <v>107</v>
      </c>
      <c r="D87" s="11" t="s">
        <v>108</v>
      </c>
      <c r="E87" s="22" t="s">
        <v>101</v>
      </c>
      <c r="F87" s="22" t="s">
        <v>102</v>
      </c>
      <c r="G87" s="22" t="s">
        <v>38</v>
      </c>
    </row>
    <row r="88" spans="1:8" ht="15.75" thickBot="1" x14ac:dyDescent="0.3">
      <c r="B88" s="54">
        <f>'CARTA DE CONTROL'!R141</f>
        <v>100.4</v>
      </c>
      <c r="C88" s="4">
        <f>'CARTA DE CONTROL'!AR141</f>
        <v>1.3944223107569664</v>
      </c>
      <c r="D88" s="4">
        <f>'CARTA DE CONTROL'!AS141</f>
        <v>-2.1912350597609618</v>
      </c>
      <c r="E88" s="6">
        <f>'CARTA DE CONTROL'!I141</f>
        <v>3</v>
      </c>
      <c r="F88" s="7">
        <f>-('CARTA DE CONTROL'!I141)</f>
        <v>-3</v>
      </c>
      <c r="G88" s="5" t="str">
        <f>IF(C88&lt;=3,IF(D88&gt;=-3,"PASS","NO PASS"))</f>
        <v>PASS</v>
      </c>
    </row>
    <row r="89" spans="1:8" ht="15.75" thickBot="1" x14ac:dyDescent="0.3">
      <c r="B89" s="54">
        <f>'CARTA DE CONTROL'!R142</f>
        <v>200.9</v>
      </c>
      <c r="C89" s="4">
        <f>'CARTA DE CONTROL'!AR142</f>
        <v>1.2403317262028266</v>
      </c>
      <c r="D89" s="4">
        <f>'CARTA DE CONTROL'!AS142</f>
        <v>-1.8457807675751723</v>
      </c>
      <c r="E89" s="6">
        <f>'CARTA DE CONTROL'!I142</f>
        <v>3</v>
      </c>
      <c r="F89" s="7">
        <f>-('CARTA DE CONTROL'!I142)</f>
        <v>-3</v>
      </c>
      <c r="G89" s="5" t="str">
        <f t="shared" ref="G89:G92" si="2">IF(C89&lt;=3,IF(D89&gt;=-3,"PASS","NO PASS"))</f>
        <v>PASS</v>
      </c>
    </row>
    <row r="90" spans="1:8" ht="15.75" thickBot="1" x14ac:dyDescent="0.3">
      <c r="B90" s="54">
        <f>'CARTA DE CONTROL'!R143</f>
        <v>301.3</v>
      </c>
      <c r="C90" s="4">
        <f>'CARTA DE CONTROL'!AR143</f>
        <v>1.0288748755393293</v>
      </c>
      <c r="D90" s="4">
        <f>'CARTA DE CONTROL'!AS143</f>
        <v>-1.6926651178227676</v>
      </c>
      <c r="E90" s="6">
        <f>'CARTA DE CONTROL'!I143</f>
        <v>3</v>
      </c>
      <c r="F90" s="7">
        <f>-('CARTA DE CONTROL'!I143)</f>
        <v>-3</v>
      </c>
      <c r="G90" s="5" t="str">
        <f t="shared" si="2"/>
        <v>PASS</v>
      </c>
    </row>
    <row r="91" spans="1:8" ht="15.75" thickBot="1" x14ac:dyDescent="0.3">
      <c r="B91" s="54">
        <f>'CARTA DE CONTROL'!R144</f>
        <v>401.8</v>
      </c>
      <c r="C91" s="4">
        <f>'CARTA DE CONTROL'!AR144</f>
        <v>0.67197610751617709</v>
      </c>
      <c r="D91" s="4">
        <f>'CARTA DE CONTROL'!AS144</f>
        <v>-1.9163763066202089</v>
      </c>
      <c r="E91" s="6">
        <f>'CARTA DE CONTROL'!I144</f>
        <v>3</v>
      </c>
      <c r="F91" s="7">
        <f>-('CARTA DE CONTROL'!I144)</f>
        <v>-3</v>
      </c>
      <c r="G91" s="5" t="str">
        <f t="shared" si="2"/>
        <v>PASS</v>
      </c>
    </row>
    <row r="92" spans="1:8" ht="15.75" thickBot="1" x14ac:dyDescent="0.3">
      <c r="B92" s="54">
        <f>'CARTA DE CONTROL'!R145</f>
        <v>502.3</v>
      </c>
      <c r="C92" s="4">
        <f>'CARTA DE CONTROL'!AR145</f>
        <v>0.77642842922555777</v>
      </c>
      <c r="D92" s="4">
        <f>'CARTA DE CONTROL'!AS145</f>
        <v>-1.81166633485965</v>
      </c>
      <c r="E92" s="6">
        <f>'CARTA DE CONTROL'!I145</f>
        <v>3</v>
      </c>
      <c r="F92" s="7">
        <f>-('CARTA DE CONTROL'!I145)</f>
        <v>-3</v>
      </c>
      <c r="G92" s="5" t="str">
        <f t="shared" si="2"/>
        <v>PASS</v>
      </c>
    </row>
    <row r="93" spans="1:8" ht="15.75" thickBot="1" x14ac:dyDescent="0.3">
      <c r="A93" s="1"/>
      <c r="B93" s="54">
        <f>'CARTA DE CONTROL'!R146</f>
        <v>1004</v>
      </c>
      <c r="C93" s="4">
        <f>'CARTA DE CONTROL'!AR146</f>
        <v>0.89641434262948205</v>
      </c>
      <c r="D93" s="4">
        <f>'CARTA DE CONTROL'!AS146</f>
        <v>-1.693227091633466</v>
      </c>
      <c r="E93" s="6">
        <f>'CARTA DE CONTROL'!I146</f>
        <v>3</v>
      </c>
      <c r="F93" s="7">
        <f>-('CARTA DE CONTROL'!I146)</f>
        <v>-3</v>
      </c>
      <c r="G93" s="5" t="str">
        <f>IF(C93&lt;=3,IF(D93&gt;=-3,"PASS","NO PASS"))</f>
        <v>PASS</v>
      </c>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111" spans="1:8" ht="15.75" thickBot="1" x14ac:dyDescent="0.3"/>
    <row r="112" spans="1:8" ht="15.75" thickBot="1" x14ac:dyDescent="0.3">
      <c r="B112" s="812" t="s">
        <v>191</v>
      </c>
      <c r="C112" s="813"/>
      <c r="D112" s="813"/>
      <c r="E112" s="814"/>
    </row>
    <row r="113" spans="2:5" ht="34.5" thickBot="1" x14ac:dyDescent="0.3">
      <c r="B113" s="2" t="s">
        <v>39</v>
      </c>
      <c r="C113" s="10" t="s">
        <v>109</v>
      </c>
      <c r="D113" s="2" t="s">
        <v>90</v>
      </c>
      <c r="E113" s="21" t="s">
        <v>89</v>
      </c>
    </row>
    <row r="114" spans="2:5" ht="15.75" thickBot="1" x14ac:dyDescent="0.3">
      <c r="B114" s="3">
        <f>'CARTA DE CONTROL'!R141</f>
        <v>100.4</v>
      </c>
      <c r="C114" s="4">
        <f>'CARTA DE CONTROL'!AM141</f>
        <v>0</v>
      </c>
      <c r="D114" s="6">
        <f>'CARTA DE CONTROL'!K141</f>
        <v>3</v>
      </c>
      <c r="E114" s="5" t="str">
        <f>IF(C114&lt;=3,IF(C114&gt;=-3,"PASS","NO PASS"))</f>
        <v>PASS</v>
      </c>
    </row>
    <row r="115" spans="2:5" ht="15.75" thickBot="1" x14ac:dyDescent="0.3">
      <c r="B115" s="3">
        <f>'CARTA DE CONTROL'!R142</f>
        <v>200.9</v>
      </c>
      <c r="C115" s="4">
        <f>'CARTA DE CONTROL'!AM142</f>
        <v>0.28870084619213537</v>
      </c>
      <c r="D115" s="6">
        <f>'CARTA DE CONTROL'!K142</f>
        <v>3</v>
      </c>
      <c r="E115" s="5" t="str">
        <f t="shared" ref="E115:E118" si="3">IF(C115&lt;=3,IF(C115&gt;=-3,"PASS","NO PASS"))</f>
        <v>PASS</v>
      </c>
    </row>
    <row r="116" spans="2:5" ht="15.75" thickBot="1" x14ac:dyDescent="0.3">
      <c r="B116" s="3">
        <f>'CARTA DE CONTROL'!R143</f>
        <v>301.3</v>
      </c>
      <c r="C116" s="4">
        <f>'CARTA DE CONTROL'!AM143</f>
        <v>0.19249917026219712</v>
      </c>
      <c r="D116" s="6">
        <f>'CARTA DE CONTROL'!K143</f>
        <v>3</v>
      </c>
      <c r="E116" s="5" t="str">
        <f t="shared" si="3"/>
        <v>PASS</v>
      </c>
    </row>
    <row r="117" spans="2:5" ht="15.75" thickBot="1" x14ac:dyDescent="0.3">
      <c r="B117" s="3">
        <f>'CARTA DE CONTROL'!R144</f>
        <v>401.8</v>
      </c>
      <c r="C117" s="4">
        <f>'CARTA DE CONTROL'!AM144</f>
        <v>0.14435042309606769</v>
      </c>
      <c r="D117" s="6">
        <f>'CARTA DE CONTROL'!K144</f>
        <v>3</v>
      </c>
      <c r="E117" s="5" t="str">
        <f t="shared" si="3"/>
        <v>PASS</v>
      </c>
    </row>
    <row r="118" spans="2:5" ht="15.75" thickBot="1" x14ac:dyDescent="0.3">
      <c r="B118" s="3">
        <f>'CARTA DE CONTROL'!R145</f>
        <v>502.3</v>
      </c>
      <c r="C118" s="4">
        <f>'CARTA DE CONTROL'!AM145</f>
        <v>0.2289468445152299</v>
      </c>
      <c r="D118" s="6">
        <f>'CARTA DE CONTROL'!K145</f>
        <v>3</v>
      </c>
      <c r="E118" s="5" t="str">
        <f t="shared" si="3"/>
        <v>PASS</v>
      </c>
    </row>
    <row r="119" spans="2:5" ht="15.75" thickBot="1" x14ac:dyDescent="0.3">
      <c r="B119" s="3">
        <f>'CARTA DE CONTROL'!R146</f>
        <v>1004</v>
      </c>
      <c r="C119" s="4">
        <f>'CARTA DE CONTROL'!AM146</f>
        <v>0.11454183266932269</v>
      </c>
      <c r="D119" s="6">
        <f>'CARTA DE CONTROL'!K146</f>
        <v>3</v>
      </c>
      <c r="E119" s="5" t="str">
        <f t="shared" ref="E119" si="4">IF(C119&lt;=3,IF(C119&gt;=-3,"PASS","NO PASS"))</f>
        <v>PASS</v>
      </c>
    </row>
    <row r="133" spans="1:8" ht="15.75" thickBot="1" x14ac:dyDescent="0.3"/>
    <row r="134" spans="1:8" ht="15.75" thickBot="1" x14ac:dyDescent="0.3">
      <c r="B134" s="812" t="s">
        <v>192</v>
      </c>
      <c r="C134" s="813"/>
      <c r="D134" s="813"/>
      <c r="E134" s="813"/>
      <c r="F134" s="813"/>
      <c r="G134" s="814"/>
    </row>
    <row r="135" spans="1:8" ht="72.75" thickBot="1" x14ac:dyDescent="0.3">
      <c r="B135" s="2" t="s">
        <v>39</v>
      </c>
      <c r="C135" s="11" t="s">
        <v>107</v>
      </c>
      <c r="D135" s="11" t="s">
        <v>108</v>
      </c>
      <c r="E135" s="22" t="s">
        <v>101</v>
      </c>
      <c r="F135" s="22" t="s">
        <v>102</v>
      </c>
      <c r="G135" s="22" t="s">
        <v>38</v>
      </c>
    </row>
    <row r="136" spans="1:8" ht="15.75" thickBot="1" x14ac:dyDescent="0.3">
      <c r="B136" s="54">
        <f>'CARTA DE CONTROL'!R147</f>
        <v>0</v>
      </c>
      <c r="C136" s="4">
        <f>'CARTA DE CONTROL'!AR147</f>
        <v>0.56999999999999995</v>
      </c>
      <c r="D136" s="4">
        <f>'CARTA DE CONTROL'!AS147</f>
        <v>-0.56999999999999995</v>
      </c>
      <c r="E136" s="6">
        <f>'CARTA DE CONTROL'!I147</f>
        <v>3</v>
      </c>
      <c r="F136" s="7">
        <f>-('CARTA DE CONTROL'!I147)</f>
        <v>-3</v>
      </c>
      <c r="G136" s="5" t="str">
        <f>IF(C136&lt;=2,IF(D136&gt;=-2,"PASS","NO PASS"))</f>
        <v>PASS</v>
      </c>
    </row>
    <row r="137" spans="1:8" ht="15.75" thickBot="1" x14ac:dyDescent="0.3">
      <c r="B137" s="54">
        <f>'CARTA DE CONTROL'!R148</f>
        <v>30</v>
      </c>
      <c r="C137" s="4">
        <f>'CARTA DE CONTROL'!AR148</f>
        <v>1.8999999999999997</v>
      </c>
      <c r="D137" s="4">
        <f>'CARTA DE CONTROL'!AS148</f>
        <v>-1.8999999999999997</v>
      </c>
      <c r="E137" s="6">
        <f>'CARTA DE CONTROL'!I148</f>
        <v>3</v>
      </c>
      <c r="F137" s="7">
        <f>-('CARTA DE CONTROL'!I148)</f>
        <v>-3</v>
      </c>
      <c r="G137" s="5" t="str">
        <f t="shared" ref="G137:G140" si="5">IF(C137&lt;=2,IF(D137&gt;=-2,"PASS","NO PASS"))</f>
        <v>PASS</v>
      </c>
    </row>
    <row r="138" spans="1:8" ht="15.75" thickBot="1" x14ac:dyDescent="0.3">
      <c r="B138" s="54">
        <f>'CARTA DE CONTROL'!R149</f>
        <v>40</v>
      </c>
      <c r="C138" s="4">
        <f>'CARTA DE CONTROL'!AR149</f>
        <v>1.4499999999999997</v>
      </c>
      <c r="D138" s="4">
        <f>'CARTA DE CONTROL'!AS149</f>
        <v>-1.4499999999999997</v>
      </c>
      <c r="E138" s="6">
        <f>'CARTA DE CONTROL'!I149</f>
        <v>3</v>
      </c>
      <c r="F138" s="7">
        <f>-('CARTA DE CONTROL'!I149)</f>
        <v>-3</v>
      </c>
      <c r="G138" s="5" t="str">
        <f t="shared" si="5"/>
        <v>PASS</v>
      </c>
    </row>
    <row r="139" spans="1:8" ht="15.75" thickBot="1" x14ac:dyDescent="0.3">
      <c r="B139" s="54">
        <f>'CARTA DE CONTROL'!R150</f>
        <v>60</v>
      </c>
      <c r="C139" s="4">
        <f>'CARTA DE CONTROL'!AR150</f>
        <v>0.98333333333333328</v>
      </c>
      <c r="D139" s="4">
        <f>'CARTA DE CONTROL'!AS150</f>
        <v>-0.98333333333333328</v>
      </c>
      <c r="E139" s="6">
        <f>'CARTA DE CONTROL'!I150</f>
        <v>3</v>
      </c>
      <c r="F139" s="7">
        <f>-('CARTA DE CONTROL'!I150)</f>
        <v>-3</v>
      </c>
      <c r="G139" s="5" t="str">
        <f t="shared" si="5"/>
        <v>PASS</v>
      </c>
    </row>
    <row r="140" spans="1:8" ht="15.75" thickBot="1" x14ac:dyDescent="0.3">
      <c r="B140" s="54">
        <f>'CARTA DE CONTROL'!R151</f>
        <v>100</v>
      </c>
      <c r="C140" s="4">
        <f>'CARTA DE CONTROL'!AR151</f>
        <v>0.63</v>
      </c>
      <c r="D140" s="4">
        <f>'CARTA DE CONTROL'!AS151</f>
        <v>-0.63</v>
      </c>
      <c r="E140" s="6">
        <f>'CARTA DE CONTROL'!I151</f>
        <v>3</v>
      </c>
      <c r="F140" s="7">
        <f>-('CARTA DE CONTROL'!I151)</f>
        <v>-3</v>
      </c>
      <c r="G140" s="5" t="str">
        <f t="shared" si="5"/>
        <v>PASS</v>
      </c>
    </row>
    <row r="141" spans="1:8" x14ac:dyDescent="0.25">
      <c r="A141" s="1"/>
      <c r="B141" s="1"/>
      <c r="C141" s="1"/>
      <c r="D141" s="1"/>
      <c r="E141" s="1"/>
      <c r="F141" s="1"/>
      <c r="G141" s="1"/>
      <c r="H141" s="1"/>
    </row>
    <row r="142" spans="1:8" x14ac:dyDescent="0.25">
      <c r="A142" s="1"/>
      <c r="B142" s="1"/>
      <c r="C142" s="1"/>
      <c r="D142" s="1"/>
      <c r="E142" s="1"/>
      <c r="F142" s="1"/>
      <c r="G142" s="1"/>
      <c r="H142" s="1"/>
    </row>
    <row r="143" spans="1:8" x14ac:dyDescent="0.25">
      <c r="A143" s="1"/>
      <c r="B143" s="1"/>
      <c r="C143" s="1"/>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row r="146" spans="1:8" x14ac:dyDescent="0.25">
      <c r="A146" s="1"/>
      <c r="B146" s="1"/>
      <c r="C146" s="1"/>
      <c r="D146" s="1"/>
      <c r="E146" s="1"/>
      <c r="F146" s="1"/>
      <c r="G146" s="1"/>
      <c r="H146" s="1"/>
    </row>
    <row r="159" spans="1:8" ht="15.75" thickBot="1" x14ac:dyDescent="0.3"/>
    <row r="160" spans="1:8" ht="15.75" thickBot="1" x14ac:dyDescent="0.3">
      <c r="B160" s="812" t="s">
        <v>193</v>
      </c>
      <c r="C160" s="813"/>
      <c r="D160" s="813"/>
      <c r="E160" s="814"/>
    </row>
    <row r="161" spans="2:5" ht="34.5" thickBot="1" x14ac:dyDescent="0.3">
      <c r="B161" s="2" t="s">
        <v>39</v>
      </c>
      <c r="C161" s="10" t="s">
        <v>109</v>
      </c>
      <c r="D161" s="2" t="s">
        <v>90</v>
      </c>
      <c r="E161" s="21" t="s">
        <v>89</v>
      </c>
    </row>
    <row r="162" spans="2:5" ht="15.75" thickBot="1" x14ac:dyDescent="0.3">
      <c r="B162" s="3">
        <f>'CARTA DE CONTROL'!R147</f>
        <v>0</v>
      </c>
      <c r="C162" s="4">
        <f>'CARTA DE CONTROL'!AM147</f>
        <v>0</v>
      </c>
      <c r="D162" s="6">
        <f>'CARTA DE CONTROL'!K147</f>
        <v>3</v>
      </c>
      <c r="E162" s="5" t="str">
        <f>IF(C162&lt;=3,IF(C162&gt;=-3,"PASS","NO PASS"))</f>
        <v>PASS</v>
      </c>
    </row>
    <row r="163" spans="2:5" ht="15.75" thickBot="1" x14ac:dyDescent="0.3">
      <c r="B163" s="3">
        <f>'CARTA DE CONTROL'!R148</f>
        <v>30</v>
      </c>
      <c r="C163" s="4">
        <f>'CARTA DE CONTROL'!AM148</f>
        <v>0</v>
      </c>
      <c r="D163" s="6">
        <f>'CARTA DE CONTROL'!K148</f>
        <v>3</v>
      </c>
      <c r="E163" s="5" t="str">
        <f t="shared" ref="E163:E166" si="6">IF(C163&lt;=3,IF(C163&gt;=-3,"PASS","NO PASS"))</f>
        <v>PASS</v>
      </c>
    </row>
    <row r="164" spans="2:5" ht="15.75" thickBot="1" x14ac:dyDescent="0.3">
      <c r="B164" s="3">
        <f>'CARTA DE CONTROL'!R149</f>
        <v>40</v>
      </c>
      <c r="C164" s="4">
        <f>'CARTA DE CONTROL'!AM149</f>
        <v>0</v>
      </c>
      <c r="D164" s="6">
        <f>'CARTA DE CONTROL'!K149</f>
        <v>3</v>
      </c>
      <c r="E164" s="5" t="str">
        <f t="shared" si="6"/>
        <v>PASS</v>
      </c>
    </row>
    <row r="165" spans="2:5" ht="15.75" thickBot="1" x14ac:dyDescent="0.3">
      <c r="B165" s="3">
        <f>'CARTA DE CONTROL'!R150</f>
        <v>60</v>
      </c>
      <c r="C165" s="4">
        <f>'CARTA DE CONTROL'!AM150</f>
        <v>0</v>
      </c>
      <c r="D165" s="6">
        <f>'CARTA DE CONTROL'!K150</f>
        <v>3</v>
      </c>
      <c r="E165" s="5" t="str">
        <f t="shared" si="6"/>
        <v>PASS</v>
      </c>
    </row>
    <row r="166" spans="2:5" ht="15.75" thickBot="1" x14ac:dyDescent="0.3">
      <c r="B166" s="3">
        <f>'CARTA DE CONTROL'!R151</f>
        <v>100</v>
      </c>
      <c r="C166" s="4">
        <f>'CARTA DE CONTROL'!AM151</f>
        <v>0</v>
      </c>
      <c r="D166" s="6">
        <f>'CARTA DE CONTROL'!K151</f>
        <v>3</v>
      </c>
      <c r="E166" s="5" t="str">
        <f t="shared" si="6"/>
        <v>PASS</v>
      </c>
    </row>
    <row r="180" spans="1:8" ht="15.75" thickBot="1" x14ac:dyDescent="0.3"/>
    <row r="181" spans="1:8" ht="15.75" thickBot="1" x14ac:dyDescent="0.3">
      <c r="B181" s="812" t="s">
        <v>192</v>
      </c>
      <c r="C181" s="813"/>
      <c r="D181" s="813"/>
      <c r="E181" s="813"/>
      <c r="F181" s="813"/>
      <c r="G181" s="814"/>
    </row>
    <row r="182" spans="1:8" ht="72.75" thickBot="1" x14ac:dyDescent="0.3">
      <c r="B182" s="2" t="s">
        <v>39</v>
      </c>
      <c r="C182" s="11" t="s">
        <v>107</v>
      </c>
      <c r="D182" s="11" t="s">
        <v>108</v>
      </c>
      <c r="E182" s="22" t="s">
        <v>101</v>
      </c>
      <c r="F182" s="22" t="s">
        <v>102</v>
      </c>
      <c r="G182" s="22" t="s">
        <v>38</v>
      </c>
    </row>
    <row r="183" spans="1:8" ht="15.75" thickBot="1" x14ac:dyDescent="0.3">
      <c r="B183" s="54">
        <f>'CARTA DE CONTROL'!R152</f>
        <v>100.4</v>
      </c>
      <c r="C183" s="4">
        <f>'CARTA DE CONTROL'!AR152</f>
        <v>1.1952191235059733</v>
      </c>
      <c r="D183" s="4">
        <f>'CARTA DE CONTROL'!AS152</f>
        <v>-2.5896414342629508</v>
      </c>
      <c r="E183" s="6">
        <f>'CARTA DE CONTROL'!I152</f>
        <v>3</v>
      </c>
      <c r="F183" s="7">
        <f>-('CARTA DE CONTROL'!I152)</f>
        <v>-3</v>
      </c>
      <c r="G183" s="5" t="str">
        <f>IF(C183&lt;=3,IF(D183&gt;=-3,"PASS","NO PASS"))</f>
        <v>PASS</v>
      </c>
    </row>
    <row r="184" spans="1:8" ht="15.75" thickBot="1" x14ac:dyDescent="0.3">
      <c r="B184" s="54">
        <f>'CARTA DE CONTROL'!R153</f>
        <v>200.9</v>
      </c>
      <c r="C184" s="4">
        <f>'CARTA DE CONTROL'!AR153</f>
        <v>1.2403317262028266</v>
      </c>
      <c r="D184" s="4">
        <f>'CARTA DE CONTROL'!AS153</f>
        <v>-1.8457807675751723</v>
      </c>
      <c r="E184" s="6">
        <f>'CARTA DE CONTROL'!I153</f>
        <v>3</v>
      </c>
      <c r="F184" s="7">
        <f>-('CARTA DE CONTROL'!I153)</f>
        <v>-3</v>
      </c>
      <c r="G184" s="5" t="str">
        <f t="shared" ref="G184:G187" si="7">IF(C184&lt;=3,IF(D184&gt;=-3,"PASS","NO PASS"))</f>
        <v>PASS</v>
      </c>
    </row>
    <row r="185" spans="1:8" ht="15.75" thickBot="1" x14ac:dyDescent="0.3">
      <c r="B185" s="54">
        <f>'CARTA DE CONTROL'!R154</f>
        <v>301.3</v>
      </c>
      <c r="C185" s="4">
        <f>'CARTA DE CONTROL'!AR154</f>
        <v>1.3607699966810485</v>
      </c>
      <c r="D185" s="4">
        <f>'CARTA DE CONTROL'!AS154</f>
        <v>-1.3607699966810485</v>
      </c>
      <c r="E185" s="6">
        <f>'CARTA DE CONTROL'!I154</f>
        <v>3</v>
      </c>
      <c r="F185" s="7">
        <f>-('CARTA DE CONTROL'!I154)</f>
        <v>-3</v>
      </c>
      <c r="G185" s="5" t="str">
        <f t="shared" si="7"/>
        <v>PASS</v>
      </c>
    </row>
    <row r="186" spans="1:8" ht="15.75" thickBot="1" x14ac:dyDescent="0.3">
      <c r="B186" s="54">
        <f>'CARTA DE CONTROL'!R155</f>
        <v>401.8</v>
      </c>
      <c r="C186" s="4">
        <f>'CARTA DE CONTROL'!AR155</f>
        <v>1.1199601791936258</v>
      </c>
      <c r="D186" s="4">
        <f>'CARTA DE CONTROL'!AS155</f>
        <v>-1.5181682429069217</v>
      </c>
      <c r="E186" s="6">
        <f>'CARTA DE CONTROL'!I155</f>
        <v>3</v>
      </c>
      <c r="F186" s="7">
        <f>-('CARTA DE CONTROL'!I155)</f>
        <v>-3</v>
      </c>
      <c r="G186" s="5" t="str">
        <f t="shared" si="7"/>
        <v>PASS</v>
      </c>
    </row>
    <row r="187" spans="1:8" ht="15.75" thickBot="1" x14ac:dyDescent="0.3">
      <c r="B187" s="54">
        <f>'CARTA DE CONTROL'!R156</f>
        <v>502.3</v>
      </c>
      <c r="C187" s="4">
        <f>'CARTA DE CONTROL'!AR156</f>
        <v>0.81624527174994799</v>
      </c>
      <c r="D187" s="4">
        <f>'CARTA DE CONTROL'!AS156</f>
        <v>-1.7320326498108722</v>
      </c>
      <c r="E187" s="6">
        <f>'CARTA DE CONTROL'!I156</f>
        <v>3</v>
      </c>
      <c r="F187" s="7">
        <f>-('CARTA DE CONTROL'!I156)</f>
        <v>-3</v>
      </c>
      <c r="G187" s="5" t="str">
        <f t="shared" si="7"/>
        <v>PASS</v>
      </c>
    </row>
    <row r="188" spans="1:8" ht="15.75" thickBot="1" x14ac:dyDescent="0.3">
      <c r="A188" s="1"/>
      <c r="B188" s="54">
        <f>'CARTA DE CONTROL'!R157</f>
        <v>1004</v>
      </c>
      <c r="C188" s="4">
        <f>'CARTA DE CONTROL'!AR157</f>
        <v>1.095617529880478</v>
      </c>
      <c r="D188" s="4">
        <f>'CARTA DE CONTROL'!AS157</f>
        <v>-1.4940239043824701</v>
      </c>
      <c r="E188" s="6">
        <f>'CARTA DE CONTROL'!I157</f>
        <v>3</v>
      </c>
      <c r="F188" s="7">
        <f>-('CARTA DE CONTROL'!I157)</f>
        <v>-3</v>
      </c>
      <c r="G188" s="5" t="str">
        <f>IF(C188&lt;=3,IF(D188&gt;=-3,"PASS","NO PASS"))</f>
        <v>PASS</v>
      </c>
      <c r="H188" s="1"/>
    </row>
    <row r="189" spans="1:8" x14ac:dyDescent="0.25">
      <c r="A189" s="1"/>
      <c r="B189" s="1"/>
      <c r="C189" s="1"/>
      <c r="D189" s="1"/>
      <c r="E189" s="1"/>
      <c r="F189" s="1"/>
      <c r="G189" s="1"/>
      <c r="H189" s="1"/>
    </row>
    <row r="190" spans="1:8" x14ac:dyDescent="0.25">
      <c r="A190" s="1"/>
      <c r="B190" s="1"/>
      <c r="C190" s="1"/>
      <c r="D190" s="1"/>
      <c r="E190" s="1"/>
      <c r="F190" s="1"/>
      <c r="G190" s="1"/>
      <c r="H190" s="1"/>
    </row>
    <row r="191" spans="1:8" x14ac:dyDescent="0.25">
      <c r="A191" s="1"/>
      <c r="B191" s="1"/>
      <c r="C191" s="1"/>
      <c r="D191" s="1"/>
      <c r="E191" s="1"/>
      <c r="F191" s="1"/>
      <c r="G191" s="1"/>
      <c r="H191" s="1"/>
    </row>
    <row r="192" spans="1:8" x14ac:dyDescent="0.25">
      <c r="A192" s="1"/>
      <c r="B192" s="1"/>
      <c r="C192" s="1"/>
      <c r="D192" s="1"/>
      <c r="E192" s="1"/>
      <c r="F192" s="1"/>
      <c r="G192" s="1"/>
      <c r="H192" s="1"/>
    </row>
    <row r="193" spans="1:8" x14ac:dyDescent="0.25">
      <c r="A193" s="1"/>
      <c r="B193" s="1"/>
      <c r="C193" s="1"/>
      <c r="D193" s="1"/>
      <c r="E193" s="1"/>
      <c r="F193" s="1"/>
      <c r="G193" s="1"/>
      <c r="H193" s="1"/>
    </row>
    <row r="206" spans="1:8" ht="15.75" thickBot="1" x14ac:dyDescent="0.3"/>
    <row r="207" spans="1:8" ht="15.75" thickBot="1" x14ac:dyDescent="0.3">
      <c r="B207" s="812" t="s">
        <v>193</v>
      </c>
      <c r="C207" s="813"/>
      <c r="D207" s="813"/>
      <c r="E207" s="814"/>
    </row>
    <row r="208" spans="1:8" ht="34.5" thickBot="1" x14ac:dyDescent="0.3">
      <c r="B208" s="2" t="s">
        <v>39</v>
      </c>
      <c r="C208" s="10" t="s">
        <v>109</v>
      </c>
      <c r="D208" s="2" t="s">
        <v>90</v>
      </c>
      <c r="E208" s="21" t="s">
        <v>89</v>
      </c>
    </row>
    <row r="209" spans="2:5" ht="15.75" thickBot="1" x14ac:dyDescent="0.3">
      <c r="B209" s="3">
        <f>'CARTA DE CONTROL'!R152</f>
        <v>100.4</v>
      </c>
      <c r="C209" s="4">
        <f>'CARTA DE CONTROL'!AM152</f>
        <v>0.57768924302788838</v>
      </c>
      <c r="D209" s="6">
        <f>'CARTA DE CONTROL'!K152</f>
        <v>3</v>
      </c>
      <c r="E209" s="5" t="str">
        <f>IF(C209&lt;=3,IF(C209&gt;=-3,"PASS","NO PASS"))</f>
        <v>PASS</v>
      </c>
    </row>
    <row r="210" spans="2:5" ht="15.75" thickBot="1" x14ac:dyDescent="0.3">
      <c r="B210" s="3">
        <f>'CARTA DE CONTROL'!R153</f>
        <v>200.9</v>
      </c>
      <c r="C210" s="4">
        <f>'CARTA DE CONTROL'!AM153</f>
        <v>0.28870084619213537</v>
      </c>
      <c r="D210" s="6">
        <f>'CARTA DE CONTROL'!K153</f>
        <v>3</v>
      </c>
      <c r="E210" s="5" t="str">
        <f t="shared" ref="E210:E214" si="8">IF(C210&lt;=3,IF(C210&gt;=-3,"PASS","NO PASS"))</f>
        <v>PASS</v>
      </c>
    </row>
    <row r="211" spans="2:5" ht="15.75" thickBot="1" x14ac:dyDescent="0.3">
      <c r="B211" s="3">
        <f>'CARTA DE CONTROL'!R154</f>
        <v>301.3</v>
      </c>
      <c r="C211" s="4">
        <f>'CARTA DE CONTROL'!AM154</f>
        <v>0.19249917026219712</v>
      </c>
      <c r="D211" s="6">
        <f>'CARTA DE CONTROL'!K154</f>
        <v>3</v>
      </c>
      <c r="E211" s="5" t="str">
        <f t="shared" si="8"/>
        <v>PASS</v>
      </c>
    </row>
    <row r="212" spans="2:5" ht="15.75" thickBot="1" x14ac:dyDescent="0.3">
      <c r="B212" s="3">
        <f>'CARTA DE CONTROL'!R155</f>
        <v>401.8</v>
      </c>
      <c r="C212" s="4">
        <f>'CARTA DE CONTROL'!AM155</f>
        <v>0.24888003982080636</v>
      </c>
      <c r="D212" s="6">
        <f>'CARTA DE CONTROL'!K155</f>
        <v>3</v>
      </c>
      <c r="E212" s="5" t="str">
        <f t="shared" si="8"/>
        <v>PASS</v>
      </c>
    </row>
    <row r="213" spans="2:5" ht="15.75" thickBot="1" x14ac:dyDescent="0.3">
      <c r="B213" s="3">
        <f>'CARTA DE CONTROL'!R156</f>
        <v>502.3</v>
      </c>
      <c r="C213" s="4">
        <f>'CARTA DE CONTROL'!AM156</f>
        <v>0.19908421262193907</v>
      </c>
      <c r="D213" s="6">
        <f>'CARTA DE CONTROL'!K156</f>
        <v>3</v>
      </c>
      <c r="E213" s="5" t="str">
        <f t="shared" si="8"/>
        <v>PASS</v>
      </c>
    </row>
    <row r="214" spans="2:5" ht="15.75" thickBot="1" x14ac:dyDescent="0.3">
      <c r="B214" s="3">
        <f>'CARTA DE CONTROL'!R157</f>
        <v>1004</v>
      </c>
      <c r="C214" s="4">
        <f>'CARTA DE CONTROL'!AM157</f>
        <v>0.15239043824701196</v>
      </c>
      <c r="D214" s="6">
        <f>'CARTA DE CONTROL'!K157</f>
        <v>3</v>
      </c>
      <c r="E214" s="5" t="str">
        <f t="shared" si="8"/>
        <v>PASS</v>
      </c>
    </row>
  </sheetData>
  <mergeCells count="60">
    <mergeCell ref="B134:G134"/>
    <mergeCell ref="B160:E160"/>
    <mergeCell ref="B181:G181"/>
    <mergeCell ref="B207:E207"/>
    <mergeCell ref="B37:D37"/>
    <mergeCell ref="F37:G37"/>
    <mergeCell ref="B65:E65"/>
    <mergeCell ref="B112:E112"/>
    <mergeCell ref="B39:G39"/>
    <mergeCell ref="B86:G86"/>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45">
    <cfRule type="cellIs" dxfId="86" priority="19" operator="lessThan">
      <formula>$F$73</formula>
    </cfRule>
    <cfRule type="cellIs" dxfId="85" priority="20" operator="lessThan">
      <formula>0.05</formula>
    </cfRule>
  </conditionalFormatting>
  <conditionalFormatting sqref="G41:G45">
    <cfRule type="cellIs" dxfId="84" priority="18" operator="between">
      <formula>$F$73</formula>
      <formula>$G$73</formula>
    </cfRule>
  </conditionalFormatting>
  <conditionalFormatting sqref="E67:E71">
    <cfRule type="cellIs" dxfId="83" priority="16" operator="lessThan">
      <formula>$H$73</formula>
    </cfRule>
    <cfRule type="cellIs" dxfId="82" priority="17" operator="lessThan">
      <formula>0.05</formula>
    </cfRule>
  </conditionalFormatting>
  <conditionalFormatting sqref="G88:G93">
    <cfRule type="cellIs" dxfId="81" priority="14" operator="lessThan">
      <formula>$F$73</formula>
    </cfRule>
    <cfRule type="cellIs" dxfId="80" priority="15" operator="lessThan">
      <formula>0.05</formula>
    </cfRule>
  </conditionalFormatting>
  <conditionalFormatting sqref="G88:G93">
    <cfRule type="cellIs" dxfId="79" priority="13" operator="between">
      <formula>$F$73</formula>
      <formula>$G$73</formula>
    </cfRule>
  </conditionalFormatting>
  <conditionalFormatting sqref="E114:E119">
    <cfRule type="cellIs" dxfId="78" priority="11" operator="lessThan">
      <formula>$H$73</formula>
    </cfRule>
    <cfRule type="cellIs" dxfId="77" priority="12" operator="lessThan">
      <formula>0.05</formula>
    </cfRule>
  </conditionalFormatting>
  <conditionalFormatting sqref="G136:G140">
    <cfRule type="cellIs" dxfId="76" priority="9" operator="lessThan">
      <formula>$F$73</formula>
    </cfRule>
    <cfRule type="cellIs" dxfId="75" priority="10" operator="lessThan">
      <formula>0.05</formula>
    </cfRule>
  </conditionalFormatting>
  <conditionalFormatting sqref="G136:G140">
    <cfRule type="cellIs" dxfId="74" priority="8" operator="between">
      <formula>$F$73</formula>
      <formula>$G$73</formula>
    </cfRule>
  </conditionalFormatting>
  <conditionalFormatting sqref="E162:E166">
    <cfRule type="cellIs" dxfId="73" priority="6" operator="lessThan">
      <formula>$H$73</formula>
    </cfRule>
    <cfRule type="cellIs" dxfId="72" priority="7" operator="lessThan">
      <formula>0.05</formula>
    </cfRule>
  </conditionalFormatting>
  <conditionalFormatting sqref="G183:G188">
    <cfRule type="cellIs" dxfId="71" priority="4" operator="lessThan">
      <formula>$F$73</formula>
    </cfRule>
    <cfRule type="cellIs" dxfId="70" priority="5" operator="lessThan">
      <formula>0.05</formula>
    </cfRule>
  </conditionalFormatting>
  <conditionalFormatting sqref="G183:G188">
    <cfRule type="cellIs" dxfId="69" priority="3" operator="between">
      <formula>$F$73</formula>
      <formula>$G$73</formula>
    </cfRule>
  </conditionalFormatting>
  <conditionalFormatting sqref="E209:E214">
    <cfRule type="cellIs" dxfId="68" priority="1" operator="lessThan">
      <formula>$H$73</formula>
    </cfRule>
    <cfRule type="cellIs" dxfId="67" priority="2" operator="lessThan">
      <formula>0.05</formula>
    </cfRule>
  </conditionalFormatting>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topLeftCell="A109" workbookViewId="0">
      <selection activeCell="D124" sqref="D124"/>
    </sheetView>
  </sheetViews>
  <sheetFormatPr baseColWidth="10" defaultRowHeight="15" x14ac:dyDescent="0.25"/>
  <cols>
    <col min="1" max="1" width="7" customWidth="1"/>
    <col min="2" max="2" width="22.85546875" customWidth="1"/>
    <col min="3" max="3" width="21.7109375" customWidth="1"/>
    <col min="4" max="4" width="21" customWidth="1"/>
    <col min="5" max="5" width="22.710937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CONTROL'!B158</f>
        <v>FRENOMETRO MIXTO</v>
      </c>
      <c r="D7" s="832"/>
      <c r="E7" s="833"/>
    </row>
    <row r="8" spans="1:11" x14ac:dyDescent="0.25">
      <c r="B8" s="224" t="s">
        <v>156</v>
      </c>
      <c r="C8" s="831" t="str">
        <f>'CARTA DE CONTROL'!D158</f>
        <v>VAMAG</v>
      </c>
      <c r="D8" s="832"/>
      <c r="E8" s="833"/>
    </row>
    <row r="9" spans="1:11" x14ac:dyDescent="0.25">
      <c r="B9" s="224" t="s">
        <v>157</v>
      </c>
      <c r="C9" s="831" t="str">
        <f>'CARTA DE CONTROL'!E158</f>
        <v>RBT/C2VFW</v>
      </c>
      <c r="D9" s="832"/>
      <c r="E9" s="833"/>
    </row>
    <row r="10" spans="1:11" x14ac:dyDescent="0.25">
      <c r="B10" s="224" t="s">
        <v>158</v>
      </c>
      <c r="C10" s="847">
        <f>'CARTA DE CONTROL'!F158</f>
        <v>17051292</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ht="15.75" thickBot="1" x14ac:dyDescent="0.3"/>
    <row r="39" spans="1:7" ht="15.75" thickBot="1" x14ac:dyDescent="0.3">
      <c r="B39" s="812" t="s">
        <v>190</v>
      </c>
      <c r="C39" s="813"/>
      <c r="D39" s="813"/>
      <c r="E39" s="813"/>
      <c r="F39" s="813"/>
      <c r="G39" s="814"/>
    </row>
    <row r="40" spans="1:7" ht="72.75" thickBot="1" x14ac:dyDescent="0.3">
      <c r="B40" s="2" t="s">
        <v>162</v>
      </c>
      <c r="C40" s="11" t="s">
        <v>97</v>
      </c>
      <c r="D40" s="11" t="s">
        <v>98</v>
      </c>
      <c r="E40" s="22" t="s">
        <v>99</v>
      </c>
      <c r="F40" s="22" t="s">
        <v>100</v>
      </c>
      <c r="G40" s="22" t="s">
        <v>38</v>
      </c>
    </row>
    <row r="41" spans="1:7" ht="15.75" thickBot="1" x14ac:dyDescent="0.3">
      <c r="B41" s="3">
        <f>'CARTA DE CONTROL'!R158</f>
        <v>0</v>
      </c>
      <c r="C41" s="4">
        <f>'CARTA DE CONTROL'!AR158</f>
        <v>3.3333333333333335E-3</v>
      </c>
      <c r="D41" s="4">
        <f>'CARTA DE CONTROL'!AS158</f>
        <v>-3.3333333333333335E-3</v>
      </c>
      <c r="E41" s="6">
        <f>'CARTA DE CONTROL'!I158</f>
        <v>3</v>
      </c>
      <c r="F41" s="7">
        <f>-('CARTA DE CONTROL'!I158)</f>
        <v>-3</v>
      </c>
      <c r="G41" s="5" t="str">
        <f>IF(C41&lt;=2,IF(D41&gt;=-2,"PASS","NO PASS"))</f>
        <v>PASS</v>
      </c>
    </row>
    <row r="42" spans="1:7" ht="15.75" thickBot="1" x14ac:dyDescent="0.3">
      <c r="B42" s="3">
        <f>'CARTA DE CONTROL'!R159</f>
        <v>313.7</v>
      </c>
      <c r="C42" s="4">
        <f>'CARTA DE CONTROL'!AR159</f>
        <v>0.18633333333333332</v>
      </c>
      <c r="D42" s="4">
        <f>'CARTA DE CONTROL'!AS159</f>
        <v>0.157</v>
      </c>
      <c r="E42" s="6">
        <f>'CARTA DE CONTROL'!I159</f>
        <v>3</v>
      </c>
      <c r="F42" s="7">
        <f>-('CARTA DE CONTROL'!I159)</f>
        <v>-3</v>
      </c>
      <c r="G42" s="5" t="str">
        <f t="shared" ref="G42:G48" si="0">IF(C42&lt;=2,IF(D42&gt;=-2,"PASS","NO PASS"))</f>
        <v>PASS</v>
      </c>
    </row>
    <row r="43" spans="1:7" ht="15.75" thickBot="1" x14ac:dyDescent="0.3">
      <c r="B43" s="3">
        <f>'CARTA DE CONTROL'!R162</f>
        <v>6274</v>
      </c>
      <c r="C43" s="4">
        <f>'CARTA DE CONTROL'!AR162</f>
        <v>-5.6666666666666664E-2</v>
      </c>
      <c r="D43" s="4">
        <f>'CARTA DE CONTROL'!AS162</f>
        <v>-0.15</v>
      </c>
      <c r="E43" s="6">
        <f>'CARTA DE CONTROL'!I162</f>
        <v>3</v>
      </c>
      <c r="F43" s="7">
        <f>-('CARTA DE CONTROL'!I162)</f>
        <v>-3</v>
      </c>
      <c r="G43" s="5" t="str">
        <f t="shared" si="0"/>
        <v>PASS</v>
      </c>
    </row>
    <row r="44" spans="1:7" ht="15.75" thickBot="1" x14ac:dyDescent="0.3">
      <c r="B44" s="3">
        <f>'CARTA DE CONTROL'!R163</f>
        <v>9410</v>
      </c>
      <c r="C44" s="4">
        <f>'CARTA DE CONTROL'!AR163</f>
        <v>7.3333333333333334E-2</v>
      </c>
      <c r="D44" s="4">
        <f>'CARTA DE CONTROL'!AS163</f>
        <v>-0.06</v>
      </c>
      <c r="E44" s="6">
        <f>'CARTA DE CONTROL'!I163</f>
        <v>3</v>
      </c>
      <c r="F44" s="7">
        <f>-('CARTA DE CONTROL'!I163)</f>
        <v>-3</v>
      </c>
      <c r="G44" s="5" t="str">
        <f t="shared" si="0"/>
        <v>PASS</v>
      </c>
    </row>
    <row r="45" spans="1:7" ht="15.75" thickBot="1" x14ac:dyDescent="0.3">
      <c r="B45" s="3">
        <f>'CARTA DE CONTROL'!R164</f>
        <v>15684</v>
      </c>
      <c r="C45" s="4">
        <f>'CARTA DE CONTROL'!AR164</f>
        <v>0.11</v>
      </c>
      <c r="D45" s="4">
        <f>'CARTA DE CONTROL'!AS164</f>
        <v>-0.11</v>
      </c>
      <c r="E45" s="6">
        <f>'CARTA DE CONTROL'!I164</f>
        <v>3</v>
      </c>
      <c r="F45" s="7">
        <f>-('CARTA DE CONTROL'!I164)</f>
        <v>-3</v>
      </c>
      <c r="G45" s="5" t="str">
        <f t="shared" si="0"/>
        <v>PASS</v>
      </c>
    </row>
    <row r="46" spans="1:7" ht="15.75" thickBot="1" x14ac:dyDescent="0.3">
      <c r="B46" s="3">
        <f>'CARTA DE CONTROL'!R165</f>
        <v>21958</v>
      </c>
      <c r="C46" s="4">
        <f>'CARTA DE CONTROL'!AR165</f>
        <v>0.5033333333333333</v>
      </c>
      <c r="D46" s="4">
        <f>'CARTA DE CONTROL'!AS165</f>
        <v>0.20333333333333334</v>
      </c>
      <c r="E46" s="6">
        <f>'CARTA DE CONTROL'!I165</f>
        <v>3</v>
      </c>
      <c r="F46" s="7">
        <f>-('CARTA DE CONTROL'!I165)</f>
        <v>-3</v>
      </c>
      <c r="G46" s="5" t="str">
        <f t="shared" si="0"/>
        <v>PASS</v>
      </c>
    </row>
    <row r="47" spans="1:7" ht="15.75" thickBot="1" x14ac:dyDescent="0.3">
      <c r="B47" s="3">
        <f>'CARTA DE CONTROL'!R166</f>
        <v>28231</v>
      </c>
      <c r="C47" s="4">
        <f>'CARTA DE CONTROL'!AR166</f>
        <v>0.42666666666666664</v>
      </c>
      <c r="D47" s="4">
        <f>'CARTA DE CONTROL'!AS166</f>
        <v>4.0000000000000008E-2</v>
      </c>
      <c r="E47" s="6">
        <f>'CARTA DE CONTROL'!I166</f>
        <v>3</v>
      </c>
      <c r="F47" s="7">
        <f>-('CARTA DE CONTROL'!I166)</f>
        <v>-3</v>
      </c>
      <c r="G47" s="5" t="str">
        <f t="shared" si="0"/>
        <v>PASS</v>
      </c>
    </row>
    <row r="48" spans="1:7" ht="15.75" thickBot="1" x14ac:dyDescent="0.3">
      <c r="B48" s="3">
        <f>'CARTA DE CONTROL'!R167</f>
        <v>29800</v>
      </c>
      <c r="C48" s="4">
        <f>'CARTA DE CONTROL'!AR167</f>
        <v>0.49333333333333329</v>
      </c>
      <c r="D48" s="4">
        <f>'CARTA DE CONTROL'!AS167</f>
        <v>8.6666666666666642E-2</v>
      </c>
      <c r="E48" s="6">
        <f>'CARTA DE CONTROL'!I167</f>
        <v>3</v>
      </c>
      <c r="F48" s="7">
        <f>-('CARTA DE CONTROL'!I167)</f>
        <v>-3</v>
      </c>
      <c r="G48" s="5" t="str">
        <f t="shared" si="0"/>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812" t="s">
        <v>191</v>
      </c>
      <c r="C67" s="813"/>
      <c r="D67" s="813"/>
      <c r="E67" s="814"/>
    </row>
    <row r="68" spans="2:5" ht="34.5" thickBot="1" x14ac:dyDescent="0.3">
      <c r="B68" s="2" t="s">
        <v>39</v>
      </c>
      <c r="C68" s="10" t="s">
        <v>88</v>
      </c>
      <c r="D68" s="2" t="s">
        <v>90</v>
      </c>
      <c r="E68" s="21" t="s">
        <v>89</v>
      </c>
    </row>
    <row r="69" spans="2:5" ht="15.75" thickBot="1" x14ac:dyDescent="0.3">
      <c r="B69" s="3">
        <f>'CARTA DE CONTROL'!R158</f>
        <v>0</v>
      </c>
      <c r="C69" s="4">
        <f>'CARTA DE CONTROL'!AM158</f>
        <v>0</v>
      </c>
      <c r="D69" s="6">
        <f>'CARTA DE CONTROL'!K158</f>
        <v>2</v>
      </c>
      <c r="E69" s="5" t="str">
        <f>IF(C69&lt;=2,IF(C69&gt;=-2,"PASS","NO PASS"))</f>
        <v>PASS</v>
      </c>
    </row>
    <row r="70" spans="2:5" ht="15.75" thickBot="1" x14ac:dyDescent="0.3">
      <c r="B70" s="3">
        <f>'CARTA DE CONTROL'!R159</f>
        <v>313.7</v>
      </c>
      <c r="C70" s="4">
        <f>'CARTA DE CONTROL'!AM159</f>
        <v>1.1666666666666667E-2</v>
      </c>
      <c r="D70" s="6">
        <f>'CARTA DE CONTROL'!K159</f>
        <v>2</v>
      </c>
      <c r="E70" s="5" t="str">
        <f t="shared" ref="E70:E76" si="1">IF(C70&lt;=2,IF(C70&gt;=-2,"PASS","NO PASS"))</f>
        <v>PASS</v>
      </c>
    </row>
    <row r="71" spans="2:5" ht="15.75" thickBot="1" x14ac:dyDescent="0.3">
      <c r="B71" s="3">
        <f>'CARTA DE CONTROL'!R162</f>
        <v>6274</v>
      </c>
      <c r="C71" s="4">
        <f>'CARTA DE CONTROL'!AM162</f>
        <v>2.5000000000000001E-2</v>
      </c>
      <c r="D71" s="6">
        <f>'CARTA DE CONTROL'!K162</f>
        <v>2</v>
      </c>
      <c r="E71" s="5" t="str">
        <f t="shared" si="1"/>
        <v>PASS</v>
      </c>
    </row>
    <row r="72" spans="2:5" ht="15.75" thickBot="1" x14ac:dyDescent="0.3">
      <c r="B72" s="3">
        <f>'CARTA DE CONTROL'!R163</f>
        <v>9410</v>
      </c>
      <c r="C72" s="4">
        <f>'CARTA DE CONTROL'!AM163</f>
        <v>1.0333333333333333E-2</v>
      </c>
      <c r="D72" s="6">
        <f>'CARTA DE CONTROL'!K163</f>
        <v>2</v>
      </c>
      <c r="E72" s="5" t="str">
        <f t="shared" si="1"/>
        <v>PASS</v>
      </c>
    </row>
    <row r="73" spans="2:5" ht="15.75" thickBot="1" x14ac:dyDescent="0.3">
      <c r="B73" s="3">
        <f>'CARTA DE CONTROL'!R164</f>
        <v>15684</v>
      </c>
      <c r="C73" s="4">
        <f>'CARTA DE CONTROL'!AM164</f>
        <v>1.5666666666666666E-2</v>
      </c>
      <c r="D73" s="6">
        <f>'CARTA DE CONTROL'!K164</f>
        <v>2</v>
      </c>
      <c r="E73" s="5" t="str">
        <f t="shared" si="1"/>
        <v>PASS</v>
      </c>
    </row>
    <row r="74" spans="2:5" ht="15.75" thickBot="1" x14ac:dyDescent="0.3">
      <c r="B74" s="3">
        <f>'CARTA DE CONTROL'!R165</f>
        <v>21958</v>
      </c>
      <c r="C74" s="4">
        <f>'CARTA DE CONTROL'!AM165</f>
        <v>1.2E-2</v>
      </c>
      <c r="D74" s="6">
        <f>'CARTA DE CONTROL'!K165</f>
        <v>2</v>
      </c>
      <c r="E74" s="5" t="str">
        <f t="shared" si="1"/>
        <v>PASS</v>
      </c>
    </row>
    <row r="75" spans="2:5" ht="15.75" thickBot="1" x14ac:dyDescent="0.3">
      <c r="B75" s="3">
        <f>'CARTA DE CONTROL'!R166</f>
        <v>28231</v>
      </c>
      <c r="C75" s="4">
        <f>'CARTA DE CONTROL'!AM166</f>
        <v>1.9666666666666666E-2</v>
      </c>
      <c r="D75" s="6">
        <f>'CARTA DE CONTROL'!K166</f>
        <v>2</v>
      </c>
      <c r="E75" s="5" t="str">
        <f t="shared" si="1"/>
        <v>PASS</v>
      </c>
    </row>
    <row r="76" spans="2:5" ht="15.75" thickBot="1" x14ac:dyDescent="0.3">
      <c r="B76" s="3">
        <f>'CARTA DE CONTROL'!R167</f>
        <v>29800</v>
      </c>
      <c r="C76" s="4">
        <f>'CARTA DE CONTROL'!AM167</f>
        <v>1.4333333333333333E-2</v>
      </c>
      <c r="D76" s="6">
        <f>'CARTA DE CONTROL'!K167</f>
        <v>2</v>
      </c>
      <c r="E76" s="5" t="str">
        <f t="shared" si="1"/>
        <v>PASS</v>
      </c>
    </row>
    <row r="89" spans="2:7" ht="15.75" thickBot="1" x14ac:dyDescent="0.3"/>
    <row r="90" spans="2:7" ht="15.75" thickBot="1" x14ac:dyDescent="0.3">
      <c r="B90" s="812" t="s">
        <v>192</v>
      </c>
      <c r="C90" s="813"/>
      <c r="D90" s="813"/>
      <c r="E90" s="813"/>
      <c r="F90" s="813"/>
      <c r="G90" s="814"/>
    </row>
    <row r="91" spans="2:7" ht="72.75" thickBot="1" x14ac:dyDescent="0.3">
      <c r="B91" s="2" t="s">
        <v>162</v>
      </c>
      <c r="C91" s="11" t="s">
        <v>97</v>
      </c>
      <c r="D91" s="11" t="s">
        <v>98</v>
      </c>
      <c r="E91" s="22" t="s">
        <v>99</v>
      </c>
      <c r="F91" s="22" t="s">
        <v>100</v>
      </c>
      <c r="G91" s="22" t="s">
        <v>38</v>
      </c>
    </row>
    <row r="92" spans="2:7" ht="15.75" thickBot="1" x14ac:dyDescent="0.3">
      <c r="B92" s="3">
        <f>'CARTA DE CONTROL'!R168</f>
        <v>0</v>
      </c>
      <c r="C92" s="4">
        <f>'CARTA DE CONTROL'!AR168</f>
        <v>3.3333333333333335E-3</v>
      </c>
      <c r="D92" s="4">
        <f>'CARTA DE CONTROL'!AS168</f>
        <v>-3.3333333333333335E-3</v>
      </c>
      <c r="E92" s="6">
        <f>'CARTA DE CONTROL'!I168</f>
        <v>3</v>
      </c>
      <c r="F92" s="7">
        <f>-('CARTA DE CONTROL'!I168)</f>
        <v>-3</v>
      </c>
      <c r="G92" s="5" t="str">
        <f>IF(C92&lt;=2,IF(D92&gt;=-2,"PASS","NO PASS"))</f>
        <v>PASS</v>
      </c>
    </row>
    <row r="93" spans="2:7" ht="15.75" thickBot="1" x14ac:dyDescent="0.3">
      <c r="B93" s="3">
        <f>'CARTA DE CONTROL'!R169</f>
        <v>313.7</v>
      </c>
      <c r="C93" s="4">
        <f>'CARTA DE CONTROL'!AR169</f>
        <v>9.5666666666666691E-2</v>
      </c>
      <c r="D93" s="4">
        <f>'CARTA DE CONTROL'!AS169</f>
        <v>5.3000000000000033E-2</v>
      </c>
      <c r="E93" s="6">
        <f>'CARTA DE CONTROL'!I169</f>
        <v>3</v>
      </c>
      <c r="F93" s="7">
        <f>-('CARTA DE CONTROL'!I169)</f>
        <v>-3</v>
      </c>
      <c r="G93" s="5" t="str">
        <f t="shared" ref="G93:G99" si="2">IF(C93&lt;=2,IF(D93&gt;=-2,"PASS","NO PASS"))</f>
        <v>PASS</v>
      </c>
    </row>
    <row r="94" spans="2:7" ht="15.75" thickBot="1" x14ac:dyDescent="0.3">
      <c r="B94" s="3">
        <f>'CARTA DE CONTROL'!R170</f>
        <v>1568.4</v>
      </c>
      <c r="C94" s="4">
        <f>'CARTA DE CONTROL'!AR170</f>
        <v>7.466666666666652E-2</v>
      </c>
      <c r="D94" s="4">
        <f>'CARTA DE CONTROL'!AS170</f>
        <v>4.3999999999999852E-2</v>
      </c>
      <c r="E94" s="6">
        <f>'CARTA DE CONTROL'!I170</f>
        <v>3</v>
      </c>
      <c r="F94" s="7">
        <f>-('CARTA DE CONTROL'!I170)</f>
        <v>-3</v>
      </c>
      <c r="G94" s="5" t="str">
        <f t="shared" si="2"/>
        <v>PASS</v>
      </c>
    </row>
    <row r="95" spans="2:7" ht="15.75" thickBot="1" x14ac:dyDescent="0.3">
      <c r="B95" s="3">
        <f>'CARTA DE CONTROL'!R171</f>
        <v>3136.8</v>
      </c>
      <c r="C95" s="4">
        <f>'CARTA DE CONTROL'!AR171</f>
        <v>-0.60899999999999999</v>
      </c>
      <c r="D95" s="4">
        <f>'CARTA DE CONTROL'!AS171</f>
        <v>-0.65766666666666662</v>
      </c>
      <c r="E95" s="6">
        <f>'CARTA DE CONTROL'!I171</f>
        <v>3</v>
      </c>
      <c r="F95" s="7">
        <f>-('CARTA DE CONTROL'!I171)</f>
        <v>-3</v>
      </c>
      <c r="G95" s="5" t="str">
        <f t="shared" si="2"/>
        <v>PASS</v>
      </c>
    </row>
    <row r="96" spans="2:7" ht="15.75" thickBot="1" x14ac:dyDescent="0.3">
      <c r="B96" s="3">
        <f>'CARTA DE CONTROL'!R172</f>
        <v>6274</v>
      </c>
      <c r="C96" s="4">
        <f>'CARTA DE CONTROL'!AR172</f>
        <v>-0.17666666666666667</v>
      </c>
      <c r="D96" s="4">
        <f>'CARTA DE CONTROL'!AS172</f>
        <v>-0.27</v>
      </c>
      <c r="E96" s="6">
        <f>'CARTA DE CONTROL'!I172</f>
        <v>3</v>
      </c>
      <c r="F96" s="7">
        <f>-('CARTA DE CONTROL'!I172)</f>
        <v>-3</v>
      </c>
      <c r="G96" s="5" t="str">
        <f t="shared" si="2"/>
        <v>PASS</v>
      </c>
    </row>
    <row r="97" spans="1:8" ht="15.75" thickBot="1" x14ac:dyDescent="0.3">
      <c r="B97" s="3">
        <f>'CARTA DE CONTROL'!R173</f>
        <v>9410</v>
      </c>
      <c r="C97" s="4">
        <f>'CARTA DE CONTROL'!AR173</f>
        <v>-0.8666666666666667</v>
      </c>
      <c r="D97" s="4">
        <f>'CARTA DE CONTROL'!AS173</f>
        <v>-1</v>
      </c>
      <c r="E97" s="6">
        <f>'CARTA DE CONTROL'!I173</f>
        <v>3</v>
      </c>
      <c r="F97" s="7">
        <f>-('CARTA DE CONTROL'!I173)</f>
        <v>-3</v>
      </c>
      <c r="G97" s="5" t="str">
        <f t="shared" si="2"/>
        <v>PASS</v>
      </c>
    </row>
    <row r="98" spans="1:8" ht="15.75" thickBot="1" x14ac:dyDescent="0.3">
      <c r="B98" s="3">
        <f>'CARTA DE CONTROL'!R174</f>
        <v>15684</v>
      </c>
      <c r="C98" s="4">
        <f>'CARTA DE CONTROL'!AR174</f>
        <v>-0.43666666666666665</v>
      </c>
      <c r="D98" s="4">
        <f>'CARTA DE CONTROL'!AS174</f>
        <v>-0.65666666666666662</v>
      </c>
      <c r="E98" s="6">
        <f>'CARTA DE CONTROL'!I174</f>
        <v>3</v>
      </c>
      <c r="F98" s="7">
        <f>-('CARTA DE CONTROL'!I174)</f>
        <v>-3</v>
      </c>
      <c r="G98" s="5" t="str">
        <f t="shared" si="2"/>
        <v>PASS</v>
      </c>
    </row>
    <row r="99" spans="1:8" ht="15.75" thickBot="1" x14ac:dyDescent="0.3">
      <c r="B99" s="3">
        <f>'CARTA DE CONTROL'!R175</f>
        <v>21958</v>
      </c>
      <c r="C99" s="4">
        <f>'CARTA DE CONTROL'!AR175</f>
        <v>0.27333333333333332</v>
      </c>
      <c r="D99" s="4">
        <f>'CARTA DE CONTROL'!AS175</f>
        <v>-2.6666666666666658E-2</v>
      </c>
      <c r="E99" s="6">
        <f>'CARTA DE CONTROL'!I175</f>
        <v>3</v>
      </c>
      <c r="F99" s="7">
        <f>-('CARTA DE CONTROL'!I175)</f>
        <v>-3</v>
      </c>
      <c r="G99" s="5" t="str">
        <f t="shared" si="2"/>
        <v>PASS</v>
      </c>
    </row>
    <row r="100" spans="1:8" x14ac:dyDescent="0.25">
      <c r="A100" s="1"/>
      <c r="B100" s="1"/>
      <c r="C100" s="1"/>
      <c r="D100" s="1"/>
      <c r="E100" s="1"/>
      <c r="F100" s="1"/>
      <c r="G100" s="1"/>
      <c r="H100" s="1"/>
    </row>
    <row r="101" spans="1:8" x14ac:dyDescent="0.25">
      <c r="A101" s="1"/>
      <c r="B101" s="1"/>
      <c r="C101" s="1"/>
      <c r="D101" s="1"/>
    </row>
    <row r="102" spans="1:8" x14ac:dyDescent="0.25">
      <c r="A102" s="1"/>
      <c r="B102" s="1"/>
      <c r="C102" s="1"/>
      <c r="D102" s="1"/>
    </row>
    <row r="103" spans="1:8" x14ac:dyDescent="0.25">
      <c r="A103" s="1"/>
      <c r="B103" s="1"/>
      <c r="C103" s="1"/>
      <c r="D103" s="1"/>
    </row>
    <row r="104" spans="1:8" x14ac:dyDescent="0.25">
      <c r="A104" s="1"/>
      <c r="B104" s="1"/>
      <c r="C104" s="1"/>
      <c r="D104" s="1"/>
      <c r="E104" s="1"/>
      <c r="F104" s="1"/>
      <c r="G104" s="1"/>
      <c r="H104" s="1"/>
    </row>
    <row r="105" spans="1:8" x14ac:dyDescent="0.25">
      <c r="A105" s="1"/>
      <c r="B105" s="1"/>
      <c r="C105" s="1"/>
      <c r="D105" s="1"/>
      <c r="E105" s="1"/>
      <c r="F105" s="1"/>
      <c r="G105" s="1"/>
      <c r="H105" s="1"/>
    </row>
    <row r="106" spans="1:8" x14ac:dyDescent="0.25">
      <c r="A106" s="1"/>
      <c r="B106" s="1"/>
      <c r="C106" s="1"/>
      <c r="D106" s="1"/>
      <c r="E106" s="1"/>
      <c r="F106" s="1"/>
      <c r="G106" s="1"/>
      <c r="H106" s="1"/>
    </row>
    <row r="107" spans="1:8" x14ac:dyDescent="0.25">
      <c r="A107" s="1"/>
      <c r="B107" s="1"/>
      <c r="C107" s="1"/>
      <c r="D107" s="1"/>
      <c r="E107" s="1"/>
      <c r="F107" s="1"/>
      <c r="G107" s="1"/>
      <c r="H107" s="1"/>
    </row>
    <row r="108" spans="1:8" x14ac:dyDescent="0.25">
      <c r="A108" s="1"/>
      <c r="B108" s="1"/>
      <c r="C108" s="1"/>
      <c r="D108" s="1"/>
      <c r="E108" s="1"/>
      <c r="F108" s="1"/>
      <c r="G108" s="1"/>
      <c r="H108" s="1"/>
    </row>
    <row r="109" spans="1:8" x14ac:dyDescent="0.25">
      <c r="A109" s="1"/>
      <c r="B109" s="1"/>
      <c r="C109" s="1"/>
      <c r="D109" s="1"/>
      <c r="E109" s="1"/>
      <c r="F109" s="1"/>
      <c r="G109" s="1"/>
      <c r="H109" s="1"/>
    </row>
    <row r="110" spans="1:8" x14ac:dyDescent="0.25">
      <c r="A110" s="1"/>
      <c r="B110" s="1"/>
      <c r="C110" s="1"/>
      <c r="D110" s="1"/>
      <c r="E110" s="1"/>
      <c r="F110" s="1"/>
      <c r="G110" s="1"/>
      <c r="H110" s="1"/>
    </row>
    <row r="111" spans="1:8" x14ac:dyDescent="0.25">
      <c r="A111" s="1"/>
      <c r="B111" s="1"/>
      <c r="C111" s="1"/>
      <c r="D111" s="1"/>
      <c r="E111" s="1"/>
      <c r="F111" s="1"/>
      <c r="G111" s="1"/>
      <c r="H111" s="1"/>
    </row>
    <row r="112" spans="1:8" x14ac:dyDescent="0.25">
      <c r="A112" s="1"/>
      <c r="B112" s="1"/>
      <c r="C112" s="1"/>
      <c r="D112" s="1"/>
      <c r="E112" s="1"/>
      <c r="F112" s="1"/>
      <c r="G112" s="1"/>
      <c r="H112" s="1"/>
    </row>
    <row r="113" spans="1:8" x14ac:dyDescent="0.25">
      <c r="A113" s="1"/>
      <c r="B113" s="1"/>
      <c r="C113" s="1"/>
      <c r="D113" s="1"/>
      <c r="E113" s="1"/>
      <c r="F113" s="1"/>
      <c r="G113" s="1"/>
      <c r="H113" s="1"/>
    </row>
    <row r="117" spans="1:8" ht="15.75" thickBot="1" x14ac:dyDescent="0.3"/>
    <row r="118" spans="1:8" ht="15.75" thickBot="1" x14ac:dyDescent="0.3">
      <c r="B118" s="812" t="s">
        <v>193</v>
      </c>
      <c r="C118" s="813"/>
      <c r="D118" s="813"/>
      <c r="E118" s="814"/>
    </row>
    <row r="119" spans="1:8" ht="34.5" thickBot="1" x14ac:dyDescent="0.3">
      <c r="B119" s="2" t="s">
        <v>39</v>
      </c>
      <c r="C119" s="10" t="s">
        <v>88</v>
      </c>
      <c r="D119" s="2" t="s">
        <v>90</v>
      </c>
      <c r="E119" s="21" t="s">
        <v>89</v>
      </c>
    </row>
    <row r="120" spans="1:8" ht="15.75" thickBot="1" x14ac:dyDescent="0.3">
      <c r="B120" s="3">
        <f>'CARTA DE CONTROL'!R168</f>
        <v>0</v>
      </c>
      <c r="C120" s="4">
        <f>'CARTA DE CONTROL'!AM168</f>
        <v>0</v>
      </c>
      <c r="D120" s="6">
        <f>'CARTA DE CONTROL'!K168</f>
        <v>2</v>
      </c>
      <c r="E120" s="5" t="str">
        <f>IF(C120&lt;=2,IF(C120&gt;=-2,"PASS","NO PASS"))</f>
        <v>PASS</v>
      </c>
    </row>
    <row r="121" spans="1:8" ht="15.75" thickBot="1" x14ac:dyDescent="0.3">
      <c r="B121" s="3">
        <f>'CARTA DE CONTROL'!R169</f>
        <v>313.7</v>
      </c>
      <c r="C121" s="4">
        <f>'CARTA DE CONTROL'!AM169</f>
        <v>1.7333333333333333E-2</v>
      </c>
      <c r="D121" s="6">
        <f>'CARTA DE CONTROL'!K169</f>
        <v>2</v>
      </c>
      <c r="E121" s="5" t="str">
        <f t="shared" ref="E121:E127" si="3">IF(C121&lt;=2,IF(C121&gt;=-2,"PASS","NO PASS"))</f>
        <v>PASS</v>
      </c>
    </row>
    <row r="122" spans="1:8" ht="15.75" thickBot="1" x14ac:dyDescent="0.3">
      <c r="B122" s="3">
        <f>'CARTA DE CONTROL'!R170</f>
        <v>1568.4</v>
      </c>
      <c r="C122" s="4">
        <f>'CARTA DE CONTROL'!AM170</f>
        <v>1.2666666666666666E-2</v>
      </c>
      <c r="D122" s="6">
        <f>'CARTA DE CONTROL'!K170</f>
        <v>2</v>
      </c>
      <c r="E122" s="5" t="str">
        <f t="shared" si="3"/>
        <v>PASS</v>
      </c>
    </row>
    <row r="123" spans="1:8" ht="15.75" thickBot="1" x14ac:dyDescent="0.3">
      <c r="B123" s="3">
        <f>'CARTA DE CONTROL'!R171</f>
        <v>3136.8</v>
      </c>
      <c r="C123" s="4">
        <f>'CARTA DE CONTROL'!AM171</f>
        <v>8.3333333333333332E-3</v>
      </c>
      <c r="D123" s="6">
        <f>'CARTA DE CONTROL'!K171</f>
        <v>2</v>
      </c>
      <c r="E123" s="5" t="str">
        <f t="shared" si="3"/>
        <v>PASS</v>
      </c>
    </row>
    <row r="124" spans="1:8" ht="15.75" thickBot="1" x14ac:dyDescent="0.3">
      <c r="B124" s="3">
        <f>'CARTA DE CONTROL'!R172</f>
        <v>6274</v>
      </c>
      <c r="C124" s="4">
        <f>'CARTA DE CONTROL'!AM172</f>
        <v>1.4333333333333333E-2</v>
      </c>
      <c r="D124" s="6">
        <f>'CARTA DE CONTROL'!K172</f>
        <v>2</v>
      </c>
      <c r="E124" s="5" t="str">
        <f t="shared" si="3"/>
        <v>PASS</v>
      </c>
    </row>
    <row r="125" spans="1:8" ht="15.75" thickBot="1" x14ac:dyDescent="0.3">
      <c r="B125" s="3">
        <f>'CARTA DE CONTROL'!R173</f>
        <v>9410</v>
      </c>
      <c r="C125" s="4">
        <f>'CARTA DE CONTROL'!AM173</f>
        <v>1.7666666666666667E-2</v>
      </c>
      <c r="D125" s="6">
        <f>'CARTA DE CONTROL'!K173</f>
        <v>2</v>
      </c>
      <c r="E125" s="5" t="str">
        <f t="shared" si="3"/>
        <v>PASS</v>
      </c>
    </row>
    <row r="126" spans="1:8" ht="15.75" thickBot="1" x14ac:dyDescent="0.3">
      <c r="B126" s="3">
        <f>'CARTA DE CONTROL'!R174</f>
        <v>15684</v>
      </c>
      <c r="C126" s="4">
        <f>'CARTA DE CONTROL'!AM174</f>
        <v>1.4666666666666668E-2</v>
      </c>
      <c r="D126" s="6">
        <f>'CARTA DE CONTROL'!K174</f>
        <v>2</v>
      </c>
      <c r="E126" s="5" t="str">
        <f t="shared" si="3"/>
        <v>PASS</v>
      </c>
    </row>
    <row r="127" spans="1:8" ht="15.75" thickBot="1" x14ac:dyDescent="0.3">
      <c r="B127" s="3">
        <f>'CARTA DE CONTROL'!R175</f>
        <v>21958</v>
      </c>
      <c r="C127" s="4">
        <f>'CARTA DE CONTROL'!AM175</f>
        <v>6.3333333333333332E-3</v>
      </c>
      <c r="D127" s="6">
        <f>'CARTA DE CONTROL'!K175</f>
        <v>2</v>
      </c>
      <c r="E127" s="5" t="str">
        <f t="shared" si="3"/>
        <v>PASS</v>
      </c>
    </row>
  </sheetData>
  <mergeCells count="56">
    <mergeCell ref="B39:G39"/>
    <mergeCell ref="B90:G90"/>
    <mergeCell ref="B118:E118"/>
    <mergeCell ref="B37:D37"/>
    <mergeCell ref="F37:G37"/>
    <mergeCell ref="B67:E67"/>
    <mergeCell ref="B31:D31"/>
    <mergeCell ref="F31:G31"/>
    <mergeCell ref="B32:D32"/>
    <mergeCell ref="F32:G32"/>
    <mergeCell ref="B36:D36"/>
    <mergeCell ref="F36:G36"/>
    <mergeCell ref="B33:D33"/>
    <mergeCell ref="F33:G33"/>
    <mergeCell ref="B34:D34"/>
    <mergeCell ref="F34:G34"/>
    <mergeCell ref="B35:D35"/>
    <mergeCell ref="F35:G35"/>
    <mergeCell ref="B27:D27"/>
    <mergeCell ref="F27:G27"/>
    <mergeCell ref="B28:D28"/>
    <mergeCell ref="F28:G28"/>
    <mergeCell ref="A30:G30"/>
    <mergeCell ref="B24:D24"/>
    <mergeCell ref="F24:G24"/>
    <mergeCell ref="B25:D25"/>
    <mergeCell ref="F25:G25"/>
    <mergeCell ref="B26:D26"/>
    <mergeCell ref="F26:G26"/>
    <mergeCell ref="B21:D21"/>
    <mergeCell ref="F21:G21"/>
    <mergeCell ref="B22:D22"/>
    <mergeCell ref="F22:G22"/>
    <mergeCell ref="B23:D23"/>
    <mergeCell ref="F23:G23"/>
    <mergeCell ref="B18:D18"/>
    <mergeCell ref="F18:G18"/>
    <mergeCell ref="B19:D19"/>
    <mergeCell ref="F19:G19"/>
    <mergeCell ref="B20:D20"/>
    <mergeCell ref="F20:G20"/>
    <mergeCell ref="C7:E7"/>
    <mergeCell ref="C8:E8"/>
    <mergeCell ref="C9:E9"/>
    <mergeCell ref="C10:E10"/>
    <mergeCell ref="A12:G12"/>
    <mergeCell ref="B16:D16"/>
    <mergeCell ref="F16:G16"/>
    <mergeCell ref="B17:D17"/>
    <mergeCell ref="F17:G17"/>
    <mergeCell ref="B13:D13"/>
    <mergeCell ref="F13:G13"/>
    <mergeCell ref="B14:D14"/>
    <mergeCell ref="F14:G14"/>
    <mergeCell ref="B15:D15"/>
    <mergeCell ref="F15:G15"/>
  </mergeCells>
  <conditionalFormatting sqref="G41:G48">
    <cfRule type="cellIs" dxfId="66" priority="25" operator="lessThan">
      <formula>$F$77</formula>
    </cfRule>
    <cfRule type="cellIs" dxfId="65" priority="26" operator="lessThan">
      <formula>0.05</formula>
    </cfRule>
  </conditionalFormatting>
  <conditionalFormatting sqref="G41:G48">
    <cfRule type="cellIs" dxfId="64" priority="24" operator="between">
      <formula>$F$77</formula>
      <formula>$G$77</formula>
    </cfRule>
  </conditionalFormatting>
  <conditionalFormatting sqref="E69:E76">
    <cfRule type="cellIs" dxfId="63" priority="10" operator="lessThan">
      <formula>$H$77</formula>
    </cfRule>
    <cfRule type="cellIs" dxfId="62" priority="11" operator="lessThan">
      <formula>0.05</formula>
    </cfRule>
  </conditionalFormatting>
  <conditionalFormatting sqref="G92:G99">
    <cfRule type="cellIs" dxfId="61" priority="4" operator="lessThan">
      <formula>$F$77</formula>
    </cfRule>
    <cfRule type="cellIs" dxfId="60" priority="5" operator="lessThan">
      <formula>0.05</formula>
    </cfRule>
  </conditionalFormatting>
  <conditionalFormatting sqref="G92:G99">
    <cfRule type="cellIs" dxfId="59" priority="3" operator="between">
      <formula>$F$77</formula>
      <formula>$G$77</formula>
    </cfRule>
  </conditionalFormatting>
  <conditionalFormatting sqref="E120:E127">
    <cfRule type="cellIs" dxfId="58" priority="1" operator="lessThan">
      <formula>$H$77</formula>
    </cfRule>
    <cfRule type="cellIs" dxfId="57" priority="2" operator="lessThan">
      <formula>0.05</formula>
    </cfRule>
  </conditionalFormatting>
  <pageMargins left="0.7" right="0.7" top="0.75" bottom="0.75" header="0.3" footer="0.3"/>
  <pageSetup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topLeftCell="A225" zoomScaleNormal="100" workbookViewId="0">
      <selection activeCell="C194" sqref="C194"/>
    </sheetView>
  </sheetViews>
  <sheetFormatPr baseColWidth="10" defaultRowHeight="15" x14ac:dyDescent="0.25"/>
  <cols>
    <col min="1" max="1" width="5.140625" customWidth="1"/>
    <col min="2" max="2" width="22.85546875" customWidth="1"/>
    <col min="3" max="3" width="21.7109375" customWidth="1"/>
    <col min="4" max="4" width="21" customWidth="1"/>
    <col min="5" max="5" width="22.710937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CONTROL'!B158</f>
        <v>FRENOMETRO MIXTO</v>
      </c>
      <c r="D7" s="832"/>
      <c r="E7" s="833"/>
    </row>
    <row r="8" spans="1:11" x14ac:dyDescent="0.25">
      <c r="B8" s="224" t="s">
        <v>156</v>
      </c>
      <c r="C8" s="831" t="str">
        <f>'CARTA DE CONTROL'!D158</f>
        <v>VAMAG</v>
      </c>
      <c r="D8" s="832"/>
      <c r="E8" s="833"/>
    </row>
    <row r="9" spans="1:11" x14ac:dyDescent="0.25">
      <c r="B9" s="224" t="s">
        <v>157</v>
      </c>
      <c r="C9" s="831" t="str">
        <f>'CARTA DE CONTROL'!E158</f>
        <v>RBT/C2VFW</v>
      </c>
      <c r="D9" s="832"/>
      <c r="E9" s="833"/>
    </row>
    <row r="10" spans="1:11" x14ac:dyDescent="0.25">
      <c r="B10" s="224" t="s">
        <v>158</v>
      </c>
      <c r="C10" s="847">
        <f>'CARTA DE CONTROL'!F158</f>
        <v>17051292</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15.75" thickBot="1" x14ac:dyDescent="0.3">
      <c r="B39" s="812" t="s">
        <v>190</v>
      </c>
      <c r="C39" s="813"/>
      <c r="D39" s="813"/>
      <c r="E39" s="813"/>
      <c r="F39" s="813"/>
      <c r="G39" s="814"/>
    </row>
    <row r="40" spans="1:8" ht="72.75" thickBot="1" x14ac:dyDescent="0.3">
      <c r="B40" s="2" t="s">
        <v>39</v>
      </c>
      <c r="C40" s="11" t="s">
        <v>107</v>
      </c>
      <c r="D40" s="11" t="s">
        <v>108</v>
      </c>
      <c r="E40" s="22" t="s">
        <v>101</v>
      </c>
      <c r="F40" s="22" t="s">
        <v>102</v>
      </c>
      <c r="G40" s="22" t="s">
        <v>38</v>
      </c>
    </row>
    <row r="41" spans="1:8" ht="15.75" thickBot="1" x14ac:dyDescent="0.3">
      <c r="B41" s="54">
        <f>'CARTA DE CONTROL'!R178</f>
        <v>0</v>
      </c>
      <c r="C41" s="4">
        <f>'CARTA DE CONTROL'!AR178</f>
        <v>0.56999999999999995</v>
      </c>
      <c r="D41" s="4">
        <f>'CARTA DE CONTROL'!AS178</f>
        <v>-0.56999999999999995</v>
      </c>
      <c r="E41" s="6">
        <f>'CARTA DE CONTROL'!I178</f>
        <v>3</v>
      </c>
      <c r="F41" s="7">
        <f>-('CARTA DE CONTROL'!I178)</f>
        <v>-3</v>
      </c>
      <c r="G41" s="5" t="str">
        <f>IF(C41&lt;=2,IF(D41&gt;=-2,"PASS","NO PASS"))</f>
        <v>PASS</v>
      </c>
    </row>
    <row r="42" spans="1:8" ht="15.75" thickBot="1" x14ac:dyDescent="0.3">
      <c r="B42" s="54">
        <f>'CARTA DE CONTROL'!R179</f>
        <v>30</v>
      </c>
      <c r="C42" s="4">
        <f>'CARTA DE CONTROL'!AR179</f>
        <v>1.8999999999999997</v>
      </c>
      <c r="D42" s="4">
        <f>'CARTA DE CONTROL'!AS179</f>
        <v>-1.8999999999999997</v>
      </c>
      <c r="E42" s="6">
        <f>'CARTA DE CONTROL'!I179</f>
        <v>3</v>
      </c>
      <c r="F42" s="7">
        <f>-('CARTA DE CONTROL'!I179)</f>
        <v>-3</v>
      </c>
      <c r="G42" s="5" t="str">
        <f t="shared" ref="G42:G45" si="0">IF(C42&lt;=2,IF(D42&gt;=-2,"PASS","NO PASS"))</f>
        <v>PASS</v>
      </c>
    </row>
    <row r="43" spans="1:8" ht="15.75" thickBot="1" x14ac:dyDescent="0.3">
      <c r="B43" s="54">
        <f>'CARTA DE CONTROL'!R180</f>
        <v>40</v>
      </c>
      <c r="C43" s="4">
        <f>'CARTA DE CONTROL'!AR180</f>
        <v>1.4499999999999997</v>
      </c>
      <c r="D43" s="4">
        <f>'CARTA DE CONTROL'!AS180</f>
        <v>-1.4499999999999997</v>
      </c>
      <c r="E43" s="6">
        <f>'CARTA DE CONTROL'!I180</f>
        <v>3</v>
      </c>
      <c r="F43" s="7">
        <f>-('CARTA DE CONTROL'!I180)</f>
        <v>-3</v>
      </c>
      <c r="G43" s="5" t="str">
        <f t="shared" si="0"/>
        <v>PASS</v>
      </c>
    </row>
    <row r="44" spans="1:8" ht="15.75" thickBot="1" x14ac:dyDescent="0.3">
      <c r="B44" s="54">
        <f>'CARTA DE CONTROL'!R181</f>
        <v>60</v>
      </c>
      <c r="C44" s="4">
        <f>'CARTA DE CONTROL'!AR181</f>
        <v>0.98333333333333328</v>
      </c>
      <c r="D44" s="4">
        <f>'CARTA DE CONTROL'!AS181</f>
        <v>-0.98333333333333328</v>
      </c>
      <c r="E44" s="6">
        <f>'CARTA DE CONTROL'!I181</f>
        <v>3</v>
      </c>
      <c r="F44" s="7">
        <f>-('CARTA DE CONTROL'!I181)</f>
        <v>-3</v>
      </c>
      <c r="G44" s="5" t="str">
        <f t="shared" si="0"/>
        <v>PASS</v>
      </c>
    </row>
    <row r="45" spans="1:8" ht="15.75" thickBot="1" x14ac:dyDescent="0.3">
      <c r="B45" s="54">
        <f>'CARTA DE CONTROL'!R182</f>
        <v>100</v>
      </c>
      <c r="C45" s="4">
        <f>'CARTA DE CONTROL'!AR182</f>
        <v>0.63</v>
      </c>
      <c r="D45" s="4">
        <f>'CARTA DE CONTROL'!AS182</f>
        <v>-0.63</v>
      </c>
      <c r="E45" s="6">
        <f>'CARTA DE CONTROL'!I182</f>
        <v>3</v>
      </c>
      <c r="F45" s="7">
        <f>-('CARTA DE CONTROL'!I182)</f>
        <v>-3</v>
      </c>
      <c r="G45" s="5" t="str">
        <f t="shared" si="0"/>
        <v>PASS</v>
      </c>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64" spans="1:8" ht="15.75" thickBot="1" x14ac:dyDescent="0.3"/>
    <row r="65" spans="2:5" ht="15.75" thickBot="1" x14ac:dyDescent="0.3">
      <c r="B65" s="812" t="s">
        <v>191</v>
      </c>
      <c r="C65" s="813"/>
      <c r="D65" s="813"/>
      <c r="E65" s="814"/>
    </row>
    <row r="66" spans="2:5" ht="34.5" thickBot="1" x14ac:dyDescent="0.3">
      <c r="B66" s="2" t="s">
        <v>39</v>
      </c>
      <c r="C66" s="10" t="s">
        <v>109</v>
      </c>
      <c r="D66" s="2" t="s">
        <v>90</v>
      </c>
      <c r="E66" s="21" t="s">
        <v>89</v>
      </c>
    </row>
    <row r="67" spans="2:5" ht="15.75" thickBot="1" x14ac:dyDescent="0.3">
      <c r="B67" s="3">
        <f>'CARTA DE CONTROL'!R178</f>
        <v>0</v>
      </c>
      <c r="C67" s="4">
        <f>'CARTA DE CONTROL'!AM178</f>
        <v>0</v>
      </c>
      <c r="D67" s="6">
        <f>'CARTA DE CONTROL'!K178</f>
        <v>3</v>
      </c>
      <c r="E67" s="5" t="str">
        <f>IF(C67&lt;=3,IF(C67&gt;=-3,"PASS","NO PASS"))</f>
        <v>PASS</v>
      </c>
    </row>
    <row r="68" spans="2:5" ht="15.75" thickBot="1" x14ac:dyDescent="0.3">
      <c r="B68" s="3">
        <f>'CARTA DE CONTROL'!R179</f>
        <v>30</v>
      </c>
      <c r="C68" s="4">
        <f>'CARTA DE CONTROL'!AM179</f>
        <v>0</v>
      </c>
      <c r="D68" s="6">
        <f>'CARTA DE CONTROL'!K179</f>
        <v>3</v>
      </c>
      <c r="E68" s="5" t="str">
        <f t="shared" ref="E68:E71" si="1">IF(C68&lt;=3,IF(C68&gt;=-3,"PASS","NO PASS"))</f>
        <v>PASS</v>
      </c>
    </row>
    <row r="69" spans="2:5" ht="15.75" thickBot="1" x14ac:dyDescent="0.3">
      <c r="B69" s="3">
        <f>'CARTA DE CONTROL'!R180</f>
        <v>40</v>
      </c>
      <c r="C69" s="4">
        <f>'CARTA DE CONTROL'!AM180</f>
        <v>0</v>
      </c>
      <c r="D69" s="6">
        <f>'CARTA DE CONTROL'!K180</f>
        <v>3</v>
      </c>
      <c r="E69" s="5" t="str">
        <f t="shared" si="1"/>
        <v>PASS</v>
      </c>
    </row>
    <row r="70" spans="2:5" ht="15.75" thickBot="1" x14ac:dyDescent="0.3">
      <c r="B70" s="3">
        <f>'CARTA DE CONTROL'!R181</f>
        <v>60</v>
      </c>
      <c r="C70" s="4">
        <f>'CARTA DE CONTROL'!AM181</f>
        <v>0</v>
      </c>
      <c r="D70" s="6">
        <f>'CARTA DE CONTROL'!K181</f>
        <v>3</v>
      </c>
      <c r="E70" s="5" t="str">
        <f t="shared" si="1"/>
        <v>PASS</v>
      </c>
    </row>
    <row r="71" spans="2:5" ht="15.75" thickBot="1" x14ac:dyDescent="0.3">
      <c r="B71" s="3">
        <f>'CARTA DE CONTROL'!R182</f>
        <v>100</v>
      </c>
      <c r="C71" s="4">
        <f>'CARTA DE CONTROL'!AM182</f>
        <v>0</v>
      </c>
      <c r="D71" s="6">
        <f>'CARTA DE CONTROL'!K182</f>
        <v>3</v>
      </c>
      <c r="E71" s="5" t="str">
        <f t="shared" si="1"/>
        <v>PASS</v>
      </c>
    </row>
    <row r="85" spans="2:7" ht="15.75" thickBot="1" x14ac:dyDescent="0.3"/>
    <row r="86" spans="2:7" ht="15.75" thickBot="1" x14ac:dyDescent="0.3">
      <c r="B86" s="812" t="s">
        <v>198</v>
      </c>
      <c r="C86" s="813"/>
      <c r="D86" s="813"/>
      <c r="E86" s="813"/>
      <c r="F86" s="813"/>
      <c r="G86" s="814"/>
    </row>
    <row r="87" spans="2:7" ht="72.75" thickBot="1" x14ac:dyDescent="0.3">
      <c r="B87" s="2" t="s">
        <v>39</v>
      </c>
      <c r="C87" s="11" t="s">
        <v>107</v>
      </c>
      <c r="D87" s="11" t="s">
        <v>108</v>
      </c>
      <c r="E87" s="22" t="s">
        <v>101</v>
      </c>
      <c r="F87" s="22" t="s">
        <v>102</v>
      </c>
      <c r="G87" s="22" t="s">
        <v>38</v>
      </c>
    </row>
    <row r="88" spans="2:7" ht="15.75" thickBot="1" x14ac:dyDescent="0.3">
      <c r="B88" s="54">
        <f>'CARTA DE CONTROL'!R183</f>
        <v>100</v>
      </c>
      <c r="C88" s="4">
        <f>'CARTA DE CONTROL'!AR183</f>
        <v>2.1999999999999971</v>
      </c>
      <c r="D88" s="4">
        <f>'CARTA DE CONTROL'!AS183</f>
        <v>-1.6000000000000028</v>
      </c>
      <c r="E88" s="6">
        <f>'CARTA DE CONTROL'!I183</f>
        <v>3</v>
      </c>
      <c r="F88" s="7">
        <f>-('CARTA DE CONTROL'!I183)</f>
        <v>-3</v>
      </c>
      <c r="G88" s="5" t="str">
        <f t="shared" ref="G88:G90" si="2">IF(C88&lt;=3,IF(D88&gt;=-3,"PASS","NO PASS"))</f>
        <v>PASS</v>
      </c>
    </row>
    <row r="89" spans="2:7" ht="15.75" thickBot="1" x14ac:dyDescent="0.3">
      <c r="B89" s="54">
        <f>'CARTA DE CONTROL'!R184</f>
        <v>300</v>
      </c>
      <c r="C89" s="4">
        <f>'CARTA DE CONTROL'!AR184</f>
        <v>-1.1324274851176597E-14</v>
      </c>
      <c r="D89" s="4">
        <f>'CARTA DE CONTROL'!AS184</f>
        <v>-1.7333333333333372</v>
      </c>
      <c r="E89" s="6">
        <f>'CARTA DE CONTROL'!I184</f>
        <v>3</v>
      </c>
      <c r="F89" s="7">
        <f>-('CARTA DE CONTROL'!I184)</f>
        <v>-3</v>
      </c>
      <c r="G89" s="5" t="str">
        <f t="shared" si="2"/>
        <v>PASS</v>
      </c>
    </row>
    <row r="90" spans="2:7" ht="15.75" thickBot="1" x14ac:dyDescent="0.3">
      <c r="B90" s="54">
        <f>'CARTA DE CONTROL'!R185</f>
        <v>500</v>
      </c>
      <c r="C90" s="4">
        <f>'CARTA DE CONTROL'!AR185</f>
        <v>0.39999999999999991</v>
      </c>
      <c r="D90" s="4">
        <f>'CARTA DE CONTROL'!AS185</f>
        <v>-1.5999999999999999</v>
      </c>
      <c r="E90" s="6">
        <f>'CARTA DE CONTROL'!I185</f>
        <v>3</v>
      </c>
      <c r="F90" s="7">
        <f>-('CARTA DE CONTROL'!I185)</f>
        <v>-3</v>
      </c>
      <c r="G90" s="5" t="str">
        <f t="shared" si="2"/>
        <v>PASS</v>
      </c>
    </row>
    <row r="91" spans="2:7" ht="15.75" thickBot="1" x14ac:dyDescent="0.3">
      <c r="B91" s="54">
        <f>'CARTA DE CONTROL'!R186</f>
        <v>1000</v>
      </c>
      <c r="C91" s="4">
        <f>'CARTA DE CONTROL'!AR186</f>
        <v>2.2999999999999998</v>
      </c>
      <c r="D91" s="4">
        <f>'CARTA DE CONTROL'!AS186</f>
        <v>-1.2</v>
      </c>
      <c r="E91" s="6">
        <f>'CARTA DE CONTROL'!I186</f>
        <v>3</v>
      </c>
      <c r="F91" s="7">
        <f>-('CARTA DE CONTROL'!I186)</f>
        <v>-3</v>
      </c>
      <c r="G91" s="5" t="str">
        <f>IF(C91&lt;=3,IF(D91&gt;=-3,"PASS","NO PASS"))</f>
        <v>PASS</v>
      </c>
    </row>
    <row r="92" spans="2:7" ht="15.75" thickBot="1" x14ac:dyDescent="0.3">
      <c r="B92" s="54">
        <f>'CARTA DE CONTROL'!R187</f>
        <v>1200</v>
      </c>
      <c r="C92" s="4">
        <f>'CARTA DE CONTROL'!AR187</f>
        <v>1.25</v>
      </c>
      <c r="D92" s="4">
        <f>'CARTA DE CONTROL'!AS187</f>
        <v>-1.25</v>
      </c>
      <c r="E92" s="6">
        <f>'CARTA DE CONTROL'!I187</f>
        <v>3</v>
      </c>
      <c r="F92" s="7">
        <f>-('CARTA DE CONTROL'!I187)</f>
        <v>-3</v>
      </c>
      <c r="G92" s="5" t="str">
        <f>IF(C92&lt;=3,IF(D92&gt;=-3,"PASS","NO PASS"))</f>
        <v>PASS</v>
      </c>
    </row>
    <row r="93" spans="2:7" ht="15.75" thickBot="1" x14ac:dyDescent="0.3">
      <c r="B93" s="54">
        <f>'CARTA DE CONTROL'!R188</f>
        <v>2400</v>
      </c>
      <c r="C93" s="4">
        <f>'CARTA DE CONTROL'!AR188</f>
        <v>1.3333333333333333</v>
      </c>
      <c r="D93" s="4">
        <f>'CARTA DE CONTROL'!AS188</f>
        <v>-1.0833333333333333</v>
      </c>
      <c r="E93" s="6">
        <f>'CARTA DE CONTROL'!I188</f>
        <v>3</v>
      </c>
      <c r="F93" s="7">
        <f>-('CARTA DE CONTROL'!I188)</f>
        <v>-3</v>
      </c>
      <c r="G93" s="5" t="str">
        <f t="shared" ref="G93:G96" si="3">IF(C93&lt;=3,IF(D93&gt;=-3,"PASS","NO PASS"))</f>
        <v>PASS</v>
      </c>
    </row>
    <row r="94" spans="2:7" ht="15.75" thickBot="1" x14ac:dyDescent="0.3">
      <c r="B94" s="54">
        <f>'CARTA DE CONTROL'!R189</f>
        <v>3600</v>
      </c>
      <c r="C94" s="4">
        <f>'CARTA DE CONTROL'!AR189</f>
        <v>1.2222222222222223</v>
      </c>
      <c r="D94" s="4">
        <f>'CARTA DE CONTROL'!AS189</f>
        <v>-1.2222222222222223</v>
      </c>
      <c r="E94" s="6">
        <f>'CARTA DE CONTROL'!I189</f>
        <v>3</v>
      </c>
      <c r="F94" s="7">
        <f>-('CARTA DE CONTROL'!I189)</f>
        <v>-3</v>
      </c>
      <c r="G94" s="5" t="str">
        <f t="shared" si="3"/>
        <v>PASS</v>
      </c>
    </row>
    <row r="95" spans="2:7" ht="15.75" thickBot="1" x14ac:dyDescent="0.3">
      <c r="B95" s="54">
        <f>'CARTA DE CONTROL'!R190</f>
        <v>4800</v>
      </c>
      <c r="C95" s="4">
        <f>'CARTA DE CONTROL'!AR190</f>
        <v>1.3958333333333333</v>
      </c>
      <c r="D95" s="4">
        <f>'CARTA DE CONTROL'!AS190</f>
        <v>-1.3541666666666667</v>
      </c>
      <c r="E95" s="6">
        <f>'CARTA DE CONTROL'!I190</f>
        <v>3</v>
      </c>
      <c r="F95" s="7">
        <f>-('CARTA DE CONTROL'!I190)</f>
        <v>-3</v>
      </c>
      <c r="G95" s="5" t="str">
        <f t="shared" si="3"/>
        <v>PASS</v>
      </c>
    </row>
    <row r="96" spans="2:7" ht="15.75" thickBot="1" x14ac:dyDescent="0.3">
      <c r="B96" s="54">
        <f>'CARTA DE CONTROL'!R191</f>
        <v>6000</v>
      </c>
      <c r="C96" s="4">
        <f>'CARTA DE CONTROL'!AR191</f>
        <v>1.4166666666666667</v>
      </c>
      <c r="D96" s="4">
        <f>'CARTA DE CONTROL'!AS191</f>
        <v>-1.3166666666666667</v>
      </c>
      <c r="E96" s="6">
        <f>'CARTA DE CONTROL'!I191</f>
        <v>3</v>
      </c>
      <c r="F96" s="7">
        <f>-('CARTA DE CONTROL'!I191)</f>
        <v>-3</v>
      </c>
      <c r="G96" s="5" t="str">
        <f t="shared" si="3"/>
        <v>PASS</v>
      </c>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row r="101" spans="1:8" x14ac:dyDescent="0.25">
      <c r="A101" s="1"/>
      <c r="B101" s="1"/>
      <c r="C101" s="1"/>
      <c r="D101" s="1"/>
      <c r="E101" s="1"/>
      <c r="F101" s="1"/>
      <c r="G101" s="1"/>
      <c r="H101" s="1"/>
    </row>
    <row r="102" spans="1:8" x14ac:dyDescent="0.25">
      <c r="A102" s="1"/>
      <c r="B102" s="1"/>
      <c r="C102" s="1"/>
      <c r="D102" s="1"/>
      <c r="E102" s="1"/>
      <c r="F102" s="1"/>
      <c r="G102" s="1"/>
      <c r="H102" s="1"/>
    </row>
    <row r="115" spans="2:5" ht="15.75" thickBot="1" x14ac:dyDescent="0.3"/>
    <row r="116" spans="2:5" ht="15.75" thickBot="1" x14ac:dyDescent="0.3">
      <c r="B116" s="812" t="s">
        <v>191</v>
      </c>
      <c r="C116" s="813"/>
      <c r="D116" s="813"/>
      <c r="E116" s="814"/>
    </row>
    <row r="117" spans="2:5" ht="34.5" thickBot="1" x14ac:dyDescent="0.3">
      <c r="B117" s="2" t="s">
        <v>39</v>
      </c>
      <c r="C117" s="10" t="s">
        <v>109</v>
      </c>
      <c r="D117" s="2" t="s">
        <v>90</v>
      </c>
      <c r="E117" s="21" t="s">
        <v>89</v>
      </c>
    </row>
    <row r="118" spans="2:5" ht="15.75" thickBot="1" x14ac:dyDescent="0.3">
      <c r="B118" s="3">
        <f>'CARTA DE CONTROL'!R183</f>
        <v>100</v>
      </c>
      <c r="C118" s="4">
        <f>'CARTA DE CONTROL'!AM183</f>
        <v>0.57999999999999996</v>
      </c>
      <c r="D118" s="6">
        <f>'CARTA DE CONTROL'!K183</f>
        <v>3</v>
      </c>
      <c r="E118" s="5" t="str">
        <f t="shared" ref="E118:E121" si="4">IF(C118&lt;=3,IF(C118&gt;=-3,"PASS","NO PASS"))</f>
        <v>PASS</v>
      </c>
    </row>
    <row r="119" spans="2:5" ht="15.75" thickBot="1" x14ac:dyDescent="0.3">
      <c r="B119" s="3">
        <f>'CARTA DE CONTROL'!R184</f>
        <v>300</v>
      </c>
      <c r="C119" s="4">
        <f>'CARTA DE CONTROL'!AM184</f>
        <v>0.1933333333333333</v>
      </c>
      <c r="D119" s="6">
        <f>'CARTA DE CONTROL'!K184</f>
        <v>3</v>
      </c>
      <c r="E119" s="5" t="str">
        <f t="shared" si="4"/>
        <v>PASS</v>
      </c>
    </row>
    <row r="120" spans="2:5" ht="15.75" thickBot="1" x14ac:dyDescent="0.3">
      <c r="B120" s="3">
        <f>'CARTA DE CONTROL'!R185</f>
        <v>500</v>
      </c>
      <c r="C120" s="4">
        <f>'CARTA DE CONTROL'!AM185</f>
        <v>0.2</v>
      </c>
      <c r="D120" s="6">
        <f>'CARTA DE CONTROL'!K185</f>
        <v>3</v>
      </c>
      <c r="E120" s="5" t="str">
        <f t="shared" si="4"/>
        <v>PASS</v>
      </c>
    </row>
    <row r="121" spans="2:5" ht="15.75" thickBot="1" x14ac:dyDescent="0.3">
      <c r="B121" s="3">
        <f>'CARTA DE CONTROL'!R186</f>
        <v>1000</v>
      </c>
      <c r="C121" s="4">
        <f>'CARTA DE CONTROL'!AM186</f>
        <v>0.1</v>
      </c>
      <c r="D121" s="6">
        <f>'CARTA DE CONTROL'!K186</f>
        <v>3</v>
      </c>
      <c r="E121" s="5" t="str">
        <f t="shared" si="4"/>
        <v>PASS</v>
      </c>
    </row>
    <row r="122" spans="2:5" ht="15.75" thickBot="1" x14ac:dyDescent="0.3">
      <c r="B122" s="3">
        <f>'CARTA DE CONTROL'!R187</f>
        <v>1200</v>
      </c>
      <c r="C122" s="4">
        <f>'CARTA DE CONTROL'!AM187</f>
        <v>8.3333333333333329E-2</v>
      </c>
      <c r="D122" s="6">
        <f>'CARTA DE CONTROL'!K187</f>
        <v>3</v>
      </c>
      <c r="E122" s="5" t="str">
        <f>IF(C122&lt;=3,IF(C122&gt;=-3,"PASS","NO PASS"))</f>
        <v>PASS</v>
      </c>
    </row>
    <row r="123" spans="2:5" ht="15.75" thickBot="1" x14ac:dyDescent="0.3">
      <c r="B123" s="3">
        <f>'CARTA DE CONTROL'!R188</f>
        <v>2400</v>
      </c>
      <c r="C123" s="4">
        <f>'CARTA DE CONTROL'!AM188</f>
        <v>2.4166666666666663E-2</v>
      </c>
      <c r="D123" s="6">
        <f>'CARTA DE CONTROL'!K188</f>
        <v>3</v>
      </c>
      <c r="E123" s="5" t="str">
        <f t="shared" ref="E123:E126" si="5">IF(C123&lt;=3,IF(C123&gt;=-3,"PASS","NO PASS"))</f>
        <v>PASS</v>
      </c>
    </row>
    <row r="124" spans="2:5" ht="15.75" thickBot="1" x14ac:dyDescent="0.3">
      <c r="B124" s="3">
        <f>'CARTA DE CONTROL'!R189</f>
        <v>3600</v>
      </c>
      <c r="C124" s="4">
        <f>'CARTA DE CONTROL'!AM189</f>
        <v>3.1944444444444442E-2</v>
      </c>
      <c r="D124" s="6">
        <f>'CARTA DE CONTROL'!K189</f>
        <v>3</v>
      </c>
      <c r="E124" s="5" t="str">
        <f t="shared" si="5"/>
        <v>PASS</v>
      </c>
    </row>
    <row r="125" spans="2:5" ht="15.75" thickBot="1" x14ac:dyDescent="0.3">
      <c r="B125" s="3">
        <f>'CARTA DE CONTROL'!R190</f>
        <v>4800</v>
      </c>
      <c r="C125" s="4">
        <f>'CARTA DE CONTROL'!AM190</f>
        <v>2.3958333333333331E-2</v>
      </c>
      <c r="D125" s="6">
        <f>'CARTA DE CONTROL'!K190</f>
        <v>3</v>
      </c>
      <c r="E125" s="5" t="str">
        <f t="shared" si="5"/>
        <v>PASS</v>
      </c>
    </row>
    <row r="126" spans="2:5" ht="15.75" thickBot="1" x14ac:dyDescent="0.3">
      <c r="B126" s="3">
        <f>'CARTA DE CONTROL'!R191</f>
        <v>6000</v>
      </c>
      <c r="C126" s="4">
        <f>'CARTA DE CONTROL'!AM191</f>
        <v>9.6666666666666654E-3</v>
      </c>
      <c r="D126" s="6">
        <f>'CARTA DE CONTROL'!K191</f>
        <v>3</v>
      </c>
      <c r="E126" s="5" t="str">
        <f t="shared" si="5"/>
        <v>PASS</v>
      </c>
    </row>
    <row r="141" spans="2:7" ht="15.75" thickBot="1" x14ac:dyDescent="0.3"/>
    <row r="142" spans="2:7" ht="15.75" thickBot="1" x14ac:dyDescent="0.3">
      <c r="B142" s="812" t="s">
        <v>192</v>
      </c>
      <c r="C142" s="813"/>
      <c r="D142" s="813"/>
      <c r="E142" s="813"/>
      <c r="F142" s="813"/>
      <c r="G142" s="814"/>
    </row>
    <row r="143" spans="2:7" ht="72.75" thickBot="1" x14ac:dyDescent="0.3">
      <c r="B143" s="2" t="s">
        <v>39</v>
      </c>
      <c r="C143" s="11" t="s">
        <v>107</v>
      </c>
      <c r="D143" s="11" t="s">
        <v>108</v>
      </c>
      <c r="E143" s="22" t="s">
        <v>101</v>
      </c>
      <c r="F143" s="22" t="s">
        <v>102</v>
      </c>
      <c r="G143" s="22" t="s">
        <v>38</v>
      </c>
    </row>
    <row r="144" spans="2:7" ht="15.75" thickBot="1" x14ac:dyDescent="0.3">
      <c r="B144" s="54">
        <f>'CARTA DE CONTROL'!R192</f>
        <v>0</v>
      </c>
      <c r="C144" s="4">
        <f>'CARTA DE CONTROL'!AR192</f>
        <v>0.56999999999999995</v>
      </c>
      <c r="D144" s="4">
        <f>'CARTA DE CONTROL'!AS192</f>
        <v>-0.56999999999999995</v>
      </c>
      <c r="E144" s="6">
        <f>'CARTA DE CONTROL'!I192</f>
        <v>3</v>
      </c>
      <c r="F144" s="7">
        <f>-('CARTA DE CONTROL'!I192)</f>
        <v>-3</v>
      </c>
      <c r="G144" s="5" t="str">
        <f>IF(C144&lt;=2,IF(D144&gt;=-2,"PASS","NO PASS"))</f>
        <v>PASS</v>
      </c>
    </row>
    <row r="145" spans="1:8" ht="15.75" thickBot="1" x14ac:dyDescent="0.3">
      <c r="B145" s="54">
        <f>'CARTA DE CONTROL'!R193</f>
        <v>30</v>
      </c>
      <c r="C145" s="4">
        <f>'CARTA DE CONTROL'!AR193</f>
        <v>1.8999999999999997</v>
      </c>
      <c r="D145" s="4">
        <f>'CARTA DE CONTROL'!AS193</f>
        <v>-1.8999999999999997</v>
      </c>
      <c r="E145" s="6">
        <f>'CARTA DE CONTROL'!I193</f>
        <v>3</v>
      </c>
      <c r="F145" s="7">
        <f>-('CARTA DE CONTROL'!I193)</f>
        <v>-3</v>
      </c>
      <c r="G145" s="5" t="str">
        <f t="shared" ref="G145:G148" si="6">IF(C145&lt;=2,IF(D145&gt;=-2,"PASS","NO PASS"))</f>
        <v>PASS</v>
      </c>
    </row>
    <row r="146" spans="1:8" ht="15.75" thickBot="1" x14ac:dyDescent="0.3">
      <c r="B146" s="54">
        <f>'CARTA DE CONTROL'!R194</f>
        <v>40</v>
      </c>
      <c r="C146" s="4">
        <f>'CARTA DE CONTROL'!AR194</f>
        <v>1.4499999999999997</v>
      </c>
      <c r="D146" s="4">
        <f>'CARTA DE CONTROL'!AS194</f>
        <v>-1.4499999999999997</v>
      </c>
      <c r="E146" s="6">
        <f>'CARTA DE CONTROL'!I194</f>
        <v>3</v>
      </c>
      <c r="F146" s="7">
        <f>-('CARTA DE CONTROL'!I194)</f>
        <v>-3</v>
      </c>
      <c r="G146" s="5" t="str">
        <f t="shared" si="6"/>
        <v>PASS</v>
      </c>
    </row>
    <row r="147" spans="1:8" ht="15.75" thickBot="1" x14ac:dyDescent="0.3">
      <c r="B147" s="54">
        <f>'CARTA DE CONTROL'!R195</f>
        <v>60</v>
      </c>
      <c r="C147" s="4">
        <f>'CARTA DE CONTROL'!AR195</f>
        <v>0.98333333333333328</v>
      </c>
      <c r="D147" s="4">
        <f>'CARTA DE CONTROL'!AS195</f>
        <v>-0.98333333333333328</v>
      </c>
      <c r="E147" s="6">
        <f>'CARTA DE CONTROL'!I195</f>
        <v>3</v>
      </c>
      <c r="F147" s="7">
        <f>-('CARTA DE CONTROL'!I195)</f>
        <v>-3</v>
      </c>
      <c r="G147" s="5" t="str">
        <f t="shared" si="6"/>
        <v>PASS</v>
      </c>
    </row>
    <row r="148" spans="1:8" ht="15.75" thickBot="1" x14ac:dyDescent="0.3">
      <c r="B148" s="54">
        <f>'CARTA DE CONTROL'!R196</f>
        <v>100</v>
      </c>
      <c r="C148" s="4">
        <f>'CARTA DE CONTROL'!AR196</f>
        <v>0.63</v>
      </c>
      <c r="D148" s="4">
        <f>'CARTA DE CONTROL'!AS196</f>
        <v>-0.63</v>
      </c>
      <c r="E148" s="6">
        <f>'CARTA DE CONTROL'!I196</f>
        <v>3</v>
      </c>
      <c r="F148" s="7">
        <f>-('CARTA DE CONTROL'!I196)</f>
        <v>-3</v>
      </c>
      <c r="G148" s="5" t="str">
        <f t="shared" si="6"/>
        <v>PASS</v>
      </c>
    </row>
    <row r="149" spans="1:8" x14ac:dyDescent="0.25">
      <c r="A149" s="1"/>
      <c r="B149" s="1"/>
      <c r="C149" s="1"/>
      <c r="D149" s="1"/>
      <c r="E149" s="1"/>
      <c r="F149" s="1"/>
      <c r="G149" s="1"/>
      <c r="H149" s="1"/>
    </row>
    <row r="150" spans="1:8" x14ac:dyDescent="0.25">
      <c r="A150" s="1"/>
      <c r="B150" s="1"/>
      <c r="C150" s="1"/>
      <c r="D150" s="1"/>
      <c r="E150" s="1"/>
      <c r="F150" s="1"/>
      <c r="G150" s="1"/>
      <c r="H150" s="1"/>
    </row>
    <row r="151" spans="1:8" x14ac:dyDescent="0.25">
      <c r="A151" s="1"/>
      <c r="B151" s="1"/>
      <c r="C151" s="1"/>
      <c r="D151" s="1"/>
      <c r="E151" s="1"/>
      <c r="F151" s="1"/>
      <c r="G151" s="1"/>
      <c r="H151" s="1"/>
    </row>
    <row r="152" spans="1:8" x14ac:dyDescent="0.25">
      <c r="A152" s="1"/>
      <c r="B152" s="1"/>
      <c r="C152" s="1"/>
      <c r="D152" s="1"/>
      <c r="E152" s="1"/>
      <c r="F152" s="1"/>
      <c r="G152" s="1"/>
      <c r="H152" s="1"/>
    </row>
    <row r="153" spans="1:8" x14ac:dyDescent="0.25">
      <c r="A153" s="1"/>
      <c r="B153" s="1"/>
      <c r="C153" s="1"/>
      <c r="D153" s="1"/>
      <c r="E153" s="1"/>
      <c r="F153" s="1"/>
      <c r="G153" s="1"/>
      <c r="H153" s="1"/>
    </row>
    <row r="154" spans="1:8" x14ac:dyDescent="0.25">
      <c r="A154" s="1"/>
      <c r="B154" s="1"/>
      <c r="C154" s="1"/>
      <c r="D154" s="1"/>
      <c r="E154" s="1"/>
      <c r="F154" s="1"/>
      <c r="G154" s="1"/>
      <c r="H154" s="1"/>
    </row>
    <row r="167" spans="2:5" ht="15.75" thickBot="1" x14ac:dyDescent="0.3"/>
    <row r="168" spans="2:5" ht="15.75" thickBot="1" x14ac:dyDescent="0.3">
      <c r="B168" s="812" t="s">
        <v>193</v>
      </c>
      <c r="C168" s="813"/>
      <c r="D168" s="813"/>
      <c r="E168" s="814"/>
    </row>
    <row r="169" spans="2:5" ht="34.5" thickBot="1" x14ac:dyDescent="0.3">
      <c r="B169" s="2" t="s">
        <v>39</v>
      </c>
      <c r="C169" s="10" t="s">
        <v>109</v>
      </c>
      <c r="D169" s="2" t="s">
        <v>90</v>
      </c>
      <c r="E169" s="21" t="s">
        <v>89</v>
      </c>
    </row>
    <row r="170" spans="2:5" ht="15.75" thickBot="1" x14ac:dyDescent="0.3">
      <c r="B170" s="3">
        <f>'CARTA DE CONTROL'!R192</f>
        <v>0</v>
      </c>
      <c r="C170" s="4">
        <f>'CARTA DE CONTROL'!AM192</f>
        <v>0</v>
      </c>
      <c r="D170" s="6">
        <f>'CARTA DE CONTROL'!K192</f>
        <v>3</v>
      </c>
      <c r="E170" s="5" t="str">
        <f>IF(C170&lt;=3,IF(C170&gt;=-3,"PASS","NO PASS"))</f>
        <v>PASS</v>
      </c>
    </row>
    <row r="171" spans="2:5" ht="15.75" thickBot="1" x14ac:dyDescent="0.3">
      <c r="B171" s="3">
        <f>'CARTA DE CONTROL'!R193</f>
        <v>30</v>
      </c>
      <c r="C171" s="4">
        <f>'CARTA DE CONTROL'!AM193</f>
        <v>0</v>
      </c>
      <c r="D171" s="6">
        <f>'CARTA DE CONTROL'!K193</f>
        <v>3</v>
      </c>
      <c r="E171" s="5" t="str">
        <f t="shared" ref="E171:E174" si="7">IF(C171&lt;=3,IF(C171&gt;=-3,"PASS","NO PASS"))</f>
        <v>PASS</v>
      </c>
    </row>
    <row r="172" spans="2:5" ht="15.75" thickBot="1" x14ac:dyDescent="0.3">
      <c r="B172" s="3">
        <f>'CARTA DE CONTROL'!R194</f>
        <v>40</v>
      </c>
      <c r="C172" s="4">
        <f>'CARTA DE CONTROL'!AM194</f>
        <v>0</v>
      </c>
      <c r="D172" s="6">
        <f>'CARTA DE CONTROL'!K194</f>
        <v>3</v>
      </c>
      <c r="E172" s="5" t="str">
        <f t="shared" si="7"/>
        <v>PASS</v>
      </c>
    </row>
    <row r="173" spans="2:5" ht="15.75" thickBot="1" x14ac:dyDescent="0.3">
      <c r="B173" s="3">
        <f>'CARTA DE CONTROL'!R195</f>
        <v>60</v>
      </c>
      <c r="C173" s="4">
        <f>'CARTA DE CONTROL'!AM195</f>
        <v>0</v>
      </c>
      <c r="D173" s="6">
        <f>'CARTA DE CONTROL'!K195</f>
        <v>3</v>
      </c>
      <c r="E173" s="5" t="str">
        <f t="shared" si="7"/>
        <v>PASS</v>
      </c>
    </row>
    <row r="174" spans="2:5" ht="15.75" thickBot="1" x14ac:dyDescent="0.3">
      <c r="B174" s="3">
        <f>'CARTA DE CONTROL'!R196</f>
        <v>100</v>
      </c>
      <c r="C174" s="4">
        <f>'CARTA DE CONTROL'!AM196</f>
        <v>0</v>
      </c>
      <c r="D174" s="6">
        <f>'CARTA DE CONTROL'!K196</f>
        <v>3</v>
      </c>
      <c r="E174" s="5" t="str">
        <f t="shared" si="7"/>
        <v>PASS</v>
      </c>
    </row>
    <row r="188" spans="2:7" ht="15.75" thickBot="1" x14ac:dyDescent="0.3"/>
    <row r="189" spans="2:7" ht="15.75" thickBot="1" x14ac:dyDescent="0.3">
      <c r="B189" s="812" t="s">
        <v>192</v>
      </c>
      <c r="C189" s="813"/>
      <c r="D189" s="813"/>
      <c r="E189" s="813"/>
      <c r="F189" s="813"/>
      <c r="G189" s="814"/>
    </row>
    <row r="190" spans="2:7" ht="72.75" thickBot="1" x14ac:dyDescent="0.3">
      <c r="B190" s="2" t="s">
        <v>39</v>
      </c>
      <c r="C190" s="11" t="s">
        <v>107</v>
      </c>
      <c r="D190" s="11" t="s">
        <v>108</v>
      </c>
      <c r="E190" s="22" t="s">
        <v>101</v>
      </c>
      <c r="F190" s="22" t="s">
        <v>102</v>
      </c>
      <c r="G190" s="22" t="s">
        <v>38</v>
      </c>
    </row>
    <row r="191" spans="2:7" ht="15.75" thickBot="1" x14ac:dyDescent="0.3">
      <c r="B191" s="54">
        <f>'CARTA DE CONTROL'!R197</f>
        <v>100</v>
      </c>
      <c r="C191" s="4">
        <f>'CARTA DE CONTROL'!AR197</f>
        <v>2.1999999999999971</v>
      </c>
      <c r="D191" s="4">
        <f>'CARTA DE CONTROL'!AS197</f>
        <v>-1.6000000000000028</v>
      </c>
      <c r="E191" s="6">
        <f>'CARTA DE CONTROL'!I197</f>
        <v>3</v>
      </c>
      <c r="F191" s="7">
        <f>-('CARTA DE CONTROL'!I197)</f>
        <v>-3</v>
      </c>
      <c r="G191" s="5" t="str">
        <f t="shared" ref="G191:G193" si="8">IF(C191&lt;=3,IF(D191&gt;=-3,"PASS","NO PASS"))</f>
        <v>PASS</v>
      </c>
    </row>
    <row r="192" spans="2:7" ht="15.75" thickBot="1" x14ac:dyDescent="0.3">
      <c r="B192" s="54">
        <f>'CARTA DE CONTROL'!R198</f>
        <v>300</v>
      </c>
      <c r="C192" s="4">
        <f>'CARTA DE CONTROL'!AR198</f>
        <v>1.9999999999999887</v>
      </c>
      <c r="D192" s="4">
        <f>'CARTA DE CONTROL'!AS198</f>
        <v>-1.0666666666666704</v>
      </c>
      <c r="E192" s="6">
        <f>'CARTA DE CONTROL'!I198</f>
        <v>3</v>
      </c>
      <c r="F192" s="7">
        <f>-('CARTA DE CONTROL'!I198)</f>
        <v>-3</v>
      </c>
      <c r="G192" s="5" t="str">
        <f t="shared" si="8"/>
        <v>PASS</v>
      </c>
    </row>
    <row r="193" spans="1:8" ht="15.75" thickBot="1" x14ac:dyDescent="0.3">
      <c r="B193" s="54">
        <f>'CARTA DE CONTROL'!R199</f>
        <v>500</v>
      </c>
      <c r="C193" s="4">
        <f>'CARTA DE CONTROL'!AR199</f>
        <v>1.0999999999999885</v>
      </c>
      <c r="D193" s="4">
        <f>'CARTA DE CONTROL'!AS199</f>
        <v>-1.4600000000000022</v>
      </c>
      <c r="E193" s="6">
        <f>'CARTA DE CONTROL'!I199</f>
        <v>3</v>
      </c>
      <c r="F193" s="7">
        <f>-('CARTA DE CONTROL'!I199)</f>
        <v>-3</v>
      </c>
      <c r="G193" s="5" t="str">
        <f t="shared" si="8"/>
        <v>PASS</v>
      </c>
    </row>
    <row r="194" spans="1:8" ht="15.75" thickBot="1" x14ac:dyDescent="0.3">
      <c r="B194" s="54">
        <f>'CARTA DE CONTROL'!R200</f>
        <v>1000</v>
      </c>
      <c r="C194" s="4">
        <f>'CARTA DE CONTROL'!AR200</f>
        <v>1.6</v>
      </c>
      <c r="D194" s="4">
        <f>'CARTA DE CONTROL'!AS200</f>
        <v>-1</v>
      </c>
      <c r="E194" s="6">
        <f>'CARTA DE CONTROL'!I200</f>
        <v>3</v>
      </c>
      <c r="F194" s="7">
        <f>-('CARTA DE CONTROL'!I200)</f>
        <v>-3</v>
      </c>
      <c r="G194" s="5" t="str">
        <f>IF(C194&lt;=3,IF(D194&gt;=-3,"PASS","NO PASS"))</f>
        <v>PASS</v>
      </c>
    </row>
    <row r="195" spans="1:8" ht="15.75" thickBot="1" x14ac:dyDescent="0.3">
      <c r="B195" s="54">
        <f>'CARTA DE CONTROL'!R201</f>
        <v>1200</v>
      </c>
      <c r="C195" s="4">
        <f>'CARTA DE CONTROL'!AR201</f>
        <v>1.4166666666666667</v>
      </c>
      <c r="D195" s="4">
        <f>'CARTA DE CONTROL'!AS201</f>
        <v>-1.0833333333333333</v>
      </c>
      <c r="E195" s="6">
        <f>'CARTA DE CONTROL'!I201</f>
        <v>3</v>
      </c>
      <c r="F195" s="7">
        <f>-('CARTA DE CONTROL'!I201)</f>
        <v>-3</v>
      </c>
      <c r="G195" s="5" t="str">
        <f>IF(C195&lt;=3,IF(D195&gt;=-3,"PASS","NO PASS"))</f>
        <v>PASS</v>
      </c>
    </row>
    <row r="196" spans="1:8" ht="15.75" thickBot="1" x14ac:dyDescent="0.3">
      <c r="B196" s="54">
        <f>'CARTA DE CONTROL'!R202</f>
        <v>2400</v>
      </c>
      <c r="C196" s="4">
        <f>'CARTA DE CONTROL'!AR202</f>
        <v>1.2083333333333333</v>
      </c>
      <c r="D196" s="4">
        <f>'CARTA DE CONTROL'!AS202</f>
        <v>-1.2083333333333333</v>
      </c>
      <c r="E196" s="6">
        <f>'CARTA DE CONTROL'!I202</f>
        <v>3</v>
      </c>
      <c r="F196" s="7">
        <f>-('CARTA DE CONTROL'!I202)</f>
        <v>-3</v>
      </c>
      <c r="G196" s="5" t="str">
        <f t="shared" ref="G196:G199" si="9">IF(C196&lt;=3,IF(D196&gt;=-3,"PASS","NO PASS"))</f>
        <v>PASS</v>
      </c>
    </row>
    <row r="197" spans="1:8" ht="15.75" thickBot="1" x14ac:dyDescent="0.3">
      <c r="B197" s="54">
        <f>'CARTA DE CONTROL'!R203</f>
        <v>3600</v>
      </c>
      <c r="C197" s="4">
        <f>'CARTA DE CONTROL'!AR203</f>
        <v>1.2222222222222223</v>
      </c>
      <c r="D197" s="4">
        <f>'CARTA DE CONTROL'!AS203</f>
        <v>-1.2222222222222223</v>
      </c>
      <c r="E197" s="6">
        <f>'CARTA DE CONTROL'!I203</f>
        <v>3</v>
      </c>
      <c r="F197" s="7">
        <f>-('CARTA DE CONTROL'!I203)</f>
        <v>-3</v>
      </c>
      <c r="G197" s="5" t="str">
        <f t="shared" si="9"/>
        <v>PASS</v>
      </c>
    </row>
    <row r="198" spans="1:8" ht="15.75" thickBot="1" x14ac:dyDescent="0.3">
      <c r="B198" s="54">
        <f>'CARTA DE CONTROL'!R204</f>
        <v>4800</v>
      </c>
      <c r="C198" s="4">
        <f>'CARTA DE CONTROL'!AR204</f>
        <v>1.4375</v>
      </c>
      <c r="D198" s="4">
        <f>'CARTA DE CONTROL'!AS204</f>
        <v>-1.3125</v>
      </c>
      <c r="E198" s="6">
        <f>'CARTA DE CONTROL'!I204</f>
        <v>3</v>
      </c>
      <c r="F198" s="7">
        <f>-('CARTA DE CONTROL'!I204)</f>
        <v>-3</v>
      </c>
      <c r="G198" s="5" t="str">
        <f t="shared" si="9"/>
        <v>PASS</v>
      </c>
    </row>
    <row r="199" spans="1:8" ht="15.75" thickBot="1" x14ac:dyDescent="0.3">
      <c r="B199" s="54">
        <f>'CARTA DE CONTROL'!R205</f>
        <v>6000</v>
      </c>
      <c r="C199" s="4">
        <f>'CARTA DE CONTROL'!AR205</f>
        <v>1.35</v>
      </c>
      <c r="D199" s="4">
        <f>'CARTA DE CONTROL'!AS205</f>
        <v>-1.3833333333333333</v>
      </c>
      <c r="E199" s="6">
        <f>'CARTA DE CONTROL'!I205</f>
        <v>3</v>
      </c>
      <c r="F199" s="7">
        <f>-('CARTA DE CONTROL'!I205)</f>
        <v>-3</v>
      </c>
      <c r="G199" s="5" t="str">
        <f t="shared" si="9"/>
        <v>PASS</v>
      </c>
    </row>
    <row r="200" spans="1:8" x14ac:dyDescent="0.25">
      <c r="A200" s="1"/>
      <c r="B200" s="1"/>
      <c r="C200" s="1"/>
      <c r="D200" s="1"/>
      <c r="E200" s="1"/>
      <c r="F200" s="1"/>
      <c r="G200" s="1"/>
      <c r="H200" s="1"/>
    </row>
    <row r="201" spans="1:8" x14ac:dyDescent="0.25">
      <c r="A201" s="1"/>
      <c r="B201" s="1"/>
      <c r="C201" s="1"/>
      <c r="D201" s="1"/>
      <c r="E201" s="1"/>
      <c r="F201" s="1"/>
      <c r="G201" s="1"/>
      <c r="H201" s="1"/>
    </row>
    <row r="202" spans="1:8" x14ac:dyDescent="0.25">
      <c r="A202" s="1"/>
      <c r="B202" s="1"/>
      <c r="C202" s="1"/>
      <c r="D202" s="1"/>
      <c r="E202" s="1"/>
      <c r="F202" s="1"/>
      <c r="G202" s="1"/>
      <c r="H202" s="1"/>
    </row>
    <row r="203" spans="1:8" x14ac:dyDescent="0.25">
      <c r="A203" s="1"/>
      <c r="B203" s="1"/>
      <c r="C203" s="1"/>
      <c r="D203" s="1"/>
      <c r="E203" s="1"/>
      <c r="F203" s="1"/>
      <c r="G203" s="1"/>
      <c r="H203" s="1"/>
    </row>
    <row r="204" spans="1:8" x14ac:dyDescent="0.25">
      <c r="A204" s="1"/>
      <c r="B204" s="1"/>
      <c r="C204" s="1"/>
      <c r="D204" s="1"/>
      <c r="E204" s="1"/>
      <c r="F204" s="1"/>
      <c r="G204" s="1"/>
      <c r="H204" s="1"/>
    </row>
    <row r="205" spans="1:8" x14ac:dyDescent="0.25">
      <c r="A205" s="1"/>
      <c r="B205" s="1"/>
      <c r="C205" s="1"/>
      <c r="D205" s="1"/>
      <c r="E205" s="1"/>
      <c r="F205" s="1"/>
      <c r="G205" s="1"/>
      <c r="H205" s="1"/>
    </row>
    <row r="218" spans="2:5" ht="15.75" thickBot="1" x14ac:dyDescent="0.3"/>
    <row r="219" spans="2:5" ht="15.75" thickBot="1" x14ac:dyDescent="0.3">
      <c r="B219" s="812" t="s">
        <v>191</v>
      </c>
      <c r="C219" s="813"/>
      <c r="D219" s="813"/>
      <c r="E219" s="814"/>
    </row>
    <row r="220" spans="2:5" ht="34.5" thickBot="1" x14ac:dyDescent="0.3">
      <c r="B220" s="2" t="s">
        <v>39</v>
      </c>
      <c r="C220" s="10" t="s">
        <v>109</v>
      </c>
      <c r="D220" s="2" t="s">
        <v>90</v>
      </c>
      <c r="E220" s="21" t="s">
        <v>89</v>
      </c>
    </row>
    <row r="221" spans="2:5" ht="15.75" thickBot="1" x14ac:dyDescent="0.3">
      <c r="B221" s="3">
        <f>'CARTA DE CONTROL'!R197</f>
        <v>100</v>
      </c>
      <c r="C221" s="4">
        <f>'CARTA DE CONTROL'!AM197</f>
        <v>0.57999999999999996</v>
      </c>
      <c r="D221" s="6">
        <f>'CARTA DE CONTROL'!K197</f>
        <v>3</v>
      </c>
      <c r="E221" s="5" t="str">
        <f t="shared" ref="E221:E224" si="10">IF(C221&lt;=3,IF(C221&gt;=-3,"PASS","NO PASS"))</f>
        <v>PASS</v>
      </c>
    </row>
    <row r="222" spans="2:5" ht="15.75" thickBot="1" x14ac:dyDescent="0.3">
      <c r="B222" s="3">
        <f>'CARTA DE CONTROL'!R198</f>
        <v>300</v>
      </c>
      <c r="C222" s="4">
        <f>'CARTA DE CONTROL'!AM198</f>
        <v>0.1933333333333333</v>
      </c>
      <c r="D222" s="6">
        <f>'CARTA DE CONTROL'!K198</f>
        <v>3</v>
      </c>
      <c r="E222" s="5" t="str">
        <f t="shared" si="10"/>
        <v>PASS</v>
      </c>
    </row>
    <row r="223" spans="2:5" ht="15.75" thickBot="1" x14ac:dyDescent="0.3">
      <c r="B223" s="3">
        <f>'CARTA DE CONTROL'!R199</f>
        <v>500</v>
      </c>
      <c r="C223" s="4">
        <f>'CARTA DE CONTROL'!AM199</f>
        <v>0.22999999999999998</v>
      </c>
      <c r="D223" s="6">
        <f>'CARTA DE CONTROL'!K199</f>
        <v>3</v>
      </c>
      <c r="E223" s="5" t="str">
        <f t="shared" si="10"/>
        <v>PASS</v>
      </c>
    </row>
    <row r="224" spans="2:5" ht="15.75" thickBot="1" x14ac:dyDescent="0.3">
      <c r="B224" s="3">
        <f>'CARTA DE CONTROL'!R200</f>
        <v>1000</v>
      </c>
      <c r="C224" s="4">
        <f>'CARTA DE CONTROL'!AM200</f>
        <v>5.7999999999999996E-2</v>
      </c>
      <c r="D224" s="6">
        <f>'CARTA DE CONTROL'!K200</f>
        <v>3</v>
      </c>
      <c r="E224" s="5" t="str">
        <f t="shared" si="10"/>
        <v>PASS</v>
      </c>
    </row>
    <row r="225" spans="2:5" ht="15.75" thickBot="1" x14ac:dyDescent="0.3">
      <c r="B225" s="3">
        <f>'CARTA DE CONTROL'!R201</f>
        <v>1200</v>
      </c>
      <c r="C225" s="4">
        <f>'CARTA DE CONTROL'!AM201</f>
        <v>4.8333333333333325E-2</v>
      </c>
      <c r="D225" s="6">
        <f>'CARTA DE CONTROL'!K201</f>
        <v>3</v>
      </c>
      <c r="E225" s="5" t="str">
        <f>IF(C225&lt;=3,IF(C225&gt;=-3,"PASS","NO PASS"))</f>
        <v>PASS</v>
      </c>
    </row>
    <row r="226" spans="2:5" ht="15.75" thickBot="1" x14ac:dyDescent="0.3">
      <c r="B226" s="3">
        <f>'CARTA DE CONTROL'!R202</f>
        <v>2400</v>
      </c>
      <c r="C226" s="4">
        <f>'CARTA DE CONTROL'!AM202</f>
        <v>4.7916666666666663E-2</v>
      </c>
      <c r="D226" s="6">
        <f>'CARTA DE CONTROL'!K202</f>
        <v>3</v>
      </c>
      <c r="E226" s="5" t="str">
        <f t="shared" ref="E226:E229" si="11">IF(C226&lt;=3,IF(C226&gt;=-3,"PASS","NO PASS"))</f>
        <v>PASS</v>
      </c>
    </row>
    <row r="227" spans="2:5" ht="15.75" thickBot="1" x14ac:dyDescent="0.3">
      <c r="B227" s="3">
        <f>'CARTA DE CONTROL'!R203</f>
        <v>3600</v>
      </c>
      <c r="C227" s="4">
        <f>'CARTA DE CONTROL'!AM203</f>
        <v>3.1944444444444442E-2</v>
      </c>
      <c r="D227" s="6">
        <f>'CARTA DE CONTROL'!K203</f>
        <v>3</v>
      </c>
      <c r="E227" s="5" t="str">
        <f t="shared" si="11"/>
        <v>PASS</v>
      </c>
    </row>
    <row r="228" spans="2:5" ht="15.75" thickBot="1" x14ac:dyDescent="0.3">
      <c r="B228" s="3">
        <f>'CARTA DE CONTROL'!R204</f>
        <v>4800</v>
      </c>
      <c r="C228" s="4">
        <f>'CARTA DE CONTROL'!AM204</f>
        <v>1.2083333333333331E-2</v>
      </c>
      <c r="D228" s="6">
        <f>'CARTA DE CONTROL'!K204</f>
        <v>3</v>
      </c>
      <c r="E228" s="5" t="str">
        <f t="shared" si="11"/>
        <v>PASS</v>
      </c>
    </row>
    <row r="229" spans="2:5" ht="15.75" thickBot="1" x14ac:dyDescent="0.3">
      <c r="B229" s="3">
        <f>'CARTA DE CONTROL'!R205</f>
        <v>6000</v>
      </c>
      <c r="C229" s="4">
        <f>'CARTA DE CONTROL'!AM205</f>
        <v>9.6666666666666654E-3</v>
      </c>
      <c r="D229" s="6">
        <f>'CARTA DE CONTROL'!K205</f>
        <v>3</v>
      </c>
      <c r="E229" s="5" t="str">
        <f t="shared" si="11"/>
        <v>PASS</v>
      </c>
    </row>
  </sheetData>
  <mergeCells count="60">
    <mergeCell ref="B142:G142"/>
    <mergeCell ref="B168:E168"/>
    <mergeCell ref="B189:G189"/>
    <mergeCell ref="B219:E219"/>
    <mergeCell ref="B32:D32"/>
    <mergeCell ref="F32:G32"/>
    <mergeCell ref="B36:D36"/>
    <mergeCell ref="F36:G36"/>
    <mergeCell ref="B37:D37"/>
    <mergeCell ref="F37:G37"/>
    <mergeCell ref="B33:D33"/>
    <mergeCell ref="F33:G33"/>
    <mergeCell ref="B34:D34"/>
    <mergeCell ref="F34:G34"/>
    <mergeCell ref="B35:D35"/>
    <mergeCell ref="F35:G35"/>
    <mergeCell ref="B28:D28"/>
    <mergeCell ref="F28:G28"/>
    <mergeCell ref="A30:G30"/>
    <mergeCell ref="B31:D31"/>
    <mergeCell ref="F31:G31"/>
    <mergeCell ref="B25:D25"/>
    <mergeCell ref="F25:G25"/>
    <mergeCell ref="B26:D26"/>
    <mergeCell ref="F26:G26"/>
    <mergeCell ref="B27:D27"/>
    <mergeCell ref="F27:G27"/>
    <mergeCell ref="B22:D22"/>
    <mergeCell ref="F22:G22"/>
    <mergeCell ref="B23:D23"/>
    <mergeCell ref="F23:G23"/>
    <mergeCell ref="B24:D24"/>
    <mergeCell ref="F24:G24"/>
    <mergeCell ref="B19:D19"/>
    <mergeCell ref="F19:G19"/>
    <mergeCell ref="B20:D20"/>
    <mergeCell ref="F20:G20"/>
    <mergeCell ref="B21:D21"/>
    <mergeCell ref="F21:G21"/>
    <mergeCell ref="F16:G16"/>
    <mergeCell ref="B17:D17"/>
    <mergeCell ref="F17:G17"/>
    <mergeCell ref="B18:D18"/>
    <mergeCell ref="F18:G18"/>
    <mergeCell ref="B39:G39"/>
    <mergeCell ref="B86:G86"/>
    <mergeCell ref="B116:E116"/>
    <mergeCell ref="B65:E65"/>
    <mergeCell ref="C7:E7"/>
    <mergeCell ref="C8:E8"/>
    <mergeCell ref="C9:E9"/>
    <mergeCell ref="C10:E10"/>
    <mergeCell ref="A12:G12"/>
    <mergeCell ref="B13:D13"/>
    <mergeCell ref="F13:G13"/>
    <mergeCell ref="B14:D14"/>
    <mergeCell ref="F14:G14"/>
    <mergeCell ref="B15:D15"/>
    <mergeCell ref="F15:G15"/>
    <mergeCell ref="B16:D16"/>
  </mergeCells>
  <conditionalFormatting sqref="G41:G45">
    <cfRule type="cellIs" dxfId="56" priority="32" operator="lessThan">
      <formula>$F$73</formula>
    </cfRule>
    <cfRule type="cellIs" dxfId="55" priority="33" operator="lessThan">
      <formula>0.05</formula>
    </cfRule>
  </conditionalFormatting>
  <conditionalFormatting sqref="G41:G45">
    <cfRule type="cellIs" dxfId="54" priority="31" operator="between">
      <formula>$F$73</formula>
      <formula>$G$73</formula>
    </cfRule>
  </conditionalFormatting>
  <conditionalFormatting sqref="E67:E71">
    <cfRule type="cellIs" dxfId="53" priority="20" operator="lessThan">
      <formula>$H$73</formula>
    </cfRule>
    <cfRule type="cellIs" dxfId="52" priority="21" operator="lessThan">
      <formula>0.05</formula>
    </cfRule>
  </conditionalFormatting>
  <conditionalFormatting sqref="G88:G96">
    <cfRule type="cellIs" dxfId="51" priority="14" operator="lessThan">
      <formula>$F$73</formula>
    </cfRule>
    <cfRule type="cellIs" dxfId="50" priority="15" operator="lessThan">
      <formula>0.05</formula>
    </cfRule>
  </conditionalFormatting>
  <conditionalFormatting sqref="G88:G96">
    <cfRule type="cellIs" dxfId="49" priority="13" operator="between">
      <formula>$F$73</formula>
      <formula>$G$73</formula>
    </cfRule>
  </conditionalFormatting>
  <conditionalFormatting sqref="E118:E126">
    <cfRule type="cellIs" dxfId="48" priority="11" operator="lessThan">
      <formula>$H$73</formula>
    </cfRule>
    <cfRule type="cellIs" dxfId="47" priority="12" operator="lessThan">
      <formula>0.05</formula>
    </cfRule>
  </conditionalFormatting>
  <conditionalFormatting sqref="G144:G148">
    <cfRule type="cellIs" dxfId="46" priority="9" operator="lessThan">
      <formula>$F$73</formula>
    </cfRule>
    <cfRule type="cellIs" dxfId="45" priority="10" operator="lessThan">
      <formula>0.05</formula>
    </cfRule>
  </conditionalFormatting>
  <conditionalFormatting sqref="G144:G148">
    <cfRule type="cellIs" dxfId="44" priority="8" operator="between">
      <formula>$F$73</formula>
      <formula>$G$73</formula>
    </cfRule>
  </conditionalFormatting>
  <conditionalFormatting sqref="E170:E174">
    <cfRule type="cellIs" dxfId="43" priority="6" operator="lessThan">
      <formula>$H$73</formula>
    </cfRule>
    <cfRule type="cellIs" dxfId="42" priority="7" operator="lessThan">
      <formula>0.05</formula>
    </cfRule>
  </conditionalFormatting>
  <conditionalFormatting sqref="G191:G199">
    <cfRule type="cellIs" dxfId="41" priority="4" operator="lessThan">
      <formula>$F$73</formula>
    </cfRule>
    <cfRule type="cellIs" dxfId="40" priority="5" operator="lessThan">
      <formula>0.05</formula>
    </cfRule>
  </conditionalFormatting>
  <conditionalFormatting sqref="G191:G199">
    <cfRule type="cellIs" dxfId="39" priority="3" operator="between">
      <formula>$F$73</formula>
      <formula>$G$73</formula>
    </cfRule>
  </conditionalFormatting>
  <conditionalFormatting sqref="E221:E229">
    <cfRule type="cellIs" dxfId="38" priority="1" operator="lessThan">
      <formula>$H$73</formula>
    </cfRule>
    <cfRule type="cellIs" dxfId="37" priority="2" operator="lessThan">
      <formula>0.05</formula>
    </cfRule>
  </conditionalFormatting>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40" zoomScale="120" zoomScaleNormal="120" workbookViewId="0">
      <selection activeCell="C87" sqref="C87:D91"/>
    </sheetView>
  </sheetViews>
  <sheetFormatPr baseColWidth="10" defaultRowHeight="15" x14ac:dyDescent="0.25"/>
  <cols>
    <col min="1" max="1" width="4.28515625" customWidth="1"/>
    <col min="2" max="4" width="21" customWidth="1"/>
    <col min="5" max="5" width="22.7109375" customWidth="1"/>
    <col min="8" max="8" width="13.2851562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CONTROL'!B10</f>
        <v>ANALIZADOR DE GASES 1</v>
      </c>
      <c r="D7" s="832"/>
      <c r="E7" s="833"/>
    </row>
    <row r="8" spans="1:11" x14ac:dyDescent="0.25">
      <c r="B8" s="224" t="s">
        <v>156</v>
      </c>
      <c r="C8" s="831" t="str">
        <f>'CARTA DE CONTROL'!D10</f>
        <v>ACTIA</v>
      </c>
      <c r="D8" s="832"/>
      <c r="E8" s="833"/>
    </row>
    <row r="9" spans="1:11" x14ac:dyDescent="0.25">
      <c r="B9" s="224" t="s">
        <v>157</v>
      </c>
      <c r="C9" s="831" t="str">
        <f>'CARTA DE CONTROL'!E10</f>
        <v>AT505</v>
      </c>
      <c r="D9" s="832"/>
      <c r="E9" s="833"/>
    </row>
    <row r="10" spans="1:11" x14ac:dyDescent="0.25">
      <c r="B10" s="224" t="s">
        <v>158</v>
      </c>
      <c r="C10" s="834" t="str">
        <f>'CARTA DE CONTROL'!F10</f>
        <v>021/18</v>
      </c>
      <c r="D10" s="835"/>
      <c r="E10" s="836"/>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8" t="s">
        <v>128</v>
      </c>
      <c r="F13" s="843" t="s">
        <v>129</v>
      </c>
      <c r="G13" s="844"/>
      <c r="H13" s="203"/>
      <c r="I13" s="203"/>
      <c r="J13" s="203"/>
      <c r="K13" s="203"/>
    </row>
    <row r="14" spans="1:11" s="1" customFormat="1" ht="35.25" customHeight="1" x14ac:dyDescent="0.2">
      <c r="A14" s="206">
        <v>1</v>
      </c>
      <c r="B14" s="822" t="s">
        <v>130</v>
      </c>
      <c r="C14" s="822"/>
      <c r="D14" s="822"/>
      <c r="E14" s="189" t="s">
        <v>131</v>
      </c>
      <c r="F14" s="823"/>
      <c r="G14" s="824"/>
      <c r="H14" s="204"/>
      <c r="I14" s="204"/>
      <c r="J14" s="204"/>
      <c r="K14" s="204"/>
    </row>
    <row r="15" spans="1:11" s="1" customFormat="1" ht="35.25" customHeight="1" x14ac:dyDescent="0.2">
      <c r="A15" s="206">
        <v>2</v>
      </c>
      <c r="B15" s="822" t="s">
        <v>132</v>
      </c>
      <c r="C15" s="822"/>
      <c r="D15" s="822"/>
      <c r="E15" s="189" t="s">
        <v>131</v>
      </c>
      <c r="F15" s="823"/>
      <c r="G15" s="824"/>
    </row>
    <row r="16" spans="1:11" s="1" customFormat="1" ht="35.25" customHeight="1" x14ac:dyDescent="0.2">
      <c r="A16" s="206">
        <v>3</v>
      </c>
      <c r="B16" s="822" t="s">
        <v>133</v>
      </c>
      <c r="C16" s="822"/>
      <c r="D16" s="822"/>
      <c r="E16" s="189" t="s">
        <v>131</v>
      </c>
      <c r="F16" s="823"/>
      <c r="G16" s="824"/>
    </row>
    <row r="17" spans="1:11" s="1" customFormat="1" ht="35.25" customHeight="1" x14ac:dyDescent="0.2">
      <c r="A17" s="206">
        <v>4</v>
      </c>
      <c r="B17" s="822" t="s">
        <v>134</v>
      </c>
      <c r="C17" s="822"/>
      <c r="D17" s="822"/>
      <c r="E17" s="189" t="s">
        <v>131</v>
      </c>
      <c r="F17" s="845"/>
      <c r="G17" s="846"/>
    </row>
    <row r="18" spans="1:11" s="1" customFormat="1" ht="35.25" customHeight="1" x14ac:dyDescent="0.2">
      <c r="A18" s="206">
        <v>5</v>
      </c>
      <c r="B18" s="822" t="s">
        <v>135</v>
      </c>
      <c r="C18" s="822"/>
      <c r="D18" s="822"/>
      <c r="E18" s="189" t="s">
        <v>131</v>
      </c>
      <c r="F18" s="823"/>
      <c r="G18" s="824"/>
    </row>
    <row r="19" spans="1:11" s="1" customFormat="1" ht="35.25" customHeight="1" x14ac:dyDescent="0.2">
      <c r="A19" s="206">
        <v>6</v>
      </c>
      <c r="B19" s="822" t="s">
        <v>136</v>
      </c>
      <c r="C19" s="822"/>
      <c r="D19" s="822"/>
      <c r="E19" s="189" t="s">
        <v>131</v>
      </c>
      <c r="F19" s="823"/>
      <c r="G19" s="824"/>
    </row>
    <row r="20" spans="1:11" s="1" customFormat="1" ht="35.25" customHeight="1" x14ac:dyDescent="0.2">
      <c r="A20" s="206">
        <v>7</v>
      </c>
      <c r="B20" s="822" t="s">
        <v>137</v>
      </c>
      <c r="C20" s="822"/>
      <c r="D20" s="822"/>
      <c r="E20" s="189" t="s">
        <v>131</v>
      </c>
      <c r="F20" s="823"/>
      <c r="G20" s="824"/>
    </row>
    <row r="21" spans="1:11" s="1" customFormat="1" ht="35.25" customHeight="1" x14ac:dyDescent="0.2">
      <c r="A21" s="206">
        <v>8</v>
      </c>
      <c r="B21" s="822" t="s">
        <v>138</v>
      </c>
      <c r="C21" s="822"/>
      <c r="D21" s="822"/>
      <c r="E21" s="189" t="s">
        <v>131</v>
      </c>
      <c r="F21" s="823"/>
      <c r="G21" s="824"/>
    </row>
    <row r="22" spans="1:11" s="1" customFormat="1" ht="35.25" customHeight="1" x14ac:dyDescent="0.2">
      <c r="A22" s="206">
        <v>9</v>
      </c>
      <c r="B22" s="822" t="s">
        <v>139</v>
      </c>
      <c r="C22" s="822"/>
      <c r="D22" s="822"/>
      <c r="E22" s="189" t="s">
        <v>131</v>
      </c>
      <c r="F22" s="823"/>
      <c r="G22" s="824"/>
    </row>
    <row r="23" spans="1:11" s="1" customFormat="1" ht="35.25" customHeight="1" x14ac:dyDescent="0.2">
      <c r="A23" s="206">
        <v>10</v>
      </c>
      <c r="B23" s="822" t="s">
        <v>140</v>
      </c>
      <c r="C23" s="822"/>
      <c r="D23" s="822"/>
      <c r="E23" s="189" t="s">
        <v>131</v>
      </c>
      <c r="F23" s="823"/>
      <c r="G23" s="824"/>
    </row>
    <row r="24" spans="1:11" s="1" customFormat="1" ht="35.25" customHeight="1" x14ac:dyDescent="0.2">
      <c r="A24" s="206">
        <v>11</v>
      </c>
      <c r="B24" s="822" t="s">
        <v>141</v>
      </c>
      <c r="C24" s="822"/>
      <c r="D24" s="822"/>
      <c r="E24" s="189"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89" t="s">
        <v>131</v>
      </c>
      <c r="F26" s="823"/>
      <c r="G26" s="824"/>
    </row>
    <row r="27" spans="1:11" s="1" customFormat="1" ht="35.25" customHeight="1" x14ac:dyDescent="0.2">
      <c r="A27" s="206">
        <v>14</v>
      </c>
      <c r="B27" s="822" t="s">
        <v>144</v>
      </c>
      <c r="C27" s="822"/>
      <c r="D27" s="822"/>
      <c r="E27" s="189" t="s">
        <v>131</v>
      </c>
      <c r="F27" s="823"/>
      <c r="G27" s="824"/>
    </row>
    <row r="28" spans="1:11" s="1" customFormat="1" ht="54.75" customHeight="1" thickBot="1" x14ac:dyDescent="0.25">
      <c r="A28" s="208">
        <v>15</v>
      </c>
      <c r="B28" s="825" t="s">
        <v>145</v>
      </c>
      <c r="C28" s="825"/>
      <c r="D28" s="825"/>
      <c r="E28" s="209"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9" spans="1:7" ht="15.75" thickBot="1" x14ac:dyDescent="0.3"/>
    <row r="40" spans="1:7" ht="79.5" thickBot="1" x14ac:dyDescent="0.3">
      <c r="B40" s="2" t="s">
        <v>39</v>
      </c>
      <c r="C40" s="11" t="s">
        <v>91</v>
      </c>
      <c r="D40" s="11" t="s">
        <v>92</v>
      </c>
      <c r="E40" s="2" t="s">
        <v>93</v>
      </c>
      <c r="F40" s="2" t="s">
        <v>94</v>
      </c>
      <c r="G40" s="21" t="s">
        <v>95</v>
      </c>
    </row>
    <row r="41" spans="1:7" ht="15.75" thickBot="1" x14ac:dyDescent="0.3">
      <c r="B41" s="3">
        <f>'CARTA DE CONTROL'!R10</f>
        <v>0.99399999999999999</v>
      </c>
      <c r="C41" s="4">
        <f>'CARTA DE CONTROL'!AR10</f>
        <v>6.9999999999999889E-3</v>
      </c>
      <c r="D41" s="4">
        <f>'CARTA DE CONTROL'!AS10</f>
        <v>-3.5000000000000017E-2</v>
      </c>
      <c r="E41" s="6">
        <f>'CARTA DE CONTROL'!I10</f>
        <v>0.06</v>
      </c>
      <c r="F41" s="7">
        <f>-('CARTA DE CONTROL'!I10)</f>
        <v>-0.06</v>
      </c>
      <c r="G41" s="5" t="str">
        <f>IF(C41&lt;=0.1,IF(D41&gt;=-0.1,"PASS","NO PASS"))</f>
        <v>PASS</v>
      </c>
    </row>
    <row r="42" spans="1:7" ht="15.75" thickBot="1" x14ac:dyDescent="0.3">
      <c r="B42" s="3">
        <f>'CARTA DE CONTROL'!R11</f>
        <v>4.01</v>
      </c>
      <c r="C42" s="4">
        <f>'CARTA DE CONTROL'!AR11</f>
        <v>5.0000000000000405E-2</v>
      </c>
      <c r="D42" s="4">
        <f>'CARTA DE CONTROL'!AS11</f>
        <v>-0.12999999999999959</v>
      </c>
      <c r="E42" s="6">
        <f>'CARTA DE CONTROL'!I11</f>
        <v>0.15</v>
      </c>
      <c r="F42" s="7">
        <f>-('CARTA DE CONTROL'!I11)</f>
        <v>-0.15</v>
      </c>
      <c r="G42" s="5" t="str">
        <f>IF(C42&lt;=0.2,IF(D42&gt;=-0.2,"PASS","NO PASS"))</f>
        <v>PASS</v>
      </c>
    </row>
    <row r="43" spans="1:7" ht="15.75" thickBot="1" x14ac:dyDescent="0.3">
      <c r="B43" s="3">
        <f>'CARTA DE CONTROL'!R12</f>
        <v>7.97</v>
      </c>
      <c r="C43" s="4">
        <f>'CARTA DE CONTROL'!AR12</f>
        <v>0.12999999999999998</v>
      </c>
      <c r="D43" s="4">
        <f>'CARTA DE CONTROL'!AS12</f>
        <v>-0.21000000000000005</v>
      </c>
      <c r="E43" s="6">
        <f>'CARTA DE CONTROL'!I12</f>
        <v>0.4</v>
      </c>
      <c r="F43" s="7">
        <f>-('CARTA DE CONTROL'!I12)</f>
        <v>-0.4</v>
      </c>
      <c r="G43" s="5" t="str">
        <f>IF(C43&lt;=0.5,IF(D43&gt;=-0.5,"PASS","NO PASS"))</f>
        <v>PASS</v>
      </c>
    </row>
    <row r="44" spans="1:7" ht="15.75" thickBot="1" x14ac:dyDescent="0.3">
      <c r="B44" s="3">
        <f>'CARTA DE CONTROL'!R13</f>
        <v>0</v>
      </c>
      <c r="C44" s="4">
        <f>'CARTA DE CONTROL'!AR13</f>
        <v>6.0000000000000001E-3</v>
      </c>
      <c r="D44" s="4">
        <f>'CARTA DE CONTROL'!AS13</f>
        <v>-6.0000000000000001E-3</v>
      </c>
      <c r="E44" s="6">
        <f>'CARTA DE CONTROL'!I13</f>
        <v>0.06</v>
      </c>
      <c r="F44" s="7">
        <f>-('CARTA DE CONTROL'!I13)</f>
        <v>-0.06</v>
      </c>
      <c r="G44" s="5" t="str">
        <f>IF(C44&lt;=0.05,IF(D44&gt;=-0.05,"PASS","NO PASS"))</f>
        <v>PASS</v>
      </c>
    </row>
    <row r="45" spans="1:7" ht="15.75" thickBot="1" x14ac:dyDescent="0.3">
      <c r="B45" s="3">
        <f>'CARTA DE CONTROL'!R26</f>
        <v>0.99399999999999999</v>
      </c>
      <c r="C45" s="4">
        <f>'CARTA DE CONTROL'!AR26</f>
        <v>2.4E-2</v>
      </c>
      <c r="D45" s="4">
        <f>'CARTA DE CONTROL'!AS26</f>
        <v>-2.4E-2</v>
      </c>
      <c r="E45" s="6">
        <f>'CARTA DE CONTROL'!I26</f>
        <v>0.06</v>
      </c>
      <c r="F45" s="7">
        <f>-('CARTA DE CONTROL'!I26)</f>
        <v>-0.06</v>
      </c>
      <c r="G45" s="5" t="str">
        <f>IF(C45&lt;=0.1,IF(D45&gt;=-0.1,"PASS","NO PASS"))</f>
        <v>PASS</v>
      </c>
    </row>
    <row r="46" spans="1:7" ht="15.75" thickBot="1" x14ac:dyDescent="0.3">
      <c r="B46" s="3">
        <f>'CARTA DE CONTROL'!R27</f>
        <v>4.01</v>
      </c>
      <c r="C46" s="4">
        <f>'CARTA DE CONTROL'!AR27</f>
        <v>9.0999999999999998E-2</v>
      </c>
      <c r="D46" s="4">
        <f>'CARTA DE CONTROL'!AS27</f>
        <v>-9.0999999999999998E-2</v>
      </c>
      <c r="E46" s="6">
        <f>'CARTA DE CONTROL'!I27</f>
        <v>0.15</v>
      </c>
      <c r="F46" s="7">
        <f>-('CARTA DE CONTROL'!I27)</f>
        <v>-0.15</v>
      </c>
      <c r="G46" s="5" t="str">
        <f>IF(C46&lt;=0.2,IF(D46&gt;=-0.2,"PASS","NO PASS"))</f>
        <v>PASS</v>
      </c>
    </row>
    <row r="47" spans="1:7" ht="15.75" thickBot="1" x14ac:dyDescent="0.3">
      <c r="B47" s="3">
        <f>'CARTA DE CONTROL'!R28</f>
        <v>7.97</v>
      </c>
      <c r="C47" s="4">
        <f>'CARTA DE CONTROL'!AR28</f>
        <v>0.19</v>
      </c>
      <c r="D47" s="4">
        <f>'CARTA DE CONTROL'!AS28</f>
        <v>-0.19</v>
      </c>
      <c r="E47" s="6">
        <f>'CARTA DE CONTROL'!I28</f>
        <v>0.4</v>
      </c>
      <c r="F47" s="7">
        <f>-('CARTA DE CONTROL'!I28)</f>
        <v>-0.4</v>
      </c>
      <c r="G47" s="5" t="str">
        <f>IF(C47&lt;=0.5,IF(D47&gt;=-0.5,"PASS","NO PASS"))</f>
        <v>PASS</v>
      </c>
    </row>
    <row r="48" spans="1:7" ht="15.75" thickBot="1" x14ac:dyDescent="0.3">
      <c r="B48" s="3">
        <f>'CARTA DE CONTROL'!R29</f>
        <v>0</v>
      </c>
      <c r="C48" s="4">
        <f>'CARTA DE CONTROL'!AR29</f>
        <v>6.0000000000000001E-3</v>
      </c>
      <c r="D48" s="4">
        <f>'CARTA DE CONTROL'!AS29</f>
        <v>-6.0000000000000001E-3</v>
      </c>
      <c r="E48" s="6">
        <f>'CARTA DE CONTROL'!I29</f>
        <v>0.06</v>
      </c>
      <c r="F48" s="7">
        <f>-('CARTA DE CONTROL'!I29)</f>
        <v>-0.06</v>
      </c>
      <c r="G48" s="5" t="str">
        <f>IF(C48&lt;=0.05,IF(D48&gt;=-0.05,"PASS","NO PASS"))</f>
        <v>PASS</v>
      </c>
    </row>
    <row r="49" spans="1:8" x14ac:dyDescent="0.25">
      <c r="A49" s="1"/>
      <c r="B49" s="1"/>
      <c r="C49" s="1"/>
      <c r="D49" s="1"/>
    </row>
    <row r="50" spans="1:8" x14ac:dyDescent="0.25">
      <c r="A50" s="1"/>
      <c r="B50" s="1"/>
      <c r="C50" s="1"/>
      <c r="D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6" spans="2:5" ht="15.75" thickBot="1" x14ac:dyDescent="0.3"/>
    <row r="67" spans="2:5" ht="15.75" thickBot="1" x14ac:dyDescent="0.3">
      <c r="B67" s="812" t="s">
        <v>82</v>
      </c>
      <c r="C67" s="813"/>
      <c r="D67" s="813"/>
      <c r="E67" s="814"/>
    </row>
    <row r="68" spans="2:5" ht="45.75" thickBot="1" x14ac:dyDescent="0.3">
      <c r="B68" s="2" t="s">
        <v>39</v>
      </c>
      <c r="C68" s="10" t="s">
        <v>83</v>
      </c>
      <c r="D68" s="2" t="s">
        <v>84</v>
      </c>
      <c r="E68" s="21" t="s">
        <v>85</v>
      </c>
    </row>
    <row r="69" spans="2:5" ht="15.75" thickBot="1" x14ac:dyDescent="0.3">
      <c r="B69" s="3">
        <f>'CARTA DE CONTROL'!R10</f>
        <v>0.99399999999999999</v>
      </c>
      <c r="C69" s="4">
        <f>'CARTA DE CONTROL'!AN10</f>
        <v>0</v>
      </c>
      <c r="D69" s="6">
        <f>'CARTA DE CONTROL'!M10</f>
        <v>0.02</v>
      </c>
      <c r="E69" s="5" t="str">
        <f>IF(C69&lt;=0.04,IF(C69&gt;=-0.04,"PASS","NO PASS"))</f>
        <v>PASS</v>
      </c>
    </row>
    <row r="70" spans="2:5" ht="15.75" thickBot="1" x14ac:dyDescent="0.3">
      <c r="B70" s="3">
        <f>'CARTA DE CONTROL'!R11</f>
        <v>4.01</v>
      </c>
      <c r="C70" s="4">
        <f>'CARTA DE CONTROL'!AN11</f>
        <v>0</v>
      </c>
      <c r="D70" s="6">
        <f>'CARTA DE CONTROL'!M11</f>
        <v>0.06</v>
      </c>
      <c r="E70" s="5" t="str">
        <f>IF(C70&lt;=0.08,IF(C70&gt;=-0.08,"PASS","NO PASS"))</f>
        <v>PASS</v>
      </c>
    </row>
    <row r="71" spans="2:5" ht="15.75" thickBot="1" x14ac:dyDescent="0.3">
      <c r="B71" s="3">
        <f>'CARTA DE CONTROL'!R12</f>
        <v>7.97</v>
      </c>
      <c r="C71" s="4">
        <f>'CARTA DE CONTROL'!AN12</f>
        <v>0</v>
      </c>
      <c r="D71" s="6">
        <f>'CARTA DE CONTROL'!M12</f>
        <v>0.1</v>
      </c>
      <c r="E71" s="5" t="str">
        <f>IF(C71&lt;=0.16,IF(C71&gt;=-0.16,"PASS","NO PASS"))</f>
        <v>PASS</v>
      </c>
    </row>
    <row r="72" spans="2:5" ht="15.75" thickBot="1" x14ac:dyDescent="0.3">
      <c r="B72" s="3">
        <f>'CARTA DE CONTROL'!R13</f>
        <v>0</v>
      </c>
      <c r="C72" s="4">
        <f>'CARTA DE CONTROL'!AN13</f>
        <v>0</v>
      </c>
      <c r="D72" s="6">
        <f>'CARTA DE CONTROL'!M13</f>
        <v>0.02</v>
      </c>
      <c r="E72" s="5" t="str">
        <f>IF(C72&lt;=0.02,IF(C72&gt;=-0.02,"PASS","NO PASS"))</f>
        <v>PASS</v>
      </c>
    </row>
    <row r="84" spans="2:5" ht="15.75" thickBot="1" x14ac:dyDescent="0.3"/>
    <row r="85" spans="2:5" ht="15.75" thickBot="1" x14ac:dyDescent="0.3">
      <c r="B85" s="812" t="s">
        <v>86</v>
      </c>
      <c r="C85" s="813"/>
      <c r="D85" s="813"/>
      <c r="E85" s="814"/>
    </row>
    <row r="86" spans="2:5" ht="45.75" thickBot="1" x14ac:dyDescent="0.3">
      <c r="B86" s="2" t="s">
        <v>39</v>
      </c>
      <c r="C86" s="10" t="s">
        <v>87</v>
      </c>
      <c r="D86" s="2" t="s">
        <v>117</v>
      </c>
      <c r="E86" s="21" t="s">
        <v>85</v>
      </c>
    </row>
    <row r="87" spans="2:5" ht="15.75" thickBot="1" x14ac:dyDescent="0.3">
      <c r="B87" s="3">
        <f>'CARTA DE CONTROL'!R10</f>
        <v>0.99399999999999999</v>
      </c>
      <c r="C87" s="4">
        <f>'CARTA DE CONTROL'!AO10</f>
        <v>0</v>
      </c>
      <c r="D87" s="6">
        <f>'CARTA DE CONTROL'!O10</f>
        <v>0.03</v>
      </c>
      <c r="E87" s="5" t="str">
        <f>IF(C87&lt;=0.04,IF(C87&gt;=-0.04,"PASS","NO PASS"))</f>
        <v>PASS</v>
      </c>
    </row>
    <row r="88" spans="2:5" ht="15.75" thickBot="1" x14ac:dyDescent="0.3">
      <c r="B88" s="3">
        <f>'CARTA DE CONTROL'!R11</f>
        <v>4.01</v>
      </c>
      <c r="C88" s="4">
        <f>'CARTA DE CONTROL'!AO11</f>
        <v>0</v>
      </c>
      <c r="D88" s="6">
        <f>'CARTA DE CONTROL'!O11</f>
        <v>0.08</v>
      </c>
      <c r="E88" s="5" t="str">
        <f>IF(C88&lt;=0.08,IF(C88&gt;=-0.08,"PASS","NO PASS"))</f>
        <v>PASS</v>
      </c>
    </row>
    <row r="89" spans="2:5" ht="15.75" thickBot="1" x14ac:dyDescent="0.3">
      <c r="B89" s="3">
        <f>'CARTA DE CONTROL'!R12</f>
        <v>7.97</v>
      </c>
      <c r="C89" s="4">
        <f>'CARTA DE CONTROL'!AO12</f>
        <v>0</v>
      </c>
      <c r="D89" s="6">
        <f>'CARTA DE CONTROL'!O12</f>
        <v>0.15</v>
      </c>
      <c r="E89" s="5" t="str">
        <f>IF(C89&lt;=0.16,IF(C89&gt;=-0.16,"PASS","NO PASS"))</f>
        <v>PASS</v>
      </c>
    </row>
    <row r="90" spans="2:5" ht="15.75" thickBot="1" x14ac:dyDescent="0.3">
      <c r="B90" s="3">
        <f>'CARTA DE CONTROL'!R13</f>
        <v>0</v>
      </c>
      <c r="C90" s="4">
        <f>'CARTA DE CONTROL'!AO13</f>
        <v>0</v>
      </c>
      <c r="D90" s="6">
        <f>'CARTA DE CONTROL'!O13</f>
        <v>0.03</v>
      </c>
      <c r="E90" s="5" t="str">
        <f>IF(C90&lt;=0.02,IF(C90&gt;=-0.02,"PASS","NO PASS"))</f>
        <v>PASS</v>
      </c>
    </row>
    <row r="91" spans="2:5" ht="15.75" thickBot="1" x14ac:dyDescent="0.3">
      <c r="B91" s="3">
        <f>'CARTA DE CONTROL'!R26</f>
        <v>0.99399999999999999</v>
      </c>
      <c r="C91" s="4">
        <f>'CARTA DE CONTROL'!AO26</f>
        <v>0</v>
      </c>
      <c r="D91" s="6">
        <f>'CARTA DE CONTROL'!O26</f>
        <v>0.03</v>
      </c>
      <c r="E91" s="5" t="str">
        <f>IF(C91&lt;=0.04,IF(C91&gt;=-0.04,"PASS","NO PASS"))</f>
        <v>PASS</v>
      </c>
    </row>
    <row r="92" spans="2:5" ht="15.75" thickBot="1" x14ac:dyDescent="0.3">
      <c r="B92" s="3">
        <f>'CARTA DE CONTROL'!R27</f>
        <v>4.01</v>
      </c>
      <c r="C92" s="4">
        <f>'CARTA DE CONTROL'!AO27</f>
        <v>0</v>
      </c>
      <c r="D92" s="6">
        <f>'CARTA DE CONTROL'!O27</f>
        <v>0.08</v>
      </c>
      <c r="E92" s="5" t="str">
        <f>IF(C92&lt;=0.08,IF(C92&gt;=-0.08,"PASS","NO PASS"))</f>
        <v>PASS</v>
      </c>
    </row>
    <row r="93" spans="2:5" ht="15.75" thickBot="1" x14ac:dyDescent="0.3">
      <c r="B93" s="3">
        <f>'CARTA DE CONTROL'!R28</f>
        <v>7.97</v>
      </c>
      <c r="C93" s="4">
        <f>'CARTA DE CONTROL'!AO28</f>
        <v>0</v>
      </c>
      <c r="D93" s="6">
        <f>'CARTA DE CONTROL'!O28</f>
        <v>0.15</v>
      </c>
      <c r="E93" s="5" t="str">
        <f>IF(C93&lt;=0.16,IF(C93&gt;=-0.16,"PASS","NO PASS"))</f>
        <v>PASS</v>
      </c>
    </row>
    <row r="94" spans="2:5" ht="15.75" thickBot="1" x14ac:dyDescent="0.3">
      <c r="B94" s="3">
        <f>'CARTA DE CONTROL'!R29</f>
        <v>0</v>
      </c>
      <c r="C94" s="4">
        <f>'CARTA DE CONTROL'!AO29</f>
        <v>0</v>
      </c>
      <c r="D94" s="6">
        <f>'CARTA DE CONTROL'!O29</f>
        <v>0.03</v>
      </c>
      <c r="E94" s="5" t="str">
        <f>IF(C94&lt;=0.02,IF(C94&gt;=-0.02,"PASS","NO PASS"))</f>
        <v>PASS</v>
      </c>
    </row>
  </sheetData>
  <mergeCells count="54">
    <mergeCell ref="B16:D16"/>
    <mergeCell ref="F16:G16"/>
    <mergeCell ref="B17:D17"/>
    <mergeCell ref="B13:D13"/>
    <mergeCell ref="F13:G13"/>
    <mergeCell ref="B14:D14"/>
    <mergeCell ref="F14:G14"/>
    <mergeCell ref="B15:D15"/>
    <mergeCell ref="F15:G15"/>
    <mergeCell ref="F17:G17"/>
    <mergeCell ref="C7:E7"/>
    <mergeCell ref="C8:E8"/>
    <mergeCell ref="C9:E9"/>
    <mergeCell ref="C10:E10"/>
    <mergeCell ref="A12:G12"/>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3:D33"/>
    <mergeCell ref="F33:G33"/>
    <mergeCell ref="B37:D37"/>
    <mergeCell ref="F37:G37"/>
    <mergeCell ref="B85:E85"/>
    <mergeCell ref="B67:E67"/>
    <mergeCell ref="B34:D34"/>
    <mergeCell ref="F34:G34"/>
    <mergeCell ref="B35:D35"/>
    <mergeCell ref="F35:G35"/>
    <mergeCell ref="B36:D36"/>
    <mergeCell ref="F36:G36"/>
  </mergeCells>
  <conditionalFormatting sqref="E69:E72">
    <cfRule type="cellIs" dxfId="187" priority="21" operator="lessThan">
      <formula>$H$84</formula>
    </cfRule>
    <cfRule type="cellIs" dxfId="186" priority="22" operator="lessThan">
      <formula>0.05</formula>
    </cfRule>
  </conditionalFormatting>
  <conditionalFormatting sqref="G41:G48">
    <cfRule type="cellIs" dxfId="185" priority="81" operator="lessThan">
      <formula>$H$86</formula>
    </cfRule>
    <cfRule type="cellIs" dxfId="184" priority="82" operator="lessThan">
      <formula>0.05</formula>
    </cfRule>
  </conditionalFormatting>
  <conditionalFormatting sqref="E87:E88">
    <cfRule type="cellIs" dxfId="183" priority="7" operator="lessThan">
      <formula>$H$84</formula>
    </cfRule>
    <cfRule type="cellIs" dxfId="182" priority="8" operator="lessThan">
      <formula>0.05</formula>
    </cfRule>
  </conditionalFormatting>
  <conditionalFormatting sqref="E89:E90">
    <cfRule type="cellIs" dxfId="181" priority="5" operator="lessThan">
      <formula>$H$84</formula>
    </cfRule>
    <cfRule type="cellIs" dxfId="180" priority="6" operator="lessThan">
      <formula>0.05</formula>
    </cfRule>
  </conditionalFormatting>
  <conditionalFormatting sqref="E91:E92">
    <cfRule type="cellIs" dxfId="179" priority="3" operator="lessThan">
      <formula>$H$84</formula>
    </cfRule>
    <cfRule type="cellIs" dxfId="178" priority="4" operator="lessThan">
      <formula>0.05</formula>
    </cfRule>
  </conditionalFormatting>
  <conditionalFormatting sqref="E93:E94">
    <cfRule type="cellIs" dxfId="177" priority="1" operator="lessThan">
      <formula>$H$84</formula>
    </cfRule>
    <cfRule type="cellIs" dxfId="176" priority="2" operator="lessThan">
      <formula>0.05</formula>
    </cfRule>
  </conditionalFormatting>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topLeftCell="A87" workbookViewId="0">
      <selection activeCell="E126" sqref="E126:E130"/>
    </sheetView>
  </sheetViews>
  <sheetFormatPr baseColWidth="10" defaultRowHeight="15" x14ac:dyDescent="0.25"/>
  <cols>
    <col min="1" max="1" width="7" customWidth="1"/>
    <col min="2" max="2" width="22.85546875" customWidth="1"/>
    <col min="3" max="3" width="21.7109375" customWidth="1"/>
    <col min="4" max="4" width="21" customWidth="1"/>
    <col min="5" max="5" width="22.7109375" customWidth="1"/>
  </cols>
  <sheetData>
    <row r="1" spans="1:11" ht="15" customHeight="1" x14ac:dyDescent="0.25">
      <c r="E1" s="211"/>
    </row>
    <row r="2" spans="1:11" ht="15" customHeight="1" x14ac:dyDescent="0.25">
      <c r="B2" s="449"/>
      <c r="C2" s="449"/>
      <c r="D2" s="449"/>
      <c r="E2" s="212"/>
      <c r="F2" s="449"/>
      <c r="G2" s="449"/>
      <c r="H2" s="449"/>
    </row>
    <row r="3" spans="1:11" ht="15" customHeight="1" x14ac:dyDescent="0.25">
      <c r="B3" s="449"/>
      <c r="C3" s="449"/>
      <c r="D3" s="449"/>
      <c r="E3" s="212"/>
      <c r="F3" s="449"/>
      <c r="G3" s="449"/>
      <c r="H3" s="449"/>
    </row>
    <row r="4" spans="1:11" ht="15" customHeight="1" x14ac:dyDescent="0.25">
      <c r="B4" s="449"/>
      <c r="C4" s="449"/>
      <c r="D4" s="449"/>
      <c r="E4" s="212"/>
      <c r="F4" s="449"/>
      <c r="G4" s="449"/>
      <c r="H4" s="449"/>
    </row>
    <row r="5" spans="1:11" ht="15" customHeight="1" x14ac:dyDescent="0.25">
      <c r="B5" s="449"/>
      <c r="C5" s="449"/>
      <c r="D5" s="449"/>
      <c r="E5" s="212"/>
      <c r="F5" s="449"/>
      <c r="G5" s="449"/>
      <c r="H5" s="449"/>
    </row>
    <row r="6" spans="1:11" ht="15" customHeight="1" x14ac:dyDescent="0.25">
      <c r="B6" s="449"/>
      <c r="C6" s="449"/>
      <c r="D6" s="449"/>
      <c r="E6" s="212"/>
      <c r="F6" s="449"/>
      <c r="G6" s="449"/>
      <c r="H6" s="449"/>
    </row>
    <row r="7" spans="1:11" x14ac:dyDescent="0.25">
      <c r="B7" s="224" t="s">
        <v>155</v>
      </c>
      <c r="C7" s="831" t="str">
        <f>'CARTA DE CONTROL'!B206</f>
        <v>FRENOMETRO LIVIANOS</v>
      </c>
      <c r="D7" s="832"/>
      <c r="E7" s="833"/>
    </row>
    <row r="8" spans="1:11" x14ac:dyDescent="0.25">
      <c r="B8" s="224" t="s">
        <v>156</v>
      </c>
      <c r="C8" s="831" t="str">
        <f>'CARTA DE CONTROL'!D206</f>
        <v>VAMAG</v>
      </c>
      <c r="D8" s="832"/>
      <c r="E8" s="833"/>
    </row>
    <row r="9" spans="1:11" x14ac:dyDescent="0.25">
      <c r="B9" s="224" t="s">
        <v>157</v>
      </c>
      <c r="C9" s="831" t="str">
        <f>'CARTA DE CONTROL'!E206</f>
        <v>RBT 3500XSQF</v>
      </c>
      <c r="D9" s="832"/>
      <c r="E9" s="833"/>
    </row>
    <row r="10" spans="1:11" x14ac:dyDescent="0.25">
      <c r="B10" s="224" t="s">
        <v>158</v>
      </c>
      <c r="C10" s="847">
        <f>'CARTA DE CONTROL'!F206</f>
        <v>19022921</v>
      </c>
      <c r="D10" s="848"/>
      <c r="E10" s="849"/>
    </row>
    <row r="11" spans="1:11" ht="15" customHeight="1" thickBot="1" x14ac:dyDescent="0.3">
      <c r="B11" s="449"/>
      <c r="C11" s="449"/>
      <c r="D11" s="449"/>
      <c r="E11" s="212"/>
      <c r="F11" s="449"/>
      <c r="G11" s="449"/>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51" t="s">
        <v>128</v>
      </c>
      <c r="F13" s="843" t="s">
        <v>129</v>
      </c>
      <c r="G13" s="844"/>
      <c r="H13" s="203"/>
      <c r="I13" s="203"/>
      <c r="J13" s="203"/>
      <c r="K13" s="203"/>
    </row>
    <row r="14" spans="1:11" s="1" customFormat="1" ht="35.25" customHeight="1" x14ac:dyDescent="0.2">
      <c r="A14" s="206">
        <v>1</v>
      </c>
      <c r="B14" s="822" t="s">
        <v>130</v>
      </c>
      <c r="C14" s="822"/>
      <c r="D14" s="822"/>
      <c r="E14" s="450" t="s">
        <v>131</v>
      </c>
      <c r="F14" s="823"/>
      <c r="G14" s="824"/>
      <c r="H14" s="204"/>
      <c r="I14" s="204"/>
      <c r="J14" s="204"/>
      <c r="K14" s="204"/>
    </row>
    <row r="15" spans="1:11" s="1" customFormat="1" ht="35.25" customHeight="1" x14ac:dyDescent="0.2">
      <c r="A15" s="206">
        <v>2</v>
      </c>
      <c r="B15" s="822" t="s">
        <v>132</v>
      </c>
      <c r="C15" s="822"/>
      <c r="D15" s="822"/>
      <c r="E15" s="450" t="s">
        <v>131</v>
      </c>
      <c r="F15" s="823"/>
      <c r="G15" s="824"/>
    </row>
    <row r="16" spans="1:11" s="1" customFormat="1" ht="35.25" customHeight="1" x14ac:dyDescent="0.2">
      <c r="A16" s="206">
        <v>3</v>
      </c>
      <c r="B16" s="822" t="s">
        <v>133</v>
      </c>
      <c r="C16" s="822"/>
      <c r="D16" s="822"/>
      <c r="E16" s="450" t="s">
        <v>131</v>
      </c>
      <c r="F16" s="823"/>
      <c r="G16" s="824"/>
    </row>
    <row r="17" spans="1:11" s="1" customFormat="1" ht="35.25" customHeight="1" x14ac:dyDescent="0.2">
      <c r="A17" s="206">
        <v>4</v>
      </c>
      <c r="B17" s="822" t="s">
        <v>134</v>
      </c>
      <c r="C17" s="822"/>
      <c r="D17" s="822"/>
      <c r="E17" s="450" t="s">
        <v>131</v>
      </c>
      <c r="F17" s="845"/>
      <c r="G17" s="846"/>
    </row>
    <row r="18" spans="1:11" s="1" customFormat="1" ht="35.25" customHeight="1" x14ac:dyDescent="0.2">
      <c r="A18" s="206">
        <v>5</v>
      </c>
      <c r="B18" s="822" t="s">
        <v>135</v>
      </c>
      <c r="C18" s="822"/>
      <c r="D18" s="822"/>
      <c r="E18" s="450" t="s">
        <v>131</v>
      </c>
      <c r="F18" s="823"/>
      <c r="G18" s="824"/>
    </row>
    <row r="19" spans="1:11" s="1" customFormat="1" ht="35.25" customHeight="1" x14ac:dyDescent="0.2">
      <c r="A19" s="206">
        <v>6</v>
      </c>
      <c r="B19" s="822" t="s">
        <v>136</v>
      </c>
      <c r="C19" s="822"/>
      <c r="D19" s="822"/>
      <c r="E19" s="450" t="s">
        <v>131</v>
      </c>
      <c r="F19" s="823"/>
      <c r="G19" s="824"/>
    </row>
    <row r="20" spans="1:11" s="1" customFormat="1" ht="35.25" customHeight="1" x14ac:dyDescent="0.2">
      <c r="A20" s="206">
        <v>7</v>
      </c>
      <c r="B20" s="822" t="s">
        <v>137</v>
      </c>
      <c r="C20" s="822"/>
      <c r="D20" s="822"/>
      <c r="E20" s="450" t="s">
        <v>131</v>
      </c>
      <c r="F20" s="823"/>
      <c r="G20" s="824"/>
    </row>
    <row r="21" spans="1:11" s="1" customFormat="1" ht="35.25" customHeight="1" x14ac:dyDescent="0.2">
      <c r="A21" s="206">
        <v>8</v>
      </c>
      <c r="B21" s="822" t="s">
        <v>138</v>
      </c>
      <c r="C21" s="822"/>
      <c r="D21" s="822"/>
      <c r="E21" s="450" t="s">
        <v>131</v>
      </c>
      <c r="F21" s="823"/>
      <c r="G21" s="824"/>
    </row>
    <row r="22" spans="1:11" s="1" customFormat="1" ht="35.25" customHeight="1" x14ac:dyDescent="0.2">
      <c r="A22" s="206">
        <v>9</v>
      </c>
      <c r="B22" s="822" t="s">
        <v>139</v>
      </c>
      <c r="C22" s="822"/>
      <c r="D22" s="822"/>
      <c r="E22" s="450" t="s">
        <v>131</v>
      </c>
      <c r="F22" s="823"/>
      <c r="G22" s="824"/>
    </row>
    <row r="23" spans="1:11" s="1" customFormat="1" ht="35.25" customHeight="1" x14ac:dyDescent="0.2">
      <c r="A23" s="206">
        <v>10</v>
      </c>
      <c r="B23" s="822" t="s">
        <v>140</v>
      </c>
      <c r="C23" s="822"/>
      <c r="D23" s="822"/>
      <c r="E23" s="450" t="s">
        <v>131</v>
      </c>
      <c r="F23" s="823"/>
      <c r="G23" s="824"/>
    </row>
    <row r="24" spans="1:11" s="1" customFormat="1" ht="35.25" customHeight="1" x14ac:dyDescent="0.2">
      <c r="A24" s="206">
        <v>11</v>
      </c>
      <c r="B24" s="822" t="s">
        <v>141</v>
      </c>
      <c r="C24" s="822"/>
      <c r="D24" s="822"/>
      <c r="E24" s="45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50" t="s">
        <v>131</v>
      </c>
      <c r="F26" s="823"/>
      <c r="G26" s="824"/>
    </row>
    <row r="27" spans="1:11" s="1" customFormat="1" ht="35.25" customHeight="1" x14ac:dyDescent="0.2">
      <c r="A27" s="206">
        <v>14</v>
      </c>
      <c r="B27" s="822" t="s">
        <v>144</v>
      </c>
      <c r="C27" s="822"/>
      <c r="D27" s="822"/>
      <c r="E27" s="450" t="s">
        <v>131</v>
      </c>
      <c r="F27" s="823"/>
      <c r="G27" s="824"/>
    </row>
    <row r="28" spans="1:11" s="1" customFormat="1" ht="54.75" customHeight="1" thickBot="1" x14ac:dyDescent="0.25">
      <c r="A28" s="208">
        <v>15</v>
      </c>
      <c r="B28" s="825" t="s">
        <v>145</v>
      </c>
      <c r="C28" s="825"/>
      <c r="D28" s="825"/>
      <c r="E28" s="452"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53"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8" spans="1:7" ht="15.75" thickBot="1" x14ac:dyDescent="0.3"/>
    <row r="39" spans="1:7" ht="15.75" thickBot="1" x14ac:dyDescent="0.3">
      <c r="B39" s="812" t="s">
        <v>190</v>
      </c>
      <c r="C39" s="813"/>
      <c r="D39" s="813"/>
      <c r="E39" s="813"/>
      <c r="F39" s="813"/>
      <c r="G39" s="814"/>
    </row>
    <row r="40" spans="1:7" ht="72.75" thickBot="1" x14ac:dyDescent="0.3">
      <c r="B40" s="2" t="s">
        <v>162</v>
      </c>
      <c r="C40" s="11" t="s">
        <v>97</v>
      </c>
      <c r="D40" s="11" t="s">
        <v>98</v>
      </c>
      <c r="E40" s="22" t="s">
        <v>99</v>
      </c>
      <c r="F40" s="22" t="s">
        <v>100</v>
      </c>
      <c r="G40" s="22" t="s">
        <v>38</v>
      </c>
    </row>
    <row r="41" spans="1:7" ht="15.75" thickBot="1" x14ac:dyDescent="0.3">
      <c r="B41" s="3">
        <f>'CARTA DE CONTROL'!R206</f>
        <v>0</v>
      </c>
      <c r="C41" s="4">
        <f>'CARTA DE CONTROL'!AR206</f>
        <v>9.499999999999998E-3</v>
      </c>
      <c r="D41" s="4">
        <f>'CARTA DE CONTROL'!AS206</f>
        <v>-9.499999999999998E-3</v>
      </c>
      <c r="E41" s="6">
        <f>'CARTA DE CONTROL'!I206</f>
        <v>3</v>
      </c>
      <c r="F41" s="7">
        <f>-('CARTA DE CONTROL'!I206)</f>
        <v>-3</v>
      </c>
      <c r="G41" s="5" t="str">
        <f>IF(C41&lt;=2,IF(D41&gt;=-2,"PASS","NO PASS"))</f>
        <v>PASS</v>
      </c>
    </row>
    <row r="42" spans="1:7" ht="15.75" thickBot="1" x14ac:dyDescent="0.3">
      <c r="B42" s="3">
        <f>'CARTA DE CONTROL'!R207</f>
        <v>49.3</v>
      </c>
      <c r="C42" s="4">
        <f>'CARTA DE CONTROL'!AR207</f>
        <v>6.333333333333338E-2</v>
      </c>
      <c r="D42" s="4">
        <f>'CARTA DE CONTROL'!AS207</f>
        <v>2.666666666666671E-2</v>
      </c>
      <c r="E42" s="6">
        <f>'CARTA DE CONTROL'!I207</f>
        <v>3</v>
      </c>
      <c r="F42" s="7">
        <f>-('CARTA DE CONTROL'!I207)</f>
        <v>-3</v>
      </c>
      <c r="G42" s="5" t="str">
        <f t="shared" ref="G42:G48" si="0">IF(C42&lt;=2,IF(D42&gt;=-2,"PASS","NO PASS"))</f>
        <v>PASS</v>
      </c>
    </row>
    <row r="43" spans="1:7" ht="15.75" thickBot="1" x14ac:dyDescent="0.3">
      <c r="B43" s="3">
        <f>'CARTA DE CONTROL'!R208</f>
        <v>246.5</v>
      </c>
      <c r="C43" s="4">
        <f>'CARTA DE CONTROL'!AR208</f>
        <v>0.17333333333333342</v>
      </c>
      <c r="D43" s="4">
        <f>'CARTA DE CONTROL'!AS208</f>
        <v>-9.9999999999998979E-3</v>
      </c>
      <c r="E43" s="6">
        <f>'CARTA DE CONTROL'!I208</f>
        <v>3</v>
      </c>
      <c r="F43" s="7">
        <f>-('CARTA DE CONTROL'!I208)</f>
        <v>-3</v>
      </c>
      <c r="G43" s="5" t="str">
        <f t="shared" si="0"/>
        <v>PASS</v>
      </c>
    </row>
    <row r="44" spans="1:7" ht="15.75" thickBot="1" x14ac:dyDescent="0.3">
      <c r="B44" s="3">
        <f>'CARTA DE CONTROL'!R209</f>
        <v>493</v>
      </c>
      <c r="C44" s="4">
        <f>'CARTA DE CONTROL'!AR209</f>
        <v>0.41166666666666663</v>
      </c>
      <c r="D44" s="4">
        <f>'CARTA DE CONTROL'!AS209</f>
        <v>8.8333333333333347E-2</v>
      </c>
      <c r="E44" s="6">
        <f>'CARTA DE CONTROL'!I209</f>
        <v>3</v>
      </c>
      <c r="F44" s="7">
        <f>-('CARTA DE CONTROL'!I209)</f>
        <v>-3</v>
      </c>
      <c r="G44" s="5" t="str">
        <f t="shared" si="0"/>
        <v>PASS</v>
      </c>
    </row>
    <row r="45" spans="1:7" ht="15.75" thickBot="1" x14ac:dyDescent="0.3">
      <c r="B45" s="3">
        <f>'CARTA DE CONTROL'!R210</f>
        <v>986</v>
      </c>
      <c r="C45" s="4">
        <f>'CARTA DE CONTROL'!AR210</f>
        <v>0.2</v>
      </c>
      <c r="D45" s="4">
        <f>'CARTA DE CONTROL'!AS210</f>
        <v>-0.36666666666666664</v>
      </c>
      <c r="E45" s="6">
        <f>'CARTA DE CONTROL'!I210</f>
        <v>3</v>
      </c>
      <c r="F45" s="7">
        <f>-('CARTA DE CONTROL'!I210)</f>
        <v>-3</v>
      </c>
      <c r="G45" s="5" t="str">
        <f t="shared" si="0"/>
        <v>PASS</v>
      </c>
    </row>
    <row r="46" spans="1:7" ht="15.75" thickBot="1" x14ac:dyDescent="0.3">
      <c r="B46" s="3">
        <f>'CARTA DE CONTROL'!R211</f>
        <v>1972</v>
      </c>
      <c r="C46" s="4">
        <f>'CARTA DE CONTROL'!AR211</f>
        <v>0.53333333333333333</v>
      </c>
      <c r="D46" s="4">
        <f>'CARTA DE CONTROL'!AS211</f>
        <v>-0.6</v>
      </c>
      <c r="E46" s="6">
        <f>'CARTA DE CONTROL'!I211</f>
        <v>3</v>
      </c>
      <c r="F46" s="7">
        <f>-('CARTA DE CONTROL'!I211)</f>
        <v>-3</v>
      </c>
      <c r="G46" s="5" t="str">
        <f t="shared" si="0"/>
        <v>PASS</v>
      </c>
    </row>
    <row r="47" spans="1:7" ht="15.75" thickBot="1" x14ac:dyDescent="0.3">
      <c r="B47" s="3">
        <f>'CARTA DE CONTROL'!R212</f>
        <v>2958</v>
      </c>
      <c r="C47" s="4">
        <f>'CARTA DE CONTROL'!AR212</f>
        <v>0.75</v>
      </c>
      <c r="D47" s="4">
        <f>'CARTA DE CONTROL'!AS212</f>
        <v>-0.91666666666666674</v>
      </c>
      <c r="E47" s="6">
        <f>'CARTA DE CONTROL'!I212</f>
        <v>3</v>
      </c>
      <c r="F47" s="7">
        <f>-('CARTA DE CONTROL'!I212)</f>
        <v>-3</v>
      </c>
      <c r="G47" s="5" t="str">
        <f t="shared" si="0"/>
        <v>PASS</v>
      </c>
    </row>
    <row r="48" spans="1:7" ht="15.75" thickBot="1" x14ac:dyDescent="0.3">
      <c r="B48" s="3">
        <f>'CARTA DE CONTROL'!R213</f>
        <v>3944</v>
      </c>
      <c r="C48" s="4">
        <f>'CARTA DE CONTROL'!AR213</f>
        <v>1.1833333333333333</v>
      </c>
      <c r="D48" s="4">
        <f>'CARTA DE CONTROL'!AS213</f>
        <v>-1.05</v>
      </c>
      <c r="E48" s="6">
        <f>'CARTA DE CONTROL'!I213</f>
        <v>3</v>
      </c>
      <c r="F48" s="7">
        <f>-('CARTA DE CONTROL'!I213)</f>
        <v>-3</v>
      </c>
      <c r="G48" s="5" t="str">
        <f t="shared" si="0"/>
        <v>PASS</v>
      </c>
    </row>
    <row r="49" spans="1:8" ht="15.75" thickBot="1" x14ac:dyDescent="0.3">
      <c r="A49" s="1"/>
      <c r="B49" s="3">
        <f>'CARTA DE CONTROL'!R214</f>
        <v>4930</v>
      </c>
      <c r="C49" s="4">
        <f>'CARTA DE CONTROL'!AR214</f>
        <v>1.45</v>
      </c>
      <c r="D49" s="4">
        <f>'CARTA DE CONTROL'!AS214</f>
        <v>-1.3499999999999999</v>
      </c>
      <c r="E49" s="6">
        <f>'CARTA DE CONTROL'!I214</f>
        <v>3</v>
      </c>
      <c r="F49" s="7">
        <f>-('CARTA DE CONTROL'!I214)</f>
        <v>-3</v>
      </c>
      <c r="G49" s="5" t="str">
        <f t="shared" ref="G49:G51" si="1">IF(C49&lt;=2,IF(D49&gt;=-2,"PASS","NO PASS"))</f>
        <v>PASS</v>
      </c>
      <c r="H49" s="1"/>
    </row>
    <row r="50" spans="1:8" ht="15.75" thickBot="1" x14ac:dyDescent="0.3">
      <c r="A50" s="1"/>
      <c r="B50" s="3">
        <f>'CARTA DE CONTROL'!R215</f>
        <v>5916</v>
      </c>
      <c r="C50" s="4">
        <f>'CARTA DE CONTROL'!AR215</f>
        <v>1.9</v>
      </c>
      <c r="D50" s="4">
        <f>'CARTA DE CONTROL'!AS215</f>
        <v>-1.7666666666666666</v>
      </c>
      <c r="E50" s="6">
        <f>'CARTA DE CONTROL'!I215</f>
        <v>3</v>
      </c>
      <c r="F50" s="7">
        <f>-('CARTA DE CONTROL'!I215)</f>
        <v>-3</v>
      </c>
      <c r="G50" s="5" t="str">
        <f t="shared" si="1"/>
        <v>PASS</v>
      </c>
    </row>
    <row r="51" spans="1:8" ht="15.75" thickBot="1" x14ac:dyDescent="0.3">
      <c r="A51" s="1"/>
      <c r="B51" s="3">
        <f>'CARTA DE CONTROL'!R216</f>
        <v>5965</v>
      </c>
      <c r="C51" s="4">
        <f>'CARTA DE CONTROL'!AR216</f>
        <v>2.083333333333333</v>
      </c>
      <c r="D51" s="4">
        <f>'CARTA DE CONTROL'!AS216</f>
        <v>-1.5833333333333333</v>
      </c>
      <c r="E51" s="6">
        <f>'CARTA DE CONTROL'!I216</f>
        <v>3</v>
      </c>
      <c r="F51" s="7">
        <f>-('CARTA DE CONTROL'!I216)</f>
        <v>-3</v>
      </c>
      <c r="G51" s="5" t="b">
        <f t="shared" si="1"/>
        <v>0</v>
      </c>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812" t="s">
        <v>191</v>
      </c>
      <c r="C67" s="813"/>
      <c r="D67" s="813"/>
      <c r="E67" s="814"/>
    </row>
    <row r="68" spans="2:5" ht="34.5" thickBot="1" x14ac:dyDescent="0.3">
      <c r="B68" s="2" t="s">
        <v>39</v>
      </c>
      <c r="C68" s="10" t="s">
        <v>88</v>
      </c>
      <c r="D68" s="2" t="s">
        <v>90</v>
      </c>
      <c r="E68" s="21" t="s">
        <v>89</v>
      </c>
    </row>
    <row r="69" spans="2:5" ht="15.75" thickBot="1" x14ac:dyDescent="0.3">
      <c r="B69" s="3">
        <f>'CARTA DE CONTROL'!R206</f>
        <v>0</v>
      </c>
      <c r="C69" s="4">
        <f>'CARTA DE CONTROL'!AM206</f>
        <v>0</v>
      </c>
      <c r="D69" s="6">
        <f>'CARTA DE CONTROL'!K206</f>
        <v>2</v>
      </c>
      <c r="E69" s="5" t="str">
        <f>IF(C69&lt;=2,IF(C69&gt;=-2,"PASS","NO PASS"))</f>
        <v>PASS</v>
      </c>
    </row>
    <row r="70" spans="2:5" ht="15.75" thickBot="1" x14ac:dyDescent="0.3">
      <c r="B70" s="3">
        <f>'CARTA DE CONTROL'!R207</f>
        <v>49.3</v>
      </c>
      <c r="C70" s="4">
        <f>'CARTA DE CONTROL'!AM207</f>
        <v>0</v>
      </c>
      <c r="D70" s="6">
        <f>'CARTA DE CONTROL'!K207</f>
        <v>2</v>
      </c>
      <c r="E70" s="5" t="str">
        <f t="shared" ref="E70:E78" si="2">IF(C70&lt;=2,IF(C70&gt;=-2,"PASS","NO PASS"))</f>
        <v>PASS</v>
      </c>
    </row>
    <row r="71" spans="2:5" ht="15.75" thickBot="1" x14ac:dyDescent="0.3">
      <c r="B71" s="3">
        <f>'CARTA DE CONTROL'!R208</f>
        <v>246.5</v>
      </c>
      <c r="C71" s="4">
        <f>'CARTA DE CONTROL'!AM208</f>
        <v>0.06</v>
      </c>
      <c r="D71" s="6">
        <f>'CARTA DE CONTROL'!K208</f>
        <v>2</v>
      </c>
      <c r="E71" s="5" t="str">
        <f t="shared" si="2"/>
        <v>PASS</v>
      </c>
    </row>
    <row r="72" spans="2:5" ht="15.75" thickBot="1" x14ac:dyDescent="0.3">
      <c r="B72" s="3">
        <f>'CARTA DE CONTROL'!R209</f>
        <v>493</v>
      </c>
      <c r="C72" s="4">
        <f>'CARTA DE CONTROL'!AM209</f>
        <v>8.8333333333333333E-2</v>
      </c>
      <c r="D72" s="6">
        <f>'CARTA DE CONTROL'!K209</f>
        <v>2</v>
      </c>
      <c r="E72" s="5" t="str">
        <f t="shared" si="2"/>
        <v>PASS</v>
      </c>
    </row>
    <row r="73" spans="2:5" ht="15.75" thickBot="1" x14ac:dyDescent="0.3">
      <c r="B73" s="3">
        <f>'CARTA DE CONTROL'!R210</f>
        <v>986</v>
      </c>
      <c r="C73" s="4">
        <f>'CARTA DE CONTROL'!AM210</f>
        <v>7.4999999999999997E-2</v>
      </c>
      <c r="D73" s="6">
        <f>'CARTA DE CONTROL'!K210</f>
        <v>2</v>
      </c>
      <c r="E73" s="5" t="str">
        <f t="shared" si="2"/>
        <v>PASS</v>
      </c>
    </row>
    <row r="74" spans="2:5" ht="15.75" thickBot="1" x14ac:dyDescent="0.3">
      <c r="B74" s="3">
        <f>'CARTA DE CONTROL'!R211</f>
        <v>1972</v>
      </c>
      <c r="C74" s="4">
        <f>'CARTA DE CONTROL'!AM211</f>
        <v>7.0000000000000007E-2</v>
      </c>
      <c r="D74" s="6">
        <f>'CARTA DE CONTROL'!K211</f>
        <v>2</v>
      </c>
      <c r="E74" s="5" t="str">
        <f t="shared" si="2"/>
        <v>PASS</v>
      </c>
    </row>
    <row r="75" spans="2:5" ht="15.75" thickBot="1" x14ac:dyDescent="0.3">
      <c r="B75" s="3">
        <f>'CARTA DE CONTROL'!R212</f>
        <v>2958</v>
      </c>
      <c r="C75" s="4">
        <f>'CARTA DE CONTROL'!AM212</f>
        <v>0.06</v>
      </c>
      <c r="D75" s="6">
        <f>'CARTA DE CONTROL'!K212</f>
        <v>2</v>
      </c>
      <c r="E75" s="5" t="str">
        <f t="shared" si="2"/>
        <v>PASS</v>
      </c>
    </row>
    <row r="76" spans="2:5" ht="15.75" thickBot="1" x14ac:dyDescent="0.3">
      <c r="B76" s="3">
        <f>'CARTA DE CONTROL'!R213</f>
        <v>3944</v>
      </c>
      <c r="C76" s="4">
        <f>'CARTA DE CONTROL'!AM213</f>
        <v>0.1</v>
      </c>
      <c r="D76" s="6">
        <f>'CARTA DE CONTROL'!K213</f>
        <v>2</v>
      </c>
      <c r="E76" s="5" t="str">
        <f t="shared" si="2"/>
        <v>PASS</v>
      </c>
    </row>
    <row r="77" spans="2:5" ht="15.75" thickBot="1" x14ac:dyDescent="0.3">
      <c r="B77" s="3">
        <f>'CARTA DE CONTROL'!R214</f>
        <v>4930</v>
      </c>
      <c r="C77" s="4">
        <f>'CARTA DE CONTROL'!AM214</f>
        <v>0.05</v>
      </c>
      <c r="D77" s="6">
        <f>'CARTA DE CONTROL'!K214</f>
        <v>2</v>
      </c>
      <c r="E77" s="5" t="str">
        <f t="shared" si="2"/>
        <v>PASS</v>
      </c>
    </row>
    <row r="78" spans="2:5" ht="15.75" thickBot="1" x14ac:dyDescent="0.3">
      <c r="B78" s="3">
        <f>'CARTA DE CONTROL'!R215</f>
        <v>5916</v>
      </c>
      <c r="C78" s="4">
        <f>'CARTA DE CONTROL'!AM215</f>
        <v>0.1</v>
      </c>
      <c r="D78" s="6">
        <f>'CARTA DE CONTROL'!K215</f>
        <v>2</v>
      </c>
      <c r="E78" s="5" t="str">
        <f t="shared" si="2"/>
        <v>PASS</v>
      </c>
    </row>
    <row r="79" spans="2:5" ht="15.75" thickBot="1" x14ac:dyDescent="0.3">
      <c r="B79" s="3">
        <f>'CARTA DE CONTROL'!R216</f>
        <v>5965</v>
      </c>
      <c r="C79" s="4">
        <f>'CARTA DE CONTROL'!AM216</f>
        <v>4.8333333333333332E-2</v>
      </c>
      <c r="D79" s="6">
        <f>'CARTA DE CONTROL'!K216</f>
        <v>2</v>
      </c>
      <c r="E79" s="5" t="str">
        <f t="shared" ref="E79" si="3">IF(C79&lt;=2,IF(C79&gt;=-2,"PASS","NO PASS"))</f>
        <v>PASS</v>
      </c>
    </row>
    <row r="89" spans="2:7" ht="15.75" thickBot="1" x14ac:dyDescent="0.3"/>
    <row r="90" spans="2:7" ht="15.75" thickBot="1" x14ac:dyDescent="0.3">
      <c r="B90" s="812" t="s">
        <v>192</v>
      </c>
      <c r="C90" s="813"/>
      <c r="D90" s="813"/>
      <c r="E90" s="813"/>
      <c r="F90" s="813"/>
      <c r="G90" s="814"/>
    </row>
    <row r="91" spans="2:7" ht="72.75" thickBot="1" x14ac:dyDescent="0.3">
      <c r="B91" s="2" t="s">
        <v>162</v>
      </c>
      <c r="C91" s="11" t="s">
        <v>97</v>
      </c>
      <c r="D91" s="11" t="s">
        <v>98</v>
      </c>
      <c r="E91" s="22" t="s">
        <v>99</v>
      </c>
      <c r="F91" s="22" t="s">
        <v>100</v>
      </c>
      <c r="G91" s="22" t="s">
        <v>38</v>
      </c>
    </row>
    <row r="92" spans="2:7" ht="15.75" thickBot="1" x14ac:dyDescent="0.3">
      <c r="B92" s="3">
        <f>'CARTA DE CONTROL'!R217</f>
        <v>0</v>
      </c>
      <c r="C92" s="4">
        <f>'CARTA DE CONTROL'!AR217</f>
        <v>9.499999999999998E-3</v>
      </c>
      <c r="D92" s="4">
        <f>'CARTA DE CONTROL'!AS217</f>
        <v>-9.499999999999998E-3</v>
      </c>
      <c r="E92" s="6">
        <f>'CARTA DE CONTROL'!I217</f>
        <v>3</v>
      </c>
      <c r="F92" s="7">
        <f>-('CARTA DE CONTROL'!I217)</f>
        <v>-3</v>
      </c>
      <c r="G92" s="5" t="str">
        <f>IF(C92&lt;=2,IF(D92&gt;=-2,"PASS","NO PASS"))</f>
        <v>PASS</v>
      </c>
    </row>
    <row r="93" spans="2:7" ht="15.75" thickBot="1" x14ac:dyDescent="0.3">
      <c r="B93" s="3">
        <f>'CARTA DE CONTROL'!R218</f>
        <v>48.8</v>
      </c>
      <c r="C93" s="4">
        <f>'CARTA DE CONTROL'!AR218</f>
        <v>-1.1666666666666617E-2</v>
      </c>
      <c r="D93" s="4">
        <f>'CARTA DE CONTROL'!AS218</f>
        <v>-4.8333333333333291E-2</v>
      </c>
      <c r="E93" s="6">
        <f>'CARTA DE CONTROL'!I218</f>
        <v>3</v>
      </c>
      <c r="F93" s="7">
        <f>-('CARTA DE CONTROL'!I218)</f>
        <v>-3</v>
      </c>
      <c r="G93" s="5" t="str">
        <f t="shared" ref="G93:G102" si="4">IF(C93&lt;=2,IF(D93&gt;=-2,"PASS","NO PASS"))</f>
        <v>PASS</v>
      </c>
    </row>
    <row r="94" spans="2:7" ht="15.75" thickBot="1" x14ac:dyDescent="0.3">
      <c r="B94" s="3">
        <f>'CARTA DE CONTROL'!R219</f>
        <v>244.1</v>
      </c>
      <c r="C94" s="4">
        <f>'CARTA DE CONTROL'!AR219</f>
        <v>-6.6666666666666485E-2</v>
      </c>
      <c r="D94" s="4">
        <f>'CARTA DE CONTROL'!AS219</f>
        <v>-0.22333333333333316</v>
      </c>
      <c r="E94" s="6">
        <f>'CARTA DE CONTROL'!I219</f>
        <v>3</v>
      </c>
      <c r="F94" s="7">
        <f>-('CARTA DE CONTROL'!I219)</f>
        <v>-3</v>
      </c>
      <c r="G94" s="5" t="str">
        <f t="shared" si="4"/>
        <v>PASS</v>
      </c>
    </row>
    <row r="95" spans="2:7" ht="15.75" thickBot="1" x14ac:dyDescent="0.3">
      <c r="B95" s="3">
        <f>'CARTA DE CONTROL'!R220</f>
        <v>488.1</v>
      </c>
      <c r="C95" s="4">
        <f>'CARTA DE CONTROL'!AR220</f>
        <v>-1.833333333333409E-2</v>
      </c>
      <c r="D95" s="4">
        <f>'CARTA DE CONTROL'!AS220</f>
        <v>-0.30500000000000077</v>
      </c>
      <c r="E95" s="6">
        <f>'CARTA DE CONTROL'!I220</f>
        <v>3</v>
      </c>
      <c r="F95" s="7">
        <f>-('CARTA DE CONTROL'!I220)</f>
        <v>-3</v>
      </c>
      <c r="G95" s="5" t="str">
        <f t="shared" si="4"/>
        <v>PASS</v>
      </c>
    </row>
    <row r="96" spans="2:7" ht="15.75" thickBot="1" x14ac:dyDescent="0.3">
      <c r="B96" s="3">
        <f>'CARTA DE CONTROL'!R221</f>
        <v>976</v>
      </c>
      <c r="C96" s="4">
        <f>'CARTA DE CONTROL'!AR221</f>
        <v>-1.6666666666666663E-2</v>
      </c>
      <c r="D96" s="4">
        <f>'CARTA DE CONTROL'!AS221</f>
        <v>-0.55000000000000004</v>
      </c>
      <c r="E96" s="6">
        <f>'CARTA DE CONTROL'!I221</f>
        <v>3</v>
      </c>
      <c r="F96" s="7">
        <f>-('CARTA DE CONTROL'!I221)</f>
        <v>-3</v>
      </c>
      <c r="G96" s="5" t="str">
        <f t="shared" si="4"/>
        <v>PASS</v>
      </c>
    </row>
    <row r="97" spans="1:8" ht="15.75" thickBot="1" x14ac:dyDescent="0.3">
      <c r="B97" s="3">
        <f>'CARTA DE CONTROL'!R222</f>
        <v>1952</v>
      </c>
      <c r="C97" s="4">
        <f>'CARTA DE CONTROL'!AR222</f>
        <v>9.9999999999999978E-2</v>
      </c>
      <c r="D97" s="4">
        <f>'CARTA DE CONTROL'!AS222</f>
        <v>-0.96666666666666667</v>
      </c>
      <c r="E97" s="6">
        <f>'CARTA DE CONTROL'!I222</f>
        <v>3</v>
      </c>
      <c r="F97" s="7">
        <f>-('CARTA DE CONTROL'!I222)</f>
        <v>-3</v>
      </c>
      <c r="G97" s="5" t="str">
        <f t="shared" si="4"/>
        <v>PASS</v>
      </c>
    </row>
    <row r="98" spans="1:8" ht="15.75" thickBot="1" x14ac:dyDescent="0.3">
      <c r="B98" s="3">
        <f>'CARTA DE CONTROL'!R223</f>
        <v>2928</v>
      </c>
      <c r="C98" s="4">
        <f>'CARTA DE CONTROL'!AR223</f>
        <v>0.21666666666666667</v>
      </c>
      <c r="D98" s="4">
        <f>'CARTA DE CONTROL'!AS223</f>
        <v>-1.3833333333333333</v>
      </c>
      <c r="E98" s="6">
        <f>'CARTA DE CONTROL'!I223</f>
        <v>3</v>
      </c>
      <c r="F98" s="7">
        <f>-('CARTA DE CONTROL'!I223)</f>
        <v>-3</v>
      </c>
      <c r="G98" s="5" t="str">
        <f t="shared" si="4"/>
        <v>PASS</v>
      </c>
    </row>
    <row r="99" spans="1:8" ht="15.75" thickBot="1" x14ac:dyDescent="0.3">
      <c r="B99" s="3">
        <f>'CARTA DE CONTROL'!R224</f>
        <v>3904</v>
      </c>
      <c r="C99" s="4">
        <f>'CARTA DE CONTROL'!AR224</f>
        <v>0.46666666666666667</v>
      </c>
      <c r="D99" s="4">
        <f>'CARTA DE CONTROL'!AS224</f>
        <v>-1.6666666666666665</v>
      </c>
      <c r="E99" s="6">
        <f>'CARTA DE CONTROL'!I224</f>
        <v>3</v>
      </c>
      <c r="F99" s="7">
        <f>-('CARTA DE CONTROL'!I224)</f>
        <v>-3</v>
      </c>
      <c r="G99" s="5" t="str">
        <f t="shared" si="4"/>
        <v>PASS</v>
      </c>
    </row>
    <row r="100" spans="1:8" ht="15.75" thickBot="1" x14ac:dyDescent="0.3">
      <c r="A100" s="1"/>
      <c r="B100" s="3">
        <f>'CARTA DE CONTROL'!R225</f>
        <v>4881</v>
      </c>
      <c r="C100" s="4">
        <f>'CARTA DE CONTROL'!AR225</f>
        <v>1.25</v>
      </c>
      <c r="D100" s="4">
        <f>'CARTA DE CONTROL'!AS225</f>
        <v>-1.4166666666666665</v>
      </c>
      <c r="E100" s="6">
        <f>'CARTA DE CONTROL'!I225</f>
        <v>3</v>
      </c>
      <c r="F100" s="7">
        <f>-('CARTA DE CONTROL'!I225)</f>
        <v>-3</v>
      </c>
      <c r="G100" s="5" t="str">
        <f t="shared" si="4"/>
        <v>PASS</v>
      </c>
      <c r="H100" s="1"/>
    </row>
    <row r="101" spans="1:8" ht="15.75" thickBot="1" x14ac:dyDescent="0.3">
      <c r="A101" s="1"/>
      <c r="B101" s="3">
        <f>'CARTA DE CONTROL'!R226</f>
        <v>5857</v>
      </c>
      <c r="C101" s="4">
        <f>'CARTA DE CONTROL'!AR226</f>
        <v>1.3666666666666667</v>
      </c>
      <c r="D101" s="4">
        <f>'CARTA DE CONTROL'!AS226</f>
        <v>-1.8333333333333335</v>
      </c>
      <c r="E101" s="6">
        <f>'CARTA DE CONTROL'!I226</f>
        <v>3</v>
      </c>
      <c r="F101" s="7">
        <f>-('CARTA DE CONTROL'!I226)</f>
        <v>-3</v>
      </c>
      <c r="G101" s="5" t="str">
        <f t="shared" si="4"/>
        <v>PASS</v>
      </c>
    </row>
    <row r="102" spans="1:8" ht="15.75" thickBot="1" x14ac:dyDescent="0.3">
      <c r="A102" s="1"/>
      <c r="B102" s="3">
        <f>'CARTA DE CONTROL'!R227</f>
        <v>5954</v>
      </c>
      <c r="C102" s="4">
        <f>'CARTA DE CONTROL'!AR227</f>
        <v>1.3666666666666667</v>
      </c>
      <c r="D102" s="4">
        <f>'CARTA DE CONTROL'!AS227</f>
        <v>-1.9666666666666668</v>
      </c>
      <c r="E102" s="6">
        <f>'CARTA DE CONTROL'!I227</f>
        <v>3</v>
      </c>
      <c r="F102" s="7">
        <f>-('CARTA DE CONTROL'!I227)</f>
        <v>-3</v>
      </c>
      <c r="G102" s="5" t="str">
        <f t="shared" si="4"/>
        <v>PASS</v>
      </c>
    </row>
    <row r="103" spans="1:8" x14ac:dyDescent="0.25">
      <c r="A103" s="1"/>
      <c r="B103" s="1"/>
      <c r="C103" s="1"/>
      <c r="D103" s="1"/>
    </row>
    <row r="104" spans="1:8" x14ac:dyDescent="0.25">
      <c r="A104" s="1"/>
      <c r="B104" s="1"/>
      <c r="C104" s="1"/>
      <c r="D104" s="1"/>
      <c r="E104" s="1"/>
      <c r="F104" s="1"/>
      <c r="G104" s="1"/>
      <c r="H104" s="1"/>
    </row>
    <row r="105" spans="1:8" x14ac:dyDescent="0.25">
      <c r="A105" s="1"/>
      <c r="B105" s="1"/>
      <c r="C105" s="1"/>
      <c r="D105" s="1"/>
      <c r="E105" s="1"/>
      <c r="F105" s="1"/>
      <c r="G105" s="1"/>
      <c r="H105" s="1"/>
    </row>
    <row r="106" spans="1:8" x14ac:dyDescent="0.25">
      <c r="A106" s="1"/>
      <c r="B106" s="1"/>
      <c r="C106" s="1"/>
      <c r="D106" s="1"/>
      <c r="E106" s="1"/>
      <c r="F106" s="1"/>
      <c r="G106" s="1"/>
      <c r="H106" s="1"/>
    </row>
    <row r="107" spans="1:8" x14ac:dyDescent="0.25">
      <c r="A107" s="1"/>
      <c r="B107" s="1"/>
      <c r="C107" s="1"/>
      <c r="D107" s="1"/>
      <c r="E107" s="1"/>
      <c r="F107" s="1"/>
      <c r="G107" s="1"/>
      <c r="H107" s="1"/>
    </row>
    <row r="108" spans="1:8" x14ac:dyDescent="0.25">
      <c r="A108" s="1"/>
      <c r="B108" s="1"/>
      <c r="C108" s="1"/>
      <c r="D108" s="1"/>
      <c r="E108" s="1"/>
      <c r="F108" s="1"/>
      <c r="G108" s="1"/>
      <c r="H108" s="1"/>
    </row>
    <row r="109" spans="1:8" x14ac:dyDescent="0.25">
      <c r="A109" s="1"/>
      <c r="B109" s="1"/>
      <c r="C109" s="1"/>
      <c r="D109" s="1"/>
      <c r="E109" s="1"/>
      <c r="F109" s="1"/>
      <c r="G109" s="1"/>
      <c r="H109" s="1"/>
    </row>
    <row r="110" spans="1:8" x14ac:dyDescent="0.25">
      <c r="A110" s="1"/>
      <c r="B110" s="1"/>
      <c r="C110" s="1"/>
      <c r="D110" s="1"/>
      <c r="E110" s="1"/>
      <c r="F110" s="1"/>
      <c r="G110" s="1"/>
      <c r="H110" s="1"/>
    </row>
    <row r="111" spans="1:8" x14ac:dyDescent="0.25">
      <c r="A111" s="1"/>
      <c r="B111" s="1"/>
      <c r="C111" s="1"/>
      <c r="D111" s="1"/>
      <c r="E111" s="1"/>
      <c r="F111" s="1"/>
      <c r="G111" s="1"/>
      <c r="H111" s="1"/>
    </row>
    <row r="112" spans="1:8" x14ac:dyDescent="0.25">
      <c r="A112" s="1"/>
      <c r="B112" s="1"/>
      <c r="C112" s="1"/>
      <c r="D112" s="1"/>
      <c r="E112" s="1"/>
      <c r="F112" s="1"/>
      <c r="G112" s="1"/>
      <c r="H112" s="1"/>
    </row>
    <row r="113" spans="1:8" x14ac:dyDescent="0.25">
      <c r="A113" s="1"/>
      <c r="B113" s="1"/>
      <c r="C113" s="1"/>
      <c r="D113" s="1"/>
      <c r="E113" s="1"/>
      <c r="F113" s="1"/>
      <c r="G113" s="1"/>
      <c r="H113" s="1"/>
    </row>
    <row r="117" spans="1:8" ht="15.75" thickBot="1" x14ac:dyDescent="0.3"/>
    <row r="118" spans="1:8" ht="15.75" thickBot="1" x14ac:dyDescent="0.3">
      <c r="B118" s="812" t="s">
        <v>193</v>
      </c>
      <c r="C118" s="813"/>
      <c r="D118" s="813"/>
      <c r="E118" s="814"/>
    </row>
    <row r="119" spans="1:8" ht="34.5" thickBot="1" x14ac:dyDescent="0.3">
      <c r="B119" s="2" t="s">
        <v>39</v>
      </c>
      <c r="C119" s="10" t="s">
        <v>88</v>
      </c>
      <c r="D119" s="2" t="s">
        <v>90</v>
      </c>
      <c r="E119" s="21" t="s">
        <v>89</v>
      </c>
    </row>
    <row r="120" spans="1:8" ht="15.75" thickBot="1" x14ac:dyDescent="0.3">
      <c r="B120" s="3">
        <f>'CARTA DE CONTROL'!R217</f>
        <v>0</v>
      </c>
      <c r="C120" s="4">
        <f>'CARTA DE CONTROL'!AM217</f>
        <v>0</v>
      </c>
      <c r="D120" s="6">
        <f>'CARTA DE CONTROL'!K217</f>
        <v>2</v>
      </c>
      <c r="E120" s="5" t="str">
        <f>IF(C120&lt;=2,IF(C120&gt;=-2,"PASS","NO PASS"))</f>
        <v>PASS</v>
      </c>
    </row>
    <row r="121" spans="1:8" ht="15.75" thickBot="1" x14ac:dyDescent="0.3">
      <c r="B121" s="3">
        <f>'CARTA DE CONTROL'!R218</f>
        <v>48.8</v>
      </c>
      <c r="C121" s="4">
        <f>'CARTA DE CONTROL'!AM218</f>
        <v>0</v>
      </c>
      <c r="D121" s="6">
        <f>'CARTA DE CONTROL'!K218</f>
        <v>2</v>
      </c>
      <c r="E121" s="5" t="str">
        <f t="shared" ref="E121:E130" si="5">IF(C121&lt;=2,IF(C121&gt;=-2,"PASS","NO PASS"))</f>
        <v>PASS</v>
      </c>
    </row>
    <row r="122" spans="1:8" ht="15.75" thickBot="1" x14ac:dyDescent="0.3">
      <c r="B122" s="3">
        <f>'CARTA DE CONTROL'!R219</f>
        <v>244.1</v>
      </c>
      <c r="C122" s="4">
        <f>'CARTA DE CONTROL'!AM219</f>
        <v>4.3333333333333335E-2</v>
      </c>
      <c r="D122" s="6">
        <f>'CARTA DE CONTROL'!K219</f>
        <v>2</v>
      </c>
      <c r="E122" s="5" t="str">
        <f t="shared" si="5"/>
        <v>PASS</v>
      </c>
    </row>
    <row r="123" spans="1:8" ht="15.75" thickBot="1" x14ac:dyDescent="0.3">
      <c r="B123" s="3">
        <f>'CARTA DE CONTROL'!R220</f>
        <v>488.1</v>
      </c>
      <c r="C123" s="4">
        <f>'CARTA DE CONTROL'!AM220</f>
        <v>5.6666666666666664E-2</v>
      </c>
      <c r="D123" s="6">
        <f>'CARTA DE CONTROL'!K220</f>
        <v>2</v>
      </c>
      <c r="E123" s="5" t="str">
        <f t="shared" si="5"/>
        <v>PASS</v>
      </c>
    </row>
    <row r="124" spans="1:8" ht="15.75" thickBot="1" x14ac:dyDescent="0.3">
      <c r="B124" s="3">
        <f>'CARTA DE CONTROL'!R221</f>
        <v>976</v>
      </c>
      <c r="C124" s="4">
        <f>'CARTA DE CONTROL'!AM221</f>
        <v>6.3333333333333339E-2</v>
      </c>
      <c r="D124" s="6">
        <f>'CARTA DE CONTROL'!K221</f>
        <v>2</v>
      </c>
      <c r="E124" s="5" t="str">
        <f t="shared" si="5"/>
        <v>PASS</v>
      </c>
    </row>
    <row r="125" spans="1:8" ht="15.75" thickBot="1" x14ac:dyDescent="0.3">
      <c r="B125" s="3">
        <f>'CARTA DE CONTROL'!R222</f>
        <v>1952</v>
      </c>
      <c r="C125" s="4">
        <f>'CARTA DE CONTROL'!AM222</f>
        <v>8.3333333333333329E-2</v>
      </c>
      <c r="D125" s="6">
        <f>'CARTA DE CONTROL'!K222</f>
        <v>2</v>
      </c>
      <c r="E125" s="5" t="str">
        <f t="shared" si="5"/>
        <v>PASS</v>
      </c>
    </row>
    <row r="126" spans="1:8" ht="15.75" thickBot="1" x14ac:dyDescent="0.3">
      <c r="B126" s="3">
        <f>'CARTA DE CONTROL'!R223</f>
        <v>2928</v>
      </c>
      <c r="C126" s="4">
        <f>'CARTA DE CONTROL'!AM223</f>
        <v>5.1666666666666666E-2</v>
      </c>
      <c r="D126" s="6">
        <f>'CARTA DE CONTROL'!K223</f>
        <v>2</v>
      </c>
      <c r="E126" s="5" t="str">
        <f t="shared" si="5"/>
        <v>PASS</v>
      </c>
    </row>
    <row r="127" spans="1:8" ht="15.75" thickBot="1" x14ac:dyDescent="0.3">
      <c r="B127" s="3">
        <f>'CARTA DE CONTROL'!R224</f>
        <v>3904</v>
      </c>
      <c r="C127" s="4">
        <f>'CARTA DE CONTROL'!AM224</f>
        <v>5.1666666666666666E-2</v>
      </c>
      <c r="D127" s="6">
        <f>'CARTA DE CONTROL'!K224</f>
        <v>2</v>
      </c>
      <c r="E127" s="5" t="str">
        <f t="shared" si="5"/>
        <v>PASS</v>
      </c>
    </row>
    <row r="128" spans="1:8" ht="15.75" thickBot="1" x14ac:dyDescent="0.3">
      <c r="B128" s="3">
        <f>'CARTA DE CONTROL'!R225</f>
        <v>4881</v>
      </c>
      <c r="C128" s="4">
        <f>'CARTA DE CONTROL'!AM225</f>
        <v>6.6666666666666666E-2</v>
      </c>
      <c r="D128" s="6">
        <f>'CARTA DE CONTROL'!K225</f>
        <v>2</v>
      </c>
      <c r="E128" s="5" t="str">
        <f t="shared" si="5"/>
        <v>PASS</v>
      </c>
    </row>
    <row r="129" spans="2:5" ht="15.75" thickBot="1" x14ac:dyDescent="0.3">
      <c r="B129" s="3">
        <f>'CARTA DE CONTROL'!R226</f>
        <v>5857</v>
      </c>
      <c r="C129" s="4">
        <f>'CARTA DE CONTROL'!AM226</f>
        <v>3.833333333333333E-2</v>
      </c>
      <c r="D129" s="6">
        <f>'CARTA DE CONTROL'!K226</f>
        <v>2</v>
      </c>
      <c r="E129" s="5" t="str">
        <f t="shared" si="5"/>
        <v>PASS</v>
      </c>
    </row>
    <row r="130" spans="2:5" ht="15.75" thickBot="1" x14ac:dyDescent="0.3">
      <c r="B130" s="3">
        <f>'CARTA DE CONTROL'!R227</f>
        <v>5954</v>
      </c>
      <c r="C130" s="4">
        <f>'CARTA DE CONTROL'!AM227</f>
        <v>0.08</v>
      </c>
      <c r="D130" s="6">
        <f>'CARTA DE CONTROL'!K227</f>
        <v>2</v>
      </c>
      <c r="E130" s="5" t="str">
        <f t="shared" si="5"/>
        <v>PASS</v>
      </c>
    </row>
  </sheetData>
  <mergeCells count="56">
    <mergeCell ref="B118:E118"/>
    <mergeCell ref="B34:D34"/>
    <mergeCell ref="F34:G34"/>
    <mergeCell ref="B35:D35"/>
    <mergeCell ref="F35:G35"/>
    <mergeCell ref="B36:D36"/>
    <mergeCell ref="F36:G36"/>
    <mergeCell ref="B37:D37"/>
    <mergeCell ref="F37:G37"/>
    <mergeCell ref="B39:G39"/>
    <mergeCell ref="B67:E67"/>
    <mergeCell ref="B90:G90"/>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1">
    <cfRule type="cellIs" dxfId="36" priority="9" operator="lessThan">
      <formula>$F$77</formula>
    </cfRule>
    <cfRule type="cellIs" dxfId="35" priority="10" operator="lessThan">
      <formula>0.05</formula>
    </cfRule>
  </conditionalFormatting>
  <conditionalFormatting sqref="G41:G51">
    <cfRule type="cellIs" dxfId="34" priority="8" operator="between">
      <formula>$F$77</formula>
      <formula>$G$77</formula>
    </cfRule>
  </conditionalFormatting>
  <conditionalFormatting sqref="E69:E79">
    <cfRule type="cellIs" dxfId="33" priority="6" operator="lessThan">
      <formula>$H$77</formula>
    </cfRule>
    <cfRule type="cellIs" dxfId="32" priority="7" operator="lessThan">
      <formula>0.05</formula>
    </cfRule>
  </conditionalFormatting>
  <conditionalFormatting sqref="G92:G102">
    <cfRule type="cellIs" dxfId="31" priority="4" operator="lessThan">
      <formula>$F$77</formula>
    </cfRule>
    <cfRule type="cellIs" dxfId="30" priority="5" operator="lessThan">
      <formula>0.05</formula>
    </cfRule>
  </conditionalFormatting>
  <conditionalFormatting sqref="G92:G102">
    <cfRule type="cellIs" dxfId="29" priority="3" operator="between">
      <formula>$F$77</formula>
      <formula>$G$77</formula>
    </cfRule>
  </conditionalFormatting>
  <conditionalFormatting sqref="E120:E130">
    <cfRule type="cellIs" dxfId="28" priority="1" operator="lessThan">
      <formula>$H$77</formula>
    </cfRule>
    <cfRule type="cellIs" dxfId="27" priority="2" operator="lessThan">
      <formula>0.05</formula>
    </cfRule>
  </conditionalFormatting>
  <pageMargins left="0.7" right="0.7" top="0.75" bottom="0.75" header="0.3" footer="0.3"/>
  <pageSetup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34" workbookViewId="0">
      <selection activeCell="E42" sqref="E42"/>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04"/>
      <c r="C2" s="404"/>
      <c r="D2" s="404"/>
      <c r="E2" s="212"/>
      <c r="F2" s="404"/>
      <c r="G2" s="404"/>
      <c r="H2" s="404"/>
    </row>
    <row r="3" spans="1:11" ht="15" customHeight="1" x14ac:dyDescent="0.25">
      <c r="B3" s="404"/>
      <c r="C3" s="404"/>
      <c r="D3" s="404"/>
      <c r="E3" s="212"/>
      <c r="F3" s="404"/>
      <c r="G3" s="404"/>
      <c r="H3" s="404"/>
    </row>
    <row r="4" spans="1:11" ht="15" customHeight="1" x14ac:dyDescent="0.25">
      <c r="B4" s="404"/>
      <c r="C4" s="404"/>
      <c r="D4" s="404"/>
      <c r="E4" s="212"/>
      <c r="F4" s="404"/>
      <c r="G4" s="404"/>
      <c r="H4" s="404"/>
    </row>
    <row r="5" spans="1:11" ht="15" customHeight="1" x14ac:dyDescent="0.25">
      <c r="B5" s="404"/>
      <c r="C5" s="404"/>
      <c r="D5" s="404"/>
      <c r="E5" s="212"/>
      <c r="F5" s="404"/>
      <c r="G5" s="404"/>
      <c r="H5" s="404"/>
    </row>
    <row r="6" spans="1:11" ht="15" customHeight="1" x14ac:dyDescent="0.25">
      <c r="B6" s="404"/>
      <c r="C6" s="404"/>
      <c r="D6" s="404"/>
      <c r="E6" s="212"/>
      <c r="F6" s="404"/>
      <c r="G6" s="404"/>
      <c r="H6" s="404"/>
    </row>
    <row r="7" spans="1:11" x14ac:dyDescent="0.25">
      <c r="B7" s="224" t="s">
        <v>155</v>
      </c>
      <c r="C7" s="831" t="str">
        <f>'CARTA DE CONTROL'!B228</f>
        <v>OPACIDAD</v>
      </c>
      <c r="D7" s="832"/>
      <c r="E7" s="833"/>
    </row>
    <row r="8" spans="1:11" x14ac:dyDescent="0.25">
      <c r="B8" s="224" t="s">
        <v>156</v>
      </c>
      <c r="C8" s="831" t="str">
        <f>'CARTA DE CONTROL'!D228</f>
        <v>SENSORS</v>
      </c>
      <c r="D8" s="832"/>
      <c r="E8" s="833"/>
    </row>
    <row r="9" spans="1:11" x14ac:dyDescent="0.25">
      <c r="B9" s="224" t="s">
        <v>157</v>
      </c>
      <c r="C9" s="831" t="str">
        <f>'CARTA DE CONTROL'!E228</f>
        <v>LCS 2400</v>
      </c>
      <c r="D9" s="832"/>
      <c r="E9" s="833"/>
    </row>
    <row r="10" spans="1:11" x14ac:dyDescent="0.25">
      <c r="B10" s="224" t="s">
        <v>158</v>
      </c>
      <c r="C10" s="847" t="str">
        <f>'CARTA DE CONTROL'!F228</f>
        <v>C17137643</v>
      </c>
      <c r="D10" s="848"/>
      <c r="E10" s="849"/>
    </row>
    <row r="11" spans="1:11" ht="15" customHeight="1" thickBot="1" x14ac:dyDescent="0.3">
      <c r="B11" s="404"/>
      <c r="C11" s="404"/>
      <c r="D11" s="404"/>
      <c r="E11" s="212"/>
      <c r="F11" s="404"/>
      <c r="G11" s="404"/>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06" t="s">
        <v>128</v>
      </c>
      <c r="F13" s="843" t="s">
        <v>129</v>
      </c>
      <c r="G13" s="844"/>
      <c r="H13" s="203"/>
      <c r="I13" s="203"/>
      <c r="J13" s="203"/>
      <c r="K13" s="203"/>
    </row>
    <row r="14" spans="1:11" s="1" customFormat="1" ht="35.25" customHeight="1" x14ac:dyDescent="0.2">
      <c r="A14" s="206">
        <v>1</v>
      </c>
      <c r="B14" s="822" t="s">
        <v>130</v>
      </c>
      <c r="C14" s="822"/>
      <c r="D14" s="822"/>
      <c r="E14" s="405" t="s">
        <v>131</v>
      </c>
      <c r="F14" s="823"/>
      <c r="G14" s="824"/>
      <c r="H14" s="204"/>
      <c r="I14" s="204"/>
      <c r="J14" s="204"/>
      <c r="K14" s="204"/>
    </row>
    <row r="15" spans="1:11" s="1" customFormat="1" ht="35.25" customHeight="1" x14ac:dyDescent="0.2">
      <c r="A15" s="206">
        <v>2</v>
      </c>
      <c r="B15" s="822" t="s">
        <v>132</v>
      </c>
      <c r="C15" s="822"/>
      <c r="D15" s="822"/>
      <c r="E15" s="405" t="s">
        <v>131</v>
      </c>
      <c r="F15" s="823"/>
      <c r="G15" s="824"/>
    </row>
    <row r="16" spans="1:11" s="1" customFormat="1" ht="35.25" customHeight="1" x14ac:dyDescent="0.2">
      <c r="A16" s="206">
        <v>3</v>
      </c>
      <c r="B16" s="822" t="s">
        <v>133</v>
      </c>
      <c r="C16" s="822"/>
      <c r="D16" s="822"/>
      <c r="E16" s="405" t="s">
        <v>131</v>
      </c>
      <c r="F16" s="823"/>
      <c r="G16" s="824"/>
    </row>
    <row r="17" spans="1:11" s="1" customFormat="1" ht="35.25" customHeight="1" x14ac:dyDescent="0.2">
      <c r="A17" s="206">
        <v>4</v>
      </c>
      <c r="B17" s="822" t="s">
        <v>134</v>
      </c>
      <c r="C17" s="822"/>
      <c r="D17" s="822"/>
      <c r="E17" s="405" t="s">
        <v>131</v>
      </c>
      <c r="F17" s="845"/>
      <c r="G17" s="846"/>
    </row>
    <row r="18" spans="1:11" s="1" customFormat="1" ht="35.25" customHeight="1" x14ac:dyDescent="0.2">
      <c r="A18" s="206">
        <v>5</v>
      </c>
      <c r="B18" s="822" t="s">
        <v>135</v>
      </c>
      <c r="C18" s="822"/>
      <c r="D18" s="822"/>
      <c r="E18" s="405" t="s">
        <v>131</v>
      </c>
      <c r="F18" s="823"/>
      <c r="G18" s="824"/>
    </row>
    <row r="19" spans="1:11" s="1" customFormat="1" ht="35.25" customHeight="1" x14ac:dyDescent="0.2">
      <c r="A19" s="206">
        <v>6</v>
      </c>
      <c r="B19" s="822" t="s">
        <v>136</v>
      </c>
      <c r="C19" s="822"/>
      <c r="D19" s="822"/>
      <c r="E19" s="405" t="s">
        <v>131</v>
      </c>
      <c r="F19" s="823"/>
      <c r="G19" s="824"/>
    </row>
    <row r="20" spans="1:11" s="1" customFormat="1" ht="35.25" customHeight="1" x14ac:dyDescent="0.2">
      <c r="A20" s="206">
        <v>7</v>
      </c>
      <c r="B20" s="822" t="s">
        <v>137</v>
      </c>
      <c r="C20" s="822"/>
      <c r="D20" s="822"/>
      <c r="E20" s="405" t="s">
        <v>131</v>
      </c>
      <c r="F20" s="823"/>
      <c r="G20" s="824"/>
    </row>
    <row r="21" spans="1:11" s="1" customFormat="1" ht="35.25" customHeight="1" x14ac:dyDescent="0.2">
      <c r="A21" s="206">
        <v>8</v>
      </c>
      <c r="B21" s="822" t="s">
        <v>138</v>
      </c>
      <c r="C21" s="822"/>
      <c r="D21" s="822"/>
      <c r="E21" s="405" t="s">
        <v>131</v>
      </c>
      <c r="F21" s="823"/>
      <c r="G21" s="824"/>
    </row>
    <row r="22" spans="1:11" s="1" customFormat="1" ht="35.25" customHeight="1" x14ac:dyDescent="0.2">
      <c r="A22" s="206">
        <v>9</v>
      </c>
      <c r="B22" s="822" t="s">
        <v>139</v>
      </c>
      <c r="C22" s="822"/>
      <c r="D22" s="822"/>
      <c r="E22" s="405" t="s">
        <v>131</v>
      </c>
      <c r="F22" s="823"/>
      <c r="G22" s="824"/>
    </row>
    <row r="23" spans="1:11" s="1" customFormat="1" ht="35.25" customHeight="1" x14ac:dyDescent="0.2">
      <c r="A23" s="206">
        <v>10</v>
      </c>
      <c r="B23" s="822" t="s">
        <v>140</v>
      </c>
      <c r="C23" s="822"/>
      <c r="D23" s="822"/>
      <c r="E23" s="405" t="s">
        <v>131</v>
      </c>
      <c r="F23" s="823"/>
      <c r="G23" s="824"/>
    </row>
    <row r="24" spans="1:11" s="1" customFormat="1" ht="35.25" customHeight="1" x14ac:dyDescent="0.2">
      <c r="A24" s="206">
        <v>11</v>
      </c>
      <c r="B24" s="822" t="s">
        <v>141</v>
      </c>
      <c r="C24" s="822"/>
      <c r="D24" s="822"/>
      <c r="E24" s="40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05" t="s">
        <v>131</v>
      </c>
      <c r="F26" s="823"/>
      <c r="G26" s="824"/>
    </row>
    <row r="27" spans="1:11" s="1" customFormat="1" ht="35.25" customHeight="1" x14ac:dyDescent="0.2">
      <c r="A27" s="206">
        <v>14</v>
      </c>
      <c r="B27" s="822" t="s">
        <v>144</v>
      </c>
      <c r="C27" s="822"/>
      <c r="D27" s="822"/>
      <c r="E27" s="405" t="s">
        <v>131</v>
      </c>
      <c r="F27" s="823"/>
      <c r="G27" s="824"/>
    </row>
    <row r="28" spans="1:11" s="1" customFormat="1" ht="54.75" customHeight="1" thickBot="1" x14ac:dyDescent="0.25">
      <c r="A28" s="208">
        <v>15</v>
      </c>
      <c r="B28" s="825" t="s">
        <v>145</v>
      </c>
      <c r="C28" s="825"/>
      <c r="D28" s="825"/>
      <c r="E28" s="407"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0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CONTROL'!R228</f>
        <v>0</v>
      </c>
      <c r="C40" s="4">
        <f>'CARTA DE CONTROL'!AR228</f>
        <v>0.69</v>
      </c>
      <c r="D40" s="4">
        <f>'CARTA DE CONTROL'!AS228</f>
        <v>-0.69</v>
      </c>
      <c r="E40" s="6">
        <f>'CARTA DE CONTROL'!I228</f>
        <v>1</v>
      </c>
      <c r="F40" s="7">
        <f>-('CARTA DE CONTROL'!I228)</f>
        <v>-1</v>
      </c>
      <c r="G40" s="5" t="str">
        <f>IF(C40&lt;=5,IF(D40&gt;=-5,"PASS","NO PASS"))</f>
        <v>PASS</v>
      </c>
    </row>
    <row r="41" spans="1:8" ht="15.75" thickBot="1" x14ac:dyDescent="0.3">
      <c r="B41" s="3">
        <f>'CARTA DE CONTROL'!R229</f>
        <v>36.29</v>
      </c>
      <c r="C41" s="4">
        <f>'CARTA DE CONTROL'!AR229</f>
        <v>0.87999999999999945</v>
      </c>
      <c r="D41" s="4">
        <f>'CARTA DE CONTROL'!AS229</f>
        <v>-0.66000000000000059</v>
      </c>
      <c r="E41" s="6">
        <f>'CARTA DE CONTROL'!I229</f>
        <v>2</v>
      </c>
      <c r="F41" s="7">
        <f>-('CARTA DE CONTROL'!I229)</f>
        <v>-2</v>
      </c>
      <c r="G41" s="5" t="str">
        <f t="shared" ref="G41:G43" si="0">IF(C41&lt;=5,IF(D41&gt;=-5,"PASS","NO PASS"))</f>
        <v>PASS</v>
      </c>
    </row>
    <row r="42" spans="1:8" ht="15.75" thickBot="1" x14ac:dyDescent="0.3">
      <c r="B42" s="3">
        <f>'CARTA DE CONTROL'!R230</f>
        <v>74.069999999999993</v>
      </c>
      <c r="C42" s="4">
        <f>'CARTA DE CONTROL'!AR230</f>
        <v>0.500000000000004</v>
      </c>
      <c r="D42" s="4">
        <f>'CARTA DE CONTROL'!AS230</f>
        <v>-1.039999999999996</v>
      </c>
      <c r="E42" s="6">
        <f>'CARTA DE CONTROL'!I230</f>
        <v>2</v>
      </c>
      <c r="F42" s="7">
        <f>-('CARTA DE CONTROL'!I230)</f>
        <v>-2</v>
      </c>
      <c r="G42" s="5" t="str">
        <f t="shared" si="0"/>
        <v>PASS</v>
      </c>
    </row>
    <row r="43" spans="1:8" ht="15.75" thickBot="1" x14ac:dyDescent="0.3">
      <c r="A43" s="1"/>
      <c r="B43" s="3">
        <f>'CARTA DE CONTROL'!R231</f>
        <v>99.67</v>
      </c>
      <c r="C43" s="4">
        <f>'CARTA DE CONTROL'!AR231</f>
        <v>0.93999999999999828</v>
      </c>
      <c r="D43" s="4">
        <f>'CARTA DE CONTROL'!AS231</f>
        <v>-0.28000000000000169</v>
      </c>
      <c r="E43" s="6">
        <f>'CARTA DE CONTROL'!I231</f>
        <v>1</v>
      </c>
      <c r="F43" s="7">
        <f>-('CARTA DE CONTROL'!I231)</f>
        <v>-1</v>
      </c>
      <c r="G43" s="5" t="str">
        <f t="shared" si="0"/>
        <v>PASS</v>
      </c>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26" priority="5" operator="lessThan">
      <formula>$F$70</formula>
    </cfRule>
    <cfRule type="cellIs" dxfId="25" priority="6" operator="lessThan">
      <formula>0.05</formula>
    </cfRule>
  </conditionalFormatting>
  <conditionalFormatting sqref="G40">
    <cfRule type="cellIs" dxfId="24" priority="4" operator="between">
      <formula>$F$70</formula>
      <formula>$G$70</formula>
    </cfRule>
  </conditionalFormatting>
  <conditionalFormatting sqref="G41:G43">
    <cfRule type="cellIs" dxfId="23" priority="2" operator="lessThan">
      <formula>$F$70</formula>
    </cfRule>
    <cfRule type="cellIs" dxfId="22" priority="3" operator="lessThan">
      <formula>0.05</formula>
    </cfRule>
  </conditionalFormatting>
  <conditionalFormatting sqref="G41:G43">
    <cfRule type="cellIs" dxfId="21" priority="1" operator="between">
      <formula>$F$70</formula>
      <formula>$G$70</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opLeftCell="A22" zoomScale="85" zoomScaleNormal="85" workbookViewId="0">
      <selection activeCell="B42" sqref="B42"/>
    </sheetView>
  </sheetViews>
  <sheetFormatPr baseColWidth="10" defaultRowHeight="15" x14ac:dyDescent="0.25"/>
  <cols>
    <col min="1" max="1" width="6.140625" customWidth="1"/>
    <col min="2" max="2" width="22.85546875" customWidth="1"/>
    <col min="3" max="3" width="21.7109375" customWidth="1"/>
    <col min="4" max="4" width="21" customWidth="1"/>
    <col min="5" max="5" width="22.7109375" customWidth="1"/>
    <col min="6" max="7" width="13" customWidth="1"/>
    <col min="8" max="8" width="13.8554687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CONTROL'!B232</f>
        <v>LUXOMETRO</v>
      </c>
      <c r="D7" s="832"/>
      <c r="E7" s="833"/>
    </row>
    <row r="8" spans="1:11" x14ac:dyDescent="0.25">
      <c r="B8" s="224" t="s">
        <v>156</v>
      </c>
      <c r="C8" s="831" t="str">
        <f>'CARTA DE CONTROL'!D232</f>
        <v>TECNIMAQ</v>
      </c>
      <c r="D8" s="832"/>
      <c r="E8" s="833"/>
    </row>
    <row r="9" spans="1:11" x14ac:dyDescent="0.25">
      <c r="B9" s="224" t="s">
        <v>157</v>
      </c>
      <c r="C9" s="831" t="str">
        <f>'CARTA DE CONTROL'!E232</f>
        <v>TMI-LUX</v>
      </c>
      <c r="D9" s="832"/>
      <c r="E9" s="833"/>
    </row>
    <row r="10" spans="1:11" x14ac:dyDescent="0.25">
      <c r="B10" s="224" t="s">
        <v>158</v>
      </c>
      <c r="C10" s="847" t="str">
        <f>'CARTA DE CONTROL'!F232</f>
        <v>TMI-LUX-0049</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9" spans="1:8" ht="15.75" thickBot="1" x14ac:dyDescent="0.3"/>
    <row r="40" spans="1:8" ht="72.75" thickBot="1" x14ac:dyDescent="0.3">
      <c r="B40" s="2" t="s">
        <v>96</v>
      </c>
      <c r="C40" s="11" t="s">
        <v>97</v>
      </c>
      <c r="D40" s="11" t="s">
        <v>98</v>
      </c>
      <c r="E40" s="22" t="s">
        <v>99</v>
      </c>
      <c r="F40" s="22" t="s">
        <v>100</v>
      </c>
      <c r="G40" s="22" t="s">
        <v>38</v>
      </c>
    </row>
    <row r="41" spans="1:8" ht="15.75" thickBot="1" x14ac:dyDescent="0.3">
      <c r="B41" s="326">
        <f>'CARTA DE CONTROL'!R232</f>
        <v>0</v>
      </c>
      <c r="C41" s="4">
        <f>'CARTA DE CONTROL'!AR232</f>
        <v>5.7000000000000002E-2</v>
      </c>
      <c r="D41" s="4">
        <f>'CARTA DE CONTROL'!AS232</f>
        <v>-5.7000000000000002E-2</v>
      </c>
      <c r="E41" s="6">
        <f>'CARTA DE CONTROL'!I232</f>
        <v>10</v>
      </c>
      <c r="F41" s="7">
        <f>-('CARTA DE CONTROL'!I232)</f>
        <v>-10</v>
      </c>
      <c r="G41" s="5" t="str">
        <f>IF(C41&lt;=10,IF(D41&gt;=-10,"PASS","NO PASS"))</f>
        <v>PASS</v>
      </c>
    </row>
    <row r="42" spans="1:8" ht="15.75" thickBot="1" x14ac:dyDescent="0.3">
      <c r="B42" s="20">
        <f>'CARTA DE CONTROL'!R233</f>
        <v>2.5</v>
      </c>
      <c r="C42" s="4">
        <f>'CARTA DE CONTROL'!AR233</f>
        <v>5.6000000000000005</v>
      </c>
      <c r="D42" s="4">
        <f>'CARTA DE CONTROL'!AS233</f>
        <v>-5.6000000000000005</v>
      </c>
      <c r="E42" s="6">
        <f>'CARTA DE CONTROL'!I233</f>
        <v>10</v>
      </c>
      <c r="F42" s="7">
        <f>-('CARTA DE CONTROL'!I233)</f>
        <v>-10</v>
      </c>
      <c r="G42" s="5" t="str">
        <f t="shared" ref="G42:G45" si="0">IF(C42&lt;=10,IF(D42&gt;=-10,"PASS","NO PASS"))</f>
        <v>PASS</v>
      </c>
    </row>
    <row r="43" spans="1:8" ht="15.75" thickBot="1" x14ac:dyDescent="0.3">
      <c r="B43" s="326">
        <f>'CARTA DE CONTROL'!R234</f>
        <v>10</v>
      </c>
      <c r="C43" s="4">
        <f>'CARTA DE CONTROL'!AR234</f>
        <v>4.5999999999999996</v>
      </c>
      <c r="D43" s="4">
        <f>'CARTA DE CONTROL'!AS234</f>
        <v>-3.5000000000000036</v>
      </c>
      <c r="E43" s="6">
        <f>'CARTA DE CONTROL'!I234</f>
        <v>10</v>
      </c>
      <c r="F43" s="7">
        <f>-('CARTA DE CONTROL'!I234)</f>
        <v>-10</v>
      </c>
      <c r="G43" s="5" t="str">
        <f t="shared" si="0"/>
        <v>PASS</v>
      </c>
    </row>
    <row r="44" spans="1:8" ht="15.75" thickBot="1" x14ac:dyDescent="0.3">
      <c r="B44" s="326">
        <f>'CARTA DE CONTROL'!R235</f>
        <v>26</v>
      </c>
      <c r="C44" s="4">
        <f>'CARTA DE CONTROL'!AR235</f>
        <v>0.56153846153846299</v>
      </c>
      <c r="D44" s="4">
        <f>'CARTA DE CONTROL'!AS235</f>
        <v>-7.6923076923071487E-2</v>
      </c>
      <c r="E44" s="6">
        <f>'CARTA DE CONTROL'!I235</f>
        <v>10</v>
      </c>
      <c r="F44" s="7">
        <f>-('CARTA DE CONTROL'!I235)</f>
        <v>-10</v>
      </c>
      <c r="G44" s="5" t="str">
        <f t="shared" si="0"/>
        <v>PASS</v>
      </c>
    </row>
    <row r="45" spans="1:8" ht="15.75" thickBot="1" x14ac:dyDescent="0.3">
      <c r="B45" s="326">
        <f>'CARTA DE CONTROL'!R236</f>
        <v>0</v>
      </c>
      <c r="C45" s="4">
        <f>'CARTA DE CONTROL'!AR236</f>
        <v>5.7000000000000002E-2</v>
      </c>
      <c r="D45" s="4">
        <f>'CARTA DE CONTROL'!AS236</f>
        <v>-5.7000000000000002E-2</v>
      </c>
      <c r="E45" s="6">
        <f>'CARTA DE CONTROL'!I236</f>
        <v>10</v>
      </c>
      <c r="F45" s="7">
        <f>-('CARTA DE CONTROL'!I236)</f>
        <v>-10</v>
      </c>
      <c r="G45" s="5" t="str">
        <f t="shared" si="0"/>
        <v>PASS</v>
      </c>
    </row>
    <row r="46" spans="1:8" ht="15.75" thickBot="1" x14ac:dyDescent="0.3">
      <c r="B46" s="326">
        <f>'CARTA DE CONTROL'!R237</f>
        <v>56</v>
      </c>
      <c r="C46" s="4">
        <f>'CARTA DE CONTROL'!AR237</f>
        <v>5.6857142857142842</v>
      </c>
      <c r="D46" s="4">
        <f>'CARTA DE CONTROL'!AS237</f>
        <v>-1.7857142857142883</v>
      </c>
      <c r="E46" s="6">
        <f>'CARTA DE CONTROL'!I237</f>
        <v>10</v>
      </c>
      <c r="F46" s="7">
        <f>-('CARTA DE CONTROL'!I237)</f>
        <v>-10</v>
      </c>
      <c r="G46" s="5" t="str">
        <f t="shared" ref="G46:G47" si="1">IF(C46&lt;=10,IF(D46&gt;=-10,"PASS","NO PASS"))</f>
        <v>PASS</v>
      </c>
    </row>
    <row r="47" spans="1:8" ht="15.75" thickBot="1" x14ac:dyDescent="0.3">
      <c r="B47" s="326">
        <f>'CARTA DE CONTROL'!R238</f>
        <v>90</v>
      </c>
      <c r="C47" s="4">
        <f>'CARTA DE CONTROL'!AR238</f>
        <v>5.2222222222222223</v>
      </c>
      <c r="D47" s="4">
        <f>'CARTA DE CONTROL'!AS238</f>
        <v>-3.1111111111111112</v>
      </c>
      <c r="E47" s="6">
        <f>'CARTA DE CONTROL'!I238</f>
        <v>10</v>
      </c>
      <c r="F47" s="7">
        <f>-('CARTA DE CONTROL'!I238)</f>
        <v>-10</v>
      </c>
      <c r="G47" s="5" t="str">
        <f t="shared" si="1"/>
        <v>PASS</v>
      </c>
    </row>
    <row r="48" spans="1:8" x14ac:dyDescent="0.25">
      <c r="A48" s="1"/>
      <c r="B48" s="1"/>
      <c r="C48" s="1"/>
      <c r="D48" s="1"/>
      <c r="E48" s="1"/>
      <c r="F48" s="1"/>
      <c r="G48" s="1"/>
      <c r="H48" s="1"/>
    </row>
    <row r="49" spans="1:8" x14ac:dyDescent="0.25">
      <c r="A49" s="1"/>
      <c r="B49" s="1"/>
      <c r="C49" s="1"/>
      <c r="D49" s="1"/>
    </row>
    <row r="50" spans="1:8" x14ac:dyDescent="0.25">
      <c r="A50" s="1"/>
      <c r="B50" s="1"/>
      <c r="C50" s="1"/>
      <c r="D50" s="1"/>
    </row>
    <row r="51" spans="1:8" x14ac:dyDescent="0.25">
      <c r="A51" s="1"/>
      <c r="B51" s="1"/>
      <c r="C51" s="1"/>
      <c r="D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47">
    <cfRule type="cellIs" dxfId="20" priority="11" operator="lessThan">
      <formula>$F$75</formula>
    </cfRule>
    <cfRule type="cellIs" dxfId="19" priority="12" operator="lessThan">
      <formula>0.05</formula>
    </cfRule>
  </conditionalFormatting>
  <conditionalFormatting sqref="G41:G47">
    <cfRule type="cellIs" dxfId="18" priority="10" operator="between">
      <formula>$F$75</formula>
      <formula>$G$75</formula>
    </cfRule>
  </conditionalFormatting>
  <pageMargins left="0.7" right="0.7" top="0.75" bottom="0.75" header="0.3" footer="0.3"/>
  <pageSetup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76" workbookViewId="0">
      <selection activeCell="B52" sqref="B52"/>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7" max="7" width="12.5703125" customWidth="1"/>
    <col min="8" max="8" width="12.710937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CONTROL'!B232</f>
        <v>LUXOMETRO</v>
      </c>
      <c r="D7" s="832"/>
      <c r="E7" s="833"/>
    </row>
    <row r="8" spans="1:11" x14ac:dyDescent="0.25">
      <c r="B8" s="224" t="s">
        <v>156</v>
      </c>
      <c r="C8" s="831" t="str">
        <f>'CARTA DE CONTROL'!D232</f>
        <v>TECNIMAQ</v>
      </c>
      <c r="D8" s="832"/>
      <c r="E8" s="833"/>
    </row>
    <row r="9" spans="1:11" x14ac:dyDescent="0.25">
      <c r="B9" s="224" t="s">
        <v>157</v>
      </c>
      <c r="C9" s="831" t="str">
        <f>'CARTA DE CONTROL'!E232</f>
        <v>TMI-LUX</v>
      </c>
      <c r="D9" s="832"/>
      <c r="E9" s="833"/>
    </row>
    <row r="10" spans="1:11" x14ac:dyDescent="0.25">
      <c r="B10" s="224" t="s">
        <v>158</v>
      </c>
      <c r="C10" s="847" t="str">
        <f>'CARTA DE CONTROL'!F232</f>
        <v>TMI-LUX-0049</v>
      </c>
      <c r="D10" s="848"/>
      <c r="E10" s="849"/>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9" spans="1:7" ht="15.75" thickBot="1" x14ac:dyDescent="0.3"/>
    <row r="40" spans="1:7" ht="72.75" thickBot="1" x14ac:dyDescent="0.3">
      <c r="B40" s="2" t="s">
        <v>96</v>
      </c>
      <c r="C40" s="11" t="s">
        <v>97</v>
      </c>
      <c r="D40" s="11" t="s">
        <v>98</v>
      </c>
      <c r="E40" s="22" t="s">
        <v>99</v>
      </c>
      <c r="F40" s="22" t="s">
        <v>100</v>
      </c>
      <c r="G40" s="22" t="s">
        <v>38</v>
      </c>
    </row>
    <row r="41" spans="1:7" ht="15.75" thickBot="1" x14ac:dyDescent="0.3">
      <c r="B41" s="20">
        <f>'CARTA DE CONTROL'!R239</f>
        <v>0</v>
      </c>
      <c r="C41" s="4">
        <f>'CARTA DE CONTROL'!AR239</f>
        <v>5.8000000000000003E-2</v>
      </c>
      <c r="D41" s="4">
        <f>'CARTA DE CONTROL'!AS239</f>
        <v>-5.8000000000000003E-2</v>
      </c>
      <c r="E41" s="6">
        <f>'CARTA DE CONTROL'!I239</f>
        <v>10</v>
      </c>
      <c r="F41" s="7">
        <f>-('CARTA DE CONTROL'!I239)</f>
        <v>-10</v>
      </c>
      <c r="G41" s="5" t="str">
        <f>IF(C41&lt;=10,IF(D41&gt;=-10,"PASS","NO PASS"))</f>
        <v>PASS</v>
      </c>
    </row>
    <row r="42" spans="1:7" ht="15.75" thickBot="1" x14ac:dyDescent="0.3">
      <c r="B42" s="20">
        <f>'CARTA DE CONTROL'!R240</f>
        <v>1.002</v>
      </c>
      <c r="C42" s="4">
        <f>'CARTA DE CONTROL'!AR240</f>
        <v>-0.14160079840319378</v>
      </c>
      <c r="D42" s="4">
        <f>'CARTA DE CONTROL'!AS240</f>
        <v>-0.25760079840319378</v>
      </c>
      <c r="E42" s="6">
        <f>'CARTA DE CONTROL'!I240</f>
        <v>10</v>
      </c>
      <c r="F42" s="7">
        <f>-('CARTA DE CONTROL'!I240)</f>
        <v>-10</v>
      </c>
      <c r="G42" s="5" t="str">
        <f t="shared" ref="G42:G44" si="0">IF(C42&lt;=10,IF(D42&gt;=-10,"PASS","NO PASS"))</f>
        <v>PASS</v>
      </c>
    </row>
    <row r="43" spans="1:7" ht="15.75" thickBot="1" x14ac:dyDescent="0.3">
      <c r="B43" s="20">
        <f>'CARTA DE CONTROL'!R241</f>
        <v>2.0070000000000001</v>
      </c>
      <c r="C43" s="4">
        <f>'CARTA DE CONTROL'!AR241</f>
        <v>-0.29077927254609454</v>
      </c>
      <c r="D43" s="4">
        <f>'CARTA DE CONTROL'!AS241</f>
        <v>-0.40677927254609453</v>
      </c>
      <c r="E43" s="6">
        <f>'CARTA DE CONTROL'!I241</f>
        <v>10</v>
      </c>
      <c r="F43" s="7">
        <f>-('CARTA DE CONTROL'!I241)</f>
        <v>-10</v>
      </c>
      <c r="G43" s="5" t="str">
        <f t="shared" si="0"/>
        <v>PASS</v>
      </c>
    </row>
    <row r="44" spans="1:7" ht="15.75" thickBot="1" x14ac:dyDescent="0.3">
      <c r="B44" s="20">
        <f>'CARTA DE CONTROL'!R242</f>
        <v>3.0089999999999999</v>
      </c>
      <c r="C44" s="4">
        <f>'CARTA DE CONTROL'!AR242</f>
        <v>-0.2411026919242239</v>
      </c>
      <c r="D44" s="4">
        <f>'CARTA DE CONTROL'!AS242</f>
        <v>-0.35710269192422389</v>
      </c>
      <c r="E44" s="6">
        <f>'CARTA DE CONTROL'!I242</f>
        <v>10</v>
      </c>
      <c r="F44" s="7">
        <f>-('CARTA DE CONTROL'!I242)</f>
        <v>-10</v>
      </c>
      <c r="G44" s="5" t="str">
        <f t="shared" si="0"/>
        <v>PASS</v>
      </c>
    </row>
    <row r="45" spans="1:7" ht="15.75" thickBot="1" x14ac:dyDescent="0.3">
      <c r="B45" s="20">
        <f>'CARTA DE CONTROL'!R243</f>
        <v>4.0129999999999999</v>
      </c>
      <c r="C45" s="4">
        <f>'CARTA DE CONTROL'!AR243</f>
        <v>-0.26494717169199855</v>
      </c>
      <c r="D45" s="4">
        <f>'CARTA DE CONTROL'!AS243</f>
        <v>-0.38294717169199854</v>
      </c>
      <c r="E45" s="6">
        <f>'CARTA DE CONTROL'!I243</f>
        <v>10</v>
      </c>
      <c r="F45" s="7">
        <f>-('CARTA DE CONTROL'!I243)</f>
        <v>-10</v>
      </c>
      <c r="G45" s="5" t="str">
        <f t="shared" ref="G45:G52" si="1">IF(C45&lt;=10,IF(D45&gt;=-10,"PASS","NO PASS"))</f>
        <v>PASS</v>
      </c>
    </row>
    <row r="46" spans="1:7" ht="15.75" thickBot="1" x14ac:dyDescent="0.3">
      <c r="B46" s="20">
        <f>'CARTA DE CONTROL'!R244</f>
        <v>6.0270000000000001</v>
      </c>
      <c r="C46" s="4">
        <f>'CARTA DE CONTROL'!AR244</f>
        <v>-0.38498407167745369</v>
      </c>
      <c r="D46" s="4">
        <f>'CARTA DE CONTROL'!AS244</f>
        <v>-0.51098407167745363</v>
      </c>
      <c r="E46" s="6">
        <f>'CARTA DE CONTROL'!I244</f>
        <v>10</v>
      </c>
      <c r="F46" s="7">
        <f>-('CARTA DE CONTROL'!I244)</f>
        <v>-10</v>
      </c>
      <c r="G46" s="5" t="str">
        <f t="shared" si="1"/>
        <v>PASS</v>
      </c>
    </row>
    <row r="47" spans="1:7" ht="15.75" thickBot="1" x14ac:dyDescent="0.3">
      <c r="B47" s="20">
        <f>'CARTA DE CONTROL'!R245</f>
        <v>0</v>
      </c>
      <c r="C47" s="4">
        <f>'CARTA DE CONTROL'!AR245</f>
        <v>5.8000000000000003E-2</v>
      </c>
      <c r="D47" s="4">
        <f>'CARTA DE CONTROL'!AS245</f>
        <v>-5.8000000000000003E-2</v>
      </c>
      <c r="E47" s="6">
        <f>'CARTA DE CONTROL'!I245</f>
        <v>10</v>
      </c>
      <c r="F47" s="7">
        <f>-('CARTA DE CONTROL'!I245)</f>
        <v>-10</v>
      </c>
      <c r="G47" s="5" t="str">
        <f t="shared" si="1"/>
        <v>PASS</v>
      </c>
    </row>
    <row r="48" spans="1:7" ht="15.75" thickBot="1" x14ac:dyDescent="0.3">
      <c r="B48" s="20">
        <f>'CARTA DE CONTROL'!R246</f>
        <v>-1.002</v>
      </c>
      <c r="C48" s="4">
        <f>'CARTA DE CONTROL'!AR246</f>
        <v>-0.14160079840319378</v>
      </c>
      <c r="D48" s="4">
        <f>'CARTA DE CONTROL'!AS246</f>
        <v>-0.25760079840319378</v>
      </c>
      <c r="E48" s="6">
        <f>'CARTA DE CONTROL'!I246</f>
        <v>10</v>
      </c>
      <c r="F48" s="7">
        <f>-('CARTA DE CONTROL'!I246)</f>
        <v>-10</v>
      </c>
      <c r="G48" s="5" t="str">
        <f t="shared" si="1"/>
        <v>PASS</v>
      </c>
    </row>
    <row r="49" spans="1:8" ht="15.75" thickBot="1" x14ac:dyDescent="0.3">
      <c r="B49" s="20">
        <f>'CARTA DE CONTROL'!R247</f>
        <v>-2.0070000000000001</v>
      </c>
      <c r="C49" s="4">
        <f>'CARTA DE CONTROL'!AR247</f>
        <v>-0.29077927254609454</v>
      </c>
      <c r="D49" s="4">
        <f>'CARTA DE CONTROL'!AS247</f>
        <v>-0.40677927254609453</v>
      </c>
      <c r="E49" s="6">
        <f>'CARTA DE CONTROL'!I247</f>
        <v>10</v>
      </c>
      <c r="F49" s="7">
        <f>-('CARTA DE CONTROL'!I247)</f>
        <v>-10</v>
      </c>
      <c r="G49" s="5" t="str">
        <f t="shared" si="1"/>
        <v>PASS</v>
      </c>
    </row>
    <row r="50" spans="1:8" ht="15.75" thickBot="1" x14ac:dyDescent="0.3">
      <c r="B50" s="20">
        <f>'CARTA DE CONTROL'!R248</f>
        <v>-3.0089999999999999</v>
      </c>
      <c r="C50" s="4">
        <f>'CARTA DE CONTROL'!AR248</f>
        <v>-0.2411026919242239</v>
      </c>
      <c r="D50" s="4">
        <f>'CARTA DE CONTROL'!AS248</f>
        <v>-0.35710269192422389</v>
      </c>
      <c r="E50" s="6">
        <f>'CARTA DE CONTROL'!I248</f>
        <v>10</v>
      </c>
      <c r="F50" s="7">
        <f>-('CARTA DE CONTROL'!I248)</f>
        <v>-10</v>
      </c>
      <c r="G50" s="5" t="str">
        <f t="shared" si="1"/>
        <v>PASS</v>
      </c>
    </row>
    <row r="51" spans="1:8" ht="15.75" thickBot="1" x14ac:dyDescent="0.3">
      <c r="B51" s="20">
        <f>'CARTA DE CONTROL'!R249</f>
        <v>-4.0129999999999999</v>
      </c>
      <c r="C51" s="4">
        <f>'CARTA DE CONTROL'!AR249</f>
        <v>-0.26494717169199855</v>
      </c>
      <c r="D51" s="4">
        <f>'CARTA DE CONTROL'!AS249</f>
        <v>-0.38294717169199854</v>
      </c>
      <c r="E51" s="6">
        <f>'CARTA DE CONTROL'!I249</f>
        <v>10</v>
      </c>
      <c r="F51" s="7">
        <f>-('CARTA DE CONTROL'!I249)</f>
        <v>-10</v>
      </c>
      <c r="G51" s="5" t="str">
        <f t="shared" si="1"/>
        <v>PASS</v>
      </c>
    </row>
    <row r="52" spans="1:8" ht="15.75" thickBot="1" x14ac:dyDescent="0.3">
      <c r="B52" s="20">
        <f>'CARTA DE CONTROL'!R250</f>
        <v>-6.0270000000000001</v>
      </c>
      <c r="C52" s="4">
        <f>'CARTA DE CONTROL'!AR250</f>
        <v>-0.38498407167745369</v>
      </c>
      <c r="D52" s="4">
        <f>'CARTA DE CONTROL'!AS250</f>
        <v>-0.51098407167745363</v>
      </c>
      <c r="E52" s="6">
        <f>'CARTA DE CONTROL'!I250</f>
        <v>10</v>
      </c>
      <c r="F52" s="7">
        <f>-('CARTA DE CONTROL'!I250)</f>
        <v>-10</v>
      </c>
      <c r="G52" s="5" t="str">
        <f t="shared" si="1"/>
        <v>PASS</v>
      </c>
    </row>
    <row r="53" spans="1:8" x14ac:dyDescent="0.25">
      <c r="A53" s="1"/>
      <c r="B53" s="1"/>
      <c r="C53" s="1"/>
      <c r="D53" s="1"/>
    </row>
    <row r="54" spans="1:8" x14ac:dyDescent="0.25">
      <c r="A54" s="1"/>
      <c r="B54" s="1"/>
      <c r="C54" s="1"/>
      <c r="D54" s="1"/>
    </row>
    <row r="55" spans="1:8" x14ac:dyDescent="0.25">
      <c r="A55" s="1"/>
      <c r="B55" s="1"/>
      <c r="C55" s="1"/>
      <c r="D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2">
    <cfRule type="cellIs" dxfId="17" priority="8" operator="lessThan">
      <formula>$F$79</formula>
    </cfRule>
    <cfRule type="cellIs" dxfId="16" priority="9" operator="lessThan">
      <formula>0.05</formula>
    </cfRule>
  </conditionalFormatting>
  <conditionalFormatting sqref="G41:G52">
    <cfRule type="cellIs" dxfId="15" priority="7" operator="between">
      <formula>$F$79</formula>
      <formula>$G$79</formula>
    </cfRule>
  </conditionalFormatting>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10" workbookViewId="0">
      <selection activeCell="B26" sqref="B26:D26"/>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225"/>
      <c r="C2" s="225"/>
      <c r="D2" s="225"/>
      <c r="E2" s="212"/>
      <c r="F2" s="225"/>
      <c r="G2" s="225"/>
      <c r="H2" s="225"/>
    </row>
    <row r="3" spans="1:11" ht="15" customHeight="1" x14ac:dyDescent="0.25">
      <c r="B3" s="225"/>
      <c r="C3" s="225"/>
      <c r="D3" s="225"/>
      <c r="E3" s="212"/>
      <c r="F3" s="225"/>
      <c r="G3" s="225"/>
      <c r="H3" s="225"/>
    </row>
    <row r="4" spans="1:11" ht="15" customHeight="1" x14ac:dyDescent="0.25">
      <c r="B4" s="225"/>
      <c r="C4" s="225"/>
      <c r="D4" s="225"/>
      <c r="E4" s="212"/>
      <c r="F4" s="225"/>
      <c r="G4" s="225"/>
      <c r="H4" s="225"/>
    </row>
    <row r="5" spans="1:11" ht="15" customHeight="1" x14ac:dyDescent="0.25">
      <c r="B5" s="225"/>
      <c r="C5" s="225"/>
      <c r="D5" s="225"/>
      <c r="E5" s="212"/>
      <c r="F5" s="225"/>
      <c r="G5" s="225"/>
      <c r="H5" s="225"/>
    </row>
    <row r="6" spans="1:11" ht="15" customHeight="1" x14ac:dyDescent="0.25">
      <c r="B6" s="225"/>
      <c r="C6" s="225"/>
      <c r="D6" s="225"/>
      <c r="E6" s="212"/>
      <c r="F6" s="225"/>
      <c r="G6" s="225"/>
      <c r="H6" s="225"/>
    </row>
    <row r="7" spans="1:11" x14ac:dyDescent="0.25">
      <c r="B7" s="224" t="s">
        <v>155</v>
      </c>
      <c r="C7" s="831" t="str">
        <f>'CARTA DE CONTROL'!B259</f>
        <v>PROFUNDIMENTRO</v>
      </c>
      <c r="D7" s="832"/>
      <c r="E7" s="833"/>
    </row>
    <row r="8" spans="1:11" x14ac:dyDescent="0.25">
      <c r="B8" s="224" t="s">
        <v>156</v>
      </c>
      <c r="C8" s="831" t="str">
        <f>'CARTA DE CONTROL'!D259</f>
        <v xml:space="preserve"> DIGITAL TREAD DEPTH GAUGE</v>
      </c>
      <c r="D8" s="832"/>
      <c r="E8" s="833"/>
    </row>
    <row r="9" spans="1:11" x14ac:dyDescent="0.25">
      <c r="B9" s="224" t="s">
        <v>157</v>
      </c>
      <c r="C9" s="831" t="str">
        <f>'CARTA DE CONTROL'!E259</f>
        <v>N/A</v>
      </c>
      <c r="D9" s="832"/>
      <c r="E9" s="833"/>
    </row>
    <row r="10" spans="1:11" x14ac:dyDescent="0.25">
      <c r="B10" s="224" t="s">
        <v>158</v>
      </c>
      <c r="C10" s="847" t="str">
        <f>'CARTA DE CONTROL'!F259</f>
        <v>TIC-056</v>
      </c>
      <c r="D10" s="848"/>
      <c r="E10" s="849"/>
    </row>
    <row r="11" spans="1:11" ht="15" customHeight="1" thickBot="1" x14ac:dyDescent="0.3">
      <c r="B11" s="225"/>
      <c r="C11" s="225"/>
      <c r="D11" s="225"/>
      <c r="E11" s="212"/>
      <c r="F11" s="225"/>
      <c r="G11" s="225"/>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228" t="s">
        <v>128</v>
      </c>
      <c r="F13" s="843" t="s">
        <v>129</v>
      </c>
      <c r="G13" s="844"/>
      <c r="H13" s="203"/>
      <c r="I13" s="203"/>
      <c r="J13" s="203"/>
      <c r="K13" s="203"/>
    </row>
    <row r="14" spans="1:11" s="1" customFormat="1" ht="35.25" customHeight="1" x14ac:dyDescent="0.2">
      <c r="A14" s="206">
        <v>1</v>
      </c>
      <c r="B14" s="822" t="s">
        <v>130</v>
      </c>
      <c r="C14" s="822"/>
      <c r="D14" s="822"/>
      <c r="E14" s="227" t="s">
        <v>131</v>
      </c>
      <c r="F14" s="823"/>
      <c r="G14" s="824"/>
      <c r="H14" s="204"/>
      <c r="I14" s="204"/>
      <c r="J14" s="204"/>
      <c r="K14" s="204"/>
    </row>
    <row r="15" spans="1:11" s="1" customFormat="1" ht="35.25" customHeight="1" x14ac:dyDescent="0.2">
      <c r="A15" s="206">
        <v>2</v>
      </c>
      <c r="B15" s="822" t="s">
        <v>132</v>
      </c>
      <c r="C15" s="822"/>
      <c r="D15" s="822"/>
      <c r="E15" s="227" t="s">
        <v>131</v>
      </c>
      <c r="F15" s="823"/>
      <c r="G15" s="824"/>
    </row>
    <row r="16" spans="1:11" s="1" customFormat="1" ht="35.25" customHeight="1" x14ac:dyDescent="0.2">
      <c r="A16" s="206">
        <v>3</v>
      </c>
      <c r="B16" s="822" t="s">
        <v>133</v>
      </c>
      <c r="C16" s="822"/>
      <c r="D16" s="822"/>
      <c r="E16" s="227" t="s">
        <v>131</v>
      </c>
      <c r="F16" s="823"/>
      <c r="G16" s="824"/>
    </row>
    <row r="17" spans="1:7" s="1" customFormat="1" ht="35.25" customHeight="1" x14ac:dyDescent="0.2">
      <c r="A17" s="206">
        <v>4</v>
      </c>
      <c r="B17" s="822" t="s">
        <v>134</v>
      </c>
      <c r="C17" s="822"/>
      <c r="D17" s="822"/>
      <c r="E17" s="227" t="s">
        <v>131</v>
      </c>
      <c r="F17" s="845"/>
      <c r="G17" s="846"/>
    </row>
    <row r="18" spans="1:7" s="1" customFormat="1" ht="35.25" customHeight="1" x14ac:dyDescent="0.2">
      <c r="A18" s="206">
        <v>5</v>
      </c>
      <c r="B18" s="822" t="s">
        <v>135</v>
      </c>
      <c r="C18" s="822"/>
      <c r="D18" s="822"/>
      <c r="E18" s="227" t="s">
        <v>131</v>
      </c>
      <c r="F18" s="823"/>
      <c r="G18" s="824"/>
    </row>
    <row r="19" spans="1:7" s="1" customFormat="1" ht="35.25" customHeight="1" x14ac:dyDescent="0.2">
      <c r="A19" s="206">
        <v>6</v>
      </c>
      <c r="B19" s="822" t="s">
        <v>136</v>
      </c>
      <c r="C19" s="822"/>
      <c r="D19" s="822"/>
      <c r="E19" s="227" t="s">
        <v>131</v>
      </c>
      <c r="F19" s="823"/>
      <c r="G19" s="824"/>
    </row>
    <row r="20" spans="1:7" s="1" customFormat="1" ht="35.25" customHeight="1" x14ac:dyDescent="0.2">
      <c r="A20" s="206">
        <v>7</v>
      </c>
      <c r="B20" s="822" t="s">
        <v>137</v>
      </c>
      <c r="C20" s="822"/>
      <c r="D20" s="822"/>
      <c r="E20" s="227" t="s">
        <v>131</v>
      </c>
      <c r="F20" s="823"/>
      <c r="G20" s="824"/>
    </row>
    <row r="21" spans="1:7" s="1" customFormat="1" ht="35.25" customHeight="1" x14ac:dyDescent="0.2">
      <c r="A21" s="206">
        <v>8</v>
      </c>
      <c r="B21" s="822" t="s">
        <v>138</v>
      </c>
      <c r="C21" s="822"/>
      <c r="D21" s="822"/>
      <c r="E21" s="227" t="s">
        <v>131</v>
      </c>
      <c r="F21" s="823"/>
      <c r="G21" s="824"/>
    </row>
    <row r="22" spans="1:7" s="1" customFormat="1" ht="35.25" customHeight="1" x14ac:dyDescent="0.2">
      <c r="A22" s="206">
        <v>9</v>
      </c>
      <c r="B22" s="822" t="s">
        <v>139</v>
      </c>
      <c r="C22" s="822"/>
      <c r="D22" s="822"/>
      <c r="E22" s="227" t="s">
        <v>131</v>
      </c>
      <c r="F22" s="823"/>
      <c r="G22" s="824"/>
    </row>
    <row r="23" spans="1:7" s="1" customFormat="1" ht="35.25" customHeight="1" x14ac:dyDescent="0.2">
      <c r="A23" s="206">
        <v>10</v>
      </c>
      <c r="B23" s="822" t="s">
        <v>140</v>
      </c>
      <c r="C23" s="822"/>
      <c r="D23" s="822"/>
      <c r="E23" s="227" t="s">
        <v>131</v>
      </c>
      <c r="F23" s="823"/>
      <c r="G23" s="824"/>
    </row>
    <row r="24" spans="1:7" s="1" customFormat="1" ht="35.25" customHeight="1" x14ac:dyDescent="0.2">
      <c r="A24" s="206">
        <v>11</v>
      </c>
      <c r="B24" s="822" t="s">
        <v>141</v>
      </c>
      <c r="C24" s="822"/>
      <c r="D24" s="822"/>
      <c r="E24" s="227" t="s">
        <v>131</v>
      </c>
      <c r="F24" s="823"/>
      <c r="G24" s="824"/>
    </row>
    <row r="25" spans="1:7" s="192" customFormat="1" ht="35.25" customHeight="1" x14ac:dyDescent="0.2">
      <c r="A25" s="207">
        <v>12</v>
      </c>
      <c r="B25" s="822" t="s">
        <v>142</v>
      </c>
      <c r="C25" s="822"/>
      <c r="D25" s="822"/>
      <c r="E25" s="191" t="s">
        <v>131</v>
      </c>
      <c r="F25" s="823"/>
      <c r="G25" s="824"/>
    </row>
    <row r="26" spans="1:7" s="1" customFormat="1" ht="35.25" customHeight="1" x14ac:dyDescent="0.2">
      <c r="A26" s="206">
        <v>13</v>
      </c>
      <c r="B26" s="822" t="s">
        <v>143</v>
      </c>
      <c r="C26" s="822"/>
      <c r="D26" s="822"/>
      <c r="E26" s="227" t="s">
        <v>131</v>
      </c>
      <c r="F26" s="823"/>
      <c r="G26" s="824"/>
    </row>
    <row r="27" spans="1:7" s="1" customFormat="1" ht="35.25" customHeight="1" x14ac:dyDescent="0.2">
      <c r="A27" s="206">
        <v>14</v>
      </c>
      <c r="B27" s="822" t="s">
        <v>144</v>
      </c>
      <c r="C27" s="822"/>
      <c r="D27" s="822"/>
      <c r="E27" s="227" t="s">
        <v>131</v>
      </c>
      <c r="F27" s="823"/>
      <c r="G27" s="824"/>
    </row>
    <row r="28" spans="1:7" s="1" customFormat="1" ht="54.75" customHeight="1" thickBot="1" x14ac:dyDescent="0.25">
      <c r="A28" s="208">
        <v>15</v>
      </c>
      <c r="B28" s="825" t="s">
        <v>145</v>
      </c>
      <c r="C28" s="825"/>
      <c r="D28" s="825"/>
      <c r="E28" s="226" t="s">
        <v>131</v>
      </c>
      <c r="F28" s="826"/>
      <c r="G28" s="827"/>
    </row>
    <row r="29" spans="1:7" ht="15.75" thickBot="1" x14ac:dyDescent="0.3"/>
    <row r="30" spans="1:7" ht="79.5" thickBot="1" x14ac:dyDescent="0.3">
      <c r="B30" s="2" t="s">
        <v>39</v>
      </c>
      <c r="C30" s="11" t="s">
        <v>91</v>
      </c>
      <c r="D30" s="11" t="s">
        <v>92</v>
      </c>
      <c r="E30" s="2" t="s">
        <v>93</v>
      </c>
      <c r="F30" s="2" t="s">
        <v>94</v>
      </c>
      <c r="G30" s="21" t="s">
        <v>95</v>
      </c>
    </row>
    <row r="31" spans="1:7" ht="15.75" thickBot="1" x14ac:dyDescent="0.3">
      <c r="B31" s="3">
        <f>'CARTA DE CONTROL'!Q259</f>
        <v>0</v>
      </c>
      <c r="C31" s="4">
        <f>'CARTA DE CONTROL'!AR259</f>
        <v>6.0000000000000001E-3</v>
      </c>
      <c r="D31" s="4">
        <f>'CARTA DE CONTROL'!AS259</f>
        <v>6.0000000000000001E-3</v>
      </c>
      <c r="E31" s="6">
        <f>'CARTA DE CONTROL'!I259</f>
        <v>0.1</v>
      </c>
      <c r="F31" s="7">
        <f>-('CARTA DE CONTROL'!I259)</f>
        <v>-0.1</v>
      </c>
      <c r="G31" s="5" t="str">
        <f>IF(C31&lt;=0.1,IF(D31&gt;=-0.1,"PASS","NO PASS"))</f>
        <v>PASS</v>
      </c>
    </row>
    <row r="32" spans="1:7" ht="15.75" thickBot="1" x14ac:dyDescent="0.3">
      <c r="B32" s="3">
        <f>'CARTA DE CONTROL'!Q260</f>
        <v>0.5</v>
      </c>
      <c r="C32" s="4">
        <f>'CARTA DE CONTROL'!AR260</f>
        <v>1.5900000000000001E-2</v>
      </c>
      <c r="D32" s="4">
        <f>'CARTA DE CONTROL'!AS260</f>
        <v>-3.9000000000000007E-3</v>
      </c>
      <c r="E32" s="6">
        <f>'CARTA DE CONTROL'!I260</f>
        <v>0.1</v>
      </c>
      <c r="F32" s="7">
        <f>-('CARTA DE CONTROL'!I260)</f>
        <v>-0.1</v>
      </c>
      <c r="G32" s="5" t="str">
        <f t="shared" ref="G32:G41" si="0">IF(C32&lt;=0.1,IF(D32&gt;=-0.1,"PASS","NO PASS"))</f>
        <v>PASS</v>
      </c>
    </row>
    <row r="33" spans="1:8" ht="15.75" thickBot="1" x14ac:dyDescent="0.3">
      <c r="B33" s="3">
        <f>'CARTA DE CONTROL'!Q261</f>
        <v>1</v>
      </c>
      <c r="C33" s="4">
        <f>'CARTA DE CONTROL'!AR261</f>
        <v>1.5900000000000001E-2</v>
      </c>
      <c r="D33" s="4">
        <f>'CARTA DE CONTROL'!AS261</f>
        <v>-3.9000000000000007E-3</v>
      </c>
      <c r="E33" s="6">
        <f>'CARTA DE CONTROL'!I261</f>
        <v>0.1</v>
      </c>
      <c r="F33" s="7">
        <f>-('CARTA DE CONTROL'!I261)</f>
        <v>-0.1</v>
      </c>
      <c r="G33" s="5" t="str">
        <f t="shared" si="0"/>
        <v>PASS</v>
      </c>
    </row>
    <row r="34" spans="1:8" ht="15.75" thickBot="1" x14ac:dyDescent="0.3">
      <c r="B34" s="3">
        <f>'CARTA DE CONTROL'!Q262</f>
        <v>1.6</v>
      </c>
      <c r="C34" s="4">
        <f>'CARTA DE CONTROL'!AR262</f>
        <v>1.61E-2</v>
      </c>
      <c r="D34" s="4">
        <f>'CARTA DE CONTROL'!AS262</f>
        <v>-4.0999999999999995E-3</v>
      </c>
      <c r="E34" s="6">
        <f>'CARTA DE CONTROL'!I262</f>
        <v>0.1</v>
      </c>
      <c r="F34" s="7">
        <f>-('CARTA DE CONTROL'!I262)</f>
        <v>-0.1</v>
      </c>
      <c r="G34" s="5" t="str">
        <f t="shared" si="0"/>
        <v>PASS</v>
      </c>
    </row>
    <row r="35" spans="1:8" ht="15.75" thickBot="1" x14ac:dyDescent="0.3">
      <c r="B35" s="3">
        <f>'CARTA DE CONTROL'!Q263</f>
        <v>2</v>
      </c>
      <c r="C35" s="4">
        <f>'CARTA DE CONTROL'!AR263</f>
        <v>1.6E-2</v>
      </c>
      <c r="D35" s="4">
        <f>'CARTA DE CONTROL'!AS263</f>
        <v>-4.0000000000000001E-3</v>
      </c>
      <c r="E35" s="6">
        <f>'CARTA DE CONTROL'!I263</f>
        <v>0.1</v>
      </c>
      <c r="F35" s="7">
        <f>-('CARTA DE CONTROL'!I263)</f>
        <v>-0.1</v>
      </c>
      <c r="G35" s="5" t="str">
        <f t="shared" si="0"/>
        <v>PASS</v>
      </c>
    </row>
    <row r="36" spans="1:8" ht="15.75" thickBot="1" x14ac:dyDescent="0.3">
      <c r="B36" s="3">
        <f>'CARTA DE CONTROL'!Q264</f>
        <v>5</v>
      </c>
      <c r="C36" s="4">
        <f>'CARTA DE CONTROL'!AR264</f>
        <v>1.21E-2</v>
      </c>
      <c r="D36" s="4">
        <f>'CARTA DE CONTROL'!AS264</f>
        <v>4.0999999999999995E-3</v>
      </c>
      <c r="E36" s="6">
        <f>'CARTA DE CONTROL'!I264</f>
        <v>0.1</v>
      </c>
      <c r="F36" s="7">
        <f>-('CARTA DE CONTROL'!I264)</f>
        <v>-0.1</v>
      </c>
      <c r="G36" s="5" t="str">
        <f t="shared" si="0"/>
        <v>PASS</v>
      </c>
    </row>
    <row r="37" spans="1:8" ht="15.75" thickBot="1" x14ac:dyDescent="0.3">
      <c r="B37" s="3">
        <f>'CARTA DE CONTROL'!Q265</f>
        <v>10</v>
      </c>
      <c r="C37" s="4">
        <f>'CARTA DE CONTROL'!AR265</f>
        <v>6.0000000000000001E-3</v>
      </c>
      <c r="D37" s="4">
        <f>'CARTA DE CONTROL'!AS265</f>
        <v>6.0000000000000001E-3</v>
      </c>
      <c r="E37" s="6">
        <f>'CARTA DE CONTROL'!I265</f>
        <v>0.1</v>
      </c>
      <c r="F37" s="7">
        <f>-('CARTA DE CONTROL'!I265)</f>
        <v>-0.1</v>
      </c>
      <c r="G37" s="5" t="str">
        <f t="shared" si="0"/>
        <v>PASS</v>
      </c>
    </row>
    <row r="38" spans="1:8" ht="15.75" thickBot="1" x14ac:dyDescent="0.3">
      <c r="B38" s="3">
        <f>'CARTA DE CONTROL'!Q266</f>
        <v>15</v>
      </c>
      <c r="C38" s="4">
        <f>'CARTA DE CONTROL'!AR266</f>
        <v>2.1999999999999988E-3</v>
      </c>
      <c r="D38" s="4">
        <f>'CARTA DE CONTROL'!AS266</f>
        <v>1.4E-2</v>
      </c>
      <c r="E38" s="6">
        <f>'CARTA DE CONTROL'!I266</f>
        <v>0.1</v>
      </c>
      <c r="F38" s="7">
        <f>-('CARTA DE CONTROL'!I266)</f>
        <v>-0.1</v>
      </c>
      <c r="G38" s="5" t="str">
        <f t="shared" si="0"/>
        <v>PASS</v>
      </c>
    </row>
    <row r="39" spans="1:8" ht="15.75" thickBot="1" x14ac:dyDescent="0.3">
      <c r="B39" s="3">
        <f>'CARTA DE CONTROL'!Q267</f>
        <v>17</v>
      </c>
      <c r="C39" s="4">
        <f>'CARTA DE CONTROL'!AR267</f>
        <v>3.56E-2</v>
      </c>
      <c r="D39" s="4">
        <f>'CARTA DE CONTROL'!AS267</f>
        <v>-2.0799999999999999E-2</v>
      </c>
      <c r="E39" s="6">
        <f>'CARTA DE CONTROL'!I267</f>
        <v>0.1</v>
      </c>
      <c r="F39" s="7">
        <f>-('CARTA DE CONTROL'!I267)</f>
        <v>-0.1</v>
      </c>
      <c r="G39" s="5" t="str">
        <f t="shared" si="0"/>
        <v>PASS</v>
      </c>
    </row>
    <row r="40" spans="1:8" ht="15.75" thickBot="1" x14ac:dyDescent="0.3">
      <c r="B40" s="3">
        <f>'CARTA DE CONTROL'!Q268</f>
        <v>20</v>
      </c>
      <c r="C40" s="4">
        <f>'CARTA DE CONTROL'!AR268</f>
        <v>4.0999999999999995E-3</v>
      </c>
      <c r="D40" s="4">
        <f>'CARTA DE CONTROL'!AS268</f>
        <v>1.21E-2</v>
      </c>
      <c r="E40" s="6">
        <f>'CARTA DE CONTROL'!I268</f>
        <v>0.1</v>
      </c>
      <c r="F40" s="7">
        <f>-('CARTA DE CONTROL'!I268)</f>
        <v>-0.1</v>
      </c>
      <c r="G40" s="5" t="str">
        <f t="shared" ref="G40" si="1">IF(C40&lt;=0.1,IF(D40&gt;=-0.1,"PASS","NO PASS"))</f>
        <v>PASS</v>
      </c>
    </row>
    <row r="41" spans="1:8" ht="15.75" thickBot="1" x14ac:dyDescent="0.3">
      <c r="B41" s="3">
        <f>'CARTA DE CONTROL'!Q269</f>
        <v>25</v>
      </c>
      <c r="C41" s="4">
        <f>'CARTA DE CONTROL'!AR269</f>
        <v>1.2199999999999999E-2</v>
      </c>
      <c r="D41" s="4">
        <f>'CARTA DE CONTROL'!AS269</f>
        <v>4.0000000000000001E-3</v>
      </c>
      <c r="E41" s="6">
        <f>'CARTA DE CONTROL'!I269</f>
        <v>0.1</v>
      </c>
      <c r="F41" s="7">
        <f>-('CARTA DE CONTROL'!I269)</f>
        <v>-0.1</v>
      </c>
      <c r="G41" s="5" t="str">
        <f t="shared" si="0"/>
        <v>PASS</v>
      </c>
    </row>
    <row r="42" spans="1:8" x14ac:dyDescent="0.25">
      <c r="A42" s="1"/>
      <c r="B42" s="1"/>
      <c r="C42" s="1"/>
      <c r="D42" s="1"/>
      <c r="E42" s="1"/>
      <c r="F42" s="1"/>
      <c r="G42" s="1"/>
      <c r="H42" s="1"/>
    </row>
    <row r="43" spans="1:8" x14ac:dyDescent="0.25">
      <c r="A43" s="1"/>
      <c r="B43" s="1"/>
      <c r="C43" s="1"/>
      <c r="D43" s="1"/>
    </row>
    <row r="44" spans="1:8" x14ac:dyDescent="0.25">
      <c r="A44" s="1"/>
      <c r="B44" s="1"/>
      <c r="C44" s="1"/>
      <c r="D44" s="1"/>
    </row>
    <row r="45" spans="1:8" x14ac:dyDescent="0.25">
      <c r="A45" s="1"/>
      <c r="B45" s="1"/>
      <c r="C45" s="1"/>
      <c r="D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sheetData>
  <mergeCells count="37">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s>
  <conditionalFormatting sqref="G31:G41">
    <cfRule type="cellIs" dxfId="14" priority="2" operator="lessThan">
      <formula>$F$69</formula>
    </cfRule>
    <cfRule type="cellIs" dxfId="13" priority="3" operator="lessThan">
      <formula>0.05</formula>
    </cfRule>
  </conditionalFormatting>
  <conditionalFormatting sqref="G31:G41">
    <cfRule type="cellIs" dxfId="12" priority="1" operator="between">
      <formula>$F$69</formula>
      <formula>$G$69</formula>
    </cfRule>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B40" sqref="B40:F41"/>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04"/>
      <c r="C2" s="404"/>
      <c r="D2" s="404"/>
      <c r="E2" s="212"/>
      <c r="F2" s="404"/>
      <c r="G2" s="404"/>
      <c r="H2" s="404"/>
    </row>
    <row r="3" spans="1:11" ht="15" customHeight="1" x14ac:dyDescent="0.25">
      <c r="B3" s="404"/>
      <c r="C3" s="404"/>
      <c r="D3" s="404"/>
      <c r="E3" s="212"/>
      <c r="F3" s="404"/>
      <c r="G3" s="404"/>
      <c r="H3" s="404"/>
    </row>
    <row r="4" spans="1:11" ht="15" customHeight="1" x14ac:dyDescent="0.25">
      <c r="B4" s="404"/>
      <c r="C4" s="404"/>
      <c r="D4" s="404"/>
      <c r="E4" s="212"/>
      <c r="F4" s="404"/>
      <c r="G4" s="404"/>
      <c r="H4" s="404"/>
    </row>
    <row r="5" spans="1:11" ht="15" customHeight="1" x14ac:dyDescent="0.25">
      <c r="B5" s="404"/>
      <c r="C5" s="404"/>
      <c r="D5" s="404"/>
      <c r="E5" s="212"/>
      <c r="F5" s="404"/>
      <c r="G5" s="404"/>
      <c r="H5" s="404"/>
    </row>
    <row r="6" spans="1:11" ht="15" customHeight="1" x14ac:dyDescent="0.25">
      <c r="B6" s="404"/>
      <c r="C6" s="404"/>
      <c r="D6" s="404"/>
      <c r="E6" s="212"/>
      <c r="F6" s="404"/>
      <c r="G6" s="404"/>
      <c r="H6" s="404"/>
    </row>
    <row r="7" spans="1:11" x14ac:dyDescent="0.25">
      <c r="B7" s="224" t="s">
        <v>155</v>
      </c>
      <c r="C7" s="831" t="str">
        <f>'CARTA DE CONTROL'!B276</f>
        <v>SONOMETRO</v>
      </c>
      <c r="D7" s="832"/>
      <c r="E7" s="833"/>
    </row>
    <row r="8" spans="1:11" x14ac:dyDescent="0.25">
      <c r="B8" s="224" t="s">
        <v>156</v>
      </c>
      <c r="C8" s="831" t="str">
        <f>'CARTA DE CONTROL'!D276</f>
        <v>EXTECH INSTRUMENTS</v>
      </c>
      <c r="D8" s="832"/>
      <c r="E8" s="833"/>
    </row>
    <row r="9" spans="1:11" x14ac:dyDescent="0.25">
      <c r="B9" s="224" t="s">
        <v>157</v>
      </c>
      <c r="C9" s="831">
        <f>'CARTA DE CONTROL'!E276</f>
        <v>407750</v>
      </c>
      <c r="D9" s="832"/>
      <c r="E9" s="833"/>
    </row>
    <row r="10" spans="1:11" x14ac:dyDescent="0.25">
      <c r="B10" s="224" t="s">
        <v>158</v>
      </c>
      <c r="C10" s="847">
        <f>'CARTA DE CONTROL'!F276</f>
        <v>3132092</v>
      </c>
      <c r="D10" s="848"/>
      <c r="E10" s="849"/>
    </row>
    <row r="11" spans="1:11" ht="15" customHeight="1" thickBot="1" x14ac:dyDescent="0.3">
      <c r="B11" s="404"/>
      <c r="C11" s="404"/>
      <c r="D11" s="404"/>
      <c r="E11" s="212"/>
      <c r="F11" s="404"/>
      <c r="G11" s="404"/>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06" t="s">
        <v>128</v>
      </c>
      <c r="F13" s="843" t="s">
        <v>129</v>
      </c>
      <c r="G13" s="844"/>
      <c r="H13" s="203"/>
      <c r="I13" s="203"/>
      <c r="J13" s="203"/>
      <c r="K13" s="203"/>
    </row>
    <row r="14" spans="1:11" s="1" customFormat="1" ht="35.25" customHeight="1" x14ac:dyDescent="0.2">
      <c r="A14" s="206">
        <v>1</v>
      </c>
      <c r="B14" s="822" t="s">
        <v>130</v>
      </c>
      <c r="C14" s="822"/>
      <c r="D14" s="822"/>
      <c r="E14" s="405" t="s">
        <v>131</v>
      </c>
      <c r="F14" s="823"/>
      <c r="G14" s="824"/>
      <c r="H14" s="204"/>
      <c r="I14" s="204"/>
      <c r="J14" s="204"/>
      <c r="K14" s="204"/>
    </row>
    <row r="15" spans="1:11" s="1" customFormat="1" ht="35.25" customHeight="1" x14ac:dyDescent="0.2">
      <c r="A15" s="206">
        <v>2</v>
      </c>
      <c r="B15" s="822" t="s">
        <v>132</v>
      </c>
      <c r="C15" s="822"/>
      <c r="D15" s="822"/>
      <c r="E15" s="405" t="s">
        <v>131</v>
      </c>
      <c r="F15" s="823"/>
      <c r="G15" s="824"/>
    </row>
    <row r="16" spans="1:11" s="1" customFormat="1" ht="35.25" customHeight="1" x14ac:dyDescent="0.2">
      <c r="A16" s="206">
        <v>3</v>
      </c>
      <c r="B16" s="822" t="s">
        <v>133</v>
      </c>
      <c r="C16" s="822"/>
      <c r="D16" s="822"/>
      <c r="E16" s="405" t="s">
        <v>131</v>
      </c>
      <c r="F16" s="823"/>
      <c r="G16" s="824"/>
    </row>
    <row r="17" spans="1:11" s="1" customFormat="1" ht="35.25" customHeight="1" x14ac:dyDescent="0.2">
      <c r="A17" s="206">
        <v>4</v>
      </c>
      <c r="B17" s="822" t="s">
        <v>134</v>
      </c>
      <c r="C17" s="822"/>
      <c r="D17" s="822"/>
      <c r="E17" s="405" t="s">
        <v>131</v>
      </c>
      <c r="F17" s="845" t="s">
        <v>206</v>
      </c>
      <c r="G17" s="846"/>
    </row>
    <row r="18" spans="1:11" s="1" customFormat="1" ht="35.25" customHeight="1" x14ac:dyDescent="0.2">
      <c r="A18" s="206">
        <v>5</v>
      </c>
      <c r="B18" s="822" t="s">
        <v>135</v>
      </c>
      <c r="C18" s="822"/>
      <c r="D18" s="822"/>
      <c r="E18" s="405" t="s">
        <v>131</v>
      </c>
      <c r="F18" s="823"/>
      <c r="G18" s="824"/>
    </row>
    <row r="19" spans="1:11" s="1" customFormat="1" ht="35.25" customHeight="1" x14ac:dyDescent="0.2">
      <c r="A19" s="206">
        <v>6</v>
      </c>
      <c r="B19" s="822" t="s">
        <v>136</v>
      </c>
      <c r="C19" s="822"/>
      <c r="D19" s="822"/>
      <c r="E19" s="405" t="s">
        <v>131</v>
      </c>
      <c r="F19" s="823"/>
      <c r="G19" s="824"/>
    </row>
    <row r="20" spans="1:11" s="1" customFormat="1" ht="35.25" customHeight="1" x14ac:dyDescent="0.2">
      <c r="A20" s="206">
        <v>7</v>
      </c>
      <c r="B20" s="822" t="s">
        <v>137</v>
      </c>
      <c r="C20" s="822"/>
      <c r="D20" s="822"/>
      <c r="E20" s="405" t="s">
        <v>131</v>
      </c>
      <c r="F20" s="823"/>
      <c r="G20" s="824"/>
    </row>
    <row r="21" spans="1:11" s="1" customFormat="1" ht="35.25" customHeight="1" x14ac:dyDescent="0.2">
      <c r="A21" s="206">
        <v>8</v>
      </c>
      <c r="B21" s="822" t="s">
        <v>138</v>
      </c>
      <c r="C21" s="822"/>
      <c r="D21" s="822"/>
      <c r="E21" s="405" t="s">
        <v>131</v>
      </c>
      <c r="F21" s="823"/>
      <c r="G21" s="824"/>
    </row>
    <row r="22" spans="1:11" s="1" customFormat="1" ht="35.25" customHeight="1" x14ac:dyDescent="0.2">
      <c r="A22" s="206">
        <v>9</v>
      </c>
      <c r="B22" s="822" t="s">
        <v>139</v>
      </c>
      <c r="C22" s="822"/>
      <c r="D22" s="822"/>
      <c r="E22" s="405" t="s">
        <v>131</v>
      </c>
      <c r="F22" s="823"/>
      <c r="G22" s="824"/>
    </row>
    <row r="23" spans="1:11" s="1" customFormat="1" ht="35.25" customHeight="1" x14ac:dyDescent="0.2">
      <c r="A23" s="206">
        <v>10</v>
      </c>
      <c r="B23" s="822" t="s">
        <v>140</v>
      </c>
      <c r="C23" s="822"/>
      <c r="D23" s="822"/>
      <c r="E23" s="405" t="s">
        <v>131</v>
      </c>
      <c r="F23" s="823"/>
      <c r="G23" s="824"/>
    </row>
    <row r="24" spans="1:11" s="1" customFormat="1" ht="35.25" customHeight="1" x14ac:dyDescent="0.2">
      <c r="A24" s="206">
        <v>11</v>
      </c>
      <c r="B24" s="822" t="s">
        <v>141</v>
      </c>
      <c r="C24" s="822"/>
      <c r="D24" s="822"/>
      <c r="E24" s="40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05" t="s">
        <v>131</v>
      </c>
      <c r="F26" s="823"/>
      <c r="G26" s="824"/>
    </row>
    <row r="27" spans="1:11" s="1" customFormat="1" ht="35.25" customHeight="1" x14ac:dyDescent="0.2">
      <c r="A27" s="206">
        <v>14</v>
      </c>
      <c r="B27" s="822" t="s">
        <v>144</v>
      </c>
      <c r="C27" s="822"/>
      <c r="D27" s="822"/>
      <c r="E27" s="405" t="s">
        <v>131</v>
      </c>
      <c r="F27" s="823"/>
      <c r="G27" s="824"/>
    </row>
    <row r="28" spans="1:11" s="1" customFormat="1" ht="54.75" customHeight="1" thickBot="1" x14ac:dyDescent="0.25">
      <c r="A28" s="208">
        <v>15</v>
      </c>
      <c r="B28" s="825" t="s">
        <v>145</v>
      </c>
      <c r="C28" s="825"/>
      <c r="D28" s="825"/>
      <c r="E28" s="407"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0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CONTROL'!Q276</f>
        <v>93.9</v>
      </c>
      <c r="C40" s="4">
        <f>'CARTA DE CONTROL'!AR276</f>
        <v>0.3299999999999943</v>
      </c>
      <c r="D40" s="4">
        <f>'CARTA DE CONTROL'!AS276</f>
        <v>-0.13000000000000569</v>
      </c>
      <c r="E40" s="6">
        <f>'CARTA DE CONTROL'!I276</f>
        <v>1.5</v>
      </c>
      <c r="F40" s="7">
        <f>-('CARTA DE CONTROL'!I276)</f>
        <v>-1.5</v>
      </c>
      <c r="G40" s="5" t="str">
        <f>IF(C40&lt;=5,IF(D40&gt;=-5,"PASS","NO PASS"))</f>
        <v>PASS</v>
      </c>
    </row>
    <row r="41" spans="1:8" ht="15.75" thickBot="1" x14ac:dyDescent="0.3">
      <c r="B41" s="3">
        <f>'CARTA DE CONTROL'!Q277</f>
        <v>114.4</v>
      </c>
      <c r="C41" s="4" t="e">
        <f>'CARTA DE CONTROL'!AR277</f>
        <v>#VALUE!</v>
      </c>
      <c r="D41" s="4" t="e">
        <f>'CARTA DE CONTROL'!AS277</f>
        <v>#VALUE!</v>
      </c>
      <c r="E41" s="6">
        <f>'CARTA DE CONTROL'!I277</f>
        <v>1.5</v>
      </c>
      <c r="F41" s="7">
        <f>-('CARTA DE CONTROL'!I277)</f>
        <v>-1.5</v>
      </c>
      <c r="G41" s="5" t="e">
        <f t="shared" ref="G41" si="0">IF(C41&lt;=5,IF(D41&gt;=-5,"PASS","NO PASS"))</f>
        <v>#VALUE!</v>
      </c>
    </row>
    <row r="42" spans="1:8" x14ac:dyDescent="0.25">
      <c r="A42" s="1"/>
      <c r="B42" s="1"/>
      <c r="C42" s="1"/>
      <c r="D42" s="1"/>
      <c r="E42" s="1"/>
      <c r="F42" s="1"/>
      <c r="G42" s="1"/>
      <c r="H42" s="1"/>
    </row>
    <row r="43" spans="1:8" x14ac:dyDescent="0.25">
      <c r="A43" s="1"/>
      <c r="B43" s="1"/>
      <c r="C43" s="1"/>
      <c r="D43" s="1"/>
    </row>
    <row r="44" spans="1:8" x14ac:dyDescent="0.25">
      <c r="A44" s="1"/>
      <c r="B44" s="1"/>
      <c r="C44" s="1"/>
      <c r="D44" s="1"/>
    </row>
    <row r="45" spans="1:8" x14ac:dyDescent="0.25">
      <c r="A45" s="1"/>
      <c r="B45" s="1"/>
      <c r="C45" s="1"/>
      <c r="D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11" priority="5" operator="lessThan">
      <formula>$F$69</formula>
    </cfRule>
    <cfRule type="cellIs" dxfId="10" priority="6" operator="lessThan">
      <formula>0.05</formula>
    </cfRule>
  </conditionalFormatting>
  <conditionalFormatting sqref="G40">
    <cfRule type="cellIs" dxfId="9" priority="4" operator="between">
      <formula>$F$69</formula>
      <formula>$G$69</formula>
    </cfRule>
  </conditionalFormatting>
  <conditionalFormatting sqref="G41">
    <cfRule type="cellIs" dxfId="8" priority="2" operator="lessThan">
      <formula>$F$69</formula>
    </cfRule>
    <cfRule type="cellIs" dxfId="7" priority="3" operator="lessThan">
      <formula>0.05</formula>
    </cfRule>
  </conditionalFormatting>
  <conditionalFormatting sqref="G41">
    <cfRule type="cellIs" dxfId="6" priority="1" operator="between">
      <formula>$F$69</formula>
      <formula>$G$69</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0" workbookViewId="0">
      <selection activeCell="H19" sqref="H19"/>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225"/>
      <c r="C2" s="225"/>
      <c r="D2" s="225"/>
      <c r="E2" s="212"/>
      <c r="F2" s="225"/>
      <c r="G2" s="225"/>
      <c r="H2" s="225"/>
    </row>
    <row r="3" spans="1:11" ht="15" customHeight="1" x14ac:dyDescent="0.25">
      <c r="B3" s="225"/>
      <c r="C3" s="225"/>
      <c r="D3" s="225"/>
      <c r="E3" s="212"/>
      <c r="F3" s="225"/>
      <c r="G3" s="225"/>
      <c r="H3" s="225"/>
    </row>
    <row r="4" spans="1:11" ht="15" customHeight="1" x14ac:dyDescent="0.25">
      <c r="B4" s="225"/>
      <c r="C4" s="225"/>
      <c r="D4" s="225"/>
      <c r="E4" s="212"/>
      <c r="F4" s="225"/>
      <c r="G4" s="225"/>
      <c r="H4" s="225"/>
    </row>
    <row r="5" spans="1:11" ht="15" customHeight="1" x14ac:dyDescent="0.25">
      <c r="B5" s="225"/>
      <c r="C5" s="225"/>
      <c r="D5" s="225"/>
      <c r="E5" s="212"/>
      <c r="F5" s="225"/>
      <c r="G5" s="225"/>
      <c r="H5" s="225"/>
    </row>
    <row r="6" spans="1:11" ht="15" customHeight="1" x14ac:dyDescent="0.25">
      <c r="B6" s="225"/>
      <c r="C6" s="225"/>
      <c r="D6" s="225"/>
      <c r="E6" s="212"/>
      <c r="F6" s="225"/>
      <c r="G6" s="225"/>
      <c r="H6" s="225"/>
    </row>
    <row r="7" spans="1:11" x14ac:dyDescent="0.25">
      <c r="B7" s="224" t="s">
        <v>155</v>
      </c>
      <c r="C7" s="831" t="str">
        <f>'CARTA DE CONTROL'!B270</f>
        <v>TERMOHIGROMETRO I</v>
      </c>
      <c r="D7" s="832"/>
      <c r="E7" s="833"/>
    </row>
    <row r="8" spans="1:11" x14ac:dyDescent="0.25">
      <c r="B8" s="224" t="s">
        <v>156</v>
      </c>
      <c r="C8" s="831" t="str">
        <f>'CARTA DE CONTROL'!D270</f>
        <v>TECNIMAQ</v>
      </c>
      <c r="D8" s="832"/>
      <c r="E8" s="833"/>
    </row>
    <row r="9" spans="1:11" x14ac:dyDescent="0.25">
      <c r="B9" s="224" t="s">
        <v>157</v>
      </c>
      <c r="C9" s="831" t="str">
        <f>'CARTA DE CONTROL'!E270</f>
        <v>MAXDETEC V 1.0</v>
      </c>
      <c r="D9" s="832"/>
      <c r="E9" s="833"/>
    </row>
    <row r="10" spans="1:11" x14ac:dyDescent="0.25">
      <c r="B10" s="224" t="s">
        <v>158</v>
      </c>
      <c r="C10" s="847" t="str">
        <f>'CARTA DE CONTROL'!F270</f>
        <v>TMI-THM0267</v>
      </c>
      <c r="D10" s="848"/>
      <c r="E10" s="849"/>
    </row>
    <row r="11" spans="1:11" ht="15" customHeight="1" thickBot="1" x14ac:dyDescent="0.3">
      <c r="B11" s="225"/>
      <c r="C11" s="225"/>
      <c r="D11" s="225"/>
      <c r="E11" s="212"/>
      <c r="F11" s="225"/>
      <c r="G11" s="225"/>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228" t="s">
        <v>128</v>
      </c>
      <c r="F13" s="843" t="s">
        <v>129</v>
      </c>
      <c r="G13" s="844"/>
      <c r="H13" s="203"/>
      <c r="I13" s="203"/>
      <c r="J13" s="203"/>
      <c r="K13" s="203"/>
    </row>
    <row r="14" spans="1:11" s="1" customFormat="1" ht="35.25" customHeight="1" x14ac:dyDescent="0.2">
      <c r="A14" s="206">
        <v>1</v>
      </c>
      <c r="B14" s="822" t="s">
        <v>130</v>
      </c>
      <c r="C14" s="822"/>
      <c r="D14" s="822"/>
      <c r="E14" s="227" t="s">
        <v>131</v>
      </c>
      <c r="F14" s="823"/>
      <c r="G14" s="824"/>
      <c r="H14" s="204"/>
      <c r="I14" s="204"/>
      <c r="J14" s="204"/>
      <c r="K14" s="204"/>
    </row>
    <row r="15" spans="1:11" s="1" customFormat="1" ht="35.25" customHeight="1" x14ac:dyDescent="0.2">
      <c r="A15" s="206">
        <v>2</v>
      </c>
      <c r="B15" s="822" t="s">
        <v>132</v>
      </c>
      <c r="C15" s="822"/>
      <c r="D15" s="822"/>
      <c r="E15" s="227" t="s">
        <v>131</v>
      </c>
      <c r="F15" s="823"/>
      <c r="G15" s="824"/>
    </row>
    <row r="16" spans="1:11" s="1" customFormat="1" ht="35.25" customHeight="1" x14ac:dyDescent="0.2">
      <c r="A16" s="206">
        <v>3</v>
      </c>
      <c r="B16" s="822" t="s">
        <v>133</v>
      </c>
      <c r="C16" s="822"/>
      <c r="D16" s="822"/>
      <c r="E16" s="227" t="s">
        <v>131</v>
      </c>
      <c r="F16" s="823"/>
      <c r="G16" s="824"/>
    </row>
    <row r="17" spans="1:7" s="1" customFormat="1" ht="35.25" customHeight="1" x14ac:dyDescent="0.2">
      <c r="A17" s="206">
        <v>4</v>
      </c>
      <c r="B17" s="822" t="s">
        <v>134</v>
      </c>
      <c r="C17" s="822"/>
      <c r="D17" s="822"/>
      <c r="E17" s="227" t="s">
        <v>131</v>
      </c>
      <c r="F17" s="845"/>
      <c r="G17" s="846"/>
    </row>
    <row r="18" spans="1:7" s="1" customFormat="1" ht="35.25" customHeight="1" x14ac:dyDescent="0.2">
      <c r="A18" s="206">
        <v>5</v>
      </c>
      <c r="B18" s="822" t="s">
        <v>135</v>
      </c>
      <c r="C18" s="822"/>
      <c r="D18" s="822"/>
      <c r="E18" s="227" t="s">
        <v>131</v>
      </c>
      <c r="F18" s="823"/>
      <c r="G18" s="824"/>
    </row>
    <row r="19" spans="1:7" s="1" customFormat="1" ht="35.25" customHeight="1" x14ac:dyDescent="0.2">
      <c r="A19" s="206">
        <v>6</v>
      </c>
      <c r="B19" s="822" t="s">
        <v>136</v>
      </c>
      <c r="C19" s="822"/>
      <c r="D19" s="822"/>
      <c r="E19" s="227" t="s">
        <v>131</v>
      </c>
      <c r="F19" s="823"/>
      <c r="G19" s="824"/>
    </row>
    <row r="20" spans="1:7" s="1" customFormat="1" ht="35.25" customHeight="1" x14ac:dyDescent="0.2">
      <c r="A20" s="206">
        <v>7</v>
      </c>
      <c r="B20" s="822" t="s">
        <v>137</v>
      </c>
      <c r="C20" s="822"/>
      <c r="D20" s="822"/>
      <c r="E20" s="227" t="s">
        <v>131</v>
      </c>
      <c r="F20" s="823"/>
      <c r="G20" s="824"/>
    </row>
    <row r="21" spans="1:7" s="1" customFormat="1" ht="35.25" customHeight="1" x14ac:dyDescent="0.2">
      <c r="A21" s="206">
        <v>8</v>
      </c>
      <c r="B21" s="822" t="s">
        <v>138</v>
      </c>
      <c r="C21" s="822"/>
      <c r="D21" s="822"/>
      <c r="E21" s="227" t="s">
        <v>131</v>
      </c>
      <c r="F21" s="823"/>
      <c r="G21" s="824"/>
    </row>
    <row r="22" spans="1:7" s="1" customFormat="1" ht="35.25" customHeight="1" x14ac:dyDescent="0.2">
      <c r="A22" s="206">
        <v>9</v>
      </c>
      <c r="B22" s="822" t="s">
        <v>139</v>
      </c>
      <c r="C22" s="822"/>
      <c r="D22" s="822"/>
      <c r="E22" s="227" t="s">
        <v>131</v>
      </c>
      <c r="F22" s="823"/>
      <c r="G22" s="824"/>
    </row>
    <row r="23" spans="1:7" s="1" customFormat="1" ht="35.25" customHeight="1" x14ac:dyDescent="0.2">
      <c r="A23" s="206">
        <v>10</v>
      </c>
      <c r="B23" s="822" t="s">
        <v>140</v>
      </c>
      <c r="C23" s="822"/>
      <c r="D23" s="822"/>
      <c r="E23" s="227" t="s">
        <v>131</v>
      </c>
      <c r="F23" s="823"/>
      <c r="G23" s="824"/>
    </row>
    <row r="24" spans="1:7" s="1" customFormat="1" ht="35.25" customHeight="1" x14ac:dyDescent="0.2">
      <c r="A24" s="206">
        <v>11</v>
      </c>
      <c r="B24" s="822" t="s">
        <v>141</v>
      </c>
      <c r="C24" s="822"/>
      <c r="D24" s="822"/>
      <c r="E24" s="227" t="s">
        <v>131</v>
      </c>
      <c r="F24" s="823"/>
      <c r="G24" s="824"/>
    </row>
    <row r="25" spans="1:7" s="192" customFormat="1" ht="35.25" customHeight="1" x14ac:dyDescent="0.2">
      <c r="A25" s="207">
        <v>12</v>
      </c>
      <c r="B25" s="822" t="s">
        <v>142</v>
      </c>
      <c r="C25" s="822"/>
      <c r="D25" s="822"/>
      <c r="E25" s="191" t="s">
        <v>131</v>
      </c>
      <c r="F25" s="823"/>
      <c r="G25" s="824"/>
    </row>
    <row r="26" spans="1:7" s="1" customFormat="1" ht="35.25" customHeight="1" x14ac:dyDescent="0.2">
      <c r="A26" s="206">
        <v>13</v>
      </c>
      <c r="B26" s="822" t="s">
        <v>143</v>
      </c>
      <c r="C26" s="822"/>
      <c r="D26" s="822"/>
      <c r="E26" s="227" t="s">
        <v>131</v>
      </c>
      <c r="F26" s="823"/>
      <c r="G26" s="824"/>
    </row>
    <row r="27" spans="1:7" s="1" customFormat="1" ht="35.25" customHeight="1" x14ac:dyDescent="0.2">
      <c r="A27" s="206">
        <v>14</v>
      </c>
      <c r="B27" s="822" t="s">
        <v>144</v>
      </c>
      <c r="C27" s="822"/>
      <c r="D27" s="822"/>
      <c r="E27" s="227" t="s">
        <v>131</v>
      </c>
      <c r="F27" s="823"/>
      <c r="G27" s="824"/>
    </row>
    <row r="28" spans="1:7" s="1" customFormat="1" ht="54.75" customHeight="1" thickBot="1" x14ac:dyDescent="0.25">
      <c r="A28" s="208">
        <v>15</v>
      </c>
      <c r="B28" s="825" t="s">
        <v>145</v>
      </c>
      <c r="C28" s="825"/>
      <c r="D28" s="825"/>
      <c r="E28" s="226" t="s">
        <v>131</v>
      </c>
      <c r="F28" s="826"/>
      <c r="G28" s="827"/>
    </row>
    <row r="30" spans="1:7" ht="15.75" thickBot="1" x14ac:dyDescent="0.3"/>
    <row r="31" spans="1:7" ht="79.5" thickBot="1" x14ac:dyDescent="0.3">
      <c r="B31" s="2" t="s">
        <v>39</v>
      </c>
      <c r="C31" s="11" t="s">
        <v>91</v>
      </c>
      <c r="D31" s="11" t="s">
        <v>92</v>
      </c>
      <c r="E31" s="2" t="s">
        <v>93</v>
      </c>
      <c r="F31" s="2" t="s">
        <v>94</v>
      </c>
      <c r="G31" s="21" t="s">
        <v>95</v>
      </c>
    </row>
    <row r="32" spans="1:7" ht="15.75" thickBot="1" x14ac:dyDescent="0.3">
      <c r="B32" s="3">
        <f>'CARTA DE CONTROL'!Q270</f>
        <v>4.9000000000000004</v>
      </c>
      <c r="C32" s="4">
        <f>'CARTA DE CONTROL'!AR270</f>
        <v>1.2</v>
      </c>
      <c r="D32" s="4">
        <f>'CARTA DE CONTROL'!AS270</f>
        <v>-1.2</v>
      </c>
      <c r="E32" s="6">
        <f>'CARTA DE CONTROL'!I270</f>
        <v>2</v>
      </c>
      <c r="F32" s="7">
        <f>-('CARTA DE CONTROL'!I270)</f>
        <v>-2</v>
      </c>
      <c r="G32" s="5" t="str">
        <f>IF(C32&lt;=2,IF(D32&gt;=-2,"PASS","NO PASS"))</f>
        <v>PASS</v>
      </c>
    </row>
    <row r="33" spans="1:8" ht="15.75" thickBot="1" x14ac:dyDescent="0.3">
      <c r="B33" s="3">
        <f>'CARTA DE CONTROL'!Q271</f>
        <v>25.1</v>
      </c>
      <c r="C33" s="4">
        <f>'CARTA DE CONTROL'!AR271</f>
        <v>1.2</v>
      </c>
      <c r="D33" s="4">
        <f>'CARTA DE CONTROL'!AS271</f>
        <v>-1.2</v>
      </c>
      <c r="E33" s="6">
        <f>'CARTA DE CONTROL'!I271</f>
        <v>2</v>
      </c>
      <c r="F33" s="7">
        <f>-('CARTA DE CONTROL'!I271)</f>
        <v>-2</v>
      </c>
      <c r="G33" s="5" t="str">
        <f t="shared" ref="G33:G34" si="0">IF(C33&lt;=2,IF(D33&gt;=-2,"PASS","NO PASS"))</f>
        <v>PASS</v>
      </c>
    </row>
    <row r="34" spans="1:8" ht="15.75" thickBot="1" x14ac:dyDescent="0.3">
      <c r="B34" s="3">
        <f>'CARTA DE CONTROL'!Q272</f>
        <v>55.2</v>
      </c>
      <c r="C34" s="4">
        <f>'CARTA DE CONTROL'!AR272</f>
        <v>1.3</v>
      </c>
      <c r="D34" s="4">
        <f>'CARTA DE CONTROL'!AS272</f>
        <v>-1.3</v>
      </c>
      <c r="E34" s="6">
        <f>'CARTA DE CONTROL'!I272</f>
        <v>2</v>
      </c>
      <c r="F34" s="7">
        <f>-('CARTA DE CONTROL'!I272)</f>
        <v>-2</v>
      </c>
      <c r="G34" s="5" t="str">
        <f t="shared" si="0"/>
        <v>PASS</v>
      </c>
    </row>
    <row r="35" spans="1:8" x14ac:dyDescent="0.25">
      <c r="A35" s="1"/>
      <c r="B35" s="1"/>
      <c r="C35" s="1"/>
      <c r="D35" s="1"/>
      <c r="E35" s="1"/>
      <c r="F35" s="1"/>
      <c r="G35" s="1"/>
      <c r="H35" s="1"/>
    </row>
    <row r="36" spans="1:8" x14ac:dyDescent="0.25">
      <c r="A36" s="1"/>
      <c r="B36" s="1"/>
      <c r="C36" s="1"/>
      <c r="D36" s="1"/>
    </row>
    <row r="37" spans="1:8" x14ac:dyDescent="0.25">
      <c r="A37" s="1"/>
      <c r="B37" s="1"/>
      <c r="C37" s="1"/>
      <c r="D37" s="1"/>
    </row>
    <row r="38" spans="1:8" x14ac:dyDescent="0.25">
      <c r="A38" s="1"/>
      <c r="B38" s="1"/>
      <c r="C38" s="1"/>
      <c r="D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sheetData>
  <mergeCells count="37">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s>
  <conditionalFormatting sqref="G32:G34">
    <cfRule type="cellIs" dxfId="5" priority="5" operator="lessThan">
      <formula>$F$62</formula>
    </cfRule>
    <cfRule type="cellIs" dxfId="4" priority="6" operator="lessThan">
      <formula>0.05</formula>
    </cfRule>
  </conditionalFormatting>
  <conditionalFormatting sqref="G32:G34">
    <cfRule type="cellIs" dxfId="3" priority="4" operator="between">
      <formula>$F$62</formula>
      <formula>$G$62</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40" workbookViewId="0">
      <selection activeCell="B32" sqref="B32:F34"/>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62"/>
      <c r="C2" s="462"/>
      <c r="D2" s="462"/>
      <c r="E2" s="212"/>
      <c r="F2" s="462"/>
      <c r="G2" s="462"/>
      <c r="H2" s="462"/>
    </row>
    <row r="3" spans="1:11" ht="15" customHeight="1" x14ac:dyDescent="0.25">
      <c r="B3" s="462"/>
      <c r="C3" s="462"/>
      <c r="D3" s="462"/>
      <c r="E3" s="212"/>
      <c r="F3" s="462"/>
      <c r="G3" s="462"/>
      <c r="H3" s="462"/>
    </row>
    <row r="4" spans="1:11" ht="15" customHeight="1" x14ac:dyDescent="0.25">
      <c r="B4" s="462"/>
      <c r="C4" s="462"/>
      <c r="D4" s="462"/>
      <c r="E4" s="212"/>
      <c r="F4" s="462"/>
      <c r="G4" s="462"/>
      <c r="H4" s="462"/>
    </row>
    <row r="5" spans="1:11" ht="15" customHeight="1" x14ac:dyDescent="0.25">
      <c r="B5" s="462"/>
      <c r="C5" s="462"/>
      <c r="D5" s="462"/>
      <c r="E5" s="212"/>
      <c r="F5" s="462"/>
      <c r="G5" s="462"/>
      <c r="H5" s="462"/>
    </row>
    <row r="6" spans="1:11" ht="15" customHeight="1" x14ac:dyDescent="0.25">
      <c r="B6" s="462"/>
      <c r="C6" s="462"/>
      <c r="D6" s="462"/>
      <c r="E6" s="212"/>
      <c r="F6" s="462"/>
      <c r="G6" s="462"/>
      <c r="H6" s="462"/>
    </row>
    <row r="7" spans="1:11" x14ac:dyDescent="0.25">
      <c r="B7" s="224" t="s">
        <v>155</v>
      </c>
      <c r="C7" s="831" t="str">
        <f>'CARTA DE CONTROL'!B270</f>
        <v>TERMOHIGROMETRO I</v>
      </c>
      <c r="D7" s="832"/>
      <c r="E7" s="833"/>
    </row>
    <row r="8" spans="1:11" x14ac:dyDescent="0.25">
      <c r="B8" s="224" t="s">
        <v>156</v>
      </c>
      <c r="C8" s="831" t="str">
        <f>'CARTA DE CONTROL'!D270</f>
        <v>TECNIMAQ</v>
      </c>
      <c r="D8" s="832"/>
      <c r="E8" s="833"/>
    </row>
    <row r="9" spans="1:11" x14ac:dyDescent="0.25">
      <c r="B9" s="224" t="s">
        <v>157</v>
      </c>
      <c r="C9" s="831" t="str">
        <f>'CARTA DE CONTROL'!E270</f>
        <v>MAXDETEC V 1.0</v>
      </c>
      <c r="D9" s="832"/>
      <c r="E9" s="833"/>
    </row>
    <row r="10" spans="1:11" x14ac:dyDescent="0.25">
      <c r="B10" s="224" t="s">
        <v>158</v>
      </c>
      <c r="C10" s="847" t="str">
        <f>'CARTA DE CONTROL'!F270</f>
        <v>TMI-THM0267</v>
      </c>
      <c r="D10" s="848"/>
      <c r="E10" s="849"/>
    </row>
    <row r="11" spans="1:11" ht="15" customHeight="1" thickBot="1" x14ac:dyDescent="0.3">
      <c r="B11" s="462"/>
      <c r="C11" s="462"/>
      <c r="D11" s="462"/>
      <c r="E11" s="212"/>
      <c r="F11" s="462"/>
      <c r="G11" s="462"/>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64" t="s">
        <v>128</v>
      </c>
      <c r="F13" s="843" t="s">
        <v>129</v>
      </c>
      <c r="G13" s="844"/>
      <c r="H13" s="203"/>
      <c r="I13" s="203"/>
      <c r="J13" s="203"/>
      <c r="K13" s="203"/>
    </row>
    <row r="14" spans="1:11" s="1" customFormat="1" ht="35.25" customHeight="1" x14ac:dyDescent="0.2">
      <c r="A14" s="206">
        <v>1</v>
      </c>
      <c r="B14" s="822" t="s">
        <v>130</v>
      </c>
      <c r="C14" s="822"/>
      <c r="D14" s="822"/>
      <c r="E14" s="463" t="s">
        <v>131</v>
      </c>
      <c r="F14" s="823"/>
      <c r="G14" s="824"/>
      <c r="H14" s="204"/>
      <c r="I14" s="204"/>
      <c r="J14" s="204"/>
      <c r="K14" s="204"/>
    </row>
    <row r="15" spans="1:11" s="1" customFormat="1" ht="35.25" customHeight="1" x14ac:dyDescent="0.2">
      <c r="A15" s="206">
        <v>2</v>
      </c>
      <c r="B15" s="822" t="s">
        <v>132</v>
      </c>
      <c r="C15" s="822"/>
      <c r="D15" s="822"/>
      <c r="E15" s="463" t="s">
        <v>131</v>
      </c>
      <c r="F15" s="823"/>
      <c r="G15" s="824"/>
    </row>
    <row r="16" spans="1:11" s="1" customFormat="1" ht="35.25" customHeight="1" x14ac:dyDescent="0.2">
      <c r="A16" s="206">
        <v>3</v>
      </c>
      <c r="B16" s="822" t="s">
        <v>133</v>
      </c>
      <c r="C16" s="822"/>
      <c r="D16" s="822"/>
      <c r="E16" s="463" t="s">
        <v>131</v>
      </c>
      <c r="F16" s="823"/>
      <c r="G16" s="824"/>
    </row>
    <row r="17" spans="1:7" s="1" customFormat="1" ht="35.25" customHeight="1" x14ac:dyDescent="0.2">
      <c r="A17" s="206">
        <v>4</v>
      </c>
      <c r="B17" s="822" t="s">
        <v>134</v>
      </c>
      <c r="C17" s="822"/>
      <c r="D17" s="822"/>
      <c r="E17" s="463" t="s">
        <v>131</v>
      </c>
      <c r="F17" s="845"/>
      <c r="G17" s="846"/>
    </row>
    <row r="18" spans="1:7" s="1" customFormat="1" ht="35.25" customHeight="1" x14ac:dyDescent="0.2">
      <c r="A18" s="206">
        <v>5</v>
      </c>
      <c r="B18" s="822" t="s">
        <v>135</v>
      </c>
      <c r="C18" s="822"/>
      <c r="D18" s="822"/>
      <c r="E18" s="463" t="s">
        <v>131</v>
      </c>
      <c r="F18" s="823"/>
      <c r="G18" s="824"/>
    </row>
    <row r="19" spans="1:7" s="1" customFormat="1" ht="35.25" customHeight="1" x14ac:dyDescent="0.2">
      <c r="A19" s="206">
        <v>6</v>
      </c>
      <c r="B19" s="822" t="s">
        <v>136</v>
      </c>
      <c r="C19" s="822"/>
      <c r="D19" s="822"/>
      <c r="E19" s="463" t="s">
        <v>131</v>
      </c>
      <c r="F19" s="823"/>
      <c r="G19" s="824"/>
    </row>
    <row r="20" spans="1:7" s="1" customFormat="1" ht="35.25" customHeight="1" x14ac:dyDescent="0.2">
      <c r="A20" s="206">
        <v>7</v>
      </c>
      <c r="B20" s="822" t="s">
        <v>137</v>
      </c>
      <c r="C20" s="822"/>
      <c r="D20" s="822"/>
      <c r="E20" s="463" t="s">
        <v>131</v>
      </c>
      <c r="F20" s="823"/>
      <c r="G20" s="824"/>
    </row>
    <row r="21" spans="1:7" s="1" customFormat="1" ht="35.25" customHeight="1" x14ac:dyDescent="0.2">
      <c r="A21" s="206">
        <v>8</v>
      </c>
      <c r="B21" s="822" t="s">
        <v>138</v>
      </c>
      <c r="C21" s="822"/>
      <c r="D21" s="822"/>
      <c r="E21" s="463" t="s">
        <v>131</v>
      </c>
      <c r="F21" s="823"/>
      <c r="G21" s="824"/>
    </row>
    <row r="22" spans="1:7" s="1" customFormat="1" ht="35.25" customHeight="1" x14ac:dyDescent="0.2">
      <c r="A22" s="206">
        <v>9</v>
      </c>
      <c r="B22" s="822" t="s">
        <v>139</v>
      </c>
      <c r="C22" s="822"/>
      <c r="D22" s="822"/>
      <c r="E22" s="463" t="s">
        <v>131</v>
      </c>
      <c r="F22" s="823"/>
      <c r="G22" s="824"/>
    </row>
    <row r="23" spans="1:7" s="1" customFormat="1" ht="35.25" customHeight="1" x14ac:dyDescent="0.2">
      <c r="A23" s="206">
        <v>10</v>
      </c>
      <c r="B23" s="822" t="s">
        <v>140</v>
      </c>
      <c r="C23" s="822"/>
      <c r="D23" s="822"/>
      <c r="E23" s="463" t="s">
        <v>131</v>
      </c>
      <c r="F23" s="823"/>
      <c r="G23" s="824"/>
    </row>
    <row r="24" spans="1:7" s="1" customFormat="1" ht="35.25" customHeight="1" x14ac:dyDescent="0.2">
      <c r="A24" s="206">
        <v>11</v>
      </c>
      <c r="B24" s="822" t="s">
        <v>141</v>
      </c>
      <c r="C24" s="822"/>
      <c r="D24" s="822"/>
      <c r="E24" s="463" t="s">
        <v>131</v>
      </c>
      <c r="F24" s="823"/>
      <c r="G24" s="824"/>
    </row>
    <row r="25" spans="1:7" s="192" customFormat="1" ht="35.25" customHeight="1" x14ac:dyDescent="0.2">
      <c r="A25" s="207">
        <v>12</v>
      </c>
      <c r="B25" s="822" t="s">
        <v>142</v>
      </c>
      <c r="C25" s="822"/>
      <c r="D25" s="822"/>
      <c r="E25" s="191" t="s">
        <v>131</v>
      </c>
      <c r="F25" s="823"/>
      <c r="G25" s="824"/>
    </row>
    <row r="26" spans="1:7" s="1" customFormat="1" ht="35.25" customHeight="1" x14ac:dyDescent="0.2">
      <c r="A26" s="206">
        <v>13</v>
      </c>
      <c r="B26" s="822" t="s">
        <v>143</v>
      </c>
      <c r="C26" s="822"/>
      <c r="D26" s="822"/>
      <c r="E26" s="463" t="s">
        <v>131</v>
      </c>
      <c r="F26" s="823"/>
      <c r="G26" s="824"/>
    </row>
    <row r="27" spans="1:7" s="1" customFormat="1" ht="35.25" customHeight="1" x14ac:dyDescent="0.2">
      <c r="A27" s="206">
        <v>14</v>
      </c>
      <c r="B27" s="822" t="s">
        <v>144</v>
      </c>
      <c r="C27" s="822"/>
      <c r="D27" s="822"/>
      <c r="E27" s="463" t="s">
        <v>131</v>
      </c>
      <c r="F27" s="823"/>
      <c r="G27" s="824"/>
    </row>
    <row r="28" spans="1:7" s="1" customFormat="1" ht="54.75" customHeight="1" thickBot="1" x14ac:dyDescent="0.25">
      <c r="A28" s="208">
        <v>15</v>
      </c>
      <c r="B28" s="825" t="s">
        <v>145</v>
      </c>
      <c r="C28" s="825"/>
      <c r="D28" s="825"/>
      <c r="E28" s="465" t="s">
        <v>131</v>
      </c>
      <c r="F28" s="826"/>
      <c r="G28" s="827"/>
    </row>
    <row r="30" spans="1:7" ht="15.75" thickBot="1" x14ac:dyDescent="0.3"/>
    <row r="31" spans="1:7" ht="79.5" thickBot="1" x14ac:dyDescent="0.3">
      <c r="B31" s="2" t="s">
        <v>39</v>
      </c>
      <c r="C31" s="11" t="s">
        <v>91</v>
      </c>
      <c r="D31" s="11" t="s">
        <v>92</v>
      </c>
      <c r="E31" s="2" t="s">
        <v>93</v>
      </c>
      <c r="F31" s="2" t="s">
        <v>94</v>
      </c>
      <c r="G31" s="21" t="s">
        <v>95</v>
      </c>
    </row>
    <row r="32" spans="1:7" ht="15.75" thickBot="1" x14ac:dyDescent="0.3">
      <c r="B32" s="3">
        <f>'CARTA DE CONTROL'!Q273</f>
        <v>30.3</v>
      </c>
      <c r="C32" s="4">
        <f>'CARTA DE CONTROL'!AR273</f>
        <v>1.3999999999999986</v>
      </c>
      <c r="D32" s="4">
        <f>'CARTA DE CONTROL'!AS273</f>
        <v>-1.6000000000000014</v>
      </c>
      <c r="E32" s="6">
        <f>'CARTA DE CONTROL'!I273</f>
        <v>3</v>
      </c>
      <c r="F32" s="7">
        <f>-('CARTA DE CONTROL'!I273)</f>
        <v>-3</v>
      </c>
      <c r="G32" s="5" t="str">
        <f>IF(C32&lt;=2,IF(D32&gt;=-2,"PASS","NO PASS"))</f>
        <v>PASS</v>
      </c>
    </row>
    <row r="33" spans="1:8" ht="15.75" thickBot="1" x14ac:dyDescent="0.3">
      <c r="B33" s="3">
        <f>'CARTA DE CONTROL'!Q274</f>
        <v>60.2</v>
      </c>
      <c r="C33" s="4">
        <f>'CARTA DE CONTROL'!AR274</f>
        <v>1.9</v>
      </c>
      <c r="D33" s="4">
        <f>'CARTA DE CONTROL'!AS274</f>
        <v>-1.9</v>
      </c>
      <c r="E33" s="6">
        <f>'CARTA DE CONTROL'!I274</f>
        <v>3</v>
      </c>
      <c r="F33" s="7">
        <f>-('CARTA DE CONTROL'!I274)</f>
        <v>-3</v>
      </c>
      <c r="G33" s="5" t="str">
        <f t="shared" ref="G33:G34" si="0">IF(C33&lt;=2,IF(D33&gt;=-2,"PASS","NO PASS"))</f>
        <v>PASS</v>
      </c>
    </row>
    <row r="34" spans="1:8" ht="15.75" thickBot="1" x14ac:dyDescent="0.3">
      <c r="B34" s="3">
        <f>'CARTA DE CONTROL'!Q275</f>
        <v>90.4</v>
      </c>
      <c r="C34" s="4">
        <f>'CARTA DE CONTROL'!AR275</f>
        <v>1.7999999999999914</v>
      </c>
      <c r="D34" s="4">
        <f>'CARTA DE CONTROL'!AS275</f>
        <v>-2.0000000000000084</v>
      </c>
      <c r="E34" s="6">
        <f>'CARTA DE CONTROL'!I275</f>
        <v>3</v>
      </c>
      <c r="F34" s="7">
        <f>-('CARTA DE CONTROL'!I275)</f>
        <v>-3</v>
      </c>
      <c r="G34" s="5" t="str">
        <f t="shared" si="0"/>
        <v>NO PASS</v>
      </c>
    </row>
    <row r="35" spans="1:8" x14ac:dyDescent="0.25">
      <c r="A35" s="1"/>
      <c r="B35" s="1"/>
      <c r="C35" s="1"/>
      <c r="D35" s="1"/>
      <c r="E35" s="1"/>
      <c r="F35" s="1"/>
      <c r="G35" s="1"/>
      <c r="H35" s="1"/>
    </row>
    <row r="36" spans="1:8" x14ac:dyDescent="0.25">
      <c r="A36" s="1"/>
      <c r="B36" s="1"/>
      <c r="C36" s="1"/>
      <c r="D36" s="1"/>
    </row>
    <row r="37" spans="1:8" x14ac:dyDescent="0.25">
      <c r="A37" s="1"/>
      <c r="B37" s="1"/>
      <c r="C37" s="1"/>
      <c r="D37" s="1"/>
    </row>
    <row r="38" spans="1:8" x14ac:dyDescent="0.25">
      <c r="A38" s="1"/>
      <c r="B38" s="1"/>
      <c r="C38" s="1"/>
      <c r="D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sheetData>
  <mergeCells count="37">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32:G34">
    <cfRule type="cellIs" dxfId="2" priority="2" operator="lessThan">
      <formula>$F$62</formula>
    </cfRule>
    <cfRule type="cellIs" dxfId="1" priority="3" operator="lessThan">
      <formula>0.05</formula>
    </cfRule>
  </conditionalFormatting>
  <conditionalFormatting sqref="G32:G34">
    <cfRule type="cellIs" dxfId="0" priority="1" operator="between">
      <formula>$F$62</formula>
      <formula>$G$62</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67" zoomScaleNormal="100" workbookViewId="0">
      <selection activeCell="G95" sqref="G95"/>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8" max="8" width="12.710937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CONTROL'!B10</f>
        <v>ANALIZADOR DE GASES 1</v>
      </c>
      <c r="D7" s="832"/>
      <c r="E7" s="833"/>
    </row>
    <row r="8" spans="1:11" x14ac:dyDescent="0.25">
      <c r="B8" s="224" t="s">
        <v>156</v>
      </c>
      <c r="C8" s="831" t="str">
        <f>'CARTA DE CONTROL'!D10</f>
        <v>ACTIA</v>
      </c>
      <c r="D8" s="832"/>
      <c r="E8" s="833"/>
    </row>
    <row r="9" spans="1:11" x14ac:dyDescent="0.25">
      <c r="B9" s="224" t="s">
        <v>157</v>
      </c>
      <c r="C9" s="831" t="str">
        <f>'CARTA DE CONTROL'!E10</f>
        <v>AT505</v>
      </c>
      <c r="D9" s="832"/>
      <c r="E9" s="833"/>
    </row>
    <row r="10" spans="1:11" x14ac:dyDescent="0.25">
      <c r="B10" s="224" t="s">
        <v>158</v>
      </c>
      <c r="C10" s="834" t="str">
        <f>'CARTA DE CONTROL'!F10</f>
        <v>021/18</v>
      </c>
      <c r="D10" s="835"/>
      <c r="E10" s="836"/>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8" t="s">
        <v>128</v>
      </c>
      <c r="F13" s="843" t="s">
        <v>129</v>
      </c>
      <c r="G13" s="844"/>
      <c r="H13" s="203"/>
      <c r="I13" s="203"/>
      <c r="J13" s="203"/>
      <c r="K13" s="203"/>
    </row>
    <row r="14" spans="1:11" s="1" customFormat="1" ht="35.25" customHeight="1" x14ac:dyDescent="0.2">
      <c r="A14" s="206">
        <v>1</v>
      </c>
      <c r="B14" s="822" t="s">
        <v>130</v>
      </c>
      <c r="C14" s="822"/>
      <c r="D14" s="822"/>
      <c r="E14" s="189" t="s">
        <v>131</v>
      </c>
      <c r="F14" s="823"/>
      <c r="G14" s="824"/>
      <c r="H14" s="204"/>
      <c r="I14" s="204"/>
      <c r="J14" s="204"/>
      <c r="K14" s="204"/>
    </row>
    <row r="15" spans="1:11" s="1" customFormat="1" ht="35.25" customHeight="1" x14ac:dyDescent="0.2">
      <c r="A15" s="206">
        <v>2</v>
      </c>
      <c r="B15" s="822" t="s">
        <v>132</v>
      </c>
      <c r="C15" s="822"/>
      <c r="D15" s="822"/>
      <c r="E15" s="189" t="s">
        <v>131</v>
      </c>
      <c r="F15" s="823"/>
      <c r="G15" s="824"/>
    </row>
    <row r="16" spans="1:11" s="1" customFormat="1" ht="35.25" customHeight="1" x14ac:dyDescent="0.2">
      <c r="A16" s="206">
        <v>3</v>
      </c>
      <c r="B16" s="822" t="s">
        <v>133</v>
      </c>
      <c r="C16" s="822"/>
      <c r="D16" s="822"/>
      <c r="E16" s="189" t="s">
        <v>131</v>
      </c>
      <c r="F16" s="823"/>
      <c r="G16" s="824"/>
    </row>
    <row r="17" spans="1:11" s="1" customFormat="1" ht="35.25" customHeight="1" x14ac:dyDescent="0.2">
      <c r="A17" s="206">
        <v>4</v>
      </c>
      <c r="B17" s="822" t="s">
        <v>134</v>
      </c>
      <c r="C17" s="822"/>
      <c r="D17" s="822"/>
      <c r="E17" s="189" t="s">
        <v>131</v>
      </c>
      <c r="F17" s="845"/>
      <c r="G17" s="846"/>
    </row>
    <row r="18" spans="1:11" s="1" customFormat="1" ht="35.25" customHeight="1" x14ac:dyDescent="0.2">
      <c r="A18" s="206">
        <v>5</v>
      </c>
      <c r="B18" s="822" t="s">
        <v>135</v>
      </c>
      <c r="C18" s="822"/>
      <c r="D18" s="822"/>
      <c r="E18" s="189" t="s">
        <v>131</v>
      </c>
      <c r="F18" s="823"/>
      <c r="G18" s="824"/>
    </row>
    <row r="19" spans="1:11" s="1" customFormat="1" ht="35.25" customHeight="1" x14ac:dyDescent="0.2">
      <c r="A19" s="206">
        <v>6</v>
      </c>
      <c r="B19" s="822" t="s">
        <v>136</v>
      </c>
      <c r="C19" s="822"/>
      <c r="D19" s="822"/>
      <c r="E19" s="189" t="s">
        <v>131</v>
      </c>
      <c r="F19" s="823"/>
      <c r="G19" s="824"/>
    </row>
    <row r="20" spans="1:11" s="1" customFormat="1" ht="35.25" customHeight="1" x14ac:dyDescent="0.2">
      <c r="A20" s="206">
        <v>7</v>
      </c>
      <c r="B20" s="822" t="s">
        <v>137</v>
      </c>
      <c r="C20" s="822"/>
      <c r="D20" s="822"/>
      <c r="E20" s="189" t="s">
        <v>131</v>
      </c>
      <c r="F20" s="823"/>
      <c r="G20" s="824"/>
    </row>
    <row r="21" spans="1:11" s="1" customFormat="1" ht="35.25" customHeight="1" x14ac:dyDescent="0.2">
      <c r="A21" s="206">
        <v>8</v>
      </c>
      <c r="B21" s="822" t="s">
        <v>138</v>
      </c>
      <c r="C21" s="822"/>
      <c r="D21" s="822"/>
      <c r="E21" s="189" t="s">
        <v>131</v>
      </c>
      <c r="F21" s="823"/>
      <c r="G21" s="824"/>
    </row>
    <row r="22" spans="1:11" s="1" customFormat="1" ht="35.25" customHeight="1" x14ac:dyDescent="0.2">
      <c r="A22" s="206">
        <v>9</v>
      </c>
      <c r="B22" s="822" t="s">
        <v>139</v>
      </c>
      <c r="C22" s="822"/>
      <c r="D22" s="822"/>
      <c r="E22" s="189" t="s">
        <v>131</v>
      </c>
      <c r="F22" s="823"/>
      <c r="G22" s="824"/>
    </row>
    <row r="23" spans="1:11" s="1" customFormat="1" ht="35.25" customHeight="1" x14ac:dyDescent="0.2">
      <c r="A23" s="206">
        <v>10</v>
      </c>
      <c r="B23" s="822" t="s">
        <v>140</v>
      </c>
      <c r="C23" s="822"/>
      <c r="D23" s="822"/>
      <c r="E23" s="189" t="s">
        <v>131</v>
      </c>
      <c r="F23" s="823"/>
      <c r="G23" s="824"/>
    </row>
    <row r="24" spans="1:11" s="1" customFormat="1" ht="35.25" customHeight="1" x14ac:dyDescent="0.2">
      <c r="A24" s="206">
        <v>11</v>
      </c>
      <c r="B24" s="822" t="s">
        <v>141</v>
      </c>
      <c r="C24" s="822"/>
      <c r="D24" s="822"/>
      <c r="E24" s="189"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89" t="s">
        <v>131</v>
      </c>
      <c r="F26" s="823"/>
      <c r="G26" s="824"/>
    </row>
    <row r="27" spans="1:11" s="1" customFormat="1" ht="35.25" customHeight="1" x14ac:dyDescent="0.2">
      <c r="A27" s="206">
        <v>14</v>
      </c>
      <c r="B27" s="822" t="s">
        <v>144</v>
      </c>
      <c r="C27" s="822"/>
      <c r="D27" s="822"/>
      <c r="E27" s="189" t="s">
        <v>131</v>
      </c>
      <c r="F27" s="823"/>
      <c r="G27" s="824"/>
    </row>
    <row r="28" spans="1:11" s="1" customFormat="1" ht="54.75" customHeight="1" thickBot="1" x14ac:dyDescent="0.25">
      <c r="A28" s="208">
        <v>15</v>
      </c>
      <c r="B28" s="825" t="s">
        <v>145</v>
      </c>
      <c r="C28" s="825"/>
      <c r="D28" s="825"/>
      <c r="E28" s="209"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9" spans="1:8" ht="15.75" thickBot="1" x14ac:dyDescent="0.3"/>
    <row r="40" spans="1:8" ht="79.5" thickBot="1" x14ac:dyDescent="0.3">
      <c r="B40" s="2" t="s">
        <v>39</v>
      </c>
      <c r="C40" s="11" t="s">
        <v>91</v>
      </c>
      <c r="D40" s="11" t="s">
        <v>92</v>
      </c>
      <c r="E40" s="2" t="s">
        <v>93</v>
      </c>
      <c r="F40" s="2" t="s">
        <v>94</v>
      </c>
      <c r="G40" s="21" t="s">
        <v>95</v>
      </c>
    </row>
    <row r="41" spans="1:8" ht="15.75" thickBot="1" x14ac:dyDescent="0.3">
      <c r="B41" s="3">
        <f>'CARTA DE CONTROL'!R14</f>
        <v>5.98</v>
      </c>
      <c r="C41" s="4">
        <f>'CARTA DE CONTROL'!AR14</f>
        <v>0.12</v>
      </c>
      <c r="D41" s="4">
        <f>'CARTA DE CONTROL'!AT14</f>
        <v>0.12</v>
      </c>
      <c r="E41" s="6">
        <f>'CARTA DE CONTROL'!I14</f>
        <v>0.6</v>
      </c>
      <c r="F41" s="7">
        <f>-('CARTA DE CONTROL'!I14)</f>
        <v>-0.6</v>
      </c>
      <c r="G41" s="5" t="str">
        <f>IF(C41&lt;=0.4,IF(D41&gt;=-0.4,"PASS","NO PASS"))</f>
        <v>PASS</v>
      </c>
    </row>
    <row r="42" spans="1:8" ht="15.75" thickBot="1" x14ac:dyDescent="0.3">
      <c r="B42" s="3">
        <f>'CARTA DE CONTROL'!R15</f>
        <v>10.5</v>
      </c>
      <c r="C42" s="4">
        <f>'CARTA DE CONTROL'!AR15</f>
        <v>0.10000000000000037</v>
      </c>
      <c r="D42" s="4">
        <f>'CARTA DE CONTROL'!AT15</f>
        <v>0.10000000000000037</v>
      </c>
      <c r="E42" s="6">
        <f>'CARTA DE CONTROL'!I15</f>
        <v>0.6</v>
      </c>
      <c r="F42" s="7">
        <f>-('CARTA DE CONTROL'!I15)</f>
        <v>-0.6</v>
      </c>
      <c r="G42" s="5" t="str">
        <f>IF(C42&lt;=0.8,IF(D42&gt;=-0.8,"PASS","NO PASS"))</f>
        <v>PASS</v>
      </c>
    </row>
    <row r="43" spans="1:8" ht="15.75" thickBot="1" x14ac:dyDescent="0.3">
      <c r="B43" s="3">
        <f>'CARTA DE CONTROL'!R16</f>
        <v>13.02</v>
      </c>
      <c r="C43" s="4">
        <f>'CARTA DE CONTROL'!AR16</f>
        <v>0.15</v>
      </c>
      <c r="D43" s="4">
        <f>'CARTA DE CONTROL'!AT16</f>
        <v>0.15</v>
      </c>
      <c r="E43" s="6">
        <f>'CARTA DE CONTROL'!I16</f>
        <v>0.6</v>
      </c>
      <c r="F43" s="7">
        <f>-('CARTA DE CONTROL'!I16)</f>
        <v>-0.6</v>
      </c>
      <c r="G43" s="5" t="str">
        <f>IF(C43&lt;=0.4,IF(D43&gt;=-0.4,"PASS","NO PASS"))</f>
        <v>PASS</v>
      </c>
    </row>
    <row r="44" spans="1:8" ht="15.75" thickBot="1" x14ac:dyDescent="0.3">
      <c r="B44" s="3">
        <f>'CARTA DE CONTROL'!R17</f>
        <v>0</v>
      </c>
      <c r="C44" s="4">
        <f>'CARTA DE CONTROL'!AR17</f>
        <v>5.8000000000000003E-2</v>
      </c>
      <c r="D44" s="4">
        <f>'CARTA DE CONTROL'!AT17</f>
        <v>5.8000000000000003E-2</v>
      </c>
      <c r="E44" s="6">
        <f>'CARTA DE CONTROL'!I17</f>
        <v>0.6</v>
      </c>
      <c r="F44" s="7">
        <f>-('CARTA DE CONTROL'!I17)</f>
        <v>-0.6</v>
      </c>
      <c r="G44" s="5" t="str">
        <f>IF(C44&lt;=0.8,IF(D44&gt;=-0.8,"PASS","NO PASS"))</f>
        <v>PASS</v>
      </c>
    </row>
    <row r="45" spans="1:8" ht="15.75" thickBot="1" x14ac:dyDescent="0.3">
      <c r="A45" s="1"/>
      <c r="B45" s="3">
        <f>'CARTA DE CONTROL'!R30</f>
        <v>5.98</v>
      </c>
      <c r="C45" s="4">
        <f>'CARTA DE CONTROL'!AR30</f>
        <v>0.12</v>
      </c>
      <c r="D45" s="4">
        <f>'CARTA DE CONTROL'!AT30</f>
        <v>0.12</v>
      </c>
      <c r="E45" s="6">
        <f>'CARTA DE CONTROL'!I30</f>
        <v>0.6</v>
      </c>
      <c r="F45" s="7">
        <f>-('CARTA DE CONTROL'!I30)</f>
        <v>-0.6</v>
      </c>
      <c r="G45" s="5" t="str">
        <f t="shared" ref="G45" si="0">IF(C45&lt;=0.8,IF(D45&gt;=-0.8,"PASS","NO PASS"))</f>
        <v>PASS</v>
      </c>
      <c r="H45" s="1"/>
    </row>
    <row r="46" spans="1:8" ht="15.75" thickBot="1" x14ac:dyDescent="0.3">
      <c r="A46" s="1"/>
      <c r="B46" s="3">
        <f>'CARTA DE CONTROL'!R31</f>
        <v>10.5</v>
      </c>
      <c r="C46" s="4">
        <f>'CARTA DE CONTROL'!AR31</f>
        <v>0.2</v>
      </c>
      <c r="D46" s="4">
        <f>'CARTA DE CONTROL'!AT31</f>
        <v>0.2</v>
      </c>
      <c r="E46" s="6">
        <f>'CARTA DE CONTROL'!I31</f>
        <v>0.6</v>
      </c>
      <c r="F46" s="7">
        <f>-('CARTA DE CONTROL'!I31)</f>
        <v>-0.6</v>
      </c>
      <c r="G46" s="5" t="str">
        <f t="shared" ref="G46:G48" si="1">IF(C46&lt;=0.8,IF(D46&gt;=-0.8,"PASS","NO PASS"))</f>
        <v>PASS</v>
      </c>
    </row>
    <row r="47" spans="1:8" ht="15.75" thickBot="1" x14ac:dyDescent="0.3">
      <c r="A47" s="1"/>
      <c r="B47" s="3">
        <f>'CARTA DE CONTROL'!R32</f>
        <v>13.02</v>
      </c>
      <c r="C47" s="4">
        <f>'CARTA DE CONTROL'!AR32</f>
        <v>0.15</v>
      </c>
      <c r="D47" s="4">
        <f>'CARTA DE CONTROL'!AT32</f>
        <v>0.15</v>
      </c>
      <c r="E47" s="6">
        <f>'CARTA DE CONTROL'!I32</f>
        <v>0.6</v>
      </c>
      <c r="F47" s="7">
        <f>-('CARTA DE CONTROL'!I32)</f>
        <v>-0.6</v>
      </c>
      <c r="G47" s="5" t="str">
        <f t="shared" si="1"/>
        <v>PASS</v>
      </c>
    </row>
    <row r="48" spans="1:8" ht="15.75" thickBot="1" x14ac:dyDescent="0.3">
      <c r="A48" s="1"/>
      <c r="B48" s="3">
        <f>'CARTA DE CONTROL'!R33</f>
        <v>0</v>
      </c>
      <c r="C48" s="4">
        <f>'CARTA DE CONTROL'!AR33</f>
        <v>5.8000000000000003E-2</v>
      </c>
      <c r="D48" s="4">
        <f>'CARTA DE CONTROL'!AT33</f>
        <v>5.8000000000000003E-2</v>
      </c>
      <c r="E48" s="6">
        <f>'CARTA DE CONTROL'!I33</f>
        <v>0.6</v>
      </c>
      <c r="F48" s="7">
        <f>-('CARTA DE CONTROL'!I33)</f>
        <v>-0.6</v>
      </c>
      <c r="G48" s="5" t="str">
        <f t="shared" si="1"/>
        <v>PASS</v>
      </c>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7" spans="2:5" ht="15.75" thickBot="1" x14ac:dyDescent="0.3"/>
    <row r="68" spans="2:5" ht="15.75" thickBot="1" x14ac:dyDescent="0.3">
      <c r="B68" s="812" t="s">
        <v>82</v>
      </c>
      <c r="C68" s="813"/>
      <c r="D68" s="813"/>
      <c r="E68" s="814"/>
    </row>
    <row r="69" spans="2:5" ht="45.75" thickBot="1" x14ac:dyDescent="0.3">
      <c r="B69" s="2" t="s">
        <v>39</v>
      </c>
      <c r="C69" s="10" t="s">
        <v>83</v>
      </c>
      <c r="D69" s="2" t="s">
        <v>84</v>
      </c>
      <c r="E69" s="21" t="s">
        <v>85</v>
      </c>
    </row>
    <row r="70" spans="2:5" ht="15.75" thickBot="1" x14ac:dyDescent="0.3">
      <c r="B70" s="3">
        <f>'CARTA DE CONTROL'!R14</f>
        <v>5.98</v>
      </c>
      <c r="C70" s="4">
        <f>'CARTA DE CONTROL'!AN14</f>
        <v>0.05</v>
      </c>
      <c r="D70" s="6">
        <f>'CARTA DE CONTROL'!M14</f>
        <v>0.2</v>
      </c>
      <c r="E70" s="5" t="str">
        <f>IF(C70&lt;=0.2,IF(C70&gt;=-0.2,"PASS","NO PASS"))</f>
        <v>PASS</v>
      </c>
    </row>
    <row r="71" spans="2:5" ht="15.75" thickBot="1" x14ac:dyDescent="0.3">
      <c r="B71" s="3">
        <f>'CARTA DE CONTROL'!R15</f>
        <v>10.5</v>
      </c>
      <c r="C71" s="4">
        <f>'CARTA DE CONTROL'!AN15</f>
        <v>0.05</v>
      </c>
      <c r="D71" s="6">
        <f>'CARTA DE CONTROL'!M15</f>
        <v>0.2</v>
      </c>
      <c r="E71" s="5" t="str">
        <f t="shared" ref="E71:E73" si="2">IF(C71&lt;=0.2,IF(C71&gt;=-0.2,"PASS","NO PASS"))</f>
        <v>PASS</v>
      </c>
    </row>
    <row r="72" spans="2:5" ht="15.75" thickBot="1" x14ac:dyDescent="0.3">
      <c r="B72" s="3">
        <f>'CARTA DE CONTROL'!R16</f>
        <v>13.02</v>
      </c>
      <c r="C72" s="4">
        <f>'CARTA DE CONTROL'!AN16</f>
        <v>0</v>
      </c>
      <c r="D72" s="6">
        <f>'CARTA DE CONTROL'!M16</f>
        <v>0.2</v>
      </c>
      <c r="E72" s="5" t="str">
        <f t="shared" si="2"/>
        <v>PASS</v>
      </c>
    </row>
    <row r="73" spans="2:5" ht="15.75" thickBot="1" x14ac:dyDescent="0.3">
      <c r="B73" s="3">
        <f>'CARTA DE CONTROL'!R17</f>
        <v>0</v>
      </c>
      <c r="C73" s="4">
        <f>'CARTA DE CONTROL'!AN17</f>
        <v>0</v>
      </c>
      <c r="D73" s="6">
        <f>'CARTA DE CONTROL'!M17</f>
        <v>0.2</v>
      </c>
      <c r="E73" s="5" t="str">
        <f t="shared" si="2"/>
        <v>PASS</v>
      </c>
    </row>
    <row r="86" spans="2:5" ht="15.75" thickBot="1" x14ac:dyDescent="0.3"/>
    <row r="87" spans="2:5" ht="15.75" thickBot="1" x14ac:dyDescent="0.3">
      <c r="B87" s="812" t="s">
        <v>86</v>
      </c>
      <c r="C87" s="813"/>
      <c r="D87" s="813"/>
      <c r="E87" s="814"/>
    </row>
    <row r="88" spans="2:5" ht="45.75" thickBot="1" x14ac:dyDescent="0.3">
      <c r="B88" s="2" t="s">
        <v>39</v>
      </c>
      <c r="C88" s="10" t="s">
        <v>87</v>
      </c>
      <c r="D88" s="2" t="s">
        <v>117</v>
      </c>
      <c r="E88" s="21" t="s">
        <v>85</v>
      </c>
    </row>
    <row r="89" spans="2:5" ht="15.75" thickBot="1" x14ac:dyDescent="0.3">
      <c r="B89" s="3">
        <f>'CARTA DE CONTROL'!R14</f>
        <v>5.98</v>
      </c>
      <c r="C89" s="4">
        <f>'CARTA DE CONTROL'!AO14</f>
        <v>0</v>
      </c>
      <c r="D89" s="6">
        <f>'CARTA DE CONTROL'!O14</f>
        <v>0.3</v>
      </c>
      <c r="E89" s="5" t="str">
        <f>IF(C89&lt;=0.3,IF(C89&gt;=-0.3,"PASS","NO PASS"))</f>
        <v>PASS</v>
      </c>
    </row>
    <row r="90" spans="2:5" ht="15.75" thickBot="1" x14ac:dyDescent="0.3">
      <c r="B90" s="3">
        <f>'CARTA DE CONTROL'!R15</f>
        <v>10.5</v>
      </c>
      <c r="C90" s="4">
        <f>'CARTA DE CONTROL'!AO15</f>
        <v>0</v>
      </c>
      <c r="D90" s="6">
        <f>'CARTA DE CONTROL'!O15</f>
        <v>0.3</v>
      </c>
      <c r="E90" s="5" t="str">
        <f t="shared" ref="E90:E92" si="3">IF(C90&lt;=0.3,IF(C90&gt;=-0.3,"PASS","NO PASS"))</f>
        <v>PASS</v>
      </c>
    </row>
    <row r="91" spans="2:5" ht="15.75" thickBot="1" x14ac:dyDescent="0.3">
      <c r="B91" s="3">
        <f>'CARTA DE CONTROL'!R16</f>
        <v>13.02</v>
      </c>
      <c r="C91" s="4">
        <f>'CARTA DE CONTROL'!AO16</f>
        <v>0</v>
      </c>
      <c r="D91" s="6">
        <f>'CARTA DE CONTROL'!O16</f>
        <v>0.3</v>
      </c>
      <c r="E91" s="5" t="str">
        <f t="shared" si="3"/>
        <v>PASS</v>
      </c>
    </row>
    <row r="92" spans="2:5" ht="15.75" thickBot="1" x14ac:dyDescent="0.3">
      <c r="B92" s="3">
        <f>'CARTA DE CONTROL'!R17</f>
        <v>0</v>
      </c>
      <c r="C92" s="4">
        <f>'CARTA DE CONTROL'!AO17</f>
        <v>0</v>
      </c>
      <c r="D92" s="6">
        <f>'CARTA DE CONTROL'!O17</f>
        <v>0.3</v>
      </c>
      <c r="E92" s="5" t="str">
        <f t="shared" si="3"/>
        <v>PASS</v>
      </c>
    </row>
    <row r="93" spans="2:5" ht="15.75" thickBot="1" x14ac:dyDescent="0.3">
      <c r="B93" s="3">
        <f>'CARTA DE CONTROL'!R30</f>
        <v>5.98</v>
      </c>
      <c r="C93" s="4">
        <f>'CARTA DE CONTROL'!AO30</f>
        <v>0</v>
      </c>
      <c r="D93" s="6">
        <f>'CARTA DE CONTROL'!O30</f>
        <v>0.3</v>
      </c>
      <c r="E93" s="5" t="str">
        <f>IF(C93&lt;=0.3,IF(C93&gt;=-0.3,"PASS","NO PASS"))</f>
        <v>PASS</v>
      </c>
    </row>
    <row r="94" spans="2:5" ht="15.75" thickBot="1" x14ac:dyDescent="0.3">
      <c r="B94" s="3">
        <f>'CARTA DE CONTROL'!R31</f>
        <v>10.5</v>
      </c>
      <c r="C94" s="4">
        <f>'CARTA DE CONTROL'!AO31</f>
        <v>0</v>
      </c>
      <c r="D94" s="6">
        <f>'CARTA DE CONTROL'!O31</f>
        <v>0.3</v>
      </c>
      <c r="E94" s="5" t="str">
        <f t="shared" ref="E94:E96" si="4">IF(C94&lt;=0.3,IF(C94&gt;=-0.3,"PASS","NO PASS"))</f>
        <v>PASS</v>
      </c>
    </row>
    <row r="95" spans="2:5" ht="15.75" thickBot="1" x14ac:dyDescent="0.3">
      <c r="B95" s="3">
        <f>'CARTA DE CONTROL'!R32</f>
        <v>13.02</v>
      </c>
      <c r="C95" s="4">
        <f>'CARTA DE CONTROL'!AO32</f>
        <v>0</v>
      </c>
      <c r="D95" s="6">
        <f>'CARTA DE CONTROL'!O32</f>
        <v>0.3</v>
      </c>
      <c r="E95" s="5" t="str">
        <f t="shared" si="4"/>
        <v>PASS</v>
      </c>
    </row>
    <row r="96" spans="2:5" ht="15.75" thickBot="1" x14ac:dyDescent="0.3">
      <c r="B96" s="3">
        <f>'CARTA DE CONTROL'!R33</f>
        <v>0</v>
      </c>
      <c r="C96" s="4">
        <f>'CARTA DE CONTROL'!AO33</f>
        <v>0</v>
      </c>
      <c r="D96" s="6">
        <f>'CARTA DE CONTROL'!O33</f>
        <v>0.3</v>
      </c>
      <c r="E96" s="5" t="str">
        <f t="shared" si="4"/>
        <v>PASS</v>
      </c>
    </row>
  </sheetData>
  <mergeCells count="54">
    <mergeCell ref="B68:E68"/>
    <mergeCell ref="B87:E8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E89 E70:E73 E93">
    <cfRule type="cellIs" dxfId="175" priority="19" operator="lessThan">
      <formula>$H$88</formula>
    </cfRule>
    <cfRule type="cellIs" dxfId="174" priority="20" operator="lessThan">
      <formula>0.05</formula>
    </cfRule>
  </conditionalFormatting>
  <conditionalFormatting sqref="G41:G48">
    <cfRule type="cellIs" dxfId="173" priority="81" operator="lessThan">
      <formula>$H$90</formula>
    </cfRule>
    <cfRule type="cellIs" dxfId="172" priority="82" operator="lessThan">
      <formula>0.05</formula>
    </cfRule>
  </conditionalFormatting>
  <conditionalFormatting sqref="E90:E92 E94:E96">
    <cfRule type="cellIs" dxfId="171" priority="1" operator="lessThan">
      <formula>$H$88</formula>
    </cfRule>
    <cfRule type="cellIs" dxfId="170" priority="2" operator="lessThan">
      <formula>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abSelected="1" topLeftCell="A37" zoomScale="130" zoomScaleNormal="130" workbookViewId="0">
      <selection activeCell="B42" sqref="B42"/>
    </sheetView>
  </sheetViews>
  <sheetFormatPr baseColWidth="10" defaultRowHeight="15" x14ac:dyDescent="0.25"/>
  <cols>
    <col min="1" max="1" width="5.57031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CONTROL'!B10</f>
        <v>ANALIZADOR DE GASES 1</v>
      </c>
      <c r="D7" s="832"/>
      <c r="E7" s="833"/>
    </row>
    <row r="8" spans="1:11" x14ac:dyDescent="0.25">
      <c r="B8" s="224" t="s">
        <v>156</v>
      </c>
      <c r="C8" s="831" t="str">
        <f>'CARTA DE CONTROL'!D10</f>
        <v>ACTIA</v>
      </c>
      <c r="D8" s="832"/>
      <c r="E8" s="833"/>
    </row>
    <row r="9" spans="1:11" x14ac:dyDescent="0.25">
      <c r="B9" s="224" t="s">
        <v>157</v>
      </c>
      <c r="C9" s="831" t="str">
        <f>'CARTA DE CONTROL'!E10</f>
        <v>AT505</v>
      </c>
      <c r="D9" s="832"/>
      <c r="E9" s="833"/>
    </row>
    <row r="10" spans="1:11" x14ac:dyDescent="0.25">
      <c r="B10" s="224" t="s">
        <v>158</v>
      </c>
      <c r="C10" s="834" t="str">
        <f>'CARTA DE CONTROL'!F10</f>
        <v>021/18</v>
      </c>
      <c r="D10" s="835"/>
      <c r="E10" s="836"/>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CONTROL'!R18</f>
        <v>149.80000000000001</v>
      </c>
      <c r="C40" s="4">
        <f>'CARTA DE CONTROL'!AR18</f>
        <v>3.3</v>
      </c>
      <c r="D40" s="4">
        <f>'CARTA DE CONTROL'!AS18</f>
        <v>-3.3</v>
      </c>
      <c r="E40" s="6">
        <f>'CARTA DE CONTROL'!I18</f>
        <v>12</v>
      </c>
      <c r="F40" s="7">
        <f>-('CARTA DE CONTROL'!I18)</f>
        <v>-12</v>
      </c>
      <c r="G40" s="5" t="str">
        <f>IF(C40&lt;=50,IF(D40&gt;=-50,"PASS","NO PASS"))</f>
        <v>PASS</v>
      </c>
    </row>
    <row r="41" spans="1:8" ht="15.75" thickBot="1" x14ac:dyDescent="0.3">
      <c r="B41" s="3">
        <f>'CARTA DE CONTROL'!R19</f>
        <v>605</v>
      </c>
      <c r="C41" s="4">
        <f>'CARTA DE CONTROL'!AR19</f>
        <v>13</v>
      </c>
      <c r="D41" s="4">
        <f>'CARTA DE CONTROL'!AS19</f>
        <v>-13</v>
      </c>
      <c r="E41" s="6">
        <f>'CARTA DE CONTROL'!I19</f>
        <v>30</v>
      </c>
      <c r="F41" s="7">
        <f>-('CARTA DE CONTROL'!I19)</f>
        <v>-30</v>
      </c>
      <c r="G41" s="5" t="str">
        <f>IF(C41&lt;=100,IF(D41&gt;=-100,"PASS","NO PASS"))</f>
        <v>PASS</v>
      </c>
    </row>
    <row r="42" spans="1:8" ht="15.75" thickBot="1" x14ac:dyDescent="0.3">
      <c r="B42" s="3">
        <f>'CARTA DE CONTROL'!R20</f>
        <v>1615</v>
      </c>
      <c r="C42" s="4">
        <f>'CARTA DE CONTROL'!AR20</f>
        <v>35</v>
      </c>
      <c r="D42" s="4">
        <f>'CARTA DE CONTROL'!AS20</f>
        <v>-35</v>
      </c>
      <c r="E42" s="6">
        <f>'CARTA DE CONTROL'!I20</f>
        <v>80</v>
      </c>
      <c r="F42" s="7">
        <f>-('CARTA DE CONTROL'!I20)</f>
        <v>-80</v>
      </c>
      <c r="G42" s="5" t="str">
        <f>IF(C42&lt;=50,IF(D42&gt;=-50,"PASS","NO PASS"))</f>
        <v>PASS</v>
      </c>
    </row>
    <row r="43" spans="1:8" ht="15.75" thickBot="1" x14ac:dyDescent="0.3">
      <c r="B43" s="3">
        <f>'CARTA DE CONTROL'!R21</f>
        <v>0</v>
      </c>
      <c r="C43" s="4">
        <f>'CARTA DE CONTROL'!AR21</f>
        <v>0.57999999999999996</v>
      </c>
      <c r="D43" s="4">
        <f>'CARTA DE CONTROL'!AS21</f>
        <v>-0.57999999999999996</v>
      </c>
      <c r="E43" s="6">
        <f>'CARTA DE CONTROL'!I21</f>
        <v>12</v>
      </c>
      <c r="F43" s="7">
        <f>-('CARTA DE CONTROL'!I21)</f>
        <v>-12</v>
      </c>
      <c r="G43" s="5" t="str">
        <f>IF(C43&lt;=100,IF(D43&gt;=-100,"PASS","NO PASS"))</f>
        <v>PASS</v>
      </c>
    </row>
    <row r="44" spans="1:8" ht="15.75" thickBot="1" x14ac:dyDescent="0.3">
      <c r="A44" s="1"/>
      <c r="B44" s="3">
        <f>'CARTA DE CONTROL'!R34</f>
        <v>158.5</v>
      </c>
      <c r="C44" s="4">
        <f>'CARTA DE CONTROL'!AR34</f>
        <v>3.3</v>
      </c>
      <c r="D44" s="4">
        <f>'CARTA DE CONTROL'!AS34</f>
        <v>-3.3</v>
      </c>
      <c r="E44" s="6">
        <f>'CARTA DE CONTROL'!I34</f>
        <v>12</v>
      </c>
      <c r="F44" s="7">
        <f>-('CARTA DE CONTROL'!I34)</f>
        <v>-12</v>
      </c>
      <c r="G44" s="5" t="str">
        <f t="shared" ref="G44:G47" si="0">IF(C44&lt;=100,IF(D44&gt;=-100,"PASS","NO PASS"))</f>
        <v>PASS</v>
      </c>
      <c r="H44" s="1"/>
    </row>
    <row r="45" spans="1:8" ht="15.75" thickBot="1" x14ac:dyDescent="0.3">
      <c r="A45" s="1"/>
      <c r="B45" s="3">
        <f>'CARTA DE CONTROL'!R35</f>
        <v>640</v>
      </c>
      <c r="C45" s="4">
        <f>'CARTA DE CONTROL'!AR35</f>
        <v>13</v>
      </c>
      <c r="D45" s="4">
        <f>'CARTA DE CONTROL'!AS35</f>
        <v>-13</v>
      </c>
      <c r="E45" s="6">
        <f>'CARTA DE CONTROL'!I35</f>
        <v>30</v>
      </c>
      <c r="F45" s="7">
        <f>-('CARTA DE CONTROL'!I35)</f>
        <v>-30</v>
      </c>
      <c r="G45" s="5" t="str">
        <f t="shared" si="0"/>
        <v>PASS</v>
      </c>
    </row>
    <row r="46" spans="1:8" ht="15.75" thickBot="1" x14ac:dyDescent="0.3">
      <c r="A46" s="1"/>
      <c r="B46" s="3">
        <f>'CARTA DE CONTROL'!R36</f>
        <v>1708</v>
      </c>
      <c r="C46" s="4">
        <f>'CARTA DE CONTROL'!AR36</f>
        <v>35</v>
      </c>
      <c r="D46" s="4">
        <f>'CARTA DE CONTROL'!AS36</f>
        <v>-35</v>
      </c>
      <c r="E46" s="6">
        <f>'CARTA DE CONTROL'!I36</f>
        <v>80</v>
      </c>
      <c r="F46" s="7">
        <f>-('CARTA DE CONTROL'!I36)</f>
        <v>-80</v>
      </c>
      <c r="G46" s="5" t="str">
        <f t="shared" si="0"/>
        <v>PASS</v>
      </c>
    </row>
    <row r="47" spans="1:8" ht="15.75" thickBot="1" x14ac:dyDescent="0.3">
      <c r="A47" s="1"/>
      <c r="B47" s="3">
        <f>'CARTA DE CONTROL'!R37</f>
        <v>0</v>
      </c>
      <c r="C47" s="4">
        <f>'CARTA DE CONTROL'!AR37</f>
        <v>0.57999999999999996</v>
      </c>
      <c r="D47" s="4">
        <f>'CARTA DE CONTROL'!AS37</f>
        <v>-0.57999999999999996</v>
      </c>
      <c r="E47" s="6">
        <f>'CARTA DE CONTROL'!I37</f>
        <v>12</v>
      </c>
      <c r="F47" s="7">
        <f>-('CARTA DE CONTROL'!I37)</f>
        <v>-12</v>
      </c>
      <c r="G47" s="5" t="str">
        <f t="shared" si="0"/>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812" t="s">
        <v>82</v>
      </c>
      <c r="C67" s="813"/>
      <c r="D67" s="813"/>
      <c r="E67" s="814"/>
    </row>
    <row r="68" spans="2:5" ht="45.75" thickBot="1" x14ac:dyDescent="0.3">
      <c r="B68" s="2" t="s">
        <v>39</v>
      </c>
      <c r="C68" s="10" t="s">
        <v>83</v>
      </c>
      <c r="D68" s="2" t="s">
        <v>84</v>
      </c>
      <c r="E68" s="21" t="s">
        <v>85</v>
      </c>
    </row>
    <row r="69" spans="2:5" ht="15.75" thickBot="1" x14ac:dyDescent="0.3">
      <c r="B69" s="3">
        <f>'CARTA DE CONTROL'!R18</f>
        <v>149.80000000000001</v>
      </c>
      <c r="C69" s="4">
        <f>'CARTA DE CONTROL'!AN18</f>
        <v>0</v>
      </c>
      <c r="D69" s="6">
        <f>'CARTA DE CONTROL'!M18</f>
        <v>6</v>
      </c>
      <c r="E69" s="5" t="str">
        <f>IF(C69&lt;=8,IF(C69&gt;=-8,"PASS","NO PASS"))</f>
        <v>PASS</v>
      </c>
    </row>
    <row r="70" spans="2:5" ht="15.75" thickBot="1" x14ac:dyDescent="0.3">
      <c r="B70" s="3">
        <f>'CARTA DE CONTROL'!R19</f>
        <v>605</v>
      </c>
      <c r="C70" s="4">
        <f>'CARTA DE CONTROL'!AN19</f>
        <v>0</v>
      </c>
      <c r="D70" s="6">
        <f>'CARTA DE CONTROL'!M19</f>
        <v>10</v>
      </c>
      <c r="E70" s="5" t="str">
        <f>IF(C70&lt;=16,IF(C70&gt;=-16,"PASS","NO PASS"))</f>
        <v>PASS</v>
      </c>
    </row>
    <row r="71" spans="2:5" ht="15.75" thickBot="1" x14ac:dyDescent="0.3">
      <c r="B71" s="3">
        <f>'CARTA DE CONTROL'!R20</f>
        <v>1615</v>
      </c>
      <c r="C71" s="4">
        <f>'CARTA DE CONTROL'!AN20</f>
        <v>0</v>
      </c>
      <c r="D71" s="6">
        <f>'CARTA DE CONTROL'!M20</f>
        <v>20</v>
      </c>
      <c r="E71" s="5" t="str">
        <f>IF(C71&lt;=8,IF(C71&gt;=-8,"PASS","NO PASS"))</f>
        <v>PASS</v>
      </c>
    </row>
    <row r="72" spans="2:5" ht="15.75" thickBot="1" x14ac:dyDescent="0.3">
      <c r="B72" s="3">
        <f>'CARTA DE CONTROL'!R21</f>
        <v>0</v>
      </c>
      <c r="C72" s="4">
        <f>'CARTA DE CONTROL'!AN21</f>
        <v>0</v>
      </c>
      <c r="D72" s="6">
        <f>'CARTA DE CONTROL'!M21</f>
        <v>6</v>
      </c>
      <c r="E72" s="5" t="str">
        <f>IF(C72&lt;=16,IF(C72&gt;=-16,"PASS","NO PASS"))</f>
        <v>PASS</v>
      </c>
    </row>
    <row r="86" spans="2:5" ht="15.75" thickBot="1" x14ac:dyDescent="0.3"/>
    <row r="87" spans="2:5" ht="15.75" thickBot="1" x14ac:dyDescent="0.3">
      <c r="B87" s="812" t="s">
        <v>86</v>
      </c>
      <c r="C87" s="813"/>
      <c r="D87" s="813"/>
      <c r="E87" s="814"/>
    </row>
    <row r="88" spans="2:5" ht="45.75" thickBot="1" x14ac:dyDescent="0.3">
      <c r="B88" s="2" t="s">
        <v>39</v>
      </c>
      <c r="C88" s="10" t="s">
        <v>87</v>
      </c>
      <c r="D88" s="2" t="s">
        <v>84</v>
      </c>
      <c r="E88" s="21" t="s">
        <v>85</v>
      </c>
    </row>
    <row r="89" spans="2:5" ht="15.75" thickBot="1" x14ac:dyDescent="0.3">
      <c r="B89" s="3">
        <f>'CARTA DE CONTROL'!R18</f>
        <v>149.80000000000001</v>
      </c>
      <c r="C89" s="4">
        <f>'CARTA DE CONTROL'!AO18</f>
        <v>0</v>
      </c>
      <c r="D89" s="6">
        <f>'CARTA DE CONTROL'!O18</f>
        <v>8</v>
      </c>
      <c r="E89" s="5" t="str">
        <f>IF(C89&lt;=10,IF(C89&gt;=-10,"PASS","NO PASS"))</f>
        <v>PASS</v>
      </c>
    </row>
    <row r="90" spans="2:5" ht="15.75" thickBot="1" x14ac:dyDescent="0.3">
      <c r="B90" s="3">
        <f>'CARTA DE CONTROL'!R19</f>
        <v>605</v>
      </c>
      <c r="C90" s="4">
        <f>'CARTA DE CONTROL'!AO19</f>
        <v>0</v>
      </c>
      <c r="D90" s="6">
        <f>'CARTA DE CONTROL'!O19</f>
        <v>15</v>
      </c>
      <c r="E90" s="5" t="str">
        <f>IF(C90&lt;=20,IF(C90&gt;=-20,"PASS","NO PASS"))</f>
        <v>PASS</v>
      </c>
    </row>
    <row r="91" spans="2:5" ht="15.75" thickBot="1" x14ac:dyDescent="0.3">
      <c r="B91" s="3">
        <f>'CARTA DE CONTROL'!R20</f>
        <v>1615</v>
      </c>
      <c r="C91" s="4">
        <f>'CARTA DE CONTROL'!AO20</f>
        <v>2</v>
      </c>
      <c r="D91" s="6">
        <f>'CARTA DE CONTROL'!O20</f>
        <v>30</v>
      </c>
      <c r="E91" s="5" t="str">
        <f>IF(C91&lt;=10,IF(C91&gt;=-10,"PASS","NO PASS"))</f>
        <v>PASS</v>
      </c>
    </row>
    <row r="92" spans="2:5" ht="15.75" thickBot="1" x14ac:dyDescent="0.3">
      <c r="B92" s="3">
        <f>'CARTA DE CONTROL'!R21</f>
        <v>0</v>
      </c>
      <c r="C92" s="4">
        <f>'CARTA DE CONTROL'!AO21</f>
        <v>0</v>
      </c>
      <c r="D92" s="6">
        <f>'CARTA DE CONTROL'!O21</f>
        <v>8</v>
      </c>
      <c r="E92" s="5" t="str">
        <f>IF(C92&lt;=20,IF(C92&gt;=-20,"PASS","NO PASS"))</f>
        <v>PASS</v>
      </c>
    </row>
    <row r="93" spans="2:5" ht="15.75" thickBot="1" x14ac:dyDescent="0.3">
      <c r="B93" s="3">
        <f>'CARTA DE CONTROL'!R34</f>
        <v>158.5</v>
      </c>
      <c r="C93" s="4">
        <f>'CARTA DE CONTROL'!AO34</f>
        <v>0</v>
      </c>
      <c r="D93" s="6">
        <f>'CARTA DE CONTROL'!O34</f>
        <v>8</v>
      </c>
      <c r="E93" s="5" t="str">
        <f t="shared" ref="E93:E96" si="1">IF(C93&lt;=20,IF(C93&gt;=-20,"PASS","NO PASS"))</f>
        <v>PASS</v>
      </c>
    </row>
    <row r="94" spans="2:5" ht="15.75" thickBot="1" x14ac:dyDescent="0.3">
      <c r="B94" s="3">
        <f>'CARTA DE CONTROL'!R35</f>
        <v>640</v>
      </c>
      <c r="C94" s="4">
        <f>'CARTA DE CONTROL'!AO35</f>
        <v>0</v>
      </c>
      <c r="D94" s="6">
        <f>'CARTA DE CONTROL'!O35</f>
        <v>15</v>
      </c>
      <c r="E94" s="5" t="str">
        <f t="shared" si="1"/>
        <v>PASS</v>
      </c>
    </row>
    <row r="95" spans="2:5" ht="15.75" thickBot="1" x14ac:dyDescent="0.3">
      <c r="B95" s="3">
        <f>'CARTA DE CONTROL'!R36</f>
        <v>1708</v>
      </c>
      <c r="C95" s="4">
        <f>'CARTA DE CONTROL'!AO36</f>
        <v>0</v>
      </c>
      <c r="D95" s="6">
        <f>'CARTA DE CONTROL'!O36</f>
        <v>30</v>
      </c>
      <c r="E95" s="5" t="str">
        <f t="shared" si="1"/>
        <v>PASS</v>
      </c>
    </row>
    <row r="96" spans="2:5" ht="15.75" thickBot="1" x14ac:dyDescent="0.3">
      <c r="B96" s="3">
        <f>'CARTA DE CONTROL'!R37</f>
        <v>0</v>
      </c>
      <c r="C96" s="4">
        <f>'CARTA DE CONTROL'!AO37</f>
        <v>0</v>
      </c>
      <c r="D96" s="6">
        <f>'CARTA DE CONTROL'!O37</f>
        <v>8</v>
      </c>
      <c r="E96" s="5" t="str">
        <f t="shared" si="1"/>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B67:E67"/>
    <mergeCell ref="B87:E8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E89 E69:E72">
    <cfRule type="cellIs" dxfId="169" priority="11" operator="lessThan">
      <formula>$H$88</formula>
    </cfRule>
    <cfRule type="cellIs" dxfId="168" priority="12" operator="lessThan">
      <formula>0.05</formula>
    </cfRule>
  </conditionalFormatting>
  <conditionalFormatting sqref="E91">
    <cfRule type="cellIs" dxfId="167" priority="3" operator="lessThan">
      <formula>$H$88</formula>
    </cfRule>
    <cfRule type="cellIs" dxfId="166" priority="4" operator="lessThan">
      <formula>0.05</formula>
    </cfRule>
  </conditionalFormatting>
  <conditionalFormatting sqref="G40:G47">
    <cfRule type="cellIs" dxfId="165" priority="89" operator="lessThan">
      <formula>$F$86</formula>
    </cfRule>
    <cfRule type="cellIs" dxfId="164" priority="90" operator="lessThan">
      <formula>0.05</formula>
    </cfRule>
  </conditionalFormatting>
  <conditionalFormatting sqref="G40:G47">
    <cfRule type="cellIs" dxfId="163" priority="91" operator="between">
      <formula>$F$86</formula>
      <formula>$G$86</formula>
    </cfRule>
  </conditionalFormatting>
  <conditionalFormatting sqref="E90">
    <cfRule type="cellIs" dxfId="162" priority="5" operator="lessThan">
      <formula>$H$88</formula>
    </cfRule>
    <cfRule type="cellIs" dxfId="161" priority="6" operator="lessThan">
      <formula>0.05</formula>
    </cfRule>
  </conditionalFormatting>
  <conditionalFormatting sqref="E92:E96">
    <cfRule type="cellIs" dxfId="160" priority="1" operator="lessThan">
      <formula>$H$88</formula>
    </cfRule>
    <cfRule type="cellIs" dxfId="159" priority="2" operator="lessThan">
      <formula>0.05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election activeCell="C11" sqref="C11"/>
    </sheetView>
  </sheetViews>
  <sheetFormatPr baseColWidth="10" defaultRowHeight="15" x14ac:dyDescent="0.25"/>
  <cols>
    <col min="1" max="1" width="4" customWidth="1"/>
    <col min="2" max="2" width="22.85546875" customWidth="1"/>
    <col min="3" max="3" width="21.7109375" customWidth="1"/>
    <col min="4" max="4" width="21" customWidth="1"/>
    <col min="5" max="5" width="22.7109375" customWidth="1"/>
    <col min="8" max="8" width="13.28515625" customWidth="1"/>
  </cols>
  <sheetData>
    <row r="1" spans="1:11" ht="15" customHeight="1" x14ac:dyDescent="0.25">
      <c r="E1" s="211"/>
    </row>
    <row r="2" spans="1:11" ht="15" customHeight="1" x14ac:dyDescent="0.25">
      <c r="B2" s="187"/>
      <c r="C2" s="187"/>
      <c r="D2" s="187"/>
      <c r="E2" s="212"/>
      <c r="F2" s="187"/>
      <c r="G2" s="187"/>
      <c r="H2" s="187"/>
    </row>
    <row r="3" spans="1:11" ht="15" customHeight="1" x14ac:dyDescent="0.25">
      <c r="B3" s="187"/>
      <c r="C3" s="187"/>
      <c r="D3" s="187"/>
      <c r="E3" s="212"/>
      <c r="F3" s="187"/>
      <c r="G3" s="187"/>
      <c r="H3" s="187"/>
    </row>
    <row r="4" spans="1:11" ht="15" customHeight="1" x14ac:dyDescent="0.25">
      <c r="B4" s="187"/>
      <c r="C4" s="187"/>
      <c r="D4" s="187"/>
      <c r="E4" s="212"/>
      <c r="F4" s="187"/>
      <c r="G4" s="187"/>
      <c r="H4" s="187"/>
    </row>
    <row r="5" spans="1:11" ht="15" customHeight="1" x14ac:dyDescent="0.25">
      <c r="B5" s="187"/>
      <c r="C5" s="187"/>
      <c r="D5" s="187"/>
      <c r="E5" s="212"/>
      <c r="F5" s="187"/>
      <c r="G5" s="187"/>
      <c r="H5" s="187"/>
    </row>
    <row r="6" spans="1:11" ht="15" customHeight="1" x14ac:dyDescent="0.25">
      <c r="B6" s="187"/>
      <c r="C6" s="187"/>
      <c r="D6" s="187"/>
      <c r="E6" s="212"/>
      <c r="F6" s="187"/>
      <c r="G6" s="187"/>
      <c r="H6" s="187"/>
    </row>
    <row r="7" spans="1:11" x14ac:dyDescent="0.25">
      <c r="B7" s="224" t="s">
        <v>155</v>
      </c>
      <c r="C7" s="831" t="str">
        <f>'CARTA DE CONTROL'!B10</f>
        <v>ANALIZADOR DE GASES 1</v>
      </c>
      <c r="D7" s="832"/>
      <c r="E7" s="833"/>
    </row>
    <row r="8" spans="1:11" x14ac:dyDescent="0.25">
      <c r="B8" s="224" t="s">
        <v>156</v>
      </c>
      <c r="C8" s="831" t="str">
        <f>'CARTA DE CONTROL'!D10</f>
        <v>ACTIA</v>
      </c>
      <c r="D8" s="832"/>
      <c r="E8" s="833"/>
    </row>
    <row r="9" spans="1:11" x14ac:dyDescent="0.25">
      <c r="B9" s="224" t="s">
        <v>157</v>
      </c>
      <c r="C9" s="831" t="str">
        <f>'CARTA DE CONTROL'!E10</f>
        <v>AT505</v>
      </c>
      <c r="D9" s="832"/>
      <c r="E9" s="833"/>
    </row>
    <row r="10" spans="1:11" x14ac:dyDescent="0.25">
      <c r="B10" s="224" t="s">
        <v>158</v>
      </c>
      <c r="C10" s="834" t="str">
        <f>'CARTA DE CONTROL'!F10</f>
        <v>021/18</v>
      </c>
      <c r="D10" s="835"/>
      <c r="E10" s="836"/>
    </row>
    <row r="11" spans="1:11" ht="15" customHeight="1" thickBot="1" x14ac:dyDescent="0.3">
      <c r="B11" s="187"/>
      <c r="C11" s="187"/>
      <c r="D11" s="187"/>
      <c r="E11" s="212"/>
      <c r="F11" s="187"/>
      <c r="G11" s="187"/>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199" t="s">
        <v>128</v>
      </c>
      <c r="F13" s="843" t="s">
        <v>129</v>
      </c>
      <c r="G13" s="844"/>
      <c r="H13" s="203"/>
      <c r="I13" s="203"/>
      <c r="J13" s="203"/>
      <c r="K13" s="203"/>
    </row>
    <row r="14" spans="1:11" s="1" customFormat="1" ht="35.25" customHeight="1" x14ac:dyDescent="0.2">
      <c r="A14" s="206">
        <v>1</v>
      </c>
      <c r="B14" s="822" t="s">
        <v>130</v>
      </c>
      <c r="C14" s="822"/>
      <c r="D14" s="822"/>
      <c r="E14" s="190" t="s">
        <v>131</v>
      </c>
      <c r="F14" s="823"/>
      <c r="G14" s="824"/>
      <c r="H14" s="204"/>
      <c r="I14" s="204"/>
      <c r="J14" s="204"/>
      <c r="K14" s="204"/>
    </row>
    <row r="15" spans="1:11" s="1" customFormat="1" ht="35.25" customHeight="1" x14ac:dyDescent="0.2">
      <c r="A15" s="206">
        <v>2</v>
      </c>
      <c r="B15" s="822" t="s">
        <v>132</v>
      </c>
      <c r="C15" s="822"/>
      <c r="D15" s="822"/>
      <c r="E15" s="190" t="s">
        <v>131</v>
      </c>
      <c r="F15" s="823"/>
      <c r="G15" s="824"/>
    </row>
    <row r="16" spans="1:11" s="1" customFormat="1" ht="35.25" customHeight="1" x14ac:dyDescent="0.2">
      <c r="A16" s="206">
        <v>3</v>
      </c>
      <c r="B16" s="822" t="s">
        <v>133</v>
      </c>
      <c r="C16" s="822"/>
      <c r="D16" s="822"/>
      <c r="E16" s="190" t="s">
        <v>131</v>
      </c>
      <c r="F16" s="823"/>
      <c r="G16" s="824"/>
    </row>
    <row r="17" spans="1:11" s="1" customFormat="1" ht="35.25" customHeight="1" x14ac:dyDescent="0.2">
      <c r="A17" s="206">
        <v>4</v>
      </c>
      <c r="B17" s="822" t="s">
        <v>134</v>
      </c>
      <c r="C17" s="822"/>
      <c r="D17" s="822"/>
      <c r="E17" s="190" t="s">
        <v>131</v>
      </c>
      <c r="F17" s="845"/>
      <c r="G17" s="846"/>
    </row>
    <row r="18" spans="1:11" s="1" customFormat="1" ht="35.25" customHeight="1" x14ac:dyDescent="0.2">
      <c r="A18" s="206">
        <v>5</v>
      </c>
      <c r="B18" s="822" t="s">
        <v>135</v>
      </c>
      <c r="C18" s="822"/>
      <c r="D18" s="822"/>
      <c r="E18" s="190" t="s">
        <v>131</v>
      </c>
      <c r="F18" s="823"/>
      <c r="G18" s="824"/>
    </row>
    <row r="19" spans="1:11" s="1" customFormat="1" ht="35.25" customHeight="1" x14ac:dyDescent="0.2">
      <c r="A19" s="206">
        <v>6</v>
      </c>
      <c r="B19" s="822" t="s">
        <v>136</v>
      </c>
      <c r="C19" s="822"/>
      <c r="D19" s="822"/>
      <c r="E19" s="190" t="s">
        <v>131</v>
      </c>
      <c r="F19" s="823"/>
      <c r="G19" s="824"/>
    </row>
    <row r="20" spans="1:11" s="1" customFormat="1" ht="35.25" customHeight="1" x14ac:dyDescent="0.2">
      <c r="A20" s="206">
        <v>7</v>
      </c>
      <c r="B20" s="822" t="s">
        <v>137</v>
      </c>
      <c r="C20" s="822"/>
      <c r="D20" s="822"/>
      <c r="E20" s="190" t="s">
        <v>131</v>
      </c>
      <c r="F20" s="823"/>
      <c r="G20" s="824"/>
    </row>
    <row r="21" spans="1:11" s="1" customFormat="1" ht="35.25" customHeight="1" x14ac:dyDescent="0.2">
      <c r="A21" s="206">
        <v>8</v>
      </c>
      <c r="B21" s="822" t="s">
        <v>138</v>
      </c>
      <c r="C21" s="822"/>
      <c r="D21" s="822"/>
      <c r="E21" s="190" t="s">
        <v>131</v>
      </c>
      <c r="F21" s="823"/>
      <c r="G21" s="824"/>
    </row>
    <row r="22" spans="1:11" s="1" customFormat="1" ht="35.25" customHeight="1" x14ac:dyDescent="0.2">
      <c r="A22" s="206">
        <v>9</v>
      </c>
      <c r="B22" s="822" t="s">
        <v>139</v>
      </c>
      <c r="C22" s="822"/>
      <c r="D22" s="822"/>
      <c r="E22" s="190" t="s">
        <v>131</v>
      </c>
      <c r="F22" s="823"/>
      <c r="G22" s="824"/>
    </row>
    <row r="23" spans="1:11" s="1" customFormat="1" ht="35.25" customHeight="1" x14ac:dyDescent="0.2">
      <c r="A23" s="206">
        <v>10</v>
      </c>
      <c r="B23" s="822" t="s">
        <v>140</v>
      </c>
      <c r="C23" s="822"/>
      <c r="D23" s="822"/>
      <c r="E23" s="190" t="s">
        <v>131</v>
      </c>
      <c r="F23" s="823"/>
      <c r="G23" s="824"/>
    </row>
    <row r="24" spans="1:11" s="1" customFormat="1" ht="35.25" customHeight="1" x14ac:dyDescent="0.2">
      <c r="A24" s="206">
        <v>11</v>
      </c>
      <c r="B24" s="822" t="s">
        <v>141</v>
      </c>
      <c r="C24" s="822"/>
      <c r="D24" s="822"/>
      <c r="E24" s="190"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190" t="s">
        <v>131</v>
      </c>
      <c r="F26" s="823"/>
      <c r="G26" s="824"/>
    </row>
    <row r="27" spans="1:11" s="1" customFormat="1" ht="35.25" customHeight="1" x14ac:dyDescent="0.2">
      <c r="A27" s="206">
        <v>14</v>
      </c>
      <c r="B27" s="822" t="s">
        <v>144</v>
      </c>
      <c r="C27" s="822"/>
      <c r="D27" s="822"/>
      <c r="E27" s="190" t="s">
        <v>131</v>
      </c>
      <c r="F27" s="823"/>
      <c r="G27" s="824"/>
    </row>
    <row r="28" spans="1:11" s="1" customFormat="1" ht="54.75" customHeight="1" thickBot="1" x14ac:dyDescent="0.25">
      <c r="A28" s="208">
        <v>15</v>
      </c>
      <c r="B28" s="825" t="s">
        <v>145</v>
      </c>
      <c r="C28" s="825"/>
      <c r="D28" s="825"/>
      <c r="E28" s="210"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218"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229">
        <f>'CARTA DE CONTROL'!R22</f>
        <v>0</v>
      </c>
      <c r="C40" s="230">
        <f>'CARTA DE CONTROL'!AR22</f>
        <v>5.8000000000000003E-2</v>
      </c>
      <c r="D40" s="230">
        <f>'CARTA DE CONTROL'!AS22</f>
        <v>-5.8000000000000003E-2</v>
      </c>
      <c r="E40" s="231">
        <f>'CARTA DE CONTROL'!I22</f>
        <v>0.5</v>
      </c>
      <c r="F40" s="231">
        <f>-('CARTA DE CONTROL'!I22)</f>
        <v>-0.5</v>
      </c>
      <c r="G40" s="232" t="str">
        <f>IF(C40&lt;=0.5,IF(D40&gt;=-0.5,"PASS","NO PASS"))</f>
        <v>PASS</v>
      </c>
    </row>
    <row r="41" spans="1:8" ht="15.75" thickBot="1" x14ac:dyDescent="0.3">
      <c r="B41" s="229">
        <f>'CARTA DE CONTROL'!R23</f>
        <v>0</v>
      </c>
      <c r="C41" s="230">
        <f>'CARTA DE CONTROL'!AR23</f>
        <v>5.8000000000000003E-2</v>
      </c>
      <c r="D41" s="230">
        <f>'CARTA DE CONTROL'!AS23</f>
        <v>-5.8000000000000003E-2</v>
      </c>
      <c r="E41" s="231">
        <f>'CARTA DE CONTROL'!I23</f>
        <v>0.5</v>
      </c>
      <c r="F41" s="231">
        <f>-('CARTA DE CONTROL'!I23)</f>
        <v>-0.5</v>
      </c>
      <c r="G41" s="232" t="str">
        <f t="shared" ref="G41:G43" si="0">IF(C41&lt;=0.5,IF(D41&gt;=-0.5,"PASS","NO PASS"))</f>
        <v>PASS</v>
      </c>
    </row>
    <row r="42" spans="1:8" ht="15.75" thickBot="1" x14ac:dyDescent="0.3">
      <c r="B42" s="229">
        <f>'CARTA DE CONTROL'!R24</f>
        <v>0</v>
      </c>
      <c r="C42" s="230">
        <f>'CARTA DE CONTROL'!AR24</f>
        <v>5.8000000000000003E-2</v>
      </c>
      <c r="D42" s="230">
        <f>'CARTA DE CONTROL'!AS24</f>
        <v>-5.8000000000000003E-2</v>
      </c>
      <c r="E42" s="231">
        <f>'CARTA DE CONTROL'!I24</f>
        <v>0.5</v>
      </c>
      <c r="F42" s="231">
        <f>-('CARTA DE CONTROL'!I24)</f>
        <v>-0.5</v>
      </c>
      <c r="G42" s="232" t="str">
        <f t="shared" si="0"/>
        <v>PASS</v>
      </c>
    </row>
    <row r="43" spans="1:8" ht="15.75" thickBot="1" x14ac:dyDescent="0.3">
      <c r="B43" s="229">
        <f>'CARTA DE CONTROL'!R25</f>
        <v>0</v>
      </c>
      <c r="C43" s="230">
        <f>'CARTA DE CONTROL'!AR25</f>
        <v>5.8000000000000003E-2</v>
      </c>
      <c r="D43" s="230">
        <f>'CARTA DE CONTROL'!AS25</f>
        <v>-5.8000000000000003E-2</v>
      </c>
      <c r="E43" s="231">
        <f>'CARTA DE CONTROL'!I25</f>
        <v>0.5</v>
      </c>
      <c r="F43" s="231">
        <f>-('CARTA DE CONTROL'!I25)</f>
        <v>-0.5</v>
      </c>
      <c r="G43" s="232" t="str">
        <f t="shared" si="0"/>
        <v>PASS</v>
      </c>
    </row>
    <row r="44" spans="1:8" ht="15.75" thickBot="1" x14ac:dyDescent="0.3">
      <c r="A44" s="1"/>
      <c r="B44" s="229">
        <f>'CARTA DE CONTROL'!R38</f>
        <v>0</v>
      </c>
      <c r="C44" s="230">
        <f>'CARTA DE CONTROL'!AR38</f>
        <v>5.8000000000000003E-2</v>
      </c>
      <c r="D44" s="230">
        <f>'CARTA DE CONTROL'!AS38</f>
        <v>-5.8000000000000003E-2</v>
      </c>
      <c r="E44" s="231">
        <f>'CARTA DE CONTROL'!I38</f>
        <v>0.5</v>
      </c>
      <c r="F44" s="231">
        <f>-('CARTA DE CONTROL'!I38)</f>
        <v>-0.5</v>
      </c>
      <c r="G44" s="232" t="str">
        <f>IF(C44&lt;=0.5,IF(D44&gt;=-0.5,"PASS","NO PASS"))</f>
        <v>PASS</v>
      </c>
      <c r="H44" s="1"/>
    </row>
    <row r="45" spans="1:8" ht="15.75" thickBot="1" x14ac:dyDescent="0.3">
      <c r="A45" s="1"/>
      <c r="B45" s="229">
        <f>'CARTA DE CONTROL'!R39</f>
        <v>0</v>
      </c>
      <c r="C45" s="230">
        <f>'CARTA DE CONTROL'!AR39</f>
        <v>5.8000000000000003E-2</v>
      </c>
      <c r="D45" s="230">
        <f>'CARTA DE CONTROL'!AS39</f>
        <v>-5.8000000000000003E-2</v>
      </c>
      <c r="E45" s="231">
        <f>'CARTA DE CONTROL'!I39</f>
        <v>0.5</v>
      </c>
      <c r="F45" s="231">
        <f>-('CARTA DE CONTROL'!I39)</f>
        <v>-0.5</v>
      </c>
      <c r="G45" s="232" t="str">
        <f t="shared" ref="G45:G47" si="1">IF(C45&lt;=0.5,IF(D45&gt;=-0.5,"PASS","NO PASS"))</f>
        <v>PASS</v>
      </c>
    </row>
    <row r="46" spans="1:8" ht="15.75" thickBot="1" x14ac:dyDescent="0.3">
      <c r="A46" s="1"/>
      <c r="B46" s="229">
        <f>'CARTA DE CONTROL'!R40</f>
        <v>0</v>
      </c>
      <c r="C46" s="230">
        <f>'CARTA DE CONTROL'!AR40</f>
        <v>5.8000000000000003E-2</v>
      </c>
      <c r="D46" s="230">
        <f>'CARTA DE CONTROL'!AS40</f>
        <v>-5.8000000000000003E-2</v>
      </c>
      <c r="E46" s="231">
        <f>'CARTA DE CONTROL'!I40</f>
        <v>0.5</v>
      </c>
      <c r="F46" s="231">
        <f>-('CARTA DE CONTROL'!I40)</f>
        <v>-0.5</v>
      </c>
      <c r="G46" s="232" t="str">
        <f t="shared" si="1"/>
        <v>PASS</v>
      </c>
    </row>
    <row r="47" spans="1:8" ht="15.75" thickBot="1" x14ac:dyDescent="0.3">
      <c r="A47" s="1"/>
      <c r="B47" s="229">
        <f>'CARTA DE CONTROL'!R41</f>
        <v>0</v>
      </c>
      <c r="C47" s="230">
        <f>'CARTA DE CONTROL'!AR41</f>
        <v>5.8000000000000003E-2</v>
      </c>
      <c r="D47" s="230">
        <f>'CARTA DE CONTROL'!AS41</f>
        <v>-5.8000000000000003E-2</v>
      </c>
      <c r="E47" s="231">
        <f>'CARTA DE CONTROL'!I41</f>
        <v>0.5</v>
      </c>
      <c r="F47" s="231">
        <f>-('CARTA DE CONTROL'!I41)</f>
        <v>-0.5</v>
      </c>
      <c r="G47" s="232" t="str">
        <f t="shared" si="1"/>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5" spans="2:5" ht="15.75" thickBot="1" x14ac:dyDescent="0.3"/>
    <row r="66" spans="2:5" ht="15.75" thickBot="1" x14ac:dyDescent="0.3">
      <c r="B66" s="812" t="s">
        <v>82</v>
      </c>
      <c r="C66" s="813"/>
      <c r="D66" s="813"/>
      <c r="E66" s="814"/>
    </row>
    <row r="67" spans="2:5" ht="45.75" thickBot="1" x14ac:dyDescent="0.3">
      <c r="B67" s="2" t="s">
        <v>39</v>
      </c>
      <c r="C67" s="10" t="s">
        <v>83</v>
      </c>
      <c r="D67" s="2" t="s">
        <v>84</v>
      </c>
      <c r="E67" s="21" t="s">
        <v>85</v>
      </c>
    </row>
    <row r="68" spans="2:5" ht="15.75" thickBot="1" x14ac:dyDescent="0.3">
      <c r="B68" s="3">
        <f>'CARTA DE CONTROL'!R22</f>
        <v>0</v>
      </c>
      <c r="C68" s="4">
        <f>'CARTA DE CONTROL'!AN22</f>
        <v>0</v>
      </c>
      <c r="D68" s="6">
        <f>'CARTA DE CONTROL'!M22</f>
        <v>0.3</v>
      </c>
      <c r="E68" s="5" t="str">
        <f>IF(C68&lt;=0.3,IF(C68&gt;=-0.3,"PASS","NO PASS"))</f>
        <v>PASS</v>
      </c>
    </row>
    <row r="69" spans="2:5" ht="15.75" thickBot="1" x14ac:dyDescent="0.3">
      <c r="B69" s="3">
        <f>'CARTA DE CONTROL'!R23</f>
        <v>0</v>
      </c>
      <c r="C69" s="4">
        <f>'CARTA DE CONTROL'!AN23</f>
        <v>0</v>
      </c>
      <c r="D69" s="6">
        <f>'CARTA DE CONTROL'!M23</f>
        <v>0.3</v>
      </c>
      <c r="E69" s="5" t="str">
        <f t="shared" ref="E69:E71" si="2">IF(C69&lt;=0.3,IF(C69&gt;=-0.3,"PASS","NO PASS"))</f>
        <v>PASS</v>
      </c>
    </row>
    <row r="70" spans="2:5" ht="15.75" thickBot="1" x14ac:dyDescent="0.3">
      <c r="B70" s="3">
        <f>'CARTA DE CONTROL'!R24</f>
        <v>0</v>
      </c>
      <c r="C70" s="4">
        <f>'CARTA DE CONTROL'!AN24</f>
        <v>0</v>
      </c>
      <c r="D70" s="6">
        <f>'CARTA DE CONTROL'!M24</f>
        <v>0.3</v>
      </c>
      <c r="E70" s="5" t="str">
        <f t="shared" si="2"/>
        <v>PASS</v>
      </c>
    </row>
    <row r="71" spans="2:5" ht="15.75" thickBot="1" x14ac:dyDescent="0.3">
      <c r="B71" s="3">
        <f>'CARTA DE CONTROL'!R25</f>
        <v>0</v>
      </c>
      <c r="C71" s="4">
        <f>'CARTA DE CONTROL'!AN25</f>
        <v>5.0000000000000001E-3</v>
      </c>
      <c r="D71" s="6">
        <f>'CARTA DE CONTROL'!M25</f>
        <v>0.3</v>
      </c>
      <c r="E71" s="5" t="str">
        <f t="shared" si="2"/>
        <v>PASS</v>
      </c>
    </row>
    <row r="83" spans="2:5" ht="15.75" thickBot="1" x14ac:dyDescent="0.3"/>
    <row r="84" spans="2:5" ht="15.75" thickBot="1" x14ac:dyDescent="0.3">
      <c r="B84" s="812" t="s">
        <v>86</v>
      </c>
      <c r="C84" s="813"/>
      <c r="D84" s="813"/>
      <c r="E84" s="814"/>
    </row>
    <row r="85" spans="2:5" ht="45.75" thickBot="1" x14ac:dyDescent="0.3">
      <c r="B85" s="2" t="s">
        <v>39</v>
      </c>
      <c r="C85" s="10" t="s">
        <v>87</v>
      </c>
      <c r="D85" s="2" t="s">
        <v>84</v>
      </c>
      <c r="E85" s="21" t="s">
        <v>85</v>
      </c>
    </row>
    <row r="86" spans="2:5" ht="15.75" thickBot="1" x14ac:dyDescent="0.3">
      <c r="B86" s="3">
        <f>'CARTA DE CONTROL'!R22</f>
        <v>0</v>
      </c>
      <c r="C86" s="4">
        <f>'CARTA DE CONTROL'!AO22</f>
        <v>0</v>
      </c>
      <c r="D86" s="6">
        <f>'CARTA DE CONTROL'!O22</f>
        <v>0.4</v>
      </c>
      <c r="E86" s="5" t="str">
        <f>IF(C86&lt;=0.4,IF(C86&gt;=-0.4,"PASS","NO PASS"))</f>
        <v>PASS</v>
      </c>
    </row>
    <row r="87" spans="2:5" ht="15.75" thickBot="1" x14ac:dyDescent="0.3">
      <c r="B87" s="3">
        <f>'CARTA DE CONTROL'!R23</f>
        <v>0</v>
      </c>
      <c r="C87" s="4">
        <f>'CARTA DE CONTROL'!AO23</f>
        <v>0</v>
      </c>
      <c r="D87" s="6">
        <f>'CARTA DE CONTROL'!O23</f>
        <v>0.4</v>
      </c>
      <c r="E87" s="5" t="str">
        <f t="shared" ref="E87:E89" si="3">IF(C87&lt;=0.4,IF(C87&gt;=-0.4,"PASS","NO PASS"))</f>
        <v>PASS</v>
      </c>
    </row>
    <row r="88" spans="2:5" ht="15.75" thickBot="1" x14ac:dyDescent="0.3">
      <c r="B88" s="3">
        <f>'CARTA DE CONTROL'!R24</f>
        <v>0</v>
      </c>
      <c r="C88" s="4">
        <f>'CARTA DE CONTROL'!AO24</f>
        <v>0</v>
      </c>
      <c r="D88" s="6">
        <f>'CARTA DE CONTROL'!O24</f>
        <v>0.4</v>
      </c>
      <c r="E88" s="5" t="str">
        <f t="shared" si="3"/>
        <v>PASS</v>
      </c>
    </row>
    <row r="89" spans="2:5" ht="15.75" thickBot="1" x14ac:dyDescent="0.3">
      <c r="B89" s="3">
        <f>'CARTA DE CONTROL'!R25</f>
        <v>0</v>
      </c>
      <c r="C89" s="4">
        <f>'CARTA DE CONTROL'!AO25</f>
        <v>0</v>
      </c>
      <c r="D89" s="6">
        <f>'CARTA DE CONTROL'!O25</f>
        <v>0.4</v>
      </c>
      <c r="E89" s="5" t="str">
        <f t="shared" si="3"/>
        <v>PASS</v>
      </c>
    </row>
    <row r="90" spans="2:5" ht="15.75" thickBot="1" x14ac:dyDescent="0.3">
      <c r="B90" s="3">
        <f>'CARTA DE CONTROL'!R38</f>
        <v>0</v>
      </c>
      <c r="C90" s="4">
        <f>'CARTA DE CONTROL'!AO38</f>
        <v>0</v>
      </c>
      <c r="D90" s="6">
        <f>'CARTA DE CONTROL'!O38</f>
        <v>0.4</v>
      </c>
      <c r="E90" s="5" t="str">
        <f t="shared" ref="E90:E93" si="4">IF(C90&lt;=0.4,IF(C90&gt;=-0.4,"PASS","NO PASS"))</f>
        <v>PASS</v>
      </c>
    </row>
    <row r="91" spans="2:5" ht="15.75" thickBot="1" x14ac:dyDescent="0.3">
      <c r="B91" s="3">
        <f>'CARTA DE CONTROL'!R39</f>
        <v>0</v>
      </c>
      <c r="C91" s="4">
        <f>'CARTA DE CONTROL'!AO39</f>
        <v>0</v>
      </c>
      <c r="D91" s="6">
        <f>'CARTA DE CONTROL'!O39</f>
        <v>0.4</v>
      </c>
      <c r="E91" s="5" t="str">
        <f t="shared" si="4"/>
        <v>PASS</v>
      </c>
    </row>
    <row r="92" spans="2:5" ht="15.75" thickBot="1" x14ac:dyDescent="0.3">
      <c r="B92" s="3">
        <f>'CARTA DE CONTROL'!R40</f>
        <v>0</v>
      </c>
      <c r="C92" s="4">
        <f>'CARTA DE CONTROL'!AO40</f>
        <v>0</v>
      </c>
      <c r="D92" s="6">
        <f>'CARTA DE CONTROL'!O40</f>
        <v>0.4</v>
      </c>
      <c r="E92" s="5" t="str">
        <f t="shared" si="4"/>
        <v>PASS</v>
      </c>
    </row>
    <row r="93" spans="2:5" ht="15.75" thickBot="1" x14ac:dyDescent="0.3">
      <c r="B93" s="3">
        <f>'CARTA DE CONTROL'!R41</f>
        <v>0</v>
      </c>
      <c r="C93" s="4">
        <f>'CARTA DE CONTROL'!AO41</f>
        <v>0</v>
      </c>
      <c r="D93" s="6">
        <f>'CARTA DE CONTROL'!O41</f>
        <v>0.4</v>
      </c>
      <c r="E93" s="5" t="str">
        <f t="shared" si="4"/>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B66:E66"/>
    <mergeCell ref="B84:E84"/>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E68:E71 E86:E93">
    <cfRule type="cellIs" dxfId="158" priority="29" operator="lessThan">
      <formula>$H$85</formula>
    </cfRule>
    <cfRule type="cellIs" dxfId="157" priority="30" operator="lessThan">
      <formula>0.05</formula>
    </cfRule>
  </conditionalFormatting>
  <conditionalFormatting sqref="G40:G43">
    <cfRule type="cellIs" dxfId="156" priority="103" operator="lessThan">
      <formula>#REF!</formula>
    </cfRule>
    <cfRule type="cellIs" dxfId="155" priority="104" operator="lessThan">
      <formula>0.05</formula>
    </cfRule>
  </conditionalFormatting>
  <conditionalFormatting sqref="G40:G43">
    <cfRule type="cellIs" dxfId="154" priority="105" operator="between">
      <formula>#REF!</formula>
      <formula>#REF!</formula>
    </cfRule>
  </conditionalFormatting>
  <conditionalFormatting sqref="G44:G47">
    <cfRule type="cellIs" dxfId="153" priority="1" operator="lessThan">
      <formula>#REF!</formula>
    </cfRule>
    <cfRule type="cellIs" dxfId="152" priority="2" operator="lessThan">
      <formula>0.05</formula>
    </cfRule>
  </conditionalFormatting>
  <conditionalFormatting sqref="G44:G47">
    <cfRule type="cellIs" dxfId="151" priority="3" operator="between">
      <formula>#REF!</formula>
      <formula>#REF!</formula>
    </cfRule>
  </conditionalFormatting>
  <pageMargins left="0.7" right="0.7" top="0.75" bottom="0.75" header="0.3" footer="0.3"/>
  <pageSetup paperSize="1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79" zoomScale="120" zoomScaleNormal="120" workbookViewId="0">
      <selection activeCell="B91" sqref="B91:D94"/>
    </sheetView>
  </sheetViews>
  <sheetFormatPr baseColWidth="10" defaultRowHeight="15" x14ac:dyDescent="0.25"/>
  <cols>
    <col min="1" max="1" width="4.28515625" customWidth="1"/>
    <col min="2" max="4" width="21" customWidth="1"/>
    <col min="5" max="5" width="22.7109375" customWidth="1"/>
    <col min="8" max="8" width="13.28515625"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CONTROL'!B42</f>
        <v>ANALIZADOR DE GASES 2</v>
      </c>
      <c r="D7" s="832"/>
      <c r="E7" s="833"/>
    </row>
    <row r="8" spans="1:11" x14ac:dyDescent="0.25">
      <c r="B8" s="224" t="s">
        <v>156</v>
      </c>
      <c r="C8" s="831" t="str">
        <f>'CARTA DE CONTROL'!D42</f>
        <v>ACTIA</v>
      </c>
      <c r="D8" s="832"/>
      <c r="E8" s="833"/>
    </row>
    <row r="9" spans="1:11" x14ac:dyDescent="0.25">
      <c r="B9" s="224" t="s">
        <v>157</v>
      </c>
      <c r="C9" s="831" t="str">
        <f>'CARTA DE CONTROL'!E42</f>
        <v>AT505</v>
      </c>
      <c r="D9" s="832"/>
      <c r="E9" s="833"/>
    </row>
    <row r="10" spans="1:11" x14ac:dyDescent="0.25">
      <c r="B10" s="224" t="s">
        <v>158</v>
      </c>
      <c r="C10" s="834" t="str">
        <f>'CARTA DE CONTROL'!F42</f>
        <v>022/18</v>
      </c>
      <c r="D10" s="835"/>
      <c r="E10" s="836"/>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7" s="1" customFormat="1" ht="25.5" customHeight="1" x14ac:dyDescent="0.2">
      <c r="A33" s="213">
        <v>2</v>
      </c>
      <c r="B33" s="815" t="s">
        <v>149</v>
      </c>
      <c r="C33" s="815"/>
      <c r="D33" s="815"/>
      <c r="E33" s="197" t="s">
        <v>148</v>
      </c>
      <c r="F33" s="816"/>
      <c r="G33" s="817"/>
    </row>
    <row r="34" spans="1:7" s="1" customFormat="1" ht="25.5" customHeight="1" x14ac:dyDescent="0.2">
      <c r="A34" s="213">
        <v>3</v>
      </c>
      <c r="B34" s="815" t="s">
        <v>150</v>
      </c>
      <c r="C34" s="815"/>
      <c r="D34" s="815"/>
      <c r="E34" s="197" t="s">
        <v>148</v>
      </c>
      <c r="F34" s="816"/>
      <c r="G34" s="817"/>
    </row>
    <row r="35" spans="1:7" s="1" customFormat="1" ht="25.5" customHeight="1" x14ac:dyDescent="0.2">
      <c r="A35" s="213">
        <v>4</v>
      </c>
      <c r="B35" s="815" t="s">
        <v>151</v>
      </c>
      <c r="C35" s="815"/>
      <c r="D35" s="815"/>
      <c r="E35" s="197" t="s">
        <v>152</v>
      </c>
      <c r="F35" s="816"/>
      <c r="G35" s="817"/>
    </row>
    <row r="36" spans="1:7" s="1" customFormat="1" ht="25.5" customHeight="1" x14ac:dyDescent="0.2">
      <c r="A36" s="213">
        <v>5</v>
      </c>
      <c r="B36" s="815" t="s">
        <v>153</v>
      </c>
      <c r="C36" s="815"/>
      <c r="D36" s="815"/>
      <c r="E36" s="197" t="s">
        <v>152</v>
      </c>
      <c r="F36" s="818"/>
      <c r="G36" s="819"/>
    </row>
    <row r="37" spans="1:7" s="1" customFormat="1" ht="25.5" customHeight="1" thickBot="1" x14ac:dyDescent="0.25">
      <c r="A37" s="214">
        <v>6</v>
      </c>
      <c r="B37" s="809" t="s">
        <v>154</v>
      </c>
      <c r="C37" s="809"/>
      <c r="D37" s="809"/>
      <c r="E37" s="215" t="s">
        <v>152</v>
      </c>
      <c r="F37" s="810"/>
      <c r="G37" s="811"/>
    </row>
    <row r="39" spans="1:7" ht="15.75" thickBot="1" x14ac:dyDescent="0.3"/>
    <row r="40" spans="1:7" ht="79.5" thickBot="1" x14ac:dyDescent="0.3">
      <c r="B40" s="2" t="s">
        <v>39</v>
      </c>
      <c r="C40" s="11" t="s">
        <v>91</v>
      </c>
      <c r="D40" s="11" t="s">
        <v>92</v>
      </c>
      <c r="E40" s="2" t="s">
        <v>93</v>
      </c>
      <c r="F40" s="2" t="s">
        <v>94</v>
      </c>
      <c r="G40" s="21" t="s">
        <v>95</v>
      </c>
    </row>
    <row r="41" spans="1:7" ht="15.75" thickBot="1" x14ac:dyDescent="0.3">
      <c r="B41" s="3">
        <f>'CARTA DE CONTROL'!R42</f>
        <v>0.99399999999999999</v>
      </c>
      <c r="C41" s="4">
        <f>'CARTA DE CONTROL'!AR42</f>
        <v>6.9999999999999889E-3</v>
      </c>
      <c r="D41" s="4">
        <f>'CARTA DE CONTROL'!AS42</f>
        <v>-3.5000000000000017E-2</v>
      </c>
      <c r="E41" s="6">
        <f>'CARTA DE CONTROL'!I42</f>
        <v>0.06</v>
      </c>
      <c r="F41" s="7">
        <f>-('CARTA DE CONTROL'!I42)</f>
        <v>-0.06</v>
      </c>
      <c r="G41" s="5" t="str">
        <f>IF(C41&lt;=0.1,IF(D41&gt;=-0.1,"PASS","NO PASS"))</f>
        <v>PASS</v>
      </c>
    </row>
    <row r="42" spans="1:7" ht="15.75" thickBot="1" x14ac:dyDescent="0.3">
      <c r="B42" s="3">
        <f>'CARTA DE CONTROL'!R43</f>
        <v>4.01</v>
      </c>
      <c r="C42" s="4">
        <f>'CARTA DE CONTROL'!AR43</f>
        <v>0.09</v>
      </c>
      <c r="D42" s="4">
        <f>'CARTA DE CONTROL'!AS43</f>
        <v>-0.09</v>
      </c>
      <c r="E42" s="6">
        <f>'CARTA DE CONTROL'!I43</f>
        <v>0.15</v>
      </c>
      <c r="F42" s="7">
        <f>-('CARTA DE CONTROL'!I43)</f>
        <v>-0.15</v>
      </c>
      <c r="G42" s="5" t="str">
        <f t="shared" ref="G42:G44" si="0">IF(C42&lt;=0.1,IF(D42&gt;=-0.1,"PASS","NO PASS"))</f>
        <v>PASS</v>
      </c>
    </row>
    <row r="43" spans="1:7" ht="15.75" thickBot="1" x14ac:dyDescent="0.3">
      <c r="B43" s="3">
        <f>'CARTA DE CONTROL'!R44</f>
        <v>7.97</v>
      </c>
      <c r="C43" s="4">
        <f>'CARTA DE CONTROL'!AR44</f>
        <v>0.17</v>
      </c>
      <c r="D43" s="4">
        <f>'CARTA DE CONTROL'!AS44</f>
        <v>-0.17</v>
      </c>
      <c r="E43" s="6">
        <f>'CARTA DE CONTROL'!I44</f>
        <v>0.4</v>
      </c>
      <c r="F43" s="7">
        <f>-('CARTA DE CONTROL'!I44)</f>
        <v>-0.4</v>
      </c>
      <c r="G43" s="5" t="b">
        <f t="shared" si="0"/>
        <v>0</v>
      </c>
    </row>
    <row r="44" spans="1:7" ht="15.75" thickBot="1" x14ac:dyDescent="0.3">
      <c r="B44" s="3">
        <f>'CARTA DE CONTROL'!R45</f>
        <v>0</v>
      </c>
      <c r="C44" s="4">
        <f>'CARTA DE CONTROL'!AR45</f>
        <v>6.0000000000000001E-3</v>
      </c>
      <c r="D44" s="4">
        <f>'CARTA DE CONTROL'!AS45</f>
        <v>-6.0000000000000001E-3</v>
      </c>
      <c r="E44" s="6">
        <f>'CARTA DE CONTROL'!I45</f>
        <v>0.06</v>
      </c>
      <c r="F44" s="7">
        <f>-('CARTA DE CONTROL'!I45)</f>
        <v>-0.06</v>
      </c>
      <c r="G44" s="5" t="str">
        <f t="shared" si="0"/>
        <v>PASS</v>
      </c>
    </row>
    <row r="45" spans="1:7" ht="15.75" thickBot="1" x14ac:dyDescent="0.3">
      <c r="B45" s="3">
        <f>'CARTA DE CONTROL'!R58</f>
        <v>0.99399999999999999</v>
      </c>
      <c r="C45" s="4">
        <f>'CARTA DE CONTROL'!AR58</f>
        <v>2.4E-2</v>
      </c>
      <c r="D45" s="4">
        <f>'CARTA DE CONTROL'!AS58</f>
        <v>-2.4E-2</v>
      </c>
      <c r="E45" s="6">
        <f>'CARTA DE CONTROL'!I58</f>
        <v>0.06</v>
      </c>
      <c r="F45" s="7">
        <f>-('CARTA DE CONTROL'!I58)</f>
        <v>-0.06</v>
      </c>
      <c r="G45" s="5" t="str">
        <f>IF(C45&lt;=0.1,IF(D45&gt;=-0.1,"PASS","NO PASS"))</f>
        <v>PASS</v>
      </c>
    </row>
    <row r="46" spans="1:7" ht="15.75" thickBot="1" x14ac:dyDescent="0.3">
      <c r="B46" s="3">
        <f>'CARTA DE CONTROL'!R59</f>
        <v>4.01</v>
      </c>
      <c r="C46" s="4">
        <f>'CARTA DE CONTROL'!AR59</f>
        <v>9.0999999999999998E-2</v>
      </c>
      <c r="D46" s="4">
        <f>'CARTA DE CONTROL'!AS59</f>
        <v>-9.0999999999999998E-2</v>
      </c>
      <c r="E46" s="6">
        <f>'CARTA DE CONTROL'!I59</f>
        <v>0.15</v>
      </c>
      <c r="F46" s="7">
        <f>-('CARTA DE CONTROL'!I59)</f>
        <v>-0.15</v>
      </c>
      <c r="G46" s="5" t="str">
        <f>IF(C46&lt;=0.2,IF(D46&gt;=-0.2,"PASS","NO PASS"))</f>
        <v>PASS</v>
      </c>
    </row>
    <row r="47" spans="1:7" ht="15.75" thickBot="1" x14ac:dyDescent="0.3">
      <c r="B47" s="3">
        <f>'CARTA DE CONTROL'!R60</f>
        <v>7.97</v>
      </c>
      <c r="C47" s="4">
        <f>'CARTA DE CONTROL'!AR60</f>
        <v>0.19</v>
      </c>
      <c r="D47" s="4">
        <f>'CARTA DE CONTROL'!AS60</f>
        <v>-0.19</v>
      </c>
      <c r="E47" s="6">
        <f>'CARTA DE CONTROL'!I60</f>
        <v>0.4</v>
      </c>
      <c r="F47" s="7">
        <f>-('CARTA DE CONTROL'!I60)</f>
        <v>-0.4</v>
      </c>
      <c r="G47" s="5" t="str">
        <f>IF(C47&lt;=0.5,IF(D47&gt;=-0.5,"PASS","NO PASS"))</f>
        <v>PASS</v>
      </c>
    </row>
    <row r="48" spans="1:7" ht="15.75" thickBot="1" x14ac:dyDescent="0.3">
      <c r="B48" s="3">
        <f>'CARTA DE CONTROL'!R61</f>
        <v>0</v>
      </c>
      <c r="C48" s="4">
        <f>'CARTA DE CONTROL'!AR61</f>
        <v>6.0000000000000001E-3</v>
      </c>
      <c r="D48" s="4">
        <f>'CARTA DE CONTROL'!AS61</f>
        <v>-6.0000000000000001E-3</v>
      </c>
      <c r="E48" s="6">
        <f>'CARTA DE CONTROL'!I61</f>
        <v>0.06</v>
      </c>
      <c r="F48" s="7">
        <f>-('CARTA DE CONTROL'!I61)</f>
        <v>-0.06</v>
      </c>
      <c r="G48" s="5" t="str">
        <f>IF(C48&lt;=0.05,IF(D48&gt;=-0.05,"PASS","NO PASS"))</f>
        <v>PASS</v>
      </c>
    </row>
    <row r="49" spans="1:8" x14ac:dyDescent="0.25">
      <c r="A49" s="1"/>
      <c r="B49" s="1"/>
      <c r="C49" s="1"/>
      <c r="D49" s="1"/>
    </row>
    <row r="50" spans="1:8" x14ac:dyDescent="0.25">
      <c r="A50" s="1"/>
      <c r="B50" s="1"/>
      <c r="C50" s="1"/>
      <c r="D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6" spans="2:5" ht="15.75" thickBot="1" x14ac:dyDescent="0.3"/>
    <row r="67" spans="2:5" ht="15.75" thickBot="1" x14ac:dyDescent="0.3">
      <c r="B67" s="812" t="s">
        <v>82</v>
      </c>
      <c r="C67" s="813"/>
      <c r="D67" s="813"/>
      <c r="E67" s="814"/>
    </row>
    <row r="68" spans="2:5" ht="45.75" thickBot="1" x14ac:dyDescent="0.3">
      <c r="B68" s="2" t="s">
        <v>39</v>
      </c>
      <c r="C68" s="10" t="s">
        <v>83</v>
      </c>
      <c r="D68" s="2" t="s">
        <v>84</v>
      </c>
      <c r="E68" s="21" t="s">
        <v>85</v>
      </c>
    </row>
    <row r="69" spans="2:5" ht="15.75" thickBot="1" x14ac:dyDescent="0.3">
      <c r="B69" s="3">
        <f>'CARTA DE CONTROL'!R42</f>
        <v>0.99399999999999999</v>
      </c>
      <c r="C69" s="4">
        <f>'CARTA DE CONTROL'!AN42</f>
        <v>0</v>
      </c>
      <c r="D69" s="6">
        <f>'CARTA DE CONTROL'!M42</f>
        <v>0.02</v>
      </c>
      <c r="E69" s="5" t="str">
        <f>IF(C69&lt;=0.04,IF(C69&gt;=-0.04,"PASS","NO PASS"))</f>
        <v>PASS</v>
      </c>
    </row>
    <row r="70" spans="2:5" ht="15.75" thickBot="1" x14ac:dyDescent="0.3">
      <c r="B70" s="3">
        <f>'CARTA DE CONTROL'!R43</f>
        <v>4.01</v>
      </c>
      <c r="C70" s="4">
        <f>'CARTA DE CONTROL'!AN43</f>
        <v>0</v>
      </c>
      <c r="D70" s="6">
        <f>'CARTA DE CONTROL'!M43</f>
        <v>0.06</v>
      </c>
      <c r="E70" s="5" t="str">
        <f>IF(C70&lt;=0.08,IF(C70&gt;=-0.08,"PASS","NO PASS"))</f>
        <v>PASS</v>
      </c>
    </row>
    <row r="71" spans="2:5" ht="15.75" thickBot="1" x14ac:dyDescent="0.3">
      <c r="B71" s="3">
        <f>'CARTA DE CONTROL'!R44</f>
        <v>7.97</v>
      </c>
      <c r="C71" s="4">
        <f>'CARTA DE CONTROL'!AN44</f>
        <v>0</v>
      </c>
      <c r="D71" s="6">
        <f>'CARTA DE CONTROL'!M44</f>
        <v>0.1</v>
      </c>
      <c r="E71" s="5" t="str">
        <f>IF(C71&lt;=0.16,IF(C71&gt;=-0.16,"PASS","NO PASS"))</f>
        <v>PASS</v>
      </c>
    </row>
    <row r="72" spans="2:5" ht="15.75" thickBot="1" x14ac:dyDescent="0.3">
      <c r="B72" s="3">
        <f>'CARTA DE CONTROL'!R45</f>
        <v>0</v>
      </c>
      <c r="C72" s="4">
        <f>'CARTA DE CONTROL'!AN45</f>
        <v>0</v>
      </c>
      <c r="D72" s="6">
        <f>'CARTA DE CONTROL'!M45</f>
        <v>0.02</v>
      </c>
      <c r="E72" s="5" t="str">
        <f>IF(C72&lt;=0.02,IF(C72&gt;=-0.02,"PASS","NO PASS"))</f>
        <v>PASS</v>
      </c>
    </row>
    <row r="84" spans="2:5" ht="15.75" thickBot="1" x14ac:dyDescent="0.3"/>
    <row r="85" spans="2:5" ht="15.75" thickBot="1" x14ac:dyDescent="0.3">
      <c r="B85" s="812" t="s">
        <v>86</v>
      </c>
      <c r="C85" s="813"/>
      <c r="D85" s="813"/>
      <c r="E85" s="814"/>
    </row>
    <row r="86" spans="2:5" ht="45.75" thickBot="1" x14ac:dyDescent="0.3">
      <c r="B86" s="2" t="s">
        <v>39</v>
      </c>
      <c r="C86" s="10" t="s">
        <v>87</v>
      </c>
      <c r="D86" s="2" t="s">
        <v>117</v>
      </c>
      <c r="E86" s="21" t="s">
        <v>85</v>
      </c>
    </row>
    <row r="87" spans="2:5" ht="15.75" thickBot="1" x14ac:dyDescent="0.3">
      <c r="B87" s="3">
        <f>'CARTA DE CONTROL'!R42</f>
        <v>0.99399999999999999</v>
      </c>
      <c r="C87" s="4">
        <f>'CARTA DE CONTROL'!AO42</f>
        <v>0</v>
      </c>
      <c r="D87" s="6">
        <f>'CARTA DE CONTROL'!O42</f>
        <v>0.03</v>
      </c>
      <c r="E87" s="5" t="str">
        <f>IF(C87&lt;=0.04,IF(C87&gt;=-0.04,"PASS","NO PASS"))</f>
        <v>PASS</v>
      </c>
    </row>
    <row r="88" spans="2:5" ht="15.75" thickBot="1" x14ac:dyDescent="0.3">
      <c r="B88" s="3">
        <f>'CARTA DE CONTROL'!R43</f>
        <v>4.01</v>
      </c>
      <c r="C88" s="4">
        <f>'CARTA DE CONTROL'!AO43</f>
        <v>0</v>
      </c>
      <c r="D88" s="6">
        <f>'CARTA DE CONTROL'!O43</f>
        <v>0.08</v>
      </c>
      <c r="E88" s="5" t="str">
        <f>IF(C88&lt;=0.08,IF(C88&gt;=-0.08,"PASS","NO PASS"))</f>
        <v>PASS</v>
      </c>
    </row>
    <row r="89" spans="2:5" ht="15.75" thickBot="1" x14ac:dyDescent="0.3">
      <c r="B89" s="3">
        <f>'CARTA DE CONTROL'!R44</f>
        <v>7.97</v>
      </c>
      <c r="C89" s="4">
        <f>'CARTA DE CONTROL'!AO44</f>
        <v>0</v>
      </c>
      <c r="D89" s="6">
        <f>'CARTA DE CONTROL'!O44</f>
        <v>0.15</v>
      </c>
      <c r="E89" s="5" t="str">
        <f>IF(C89&lt;=0.16,IF(C89&gt;=-0.16,"PASS","NO PASS"))</f>
        <v>PASS</v>
      </c>
    </row>
    <row r="90" spans="2:5" ht="15.75" thickBot="1" x14ac:dyDescent="0.3">
      <c r="B90" s="3">
        <f>'CARTA DE CONTROL'!R45</f>
        <v>0</v>
      </c>
      <c r="C90" s="4">
        <f>'CARTA DE CONTROL'!AO45</f>
        <v>0</v>
      </c>
      <c r="D90" s="6">
        <f>'CARTA DE CONTROL'!O45</f>
        <v>0.03</v>
      </c>
      <c r="E90" s="5" t="str">
        <f>IF(C90&lt;=0.02,IF(C90&gt;=-0.02,"PASS","NO PASS"))</f>
        <v>PASS</v>
      </c>
    </row>
    <row r="91" spans="2:5" ht="15.75" thickBot="1" x14ac:dyDescent="0.3">
      <c r="B91" s="3">
        <f>'CARTA DE CONTROL'!R58</f>
        <v>0.99399999999999999</v>
      </c>
      <c r="C91" s="4">
        <f>'CARTA DE CONTROL'!AO58</f>
        <v>0</v>
      </c>
      <c r="D91" s="6">
        <f>'CARTA DE CONTROL'!O58</f>
        <v>0.03</v>
      </c>
      <c r="E91" s="5" t="str">
        <f>IF(C91&lt;=0.04,IF(C91&gt;=-0.04,"PASS","NO PASS"))</f>
        <v>PASS</v>
      </c>
    </row>
    <row r="92" spans="2:5" ht="15.75" thickBot="1" x14ac:dyDescent="0.3">
      <c r="B92" s="3">
        <f>'CARTA DE CONTROL'!R59</f>
        <v>4.01</v>
      </c>
      <c r="C92" s="4">
        <f>'CARTA DE CONTROL'!AO59</f>
        <v>0</v>
      </c>
      <c r="D92" s="6">
        <f>'CARTA DE CONTROL'!O59</f>
        <v>0.08</v>
      </c>
      <c r="E92" s="5" t="str">
        <f>IF(C92&lt;=0.08,IF(C92&gt;=-0.08,"PASS","NO PASS"))</f>
        <v>PASS</v>
      </c>
    </row>
    <row r="93" spans="2:5" ht="15.75" thickBot="1" x14ac:dyDescent="0.3">
      <c r="B93" s="3">
        <f>'CARTA DE CONTROL'!R60</f>
        <v>7.97</v>
      </c>
      <c r="C93" s="4">
        <f>'CARTA DE CONTROL'!AO60</f>
        <v>0</v>
      </c>
      <c r="D93" s="6">
        <f>'CARTA DE CONTROL'!O60</f>
        <v>0.15</v>
      </c>
      <c r="E93" s="5" t="str">
        <f>IF(C93&lt;=0.16,IF(C93&gt;=-0.16,"PASS","NO PASS"))</f>
        <v>PASS</v>
      </c>
    </row>
    <row r="94" spans="2:5" ht="15.75" thickBot="1" x14ac:dyDescent="0.3">
      <c r="B94" s="3">
        <f>'CARTA DE CONTROL'!R61</f>
        <v>0</v>
      </c>
      <c r="C94" s="4">
        <f>'CARTA DE CONTROL'!AO61</f>
        <v>0</v>
      </c>
      <c r="D94" s="6">
        <f>'CARTA DE CONTROL'!O61</f>
        <v>0.03</v>
      </c>
      <c r="E94" s="5" t="str">
        <f>IF(C94&lt;=0.02,IF(C94&gt;=-0.02,"PASS","NO PASS"))</f>
        <v>PASS</v>
      </c>
    </row>
  </sheetData>
  <mergeCells count="54">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67:E67"/>
    <mergeCell ref="B85:E85"/>
    <mergeCell ref="B34:D34"/>
    <mergeCell ref="F34:G34"/>
    <mergeCell ref="B35:D35"/>
    <mergeCell ref="F35:G35"/>
    <mergeCell ref="B36:D36"/>
    <mergeCell ref="F36:G36"/>
  </mergeCells>
  <conditionalFormatting sqref="E69:E72">
    <cfRule type="cellIs" dxfId="150" priority="9" operator="lessThan">
      <formula>$H$84</formula>
    </cfRule>
    <cfRule type="cellIs" dxfId="149" priority="10" operator="lessThan">
      <formula>0.05</formula>
    </cfRule>
  </conditionalFormatting>
  <conditionalFormatting sqref="G41:G48">
    <cfRule type="cellIs" dxfId="148" priority="11" operator="lessThan">
      <formula>$H$86</formula>
    </cfRule>
    <cfRule type="cellIs" dxfId="147" priority="12" operator="lessThan">
      <formula>0.05</formula>
    </cfRule>
  </conditionalFormatting>
  <conditionalFormatting sqref="E87:E88">
    <cfRule type="cellIs" dxfId="146" priority="7" operator="lessThan">
      <formula>$H$84</formula>
    </cfRule>
    <cfRule type="cellIs" dxfId="145" priority="8" operator="lessThan">
      <formula>0.05</formula>
    </cfRule>
  </conditionalFormatting>
  <conditionalFormatting sqref="E89:E90">
    <cfRule type="cellIs" dxfId="144" priority="5" operator="lessThan">
      <formula>$H$84</formula>
    </cfRule>
    <cfRule type="cellIs" dxfId="143" priority="6" operator="lessThan">
      <formula>0.05</formula>
    </cfRule>
  </conditionalFormatting>
  <conditionalFormatting sqref="E91:E92">
    <cfRule type="cellIs" dxfId="142" priority="3" operator="lessThan">
      <formula>$H$84</formula>
    </cfRule>
    <cfRule type="cellIs" dxfId="141" priority="4" operator="lessThan">
      <formula>0.05</formula>
    </cfRule>
  </conditionalFormatting>
  <conditionalFormatting sqref="E93:E94">
    <cfRule type="cellIs" dxfId="140" priority="1" operator="lessThan">
      <formula>$H$84</formula>
    </cfRule>
    <cfRule type="cellIs" dxfId="139" priority="2" operator="lessThan">
      <formula>0.05</formula>
    </cfRule>
  </conditionalFormatting>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100" zoomScaleNormal="100" workbookViewId="0">
      <selection activeCell="B93" sqref="B93:D96"/>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8" max="8" width="12.7109375"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CONTROL'!B42</f>
        <v>ANALIZADOR DE GASES 2</v>
      </c>
      <c r="D7" s="832"/>
      <c r="E7" s="833"/>
    </row>
    <row r="8" spans="1:11" x14ac:dyDescent="0.25">
      <c r="B8" s="224" t="s">
        <v>156</v>
      </c>
      <c r="C8" s="831" t="str">
        <f>'CARTA DE CONTROL'!D42</f>
        <v>ACTIA</v>
      </c>
      <c r="D8" s="832"/>
      <c r="E8" s="833"/>
    </row>
    <row r="9" spans="1:11" x14ac:dyDescent="0.25">
      <c r="B9" s="224" t="s">
        <v>157</v>
      </c>
      <c r="C9" s="831" t="str">
        <f>'CARTA DE CONTROL'!E42</f>
        <v>AT505</v>
      </c>
      <c r="D9" s="832"/>
      <c r="E9" s="833"/>
    </row>
    <row r="10" spans="1:11" x14ac:dyDescent="0.25">
      <c r="B10" s="224" t="s">
        <v>158</v>
      </c>
      <c r="C10" s="834" t="str">
        <f>'CARTA DE CONTROL'!F42</f>
        <v>022/18</v>
      </c>
      <c r="D10" s="835"/>
      <c r="E10" s="836"/>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9" spans="1:8" ht="15.75" thickBot="1" x14ac:dyDescent="0.3"/>
    <row r="40" spans="1:8" ht="79.5" thickBot="1" x14ac:dyDescent="0.3">
      <c r="B40" s="2" t="s">
        <v>39</v>
      </c>
      <c r="C40" s="11" t="s">
        <v>91</v>
      </c>
      <c r="D40" s="11" t="s">
        <v>92</v>
      </c>
      <c r="E40" s="2" t="s">
        <v>93</v>
      </c>
      <c r="F40" s="2" t="s">
        <v>94</v>
      </c>
      <c r="G40" s="21" t="s">
        <v>95</v>
      </c>
    </row>
    <row r="41" spans="1:8" ht="15.75" thickBot="1" x14ac:dyDescent="0.3">
      <c r="B41" s="3">
        <f>'CARTA DE CONTROL'!R46</f>
        <v>5.98</v>
      </c>
      <c r="C41" s="4">
        <f>'CARTA DE CONTROL'!AR46</f>
        <v>0.12</v>
      </c>
      <c r="D41" s="4">
        <f>'CARTA DE CONTROL'!AT46</f>
        <v>0.12</v>
      </c>
      <c r="E41" s="6">
        <f>'CARTA DE CONTROL'!I46</f>
        <v>0.6</v>
      </c>
      <c r="F41" s="7">
        <f>-('CARTA DE CONTROL'!I46)</f>
        <v>-0.6</v>
      </c>
      <c r="G41" s="5" t="str">
        <f>IF(C41&lt;=0.4,IF(D41&gt;=-0.4,"PASS","NO PASS"))</f>
        <v>PASS</v>
      </c>
    </row>
    <row r="42" spans="1:8" ht="15.75" thickBot="1" x14ac:dyDescent="0.3">
      <c r="B42" s="3">
        <f>'CARTA DE CONTROL'!R47</f>
        <v>10.5</v>
      </c>
      <c r="C42" s="4">
        <f>'CARTA DE CONTROL'!AR47</f>
        <v>0.2</v>
      </c>
      <c r="D42" s="4">
        <f>'CARTA DE CONTROL'!AT47</f>
        <v>0.2</v>
      </c>
      <c r="E42" s="6">
        <f>'CARTA DE CONTROL'!I47</f>
        <v>0.6</v>
      </c>
      <c r="F42" s="7">
        <f>-('CARTA DE CONTROL'!I47)</f>
        <v>-0.6</v>
      </c>
      <c r="G42" s="5" t="str">
        <f>IF(C42&lt;=0.8,IF(D42&gt;=-0.8,"PASS","NO PASS"))</f>
        <v>PASS</v>
      </c>
    </row>
    <row r="43" spans="1:8" ht="15.75" thickBot="1" x14ac:dyDescent="0.3">
      <c r="B43" s="3">
        <f>'CARTA DE CONTROL'!R48</f>
        <v>13.02</v>
      </c>
      <c r="C43" s="4">
        <f>'CARTA DE CONTROL'!AR48</f>
        <v>0.15</v>
      </c>
      <c r="D43" s="4">
        <f>'CARTA DE CONTROL'!AT48</f>
        <v>0.15</v>
      </c>
      <c r="E43" s="6">
        <f>'CARTA DE CONTROL'!I48</f>
        <v>0.6</v>
      </c>
      <c r="F43" s="7">
        <f>-('CARTA DE CONTROL'!I48)</f>
        <v>-0.6</v>
      </c>
      <c r="G43" s="5" t="str">
        <f>IF(C43&lt;=0.4,IF(D43&gt;=-0.4,"PASS","NO PASS"))</f>
        <v>PASS</v>
      </c>
    </row>
    <row r="44" spans="1:8" ht="15.75" thickBot="1" x14ac:dyDescent="0.3">
      <c r="B44" s="3">
        <f>'CARTA DE CONTROL'!R49</f>
        <v>0</v>
      </c>
      <c r="C44" s="4">
        <f>'CARTA DE CONTROL'!AR49</f>
        <v>5.8000000000000003E-2</v>
      </c>
      <c r="D44" s="4">
        <f>'CARTA DE CONTROL'!AT49</f>
        <v>5.8000000000000003E-2</v>
      </c>
      <c r="E44" s="6">
        <f>'CARTA DE CONTROL'!I49</f>
        <v>0.6</v>
      </c>
      <c r="F44" s="7">
        <f>-('CARTA DE CONTROL'!I49)</f>
        <v>-0.6</v>
      </c>
      <c r="G44" s="5" t="str">
        <f>IF(C44&lt;=0.8,IF(D44&gt;=-0.8,"PASS","NO PASS"))</f>
        <v>PASS</v>
      </c>
    </row>
    <row r="45" spans="1:8" ht="15.75" thickBot="1" x14ac:dyDescent="0.3">
      <c r="A45" s="1"/>
      <c r="B45" s="3">
        <f>'CARTA DE CONTROL'!R62</f>
        <v>5.98</v>
      </c>
      <c r="C45" s="4">
        <f>'CARTA DE CONTROL'!AR62</f>
        <v>0.12</v>
      </c>
      <c r="D45" s="4">
        <f>'CARTA DE CONTROL'!AT62</f>
        <v>0.12</v>
      </c>
      <c r="E45" s="6">
        <f>'CARTA DE CONTROL'!I62</f>
        <v>0.6</v>
      </c>
      <c r="F45" s="7">
        <f>-('CARTA DE CONTROL'!I62)</f>
        <v>-0.6</v>
      </c>
      <c r="G45" s="5" t="str">
        <f t="shared" ref="G45:G48" si="0">IF(C45&lt;=0.8,IF(D45&gt;=-0.8,"PASS","NO PASS"))</f>
        <v>PASS</v>
      </c>
      <c r="H45" s="1"/>
    </row>
    <row r="46" spans="1:8" ht="15.75" thickBot="1" x14ac:dyDescent="0.3">
      <c r="A46" s="1"/>
      <c r="B46" s="3">
        <f>'CARTA DE CONTROL'!R63</f>
        <v>10.5</v>
      </c>
      <c r="C46" s="4">
        <f>'CARTA DE CONTROL'!AR63</f>
        <v>0.2</v>
      </c>
      <c r="D46" s="4">
        <f>'CARTA DE CONTROL'!AT63</f>
        <v>0.2</v>
      </c>
      <c r="E46" s="6">
        <f>'CARTA DE CONTROL'!I63</f>
        <v>0.6</v>
      </c>
      <c r="F46" s="7">
        <f>-('CARTA DE CONTROL'!I63)</f>
        <v>-0.6</v>
      </c>
      <c r="G46" s="5" t="str">
        <f t="shared" si="0"/>
        <v>PASS</v>
      </c>
    </row>
    <row r="47" spans="1:8" ht="15.75" thickBot="1" x14ac:dyDescent="0.3">
      <c r="A47" s="1"/>
      <c r="B47" s="3">
        <f>'CARTA DE CONTROL'!R64</f>
        <v>13.02</v>
      </c>
      <c r="C47" s="4">
        <f>'CARTA DE CONTROL'!AR64</f>
        <v>0.15</v>
      </c>
      <c r="D47" s="4">
        <f>'CARTA DE CONTROL'!AT64</f>
        <v>0.15</v>
      </c>
      <c r="E47" s="6">
        <f>'CARTA DE CONTROL'!I64</f>
        <v>0.6</v>
      </c>
      <c r="F47" s="7">
        <f>-('CARTA DE CONTROL'!I64)</f>
        <v>-0.6</v>
      </c>
      <c r="G47" s="5" t="str">
        <f t="shared" si="0"/>
        <v>PASS</v>
      </c>
    </row>
    <row r="48" spans="1:8" ht="15.75" thickBot="1" x14ac:dyDescent="0.3">
      <c r="A48" s="1"/>
      <c r="B48" s="3">
        <f>'CARTA DE CONTROL'!R65</f>
        <v>0</v>
      </c>
      <c r="C48" s="4">
        <f>'CARTA DE CONTROL'!AR65</f>
        <v>5.8000000000000003E-2</v>
      </c>
      <c r="D48" s="4">
        <f>'CARTA DE CONTROL'!AT65</f>
        <v>5.8000000000000003E-2</v>
      </c>
      <c r="E48" s="6">
        <f>'CARTA DE CONTROL'!I65</f>
        <v>0.6</v>
      </c>
      <c r="F48" s="7">
        <f>-('CARTA DE CONTROL'!I65)</f>
        <v>-0.6</v>
      </c>
      <c r="G48" s="5" t="str">
        <f t="shared" si="0"/>
        <v>PASS</v>
      </c>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7" spans="2:5" ht="15.75" thickBot="1" x14ac:dyDescent="0.3"/>
    <row r="68" spans="2:5" ht="15.75" thickBot="1" x14ac:dyDescent="0.3">
      <c r="B68" s="812" t="s">
        <v>82</v>
      </c>
      <c r="C68" s="813"/>
      <c r="D68" s="813"/>
      <c r="E68" s="814"/>
    </row>
    <row r="69" spans="2:5" ht="45.75" thickBot="1" x14ac:dyDescent="0.3">
      <c r="B69" s="2" t="s">
        <v>39</v>
      </c>
      <c r="C69" s="10" t="s">
        <v>83</v>
      </c>
      <c r="D69" s="2" t="s">
        <v>84</v>
      </c>
      <c r="E69" s="21" t="s">
        <v>85</v>
      </c>
    </row>
    <row r="70" spans="2:5" ht="15.75" thickBot="1" x14ac:dyDescent="0.3">
      <c r="B70" s="3">
        <f>'CARTA DE CONTROL'!R46</f>
        <v>5.98</v>
      </c>
      <c r="C70" s="4">
        <f>'CARTA DE CONTROL'!AN46</f>
        <v>0</v>
      </c>
      <c r="D70" s="6">
        <f>'CARTA DE CONTROL'!M46</f>
        <v>0.2</v>
      </c>
      <c r="E70" s="5" t="str">
        <f>IF(C70&lt;=0.2,IF(C70&gt;=-0.2,"PASS","NO PASS"))</f>
        <v>PASS</v>
      </c>
    </row>
    <row r="71" spans="2:5" ht="15.75" thickBot="1" x14ac:dyDescent="0.3">
      <c r="B71" s="3">
        <f>'CARTA DE CONTROL'!R47</f>
        <v>10.5</v>
      </c>
      <c r="C71" s="4">
        <f>'CARTA DE CONTROL'!AN47</f>
        <v>0</v>
      </c>
      <c r="D71" s="6">
        <f>'CARTA DE CONTROL'!M47</f>
        <v>0.2</v>
      </c>
      <c r="E71" s="5" t="str">
        <f t="shared" ref="E71:E73" si="1">IF(C71&lt;=0.2,IF(C71&gt;=-0.2,"PASS","NO PASS"))</f>
        <v>PASS</v>
      </c>
    </row>
    <row r="72" spans="2:5" ht="15.75" thickBot="1" x14ac:dyDescent="0.3">
      <c r="B72" s="3">
        <f>'CARTA DE CONTROL'!R48</f>
        <v>13.02</v>
      </c>
      <c r="C72" s="4">
        <f>'CARTA DE CONTROL'!AN48</f>
        <v>0</v>
      </c>
      <c r="D72" s="6">
        <f>'CARTA DE CONTROL'!M48</f>
        <v>0.2</v>
      </c>
      <c r="E72" s="5" t="str">
        <f t="shared" si="1"/>
        <v>PASS</v>
      </c>
    </row>
    <row r="73" spans="2:5" ht="15.75" thickBot="1" x14ac:dyDescent="0.3">
      <c r="B73" s="3">
        <f>'CARTA DE CONTROL'!R49</f>
        <v>0</v>
      </c>
      <c r="C73" s="4">
        <f>'CARTA DE CONTROL'!AN49</f>
        <v>0.05</v>
      </c>
      <c r="D73" s="6">
        <f>'CARTA DE CONTROL'!M49</f>
        <v>0.2</v>
      </c>
      <c r="E73" s="5" t="str">
        <f t="shared" si="1"/>
        <v>PASS</v>
      </c>
    </row>
    <row r="86" spans="2:5" ht="15.75" thickBot="1" x14ac:dyDescent="0.3"/>
    <row r="87" spans="2:5" ht="15.75" thickBot="1" x14ac:dyDescent="0.3">
      <c r="B87" s="812" t="s">
        <v>86</v>
      </c>
      <c r="C87" s="813"/>
      <c r="D87" s="813"/>
      <c r="E87" s="814"/>
    </row>
    <row r="88" spans="2:5" ht="45.75" thickBot="1" x14ac:dyDescent="0.3">
      <c r="B88" s="2" t="s">
        <v>39</v>
      </c>
      <c r="C88" s="10" t="s">
        <v>87</v>
      </c>
      <c r="D88" s="2" t="s">
        <v>117</v>
      </c>
      <c r="E88" s="21" t="s">
        <v>85</v>
      </c>
    </row>
    <row r="89" spans="2:5" ht="15.75" thickBot="1" x14ac:dyDescent="0.3">
      <c r="B89" s="3">
        <f>'CARTA DE CONTROL'!R46</f>
        <v>5.98</v>
      </c>
      <c r="C89" s="4">
        <f>'CARTA DE CONTROL'!AO46</f>
        <v>0</v>
      </c>
      <c r="D89" s="6">
        <f>'CARTA DE CONTROL'!O46</f>
        <v>0.3</v>
      </c>
      <c r="E89" s="5" t="str">
        <f>IF(C89&lt;=0.3,IF(C89&gt;=-0.3,"PASS","NO PASS"))</f>
        <v>PASS</v>
      </c>
    </row>
    <row r="90" spans="2:5" ht="15.75" thickBot="1" x14ac:dyDescent="0.3">
      <c r="B90" s="3">
        <f>'CARTA DE CONTROL'!R47</f>
        <v>10.5</v>
      </c>
      <c r="C90" s="4">
        <f>'CARTA DE CONTROL'!AO47</f>
        <v>0</v>
      </c>
      <c r="D90" s="6">
        <f>'CARTA DE CONTROL'!O47</f>
        <v>0.3</v>
      </c>
      <c r="E90" s="5" t="str">
        <f t="shared" ref="E90:E92" si="2">IF(C90&lt;=0.3,IF(C90&gt;=-0.3,"PASS","NO PASS"))</f>
        <v>PASS</v>
      </c>
    </row>
    <row r="91" spans="2:5" ht="15.75" thickBot="1" x14ac:dyDescent="0.3">
      <c r="B91" s="3">
        <f>'CARTA DE CONTROL'!R48</f>
        <v>13.02</v>
      </c>
      <c r="C91" s="4">
        <f>'CARTA DE CONTROL'!AO48</f>
        <v>0</v>
      </c>
      <c r="D91" s="6">
        <f>'CARTA DE CONTROL'!O48</f>
        <v>0.3</v>
      </c>
      <c r="E91" s="5" t="str">
        <f t="shared" si="2"/>
        <v>PASS</v>
      </c>
    </row>
    <row r="92" spans="2:5" ht="15.75" thickBot="1" x14ac:dyDescent="0.3">
      <c r="B92" s="3">
        <f>'CARTA DE CONTROL'!R49</f>
        <v>0</v>
      </c>
      <c r="C92" s="4">
        <f>'CARTA DE CONTROL'!AO49</f>
        <v>0</v>
      </c>
      <c r="D92" s="6">
        <f>'CARTA DE CONTROL'!O49</f>
        <v>0.3</v>
      </c>
      <c r="E92" s="5" t="str">
        <f t="shared" si="2"/>
        <v>PASS</v>
      </c>
    </row>
    <row r="93" spans="2:5" ht="15.75" thickBot="1" x14ac:dyDescent="0.3">
      <c r="B93" s="3">
        <f>'CARTA DE CONTROL'!R62</f>
        <v>5.98</v>
      </c>
      <c r="C93" s="4">
        <f>'CARTA DE CONTROL'!AO62</f>
        <v>0</v>
      </c>
      <c r="D93" s="6">
        <f>'CARTA DE CONTROL'!O62</f>
        <v>0.3</v>
      </c>
      <c r="E93" s="5" t="str">
        <f>IF(C93&lt;=0.3,IF(C93&gt;=-0.3,"PASS","NO PASS"))</f>
        <v>PASS</v>
      </c>
    </row>
    <row r="94" spans="2:5" ht="15.75" thickBot="1" x14ac:dyDescent="0.3">
      <c r="B94" s="3">
        <f>'CARTA DE CONTROL'!R63</f>
        <v>10.5</v>
      </c>
      <c r="C94" s="4">
        <f>'CARTA DE CONTROL'!AO63</f>
        <v>0</v>
      </c>
      <c r="D94" s="6">
        <f>'CARTA DE CONTROL'!O63</f>
        <v>0.3</v>
      </c>
      <c r="E94" s="5" t="str">
        <f t="shared" ref="E94:E96" si="3">IF(C94&lt;=0.3,IF(C94&gt;=-0.3,"PASS","NO PASS"))</f>
        <v>PASS</v>
      </c>
    </row>
    <row r="95" spans="2:5" ht="15.75" thickBot="1" x14ac:dyDescent="0.3">
      <c r="B95" s="3">
        <f>'CARTA DE CONTROL'!R64</f>
        <v>13.02</v>
      </c>
      <c r="C95" s="4">
        <f>'CARTA DE CONTROL'!AO64</f>
        <v>0</v>
      </c>
      <c r="D95" s="6">
        <f>'CARTA DE CONTROL'!O64</f>
        <v>0.3</v>
      </c>
      <c r="E95" s="5" t="str">
        <f t="shared" si="3"/>
        <v>PASS</v>
      </c>
    </row>
    <row r="96" spans="2:5" ht="15.75" thickBot="1" x14ac:dyDescent="0.3">
      <c r="B96" s="3">
        <f>'CARTA DE CONTROL'!R65</f>
        <v>0</v>
      </c>
      <c r="C96" s="4">
        <f>'CARTA DE CONTROL'!AO65</f>
        <v>0</v>
      </c>
      <c r="D96" s="6">
        <f>'CARTA DE CONTROL'!O65</f>
        <v>0.3</v>
      </c>
      <c r="E96" s="5" t="str">
        <f t="shared" si="3"/>
        <v>PASS</v>
      </c>
    </row>
  </sheetData>
  <mergeCells count="54">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68:E68"/>
    <mergeCell ref="B87:E87"/>
    <mergeCell ref="B34:D34"/>
    <mergeCell ref="F34:G34"/>
    <mergeCell ref="B35:D35"/>
    <mergeCell ref="F35:G35"/>
    <mergeCell ref="B36:D36"/>
    <mergeCell ref="F36:G36"/>
  </mergeCells>
  <conditionalFormatting sqref="E89 E70:E73 E93">
    <cfRule type="cellIs" dxfId="138" priority="3" operator="lessThan">
      <formula>$H$88</formula>
    </cfRule>
    <cfRule type="cellIs" dxfId="137" priority="4" operator="lessThan">
      <formula>0.05</formula>
    </cfRule>
  </conditionalFormatting>
  <conditionalFormatting sqref="G41:G48">
    <cfRule type="cellIs" dxfId="136" priority="5" operator="lessThan">
      <formula>$H$90</formula>
    </cfRule>
    <cfRule type="cellIs" dxfId="135" priority="6" operator="lessThan">
      <formula>0.05</formula>
    </cfRule>
  </conditionalFormatting>
  <conditionalFormatting sqref="E90:E92 E94:E96">
    <cfRule type="cellIs" dxfId="134" priority="1" operator="lessThan">
      <formula>$H$88</formula>
    </cfRule>
    <cfRule type="cellIs" dxfId="133" priority="2" operator="lessThan">
      <formula>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4" zoomScale="130" zoomScaleNormal="130" workbookViewId="0">
      <selection activeCell="E93" sqref="E93"/>
    </sheetView>
  </sheetViews>
  <sheetFormatPr baseColWidth="10" defaultRowHeight="15" x14ac:dyDescent="0.25"/>
  <cols>
    <col min="1" max="1" width="5.57031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CONTROL'!B42</f>
        <v>ANALIZADOR DE GASES 2</v>
      </c>
      <c r="D7" s="832"/>
      <c r="E7" s="833"/>
    </row>
    <row r="8" spans="1:11" x14ac:dyDescent="0.25">
      <c r="B8" s="224" t="s">
        <v>156</v>
      </c>
      <c r="C8" s="831" t="str">
        <f>'CARTA DE CONTROL'!D42</f>
        <v>ACTIA</v>
      </c>
      <c r="D8" s="832"/>
      <c r="E8" s="833"/>
    </row>
    <row r="9" spans="1:11" x14ac:dyDescent="0.25">
      <c r="B9" s="224" t="s">
        <v>157</v>
      </c>
      <c r="C9" s="831" t="str">
        <f>'CARTA DE CONTROL'!E42</f>
        <v>AT505</v>
      </c>
      <c r="D9" s="832"/>
      <c r="E9" s="833"/>
    </row>
    <row r="10" spans="1:11" x14ac:dyDescent="0.25">
      <c r="B10" s="224" t="s">
        <v>158</v>
      </c>
      <c r="C10" s="834" t="str">
        <f>'CARTA DE CONTROL'!F42</f>
        <v>022/18</v>
      </c>
      <c r="D10" s="835"/>
      <c r="E10" s="836"/>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3">
        <f>'CARTA DE CONTROL'!R50</f>
        <v>158.5</v>
      </c>
      <c r="C40" s="4">
        <f>'CARTA DE CONTROL'!AR50</f>
        <v>3.3</v>
      </c>
      <c r="D40" s="4">
        <f>'CARTA DE CONTROL'!AS50</f>
        <v>-3.3</v>
      </c>
      <c r="E40" s="6">
        <f>'CARTA DE CONTROL'!I50</f>
        <v>12</v>
      </c>
      <c r="F40" s="7">
        <f>-('CARTA DE CONTROL'!I50)</f>
        <v>-12</v>
      </c>
      <c r="G40" s="5" t="str">
        <f>IF(C40&lt;=50,IF(D40&gt;=-50,"PASS","NO PASS"))</f>
        <v>PASS</v>
      </c>
    </row>
    <row r="41" spans="1:8" ht="15.75" thickBot="1" x14ac:dyDescent="0.3">
      <c r="B41" s="3">
        <f>'CARTA DE CONTROL'!R51</f>
        <v>640</v>
      </c>
      <c r="C41" s="4">
        <f>'CARTA DE CONTROL'!AR51</f>
        <v>13</v>
      </c>
      <c r="D41" s="4">
        <f>'CARTA DE CONTROL'!AS51</f>
        <v>-13</v>
      </c>
      <c r="E41" s="6">
        <f>'CARTA DE CONTROL'!I51</f>
        <v>30</v>
      </c>
      <c r="F41" s="7">
        <f>-('CARTA DE CONTROL'!I51)</f>
        <v>-30</v>
      </c>
      <c r="G41" s="5" t="str">
        <f>IF(C41&lt;=100,IF(D41&gt;=-100,"PASS","NO PASS"))</f>
        <v>PASS</v>
      </c>
    </row>
    <row r="42" spans="1:8" ht="15.75" thickBot="1" x14ac:dyDescent="0.3">
      <c r="B42" s="3">
        <f>'CARTA DE CONTROL'!R52</f>
        <v>1708</v>
      </c>
      <c r="C42" s="4">
        <f>'CARTA DE CONTROL'!AR52</f>
        <v>35</v>
      </c>
      <c r="D42" s="4">
        <f>'CARTA DE CONTROL'!AS52</f>
        <v>-35</v>
      </c>
      <c r="E42" s="6">
        <f>'CARTA DE CONTROL'!I52</f>
        <v>80</v>
      </c>
      <c r="F42" s="7">
        <f>-('CARTA DE CONTROL'!I52)</f>
        <v>-80</v>
      </c>
      <c r="G42" s="5" t="str">
        <f>IF(C42&lt;=50,IF(D42&gt;=-50,"PASS","NO PASS"))</f>
        <v>PASS</v>
      </c>
    </row>
    <row r="43" spans="1:8" ht="15.75" thickBot="1" x14ac:dyDescent="0.3">
      <c r="B43" s="3">
        <f>'CARTA DE CONTROL'!R53</f>
        <v>0</v>
      </c>
      <c r="C43" s="4">
        <f>'CARTA DE CONTROL'!AR53</f>
        <v>0.57999999999999996</v>
      </c>
      <c r="D43" s="4">
        <f>'CARTA DE CONTROL'!AS53</f>
        <v>-0.57999999999999996</v>
      </c>
      <c r="E43" s="6">
        <f>'CARTA DE CONTROL'!I53</f>
        <v>12</v>
      </c>
      <c r="F43" s="7">
        <f>-('CARTA DE CONTROL'!I53)</f>
        <v>-12</v>
      </c>
      <c r="G43" s="5" t="str">
        <f>IF(C43&lt;=100,IF(D43&gt;=-100,"PASS","NO PASS"))</f>
        <v>PASS</v>
      </c>
    </row>
    <row r="44" spans="1:8" ht="15.75" thickBot="1" x14ac:dyDescent="0.3">
      <c r="A44" s="1"/>
      <c r="B44" s="3">
        <f>'CARTA DE CONTROL'!R66</f>
        <v>158.5</v>
      </c>
      <c r="C44" s="4">
        <f>'CARTA DE CONTROL'!AR66</f>
        <v>3.3</v>
      </c>
      <c r="D44" s="4">
        <f>'CARTA DE CONTROL'!AS66</f>
        <v>-3.3</v>
      </c>
      <c r="E44" s="6">
        <f>'CARTA DE CONTROL'!I66</f>
        <v>12</v>
      </c>
      <c r="F44" s="7">
        <f>-('CARTA DE CONTROL'!I66)</f>
        <v>-12</v>
      </c>
      <c r="G44" s="5" t="str">
        <f t="shared" ref="G44:G47" si="0">IF(C44&lt;=100,IF(D44&gt;=-100,"PASS","NO PASS"))</f>
        <v>PASS</v>
      </c>
      <c r="H44" s="1"/>
    </row>
    <row r="45" spans="1:8" ht="15.75" thickBot="1" x14ac:dyDescent="0.3">
      <c r="A45" s="1"/>
      <c r="B45" s="3">
        <f>'CARTA DE CONTROL'!R67</f>
        <v>640</v>
      </c>
      <c r="C45" s="4">
        <f>'CARTA DE CONTROL'!AR67</f>
        <v>13</v>
      </c>
      <c r="D45" s="4">
        <f>'CARTA DE CONTROL'!AS67</f>
        <v>-13</v>
      </c>
      <c r="E45" s="6">
        <f>'CARTA DE CONTROL'!I67</f>
        <v>30</v>
      </c>
      <c r="F45" s="7">
        <f>-('CARTA DE CONTROL'!I67)</f>
        <v>-30</v>
      </c>
      <c r="G45" s="5" t="str">
        <f t="shared" si="0"/>
        <v>PASS</v>
      </c>
    </row>
    <row r="46" spans="1:8" ht="15.75" thickBot="1" x14ac:dyDescent="0.3">
      <c r="A46" s="1"/>
      <c r="B46" s="3">
        <f>'CARTA DE CONTROL'!R68</f>
        <v>1708</v>
      </c>
      <c r="C46" s="4">
        <f>'CARTA DE CONTROL'!AR68</f>
        <v>35</v>
      </c>
      <c r="D46" s="4">
        <f>'CARTA DE CONTROL'!AS68</f>
        <v>-35</v>
      </c>
      <c r="E46" s="6">
        <f>'CARTA DE CONTROL'!I68</f>
        <v>80</v>
      </c>
      <c r="F46" s="7">
        <f>-('CARTA DE CONTROL'!I68)</f>
        <v>-80</v>
      </c>
      <c r="G46" s="5" t="str">
        <f t="shared" si="0"/>
        <v>PASS</v>
      </c>
    </row>
    <row r="47" spans="1:8" ht="15.75" thickBot="1" x14ac:dyDescent="0.3">
      <c r="A47" s="1"/>
      <c r="B47" s="3">
        <f>'CARTA DE CONTROL'!R69</f>
        <v>0</v>
      </c>
      <c r="C47" s="4">
        <f>'CARTA DE CONTROL'!AR69</f>
        <v>0.57999999999999996</v>
      </c>
      <c r="D47" s="4">
        <f>'CARTA DE CONTROL'!AS69</f>
        <v>-0.57999999999999996</v>
      </c>
      <c r="E47" s="6">
        <f>'CARTA DE CONTROL'!I69</f>
        <v>12</v>
      </c>
      <c r="F47" s="7">
        <f>-('CARTA DE CONTROL'!I69)</f>
        <v>-12</v>
      </c>
      <c r="G47" s="5" t="str">
        <f t="shared" si="0"/>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812" t="s">
        <v>82</v>
      </c>
      <c r="C67" s="813"/>
      <c r="D67" s="813"/>
      <c r="E67" s="814"/>
    </row>
    <row r="68" spans="2:5" ht="45.75" thickBot="1" x14ac:dyDescent="0.3">
      <c r="B68" s="2" t="s">
        <v>39</v>
      </c>
      <c r="C68" s="10" t="s">
        <v>83</v>
      </c>
      <c r="D68" s="2" t="s">
        <v>84</v>
      </c>
      <c r="E68" s="21" t="s">
        <v>85</v>
      </c>
    </row>
    <row r="69" spans="2:5" ht="15.75" thickBot="1" x14ac:dyDescent="0.3">
      <c r="B69" s="3">
        <f>'CARTA DE CONTROL'!R50</f>
        <v>158.5</v>
      </c>
      <c r="C69" s="4">
        <f>'CARTA DE CONTROL'!AN50</f>
        <v>0</v>
      </c>
      <c r="D69" s="6">
        <f>'CARTA DE CONTROL'!M50</f>
        <v>6</v>
      </c>
      <c r="E69" s="5" t="str">
        <f>IF(C69&lt;=8,IF(C69&gt;=-8,"PASS","NO PASS"))</f>
        <v>PASS</v>
      </c>
    </row>
    <row r="70" spans="2:5" ht="15.75" thickBot="1" x14ac:dyDescent="0.3">
      <c r="B70" s="3">
        <f>'CARTA DE CONTROL'!R51</f>
        <v>640</v>
      </c>
      <c r="C70" s="4">
        <f>'CARTA DE CONTROL'!AN51</f>
        <v>0.5</v>
      </c>
      <c r="D70" s="6">
        <f>'CARTA DE CONTROL'!M51</f>
        <v>10</v>
      </c>
      <c r="E70" s="5" t="str">
        <f>IF(C70&lt;=16,IF(C70&gt;=-16,"PASS","NO PASS"))</f>
        <v>PASS</v>
      </c>
    </row>
    <row r="71" spans="2:5" ht="15.75" thickBot="1" x14ac:dyDescent="0.3">
      <c r="B71" s="3">
        <f>'CARTA DE CONTROL'!R52</f>
        <v>1708</v>
      </c>
      <c r="C71" s="4">
        <f>'CARTA DE CONTROL'!AN52</f>
        <v>0</v>
      </c>
      <c r="D71" s="6">
        <f>'CARTA DE CONTROL'!M52</f>
        <v>20</v>
      </c>
      <c r="E71" s="5" t="str">
        <f>IF(C71&lt;=8,IF(C71&gt;=-8,"PASS","NO PASS"))</f>
        <v>PASS</v>
      </c>
    </row>
    <row r="72" spans="2:5" ht="15.75" thickBot="1" x14ac:dyDescent="0.3">
      <c r="B72" s="3">
        <f>'CARTA DE CONTROL'!R53</f>
        <v>0</v>
      </c>
      <c r="C72" s="4">
        <f>'CARTA DE CONTROL'!AN53</f>
        <v>0</v>
      </c>
      <c r="D72" s="6">
        <f>'CARTA DE CONTROL'!M53</f>
        <v>6</v>
      </c>
      <c r="E72" s="5" t="str">
        <f>IF(C72&lt;=16,IF(C72&gt;=-16,"PASS","NO PASS"))</f>
        <v>PASS</v>
      </c>
    </row>
    <row r="86" spans="2:5" ht="15.75" thickBot="1" x14ac:dyDescent="0.3"/>
    <row r="87" spans="2:5" ht="15.75" thickBot="1" x14ac:dyDescent="0.3">
      <c r="B87" s="812" t="s">
        <v>86</v>
      </c>
      <c r="C87" s="813"/>
      <c r="D87" s="813"/>
      <c r="E87" s="814"/>
    </row>
    <row r="88" spans="2:5" ht="45.75" thickBot="1" x14ac:dyDescent="0.3">
      <c r="B88" s="2" t="s">
        <v>39</v>
      </c>
      <c r="C88" s="10" t="s">
        <v>87</v>
      </c>
      <c r="D88" s="2" t="s">
        <v>84</v>
      </c>
      <c r="E88" s="21" t="s">
        <v>85</v>
      </c>
    </row>
    <row r="89" spans="2:5" ht="15.75" thickBot="1" x14ac:dyDescent="0.3">
      <c r="B89" s="3">
        <f>'CARTA DE CONTROL'!R50</f>
        <v>158.5</v>
      </c>
      <c r="C89" s="4">
        <f>'CARTA DE CONTROL'!AO50</f>
        <v>0</v>
      </c>
      <c r="D89" s="6">
        <f>'CARTA DE CONTROL'!O50</f>
        <v>8</v>
      </c>
      <c r="E89" s="5" t="str">
        <f>IF(C89&lt;=10,IF(C89&gt;=-10,"PASS","NO PASS"))</f>
        <v>PASS</v>
      </c>
    </row>
    <row r="90" spans="2:5" ht="15.75" thickBot="1" x14ac:dyDescent="0.3">
      <c r="B90" s="3">
        <f>'CARTA DE CONTROL'!R51</f>
        <v>640</v>
      </c>
      <c r="C90" s="4">
        <f>'CARTA DE CONTROL'!AO51</f>
        <v>0</v>
      </c>
      <c r="D90" s="6">
        <f>'CARTA DE CONTROL'!O51</f>
        <v>15</v>
      </c>
      <c r="E90" s="5" t="str">
        <f>IF(C90&lt;=20,IF(C90&gt;=-20,"PASS","NO PASS"))</f>
        <v>PASS</v>
      </c>
    </row>
    <row r="91" spans="2:5" ht="15.75" thickBot="1" x14ac:dyDescent="0.3">
      <c r="B91" s="3">
        <f>'CARTA DE CONTROL'!R52</f>
        <v>1708</v>
      </c>
      <c r="C91" s="4">
        <f>'CARTA DE CONTROL'!AO52</f>
        <v>2</v>
      </c>
      <c r="D91" s="6">
        <f>'CARTA DE CONTROL'!O52</f>
        <v>30</v>
      </c>
      <c r="E91" s="5" t="str">
        <f>IF(C91&lt;=10,IF(C91&gt;=-10,"PASS","NO PASS"))</f>
        <v>PASS</v>
      </c>
    </row>
    <row r="92" spans="2:5" ht="15.75" thickBot="1" x14ac:dyDescent="0.3">
      <c r="B92" s="3">
        <f>'CARTA DE CONTROL'!R53</f>
        <v>0</v>
      </c>
      <c r="C92" s="4">
        <f>'CARTA DE CONTROL'!AO53</f>
        <v>0</v>
      </c>
      <c r="D92" s="6">
        <f>'CARTA DE CONTROL'!O53</f>
        <v>8</v>
      </c>
      <c r="E92" s="5" t="str">
        <f>IF(C92&lt;=20,IF(C92&gt;=-20,"PASS","NO PASS"))</f>
        <v>PASS</v>
      </c>
    </row>
    <row r="93" spans="2:5" ht="15.75" thickBot="1" x14ac:dyDescent="0.3">
      <c r="B93" s="3">
        <f>'CARTA DE CONTROL'!R66</f>
        <v>158.5</v>
      </c>
      <c r="C93" s="4">
        <f>'CARTA DE CONTROL'!AO66</f>
        <v>0</v>
      </c>
      <c r="D93" s="6">
        <f>'CARTA DE CONTROL'!O66</f>
        <v>8</v>
      </c>
      <c r="E93" s="5" t="str">
        <f t="shared" ref="E93:E96" si="1">IF(C93&lt;=20,IF(C93&gt;=-20,"PASS","NO PASS"))</f>
        <v>PASS</v>
      </c>
    </row>
    <row r="94" spans="2:5" ht="15.75" thickBot="1" x14ac:dyDescent="0.3">
      <c r="B94" s="3">
        <f>'CARTA DE CONTROL'!R67</f>
        <v>640</v>
      </c>
      <c r="C94" s="4">
        <f>'CARTA DE CONTROL'!AO67</f>
        <v>0</v>
      </c>
      <c r="D94" s="6">
        <f>'CARTA DE CONTROL'!O67</f>
        <v>15</v>
      </c>
      <c r="E94" s="5" t="str">
        <f t="shared" si="1"/>
        <v>PASS</v>
      </c>
    </row>
    <row r="95" spans="2:5" ht="15.75" thickBot="1" x14ac:dyDescent="0.3">
      <c r="B95" s="3">
        <f>'CARTA DE CONTROL'!R68</f>
        <v>1708</v>
      </c>
      <c r="C95" s="4">
        <f>'CARTA DE CONTROL'!AO68</f>
        <v>0</v>
      </c>
      <c r="D95" s="6">
        <f>'CARTA DE CONTROL'!O68</f>
        <v>30</v>
      </c>
      <c r="E95" s="5" t="str">
        <f t="shared" si="1"/>
        <v>PASS</v>
      </c>
    </row>
    <row r="96" spans="2:5" ht="15.75" thickBot="1" x14ac:dyDescent="0.3">
      <c r="B96" s="3">
        <f>'CARTA DE CONTROL'!R69</f>
        <v>0</v>
      </c>
      <c r="C96" s="4">
        <f>'CARTA DE CONTROL'!AO69</f>
        <v>0</v>
      </c>
      <c r="D96" s="6">
        <f>'CARTA DE CONTROL'!O69</f>
        <v>8</v>
      </c>
      <c r="E96" s="5" t="str">
        <f t="shared" si="1"/>
        <v>PASS</v>
      </c>
    </row>
  </sheetData>
  <mergeCells count="54">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67:E67"/>
    <mergeCell ref="B87:E87"/>
    <mergeCell ref="B34:D34"/>
    <mergeCell ref="F34:G34"/>
    <mergeCell ref="B35:D35"/>
    <mergeCell ref="F35:G35"/>
    <mergeCell ref="B36:D36"/>
    <mergeCell ref="F36:G36"/>
  </mergeCells>
  <conditionalFormatting sqref="E89 E69:E72">
    <cfRule type="cellIs" dxfId="132" priority="7" operator="lessThan">
      <formula>$H$88</formula>
    </cfRule>
    <cfRule type="cellIs" dxfId="131" priority="8" operator="lessThan">
      <formula>0.05</formula>
    </cfRule>
  </conditionalFormatting>
  <conditionalFormatting sqref="E91">
    <cfRule type="cellIs" dxfId="130" priority="3" operator="lessThan">
      <formula>$H$88</formula>
    </cfRule>
    <cfRule type="cellIs" dxfId="129" priority="4" operator="lessThan">
      <formula>0.05</formula>
    </cfRule>
  </conditionalFormatting>
  <conditionalFormatting sqref="G40:G47">
    <cfRule type="cellIs" dxfId="128" priority="9" operator="lessThan">
      <formula>$F$86</formula>
    </cfRule>
    <cfRule type="cellIs" dxfId="127" priority="10" operator="lessThan">
      <formula>0.05</formula>
    </cfRule>
  </conditionalFormatting>
  <conditionalFormatting sqref="G40:G47">
    <cfRule type="cellIs" dxfId="126" priority="11" operator="between">
      <formula>$F$86</formula>
      <formula>$G$86</formula>
    </cfRule>
  </conditionalFormatting>
  <conditionalFormatting sqref="E90">
    <cfRule type="cellIs" dxfId="125" priority="5" operator="lessThan">
      <formula>$H$88</formula>
    </cfRule>
    <cfRule type="cellIs" dxfId="124" priority="6" operator="lessThan">
      <formula>0.05</formula>
    </cfRule>
  </conditionalFormatting>
  <conditionalFormatting sqref="E92:E96">
    <cfRule type="cellIs" dxfId="123" priority="1" operator="lessThan">
      <formula>$H$88</formula>
    </cfRule>
    <cfRule type="cellIs" dxfId="122" priority="2" operator="lessThan">
      <formula>0.05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A109" workbookViewId="0">
      <selection activeCell="D93" sqref="D93"/>
    </sheetView>
  </sheetViews>
  <sheetFormatPr baseColWidth="10" defaultRowHeight="15" x14ac:dyDescent="0.25"/>
  <cols>
    <col min="1" max="1" width="4" customWidth="1"/>
    <col min="2" max="2" width="22.85546875" customWidth="1"/>
    <col min="3" max="3" width="21.7109375" customWidth="1"/>
    <col min="4" max="4" width="21" customWidth="1"/>
    <col min="5" max="5" width="22.7109375" customWidth="1"/>
    <col min="8" max="8" width="13.28515625" customWidth="1"/>
  </cols>
  <sheetData>
    <row r="1" spans="1:11" ht="15" customHeight="1" x14ac:dyDescent="0.25">
      <c r="E1" s="211"/>
    </row>
    <row r="2" spans="1:11" ht="15" customHeight="1" x14ac:dyDescent="0.25">
      <c r="B2" s="420"/>
      <c r="C2" s="420"/>
      <c r="D2" s="420"/>
      <c r="E2" s="212"/>
      <c r="F2" s="420"/>
      <c r="G2" s="420"/>
      <c r="H2" s="420"/>
    </row>
    <row r="3" spans="1:11" ht="15" customHeight="1" x14ac:dyDescent="0.25">
      <c r="B3" s="420"/>
      <c r="C3" s="420"/>
      <c r="D3" s="420"/>
      <c r="E3" s="212"/>
      <c r="F3" s="420"/>
      <c r="G3" s="420"/>
      <c r="H3" s="420"/>
    </row>
    <row r="4" spans="1:11" ht="15" customHeight="1" x14ac:dyDescent="0.25">
      <c r="B4" s="420"/>
      <c r="C4" s="420"/>
      <c r="D4" s="420"/>
      <c r="E4" s="212"/>
      <c r="F4" s="420"/>
      <c r="G4" s="420"/>
      <c r="H4" s="420"/>
    </row>
    <row r="5" spans="1:11" ht="15" customHeight="1" x14ac:dyDescent="0.25">
      <c r="B5" s="420"/>
      <c r="C5" s="420"/>
      <c r="D5" s="420"/>
      <c r="E5" s="212"/>
      <c r="F5" s="420"/>
      <c r="G5" s="420"/>
      <c r="H5" s="420"/>
    </row>
    <row r="6" spans="1:11" ht="15" customHeight="1" x14ac:dyDescent="0.25">
      <c r="B6" s="420"/>
      <c r="C6" s="420"/>
      <c r="D6" s="420"/>
      <c r="E6" s="212"/>
      <c r="F6" s="420"/>
      <c r="G6" s="420"/>
      <c r="H6" s="420"/>
    </row>
    <row r="7" spans="1:11" x14ac:dyDescent="0.25">
      <c r="B7" s="224" t="s">
        <v>155</v>
      </c>
      <c r="C7" s="831" t="str">
        <f>'CARTA DE CONTROL'!B42</f>
        <v>ANALIZADOR DE GASES 2</v>
      </c>
      <c r="D7" s="832"/>
      <c r="E7" s="833"/>
    </row>
    <row r="8" spans="1:11" x14ac:dyDescent="0.25">
      <c r="B8" s="224" t="s">
        <v>156</v>
      </c>
      <c r="C8" s="831" t="str">
        <f>'CARTA DE CONTROL'!D42</f>
        <v>ACTIA</v>
      </c>
      <c r="D8" s="832"/>
      <c r="E8" s="833"/>
    </row>
    <row r="9" spans="1:11" x14ac:dyDescent="0.25">
      <c r="B9" s="224" t="s">
        <v>157</v>
      </c>
      <c r="C9" s="831" t="str">
        <f>'CARTA DE CONTROL'!E42</f>
        <v>AT505</v>
      </c>
      <c r="D9" s="832"/>
      <c r="E9" s="833"/>
    </row>
    <row r="10" spans="1:11" x14ac:dyDescent="0.25">
      <c r="B10" s="224" t="s">
        <v>158</v>
      </c>
      <c r="C10" s="834" t="str">
        <f>'CARTA DE CONTROL'!F42</f>
        <v>022/18</v>
      </c>
      <c r="D10" s="835"/>
      <c r="E10" s="836"/>
    </row>
    <row r="11" spans="1:11" ht="15" customHeight="1" thickBot="1" x14ac:dyDescent="0.3">
      <c r="B11" s="420"/>
      <c r="C11" s="420"/>
      <c r="D11" s="420"/>
      <c r="E11" s="212"/>
      <c r="F11" s="420"/>
      <c r="G11" s="420"/>
      <c r="H11" s="200"/>
      <c r="I11" s="201"/>
      <c r="J11" s="201"/>
      <c r="K11" s="201"/>
    </row>
    <row r="12" spans="1:11" s="188" customFormat="1" ht="34.5" customHeight="1" x14ac:dyDescent="0.2">
      <c r="A12" s="837" t="s">
        <v>125</v>
      </c>
      <c r="B12" s="838"/>
      <c r="C12" s="838"/>
      <c r="D12" s="838"/>
      <c r="E12" s="838"/>
      <c r="F12" s="838"/>
      <c r="G12" s="839"/>
      <c r="H12" s="202"/>
      <c r="I12" s="202"/>
      <c r="J12" s="202"/>
      <c r="K12" s="202"/>
    </row>
    <row r="13" spans="1:11" s="188" customFormat="1" ht="15" customHeight="1" x14ac:dyDescent="0.2">
      <c r="A13" s="205" t="s">
        <v>126</v>
      </c>
      <c r="B13" s="840" t="s">
        <v>127</v>
      </c>
      <c r="C13" s="841"/>
      <c r="D13" s="842"/>
      <c r="E13" s="437" t="s">
        <v>128</v>
      </c>
      <c r="F13" s="843" t="s">
        <v>129</v>
      </c>
      <c r="G13" s="844"/>
      <c r="H13" s="203"/>
      <c r="I13" s="203"/>
      <c r="J13" s="203"/>
      <c r="K13" s="203"/>
    </row>
    <row r="14" spans="1:11" s="1" customFormat="1" ht="35.25" customHeight="1" x14ac:dyDescent="0.2">
      <c r="A14" s="206">
        <v>1</v>
      </c>
      <c r="B14" s="822" t="s">
        <v>130</v>
      </c>
      <c r="C14" s="822"/>
      <c r="D14" s="822"/>
      <c r="E14" s="435" t="s">
        <v>131</v>
      </c>
      <c r="F14" s="823"/>
      <c r="G14" s="824"/>
      <c r="H14" s="204"/>
      <c r="I14" s="204"/>
      <c r="J14" s="204"/>
      <c r="K14" s="204"/>
    </row>
    <row r="15" spans="1:11" s="1" customFormat="1" ht="35.25" customHeight="1" x14ac:dyDescent="0.2">
      <c r="A15" s="206">
        <v>2</v>
      </c>
      <c r="B15" s="822" t="s">
        <v>132</v>
      </c>
      <c r="C15" s="822"/>
      <c r="D15" s="822"/>
      <c r="E15" s="435" t="s">
        <v>131</v>
      </c>
      <c r="F15" s="823"/>
      <c r="G15" s="824"/>
    </row>
    <row r="16" spans="1:11" s="1" customFormat="1" ht="35.25" customHeight="1" x14ac:dyDescent="0.2">
      <c r="A16" s="206">
        <v>3</v>
      </c>
      <c r="B16" s="822" t="s">
        <v>133</v>
      </c>
      <c r="C16" s="822"/>
      <c r="D16" s="822"/>
      <c r="E16" s="435" t="s">
        <v>131</v>
      </c>
      <c r="F16" s="823"/>
      <c r="G16" s="824"/>
    </row>
    <row r="17" spans="1:11" s="1" customFormat="1" ht="35.25" customHeight="1" x14ac:dyDescent="0.2">
      <c r="A17" s="206">
        <v>4</v>
      </c>
      <c r="B17" s="822" t="s">
        <v>134</v>
      </c>
      <c r="C17" s="822"/>
      <c r="D17" s="822"/>
      <c r="E17" s="435" t="s">
        <v>131</v>
      </c>
      <c r="F17" s="845"/>
      <c r="G17" s="846"/>
    </row>
    <row r="18" spans="1:11" s="1" customFormat="1" ht="35.25" customHeight="1" x14ac:dyDescent="0.2">
      <c r="A18" s="206">
        <v>5</v>
      </c>
      <c r="B18" s="822" t="s">
        <v>135</v>
      </c>
      <c r="C18" s="822"/>
      <c r="D18" s="822"/>
      <c r="E18" s="435" t="s">
        <v>131</v>
      </c>
      <c r="F18" s="823"/>
      <c r="G18" s="824"/>
    </row>
    <row r="19" spans="1:11" s="1" customFormat="1" ht="35.25" customHeight="1" x14ac:dyDescent="0.2">
      <c r="A19" s="206">
        <v>6</v>
      </c>
      <c r="B19" s="822" t="s">
        <v>136</v>
      </c>
      <c r="C19" s="822"/>
      <c r="D19" s="822"/>
      <c r="E19" s="435" t="s">
        <v>131</v>
      </c>
      <c r="F19" s="823"/>
      <c r="G19" s="824"/>
    </row>
    <row r="20" spans="1:11" s="1" customFormat="1" ht="35.25" customHeight="1" x14ac:dyDescent="0.2">
      <c r="A20" s="206">
        <v>7</v>
      </c>
      <c r="B20" s="822" t="s">
        <v>137</v>
      </c>
      <c r="C20" s="822"/>
      <c r="D20" s="822"/>
      <c r="E20" s="435" t="s">
        <v>131</v>
      </c>
      <c r="F20" s="823"/>
      <c r="G20" s="824"/>
    </row>
    <row r="21" spans="1:11" s="1" customFormat="1" ht="35.25" customHeight="1" x14ac:dyDescent="0.2">
      <c r="A21" s="206">
        <v>8</v>
      </c>
      <c r="B21" s="822" t="s">
        <v>138</v>
      </c>
      <c r="C21" s="822"/>
      <c r="D21" s="822"/>
      <c r="E21" s="435" t="s">
        <v>131</v>
      </c>
      <c r="F21" s="823"/>
      <c r="G21" s="824"/>
    </row>
    <row r="22" spans="1:11" s="1" customFormat="1" ht="35.25" customHeight="1" x14ac:dyDescent="0.2">
      <c r="A22" s="206">
        <v>9</v>
      </c>
      <c r="B22" s="822" t="s">
        <v>139</v>
      </c>
      <c r="C22" s="822"/>
      <c r="D22" s="822"/>
      <c r="E22" s="435" t="s">
        <v>131</v>
      </c>
      <c r="F22" s="823"/>
      <c r="G22" s="824"/>
    </row>
    <row r="23" spans="1:11" s="1" customFormat="1" ht="35.25" customHeight="1" x14ac:dyDescent="0.2">
      <c r="A23" s="206">
        <v>10</v>
      </c>
      <c r="B23" s="822" t="s">
        <v>140</v>
      </c>
      <c r="C23" s="822"/>
      <c r="D23" s="822"/>
      <c r="E23" s="435" t="s">
        <v>131</v>
      </c>
      <c r="F23" s="823"/>
      <c r="G23" s="824"/>
    </row>
    <row r="24" spans="1:11" s="1" customFormat="1" ht="35.25" customHeight="1" x14ac:dyDescent="0.2">
      <c r="A24" s="206">
        <v>11</v>
      </c>
      <c r="B24" s="822" t="s">
        <v>141</v>
      </c>
      <c r="C24" s="822"/>
      <c r="D24" s="822"/>
      <c r="E24" s="435" t="s">
        <v>131</v>
      </c>
      <c r="F24" s="823"/>
      <c r="G24" s="824"/>
    </row>
    <row r="25" spans="1:11" s="192" customFormat="1" ht="35.25" customHeight="1" x14ac:dyDescent="0.2">
      <c r="A25" s="207">
        <v>12</v>
      </c>
      <c r="B25" s="822" t="s">
        <v>142</v>
      </c>
      <c r="C25" s="822"/>
      <c r="D25" s="822"/>
      <c r="E25" s="191" t="s">
        <v>131</v>
      </c>
      <c r="F25" s="823"/>
      <c r="G25" s="824"/>
    </row>
    <row r="26" spans="1:11" s="1" customFormat="1" ht="35.25" customHeight="1" x14ac:dyDescent="0.2">
      <c r="A26" s="206">
        <v>13</v>
      </c>
      <c r="B26" s="822" t="s">
        <v>143</v>
      </c>
      <c r="C26" s="822"/>
      <c r="D26" s="822"/>
      <c r="E26" s="435" t="s">
        <v>131</v>
      </c>
      <c r="F26" s="823"/>
      <c r="G26" s="824"/>
    </row>
    <row r="27" spans="1:11" s="1" customFormat="1" ht="35.25" customHeight="1" x14ac:dyDescent="0.2">
      <c r="A27" s="206">
        <v>14</v>
      </c>
      <c r="B27" s="822" t="s">
        <v>144</v>
      </c>
      <c r="C27" s="822"/>
      <c r="D27" s="822"/>
      <c r="E27" s="435" t="s">
        <v>131</v>
      </c>
      <c r="F27" s="823"/>
      <c r="G27" s="824"/>
    </row>
    <row r="28" spans="1:11" s="1" customFormat="1" ht="54.75" customHeight="1" thickBot="1" x14ac:dyDescent="0.25">
      <c r="A28" s="208">
        <v>15</v>
      </c>
      <c r="B28" s="825" t="s">
        <v>145</v>
      </c>
      <c r="C28" s="825"/>
      <c r="D28" s="825"/>
      <c r="E28" s="436" t="s">
        <v>131</v>
      </c>
      <c r="F28" s="826"/>
      <c r="G28" s="827"/>
    </row>
    <row r="29" spans="1:11" s="196" customFormat="1" ht="21" customHeight="1" thickBot="1" x14ac:dyDescent="0.25">
      <c r="B29" s="193"/>
      <c r="C29" s="194"/>
      <c r="D29" s="194"/>
      <c r="E29" s="193"/>
      <c r="F29" s="194"/>
      <c r="G29" s="194"/>
      <c r="H29" s="195"/>
      <c r="I29" s="195"/>
    </row>
    <row r="30" spans="1:11" s="216" customFormat="1" ht="15" customHeight="1" x14ac:dyDescent="0.2">
      <c r="A30" s="828" t="s">
        <v>146</v>
      </c>
      <c r="B30" s="829"/>
      <c r="C30" s="829"/>
      <c r="D30" s="829"/>
      <c r="E30" s="829"/>
      <c r="F30" s="829"/>
      <c r="G30" s="830"/>
      <c r="H30" s="219"/>
      <c r="I30" s="220"/>
      <c r="J30" s="220"/>
      <c r="K30" s="220"/>
    </row>
    <row r="31" spans="1:11" s="216" customFormat="1" ht="15" customHeight="1" x14ac:dyDescent="0.2">
      <c r="A31" s="217" t="s">
        <v>126</v>
      </c>
      <c r="B31" s="820" t="s">
        <v>127</v>
      </c>
      <c r="C31" s="820"/>
      <c r="D31" s="820"/>
      <c r="E31" s="434" t="s">
        <v>128</v>
      </c>
      <c r="F31" s="820" t="s">
        <v>129</v>
      </c>
      <c r="G31" s="821"/>
      <c r="H31" s="221"/>
      <c r="I31" s="222"/>
      <c r="J31" s="222"/>
      <c r="K31" s="222"/>
    </row>
    <row r="32" spans="1:11" s="1" customFormat="1" ht="55.5" customHeight="1" x14ac:dyDescent="0.2">
      <c r="A32" s="213">
        <v>1</v>
      </c>
      <c r="B32" s="815" t="s">
        <v>147</v>
      </c>
      <c r="C32" s="815"/>
      <c r="D32" s="815"/>
      <c r="E32" s="197" t="s">
        <v>148</v>
      </c>
      <c r="F32" s="816"/>
      <c r="G32" s="817"/>
      <c r="H32" s="223"/>
      <c r="I32" s="204"/>
      <c r="J32" s="204"/>
      <c r="K32" s="204"/>
    </row>
    <row r="33" spans="1:8" s="1" customFormat="1" ht="25.5" customHeight="1" x14ac:dyDescent="0.2">
      <c r="A33" s="213">
        <v>2</v>
      </c>
      <c r="B33" s="815" t="s">
        <v>149</v>
      </c>
      <c r="C33" s="815"/>
      <c r="D33" s="815"/>
      <c r="E33" s="197" t="s">
        <v>148</v>
      </c>
      <c r="F33" s="816"/>
      <c r="G33" s="817"/>
    </row>
    <row r="34" spans="1:8" s="1" customFormat="1" ht="25.5" customHeight="1" x14ac:dyDescent="0.2">
      <c r="A34" s="213">
        <v>3</v>
      </c>
      <c r="B34" s="815" t="s">
        <v>150</v>
      </c>
      <c r="C34" s="815"/>
      <c r="D34" s="815"/>
      <c r="E34" s="197" t="s">
        <v>148</v>
      </c>
      <c r="F34" s="816"/>
      <c r="G34" s="817"/>
    </row>
    <row r="35" spans="1:8" s="1" customFormat="1" ht="25.5" customHeight="1" x14ac:dyDescent="0.2">
      <c r="A35" s="213">
        <v>4</v>
      </c>
      <c r="B35" s="815" t="s">
        <v>151</v>
      </c>
      <c r="C35" s="815"/>
      <c r="D35" s="815"/>
      <c r="E35" s="197" t="s">
        <v>152</v>
      </c>
      <c r="F35" s="816"/>
      <c r="G35" s="817"/>
    </row>
    <row r="36" spans="1:8" s="1" customFormat="1" ht="25.5" customHeight="1" x14ac:dyDescent="0.2">
      <c r="A36" s="213">
        <v>5</v>
      </c>
      <c r="B36" s="815" t="s">
        <v>153</v>
      </c>
      <c r="C36" s="815"/>
      <c r="D36" s="815"/>
      <c r="E36" s="197" t="s">
        <v>152</v>
      </c>
      <c r="F36" s="818"/>
      <c r="G36" s="819"/>
    </row>
    <row r="37" spans="1:8" s="1" customFormat="1" ht="25.5" customHeight="1" thickBot="1" x14ac:dyDescent="0.25">
      <c r="A37" s="214">
        <v>6</v>
      </c>
      <c r="B37" s="809" t="s">
        <v>154</v>
      </c>
      <c r="C37" s="809"/>
      <c r="D37" s="809"/>
      <c r="E37" s="215" t="s">
        <v>152</v>
      </c>
      <c r="F37" s="810"/>
      <c r="G37" s="811"/>
    </row>
    <row r="38" spans="1:8" ht="15.75" thickBot="1" x14ac:dyDescent="0.3"/>
    <row r="39" spans="1:8" ht="79.5" thickBot="1" x14ac:dyDescent="0.3">
      <c r="B39" s="2" t="s">
        <v>39</v>
      </c>
      <c r="C39" s="11" t="s">
        <v>91</v>
      </c>
      <c r="D39" s="11" t="s">
        <v>92</v>
      </c>
      <c r="E39" s="2" t="s">
        <v>93</v>
      </c>
      <c r="F39" s="2" t="s">
        <v>94</v>
      </c>
      <c r="G39" s="21" t="s">
        <v>95</v>
      </c>
    </row>
    <row r="40" spans="1:8" ht="15.75" thickBot="1" x14ac:dyDescent="0.3">
      <c r="B40" s="229">
        <f>'CARTA DE CONTROL'!R54</f>
        <v>0</v>
      </c>
      <c r="C40" s="230">
        <f>'CARTA DE CONTROL'!AR54</f>
        <v>5.7999999999999996E-3</v>
      </c>
      <c r="D40" s="230">
        <f>'CARTA DE CONTROL'!AS54</f>
        <v>-5.7999999999999996E-3</v>
      </c>
      <c r="E40" s="231">
        <f>'CARTA DE CONTROL'!I54</f>
        <v>0.5</v>
      </c>
      <c r="F40" s="231">
        <f>-('CARTA DE CONTROL'!I54)</f>
        <v>-0.5</v>
      </c>
      <c r="G40" s="232" t="str">
        <f>IF(C40&lt;=0.5,IF(D40&gt;=-0.5,"PASS","NO PASS"))</f>
        <v>PASS</v>
      </c>
    </row>
    <row r="41" spans="1:8" ht="15.75" thickBot="1" x14ac:dyDescent="0.3">
      <c r="B41" s="229">
        <f>'CARTA DE CONTROL'!R55</f>
        <v>0</v>
      </c>
      <c r="C41" s="230">
        <f>'CARTA DE CONTROL'!AR55</f>
        <v>5.7999999999999996E-3</v>
      </c>
      <c r="D41" s="230">
        <f>'CARTA DE CONTROL'!AS55</f>
        <v>-5.7999999999999996E-3</v>
      </c>
      <c r="E41" s="231">
        <f>'CARTA DE CONTROL'!I55</f>
        <v>0.5</v>
      </c>
      <c r="F41" s="231">
        <f>-('CARTA DE CONTROL'!I55)</f>
        <v>-0.5</v>
      </c>
      <c r="G41" s="232" t="str">
        <f t="shared" ref="G41:G43" si="0">IF(C41&lt;=0.5,IF(D41&gt;=-0.5,"PASS","NO PASS"))</f>
        <v>PASS</v>
      </c>
    </row>
    <row r="42" spans="1:8" ht="15.75" thickBot="1" x14ac:dyDescent="0.3">
      <c r="B42" s="229">
        <f>'CARTA DE CONTROL'!R56</f>
        <v>0</v>
      </c>
      <c r="C42" s="230">
        <f>'CARTA DE CONTROL'!AR56</f>
        <v>5.7999999999999996E-3</v>
      </c>
      <c r="D42" s="230">
        <f>'CARTA DE CONTROL'!AS56</f>
        <v>-5.7999999999999996E-3</v>
      </c>
      <c r="E42" s="231">
        <f>'CARTA DE CONTROL'!I56</f>
        <v>0.5</v>
      </c>
      <c r="F42" s="231">
        <f>-('CARTA DE CONTROL'!I56)</f>
        <v>-0.5</v>
      </c>
      <c r="G42" s="232" t="str">
        <f t="shared" si="0"/>
        <v>PASS</v>
      </c>
    </row>
    <row r="43" spans="1:8" ht="15.75" thickBot="1" x14ac:dyDescent="0.3">
      <c r="B43" s="229">
        <f>'CARTA DE CONTROL'!R57</f>
        <v>0</v>
      </c>
      <c r="C43" s="230">
        <f>'CARTA DE CONTROL'!AR57</f>
        <v>5.7999999999999996E-3</v>
      </c>
      <c r="D43" s="230">
        <f>'CARTA DE CONTROL'!AS57</f>
        <v>-5.7999999999999996E-3</v>
      </c>
      <c r="E43" s="231">
        <f>'CARTA DE CONTROL'!I57</f>
        <v>0.5</v>
      </c>
      <c r="F43" s="231">
        <f>-('CARTA DE CONTROL'!I57)</f>
        <v>-0.5</v>
      </c>
      <c r="G43" s="232" t="str">
        <f t="shared" si="0"/>
        <v>PASS</v>
      </c>
    </row>
    <row r="44" spans="1:8" ht="15.75" thickBot="1" x14ac:dyDescent="0.3">
      <c r="A44" s="1"/>
      <c r="B44" s="229">
        <f>'CARTA DE CONTROL'!R70</f>
        <v>0</v>
      </c>
      <c r="C44" s="230">
        <f>'CARTA DE CONTROL'!AR70</f>
        <v>5.7999999999999996E-3</v>
      </c>
      <c r="D44" s="230">
        <f>'CARTA DE CONTROL'!AS70</f>
        <v>-5.7999999999999996E-3</v>
      </c>
      <c r="E44" s="231">
        <f>'CARTA DE CONTROL'!I70</f>
        <v>0.5</v>
      </c>
      <c r="F44" s="231">
        <f>-('CARTA DE CONTROL'!I70)</f>
        <v>-0.5</v>
      </c>
      <c r="G44" s="232" t="str">
        <f>IF(C44&lt;=0.5,IF(D44&gt;=-0.5,"PASS","NO PASS"))</f>
        <v>PASS</v>
      </c>
      <c r="H44" s="1"/>
    </row>
    <row r="45" spans="1:8" ht="15.75" thickBot="1" x14ac:dyDescent="0.3">
      <c r="A45" s="1"/>
      <c r="B45" s="229">
        <f>'CARTA DE CONTROL'!R71</f>
        <v>0</v>
      </c>
      <c r="C45" s="230">
        <f>'CARTA DE CONTROL'!AR71</f>
        <v>5.7999999999999996E-3</v>
      </c>
      <c r="D45" s="230">
        <f>'CARTA DE CONTROL'!AS71</f>
        <v>-5.7999999999999996E-3</v>
      </c>
      <c r="E45" s="231">
        <f>'CARTA DE CONTROL'!I71</f>
        <v>0.5</v>
      </c>
      <c r="F45" s="231">
        <f>-('CARTA DE CONTROL'!I71)</f>
        <v>-0.5</v>
      </c>
      <c r="G45" s="232" t="str">
        <f t="shared" ref="G45:G47" si="1">IF(C45&lt;=0.5,IF(D45&gt;=-0.5,"PASS","NO PASS"))</f>
        <v>PASS</v>
      </c>
    </row>
    <row r="46" spans="1:8" ht="15.75" thickBot="1" x14ac:dyDescent="0.3">
      <c r="A46" s="1"/>
      <c r="B46" s="229">
        <f>'CARTA DE CONTROL'!R72</f>
        <v>0</v>
      </c>
      <c r="C46" s="230">
        <f>'CARTA DE CONTROL'!AR72</f>
        <v>5.7000000000000002E-2</v>
      </c>
      <c r="D46" s="230">
        <f>'CARTA DE CONTROL'!AS72</f>
        <v>-5.7000000000000002E-2</v>
      </c>
      <c r="E46" s="231">
        <f>'CARTA DE CONTROL'!I72</f>
        <v>0.5</v>
      </c>
      <c r="F46" s="231">
        <f>-('CARTA DE CONTROL'!I72)</f>
        <v>-0.5</v>
      </c>
      <c r="G46" s="232" t="str">
        <f t="shared" si="1"/>
        <v>PASS</v>
      </c>
    </row>
    <row r="47" spans="1:8" ht="15.75" thickBot="1" x14ac:dyDescent="0.3">
      <c r="A47" s="1"/>
      <c r="B47" s="229">
        <f>'CARTA DE CONTROL'!R73</f>
        <v>0</v>
      </c>
      <c r="C47" s="230">
        <f>'CARTA DE CONTROL'!AR73</f>
        <v>5.7999999999999996E-3</v>
      </c>
      <c r="D47" s="230">
        <f>'CARTA DE CONTROL'!AS73</f>
        <v>-5.7999999999999996E-3</v>
      </c>
      <c r="E47" s="231">
        <f>'CARTA DE CONTROL'!I73</f>
        <v>0.5</v>
      </c>
      <c r="F47" s="231">
        <f>-('CARTA DE CONTROL'!I73)</f>
        <v>-0.5</v>
      </c>
      <c r="G47" s="232" t="str">
        <f t="shared" si="1"/>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5" spans="2:5" ht="15.75" thickBot="1" x14ac:dyDescent="0.3"/>
    <row r="66" spans="2:5" ht="15.75" thickBot="1" x14ac:dyDescent="0.3">
      <c r="B66" s="812" t="s">
        <v>82</v>
      </c>
      <c r="C66" s="813"/>
      <c r="D66" s="813"/>
      <c r="E66" s="814"/>
    </row>
    <row r="67" spans="2:5" ht="45.75" thickBot="1" x14ac:dyDescent="0.3">
      <c r="B67" s="2" t="s">
        <v>39</v>
      </c>
      <c r="C67" s="10" t="s">
        <v>83</v>
      </c>
      <c r="D67" s="2" t="s">
        <v>84</v>
      </c>
      <c r="E67" s="21" t="s">
        <v>85</v>
      </c>
    </row>
    <row r="68" spans="2:5" ht="15.75" thickBot="1" x14ac:dyDescent="0.3">
      <c r="B68" s="3">
        <f>'CARTA DE CONTROL'!R54</f>
        <v>0</v>
      </c>
      <c r="C68" s="4">
        <f>'CARTA DE CONTROL'!AN54</f>
        <v>0</v>
      </c>
      <c r="D68" s="6">
        <f>'CARTA DE CONTROL'!M54</f>
        <v>0.3</v>
      </c>
      <c r="E68" s="5" t="str">
        <f>IF(C68&lt;=0.3,IF(C68&gt;=-0.3,"PASS","NO PASS"))</f>
        <v>PASS</v>
      </c>
    </row>
    <row r="69" spans="2:5" ht="15.75" thickBot="1" x14ac:dyDescent="0.3">
      <c r="B69" s="3">
        <f>'CARTA DE CONTROL'!R55</f>
        <v>0</v>
      </c>
      <c r="C69" s="4">
        <f>'CARTA DE CONTROL'!AN55</f>
        <v>0</v>
      </c>
      <c r="D69" s="6">
        <f>'CARTA DE CONTROL'!M55</f>
        <v>0.3</v>
      </c>
      <c r="E69" s="5" t="str">
        <f t="shared" ref="E69:E71" si="2">IF(C69&lt;=0.3,IF(C69&gt;=-0.3,"PASS","NO PASS"))</f>
        <v>PASS</v>
      </c>
    </row>
    <row r="70" spans="2:5" ht="15.75" thickBot="1" x14ac:dyDescent="0.3">
      <c r="B70" s="3">
        <f>'CARTA DE CONTROL'!R56</f>
        <v>0</v>
      </c>
      <c r="C70" s="4">
        <f>'CARTA DE CONTROL'!AN56</f>
        <v>0</v>
      </c>
      <c r="D70" s="6">
        <f>'CARTA DE CONTROL'!M56</f>
        <v>0.3</v>
      </c>
      <c r="E70" s="5" t="str">
        <f t="shared" si="2"/>
        <v>PASS</v>
      </c>
    </row>
    <row r="71" spans="2:5" ht="15.75" thickBot="1" x14ac:dyDescent="0.3">
      <c r="B71" s="3">
        <f>'CARTA DE CONTROL'!R57</f>
        <v>0</v>
      </c>
      <c r="C71" s="4">
        <f>'CARTA DE CONTROL'!AN57</f>
        <v>0.02</v>
      </c>
      <c r="D71" s="6">
        <f>'CARTA DE CONTROL'!M57</f>
        <v>0.3</v>
      </c>
      <c r="E71" s="5" t="str">
        <f t="shared" si="2"/>
        <v>PASS</v>
      </c>
    </row>
    <row r="83" spans="2:5" ht="15.75" thickBot="1" x14ac:dyDescent="0.3"/>
    <row r="84" spans="2:5" ht="15.75" thickBot="1" x14ac:dyDescent="0.3">
      <c r="B84" s="812" t="s">
        <v>86</v>
      </c>
      <c r="C84" s="813"/>
      <c r="D84" s="813"/>
      <c r="E84" s="814"/>
    </row>
    <row r="85" spans="2:5" ht="45.75" thickBot="1" x14ac:dyDescent="0.3">
      <c r="B85" s="2" t="s">
        <v>39</v>
      </c>
      <c r="C85" s="10" t="s">
        <v>87</v>
      </c>
      <c r="D85" s="2" t="s">
        <v>84</v>
      </c>
      <c r="E85" s="21" t="s">
        <v>85</v>
      </c>
    </row>
    <row r="86" spans="2:5" ht="15.75" thickBot="1" x14ac:dyDescent="0.3">
      <c r="B86" s="3">
        <f>'CARTA DE CONTROL'!R54</f>
        <v>0</v>
      </c>
      <c r="C86" s="4">
        <f>'CARTA DE CONTROL'!AO54</f>
        <v>0</v>
      </c>
      <c r="D86" s="6">
        <f>'CARTA DE CONTROL'!O54</f>
        <v>0.4</v>
      </c>
      <c r="E86" s="5" t="str">
        <f>IF(C86&lt;=0.4,IF(C86&gt;=-0.4,"PASS","NO PASS"))</f>
        <v>PASS</v>
      </c>
    </row>
    <row r="87" spans="2:5" ht="15.75" thickBot="1" x14ac:dyDescent="0.3">
      <c r="B87" s="3">
        <f>'CARTA DE CONTROL'!R55</f>
        <v>0</v>
      </c>
      <c r="C87" s="4">
        <f>'CARTA DE CONTROL'!AO55</f>
        <v>0</v>
      </c>
      <c r="D87" s="6">
        <f>'CARTA DE CONTROL'!O55</f>
        <v>0.4</v>
      </c>
      <c r="E87" s="5" t="str">
        <f t="shared" ref="E87:E93" si="3">IF(C87&lt;=0.4,IF(C87&gt;=-0.4,"PASS","NO PASS"))</f>
        <v>PASS</v>
      </c>
    </row>
    <row r="88" spans="2:5" ht="15.75" thickBot="1" x14ac:dyDescent="0.3">
      <c r="B88" s="3">
        <f>'CARTA DE CONTROL'!R56</f>
        <v>0</v>
      </c>
      <c r="C88" s="4">
        <f>'CARTA DE CONTROL'!AO56</f>
        <v>0</v>
      </c>
      <c r="D88" s="6">
        <f>'CARTA DE CONTROL'!O56</f>
        <v>0.4</v>
      </c>
      <c r="E88" s="5" t="str">
        <f t="shared" si="3"/>
        <v>PASS</v>
      </c>
    </row>
    <row r="89" spans="2:5" ht="15.75" thickBot="1" x14ac:dyDescent="0.3">
      <c r="B89" s="3">
        <f>'CARTA DE CONTROL'!R57</f>
        <v>0</v>
      </c>
      <c r="C89" s="4">
        <f>'CARTA DE CONTROL'!AO57</f>
        <v>0</v>
      </c>
      <c r="D89" s="6">
        <f>'CARTA DE CONTROL'!O57</f>
        <v>0.4</v>
      </c>
      <c r="E89" s="5" t="str">
        <f t="shared" si="3"/>
        <v>PASS</v>
      </c>
    </row>
    <row r="90" spans="2:5" ht="15.75" thickBot="1" x14ac:dyDescent="0.3">
      <c r="B90" s="3">
        <f>'CARTA DE CONTROL'!R70</f>
        <v>0</v>
      </c>
      <c r="C90" s="4">
        <f>'CARTA DE CONTROL'!AO70</f>
        <v>0</v>
      </c>
      <c r="D90" s="6">
        <f>'CARTA DE CONTROL'!O70</f>
        <v>0.4</v>
      </c>
      <c r="E90" s="5" t="str">
        <f t="shared" si="3"/>
        <v>PASS</v>
      </c>
    </row>
    <row r="91" spans="2:5" ht="15.75" thickBot="1" x14ac:dyDescent="0.3">
      <c r="B91" s="3">
        <f>'CARTA DE CONTROL'!R71</f>
        <v>0</v>
      </c>
      <c r="C91" s="4">
        <f>'CARTA DE CONTROL'!AO71</f>
        <v>0</v>
      </c>
      <c r="D91" s="6">
        <f>'CARTA DE CONTROL'!O71</f>
        <v>0.4</v>
      </c>
      <c r="E91" s="5" t="str">
        <f t="shared" si="3"/>
        <v>PASS</v>
      </c>
    </row>
    <row r="92" spans="2:5" ht="15.75" thickBot="1" x14ac:dyDescent="0.3">
      <c r="B92" s="3">
        <f>'CARTA DE CONTROL'!R72</f>
        <v>0</v>
      </c>
      <c r="C92" s="4">
        <f>'CARTA DE CONTROL'!AO72</f>
        <v>0</v>
      </c>
      <c r="D92" s="6">
        <f>'CARTA DE CONTROL'!O72</f>
        <v>0.4</v>
      </c>
      <c r="E92" s="5" t="str">
        <f t="shared" si="3"/>
        <v>PASS</v>
      </c>
    </row>
    <row r="93" spans="2:5" ht="15.75" thickBot="1" x14ac:dyDescent="0.3">
      <c r="B93" s="3">
        <f>'CARTA DE CONTROL'!R73</f>
        <v>0</v>
      </c>
      <c r="C93" s="4">
        <f>'CARTA DE CONTROL'!AO73</f>
        <v>0</v>
      </c>
      <c r="D93" s="6">
        <f>'CARTA DE CONTROL'!O73</f>
        <v>0.4</v>
      </c>
      <c r="E93" s="5" t="str">
        <f t="shared" si="3"/>
        <v>PASS</v>
      </c>
    </row>
  </sheetData>
  <mergeCells count="54">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66:E66"/>
    <mergeCell ref="B84:E84"/>
    <mergeCell ref="B34:D34"/>
    <mergeCell ref="F34:G34"/>
    <mergeCell ref="B35:D35"/>
    <mergeCell ref="F35:G35"/>
    <mergeCell ref="B36:D36"/>
    <mergeCell ref="F36:G36"/>
  </mergeCells>
  <conditionalFormatting sqref="E68:E71 E86:E93">
    <cfRule type="cellIs" dxfId="121" priority="4" operator="lessThan">
      <formula>$H$85</formula>
    </cfRule>
    <cfRule type="cellIs" dxfId="120" priority="5" operator="lessThan">
      <formula>0.05</formula>
    </cfRule>
  </conditionalFormatting>
  <conditionalFormatting sqref="G40:G43">
    <cfRule type="cellIs" dxfId="119" priority="6" operator="lessThan">
      <formula>#REF!</formula>
    </cfRule>
    <cfRule type="cellIs" dxfId="118" priority="7" operator="lessThan">
      <formula>0.05</formula>
    </cfRule>
  </conditionalFormatting>
  <conditionalFormatting sqref="G40:G43">
    <cfRule type="cellIs" dxfId="117" priority="8" operator="between">
      <formula>#REF!</formula>
      <formula>#REF!</formula>
    </cfRule>
  </conditionalFormatting>
  <conditionalFormatting sqref="G44:G47">
    <cfRule type="cellIs" dxfId="116" priority="1" operator="lessThan">
      <formula>#REF!</formula>
    </cfRule>
    <cfRule type="cellIs" dxfId="115" priority="2" operator="lessThan">
      <formula>0.05</formula>
    </cfRule>
  </conditionalFormatting>
  <conditionalFormatting sqref="G44:G47">
    <cfRule type="cellIs" dxfId="114" priority="3" operator="between">
      <formula>#REF!</formula>
      <formula>#REF!</formula>
    </cfRule>
  </conditionalFormatting>
  <pageMargins left="0.7" right="0.7" top="0.75" bottom="0.75" header="0.3" footer="0.3"/>
  <pageSetup paperSize="1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CARTA DE CONTROL</vt:lpstr>
      <vt:lpstr>MONOXIDO 1 (CO)  </vt:lpstr>
      <vt:lpstr>DIOXIDO 1(CO2)  </vt:lpstr>
      <vt:lpstr>HIDROCARBUROS 1(HC) </vt:lpstr>
      <vt:lpstr>OXIGENO 1 (O2) </vt:lpstr>
      <vt:lpstr>MONOXIDO 2 (CO)  </vt:lpstr>
      <vt:lpstr>DIOXIDO  2 (CO2)</vt:lpstr>
      <vt:lpstr>HIDROCARBUROS  2 (HC)</vt:lpstr>
      <vt:lpstr>OXIGENO 2 (O2)</vt:lpstr>
      <vt:lpstr>TEMPERATURA (TEM) 1</vt:lpstr>
      <vt:lpstr>VIBRACION RPM 1</vt:lpstr>
      <vt:lpstr>BATERIA RPM 1 </vt:lpstr>
      <vt:lpstr>TEMPERATURA (TEM) 2</vt:lpstr>
      <vt:lpstr>VIBRACION RPM 2</vt:lpstr>
      <vt:lpstr>BATERIA RPM 2</vt:lpstr>
      <vt:lpstr>ALINEADOR AL PASO</vt:lpstr>
      <vt:lpstr>SUSPENSION</vt:lpstr>
      <vt:lpstr>FRENOMETRO (FUERZA)</vt:lpstr>
      <vt:lpstr>FRENOMETRO (PESO)</vt:lpstr>
      <vt:lpstr>FRENOMETRO LIVIANO </vt:lpstr>
      <vt:lpstr>OPACIMETRO</vt:lpstr>
      <vt:lpstr>LUXOMETRO (INTENSIDAD)</vt:lpstr>
      <vt:lpstr>LUXOMETRO (INCLINACION)</vt:lpstr>
      <vt:lpstr>PROFUNDIMETRO</vt:lpstr>
      <vt:lpstr>SONOMETRO</vt:lpstr>
      <vt:lpstr>TEMPERATURA AMBIENTE</vt:lpstr>
      <vt:lpstr>HUMEDAD RELATIVA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CITB</cp:lastModifiedBy>
  <cp:lastPrinted>2021-09-22T18:28:49Z</cp:lastPrinted>
  <dcterms:created xsi:type="dcterms:W3CDTF">2016-03-20T03:06:20Z</dcterms:created>
  <dcterms:modified xsi:type="dcterms:W3CDTF">2022-03-02T17:02:17Z</dcterms:modified>
</cp:coreProperties>
</file>