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xml"/>
  <Override PartName="/xl/charts/chart25.xml" ContentType="application/vnd.openxmlformats-officedocument.drawingml.chart+xml"/>
  <Override PartName="/xl/drawings/drawing15.xml" ContentType="application/vnd.openxmlformats-officedocument.drawing+xml"/>
  <Override PartName="/xl/charts/chart26.xml" ContentType="application/vnd.openxmlformats-officedocument.drawingml.chart+xml"/>
  <Override PartName="/xl/drawings/drawing16.xml" ContentType="application/vnd.openxmlformats-officedocument.drawing+xml"/>
  <Override PartName="/xl/charts/chart27.xml" ContentType="application/vnd.openxmlformats-officedocument.drawingml.chart+xml"/>
  <Override PartName="/xl/drawings/drawing1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9.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20.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cuments\adriana\Manteniemiento\METROLOGIA\Certificados de Calibracion 2021\PISTA MOTOS\"/>
    </mc:Choice>
  </mc:AlternateContent>
  <bookViews>
    <workbookView xWindow="0" yWindow="0" windowWidth="20490" windowHeight="7620"/>
  </bookViews>
  <sheets>
    <sheet name="CARTA DE CONTROL" sheetId="4" r:id="rId1"/>
    <sheet name="MONOXIDO (CO) 4T " sheetId="32" r:id="rId2"/>
    <sheet name="DIOXIDO (CO2) 4T " sheetId="33" r:id="rId3"/>
    <sheet name="HIDROCARBUROS (HC) 4T " sheetId="34" r:id="rId4"/>
    <sheet name="OXIGENO (O2) 4T " sheetId="35" r:id="rId5"/>
    <sheet name="TEMPERATURA (TEM) 4T" sheetId="39" r:id="rId6"/>
    <sheet name="VIBRACION RPM" sheetId="36" r:id="rId7"/>
    <sheet name="BATERIA RPM " sheetId="43" r:id="rId8"/>
    <sheet name="FRENOMETRO (FUERZA)" sheetId="20" r:id="rId9"/>
    <sheet name="FRENOMETRO (PESO)" sheetId="21" r:id="rId10"/>
    <sheet name="LUXOMETRO (INTENSIDAD)" sheetId="22" r:id="rId11"/>
    <sheet name="LUXOMETRO (INCLINACION)" sheetId="23" r:id="rId12"/>
    <sheet name="PROFUNDIMETRO" sheetId="42" r:id="rId13"/>
    <sheet name="SONOMETRO" sheetId="44" r:id="rId14"/>
    <sheet name="REVOLUCIONES POR MINUTO 2T" sheetId="40" r:id="rId15"/>
    <sheet name="TEMPERATURA (TEM) 2T" sheetId="41" r:id="rId16"/>
    <sheet name="MONOXIDO (CO) 2T" sheetId="5" r:id="rId17"/>
    <sheet name="DIOXIDO (CO2) 2T" sheetId="11" r:id="rId18"/>
    <sheet name="HIDROCARBUROS (HC) 2T " sheetId="12" r:id="rId19"/>
    <sheet name="OXIGENO (O2) 2T" sheetId="13"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42" l="1"/>
  <c r="AR74" i="4" l="1"/>
  <c r="B41" i="39" l="1"/>
  <c r="C41" i="39"/>
  <c r="D41" i="39"/>
  <c r="E41" i="39"/>
  <c r="F41" i="39"/>
  <c r="B42" i="39"/>
  <c r="C42" i="39"/>
  <c r="D42" i="39"/>
  <c r="E42" i="39"/>
  <c r="F42" i="39"/>
  <c r="F40" i="39"/>
  <c r="D40" i="39"/>
  <c r="C40" i="39"/>
  <c r="B94" i="35"/>
  <c r="C94" i="35"/>
  <c r="D94" i="35"/>
  <c r="B95" i="35"/>
  <c r="C95" i="35"/>
  <c r="D95" i="35"/>
  <c r="B96" i="35"/>
  <c r="C96" i="35"/>
  <c r="D96" i="35"/>
  <c r="D93" i="35"/>
  <c r="C93" i="35"/>
  <c r="B93" i="35"/>
  <c r="B90" i="35"/>
  <c r="C90" i="35"/>
  <c r="D90" i="35"/>
  <c r="E90" i="35"/>
  <c r="B91" i="35"/>
  <c r="C91" i="35"/>
  <c r="D91" i="35"/>
  <c r="E91" i="35"/>
  <c r="B92" i="35"/>
  <c r="C92" i="35"/>
  <c r="D92" i="35"/>
  <c r="E92" i="35"/>
  <c r="E93" i="35"/>
  <c r="E94" i="35"/>
  <c r="E95" i="35"/>
  <c r="E96" i="35"/>
  <c r="B89" i="35"/>
  <c r="B70" i="35"/>
  <c r="C70" i="35"/>
  <c r="D70" i="35"/>
  <c r="B71" i="35"/>
  <c r="C71" i="35"/>
  <c r="D71" i="35"/>
  <c r="B72" i="35"/>
  <c r="C72" i="35"/>
  <c r="D72" i="35"/>
  <c r="B69" i="35"/>
  <c r="B45" i="35"/>
  <c r="C45" i="35"/>
  <c r="D45" i="35"/>
  <c r="E45" i="35"/>
  <c r="F45" i="35"/>
  <c r="G45" i="35"/>
  <c r="B46" i="35"/>
  <c r="C46" i="35"/>
  <c r="D46" i="35"/>
  <c r="E46" i="35"/>
  <c r="F46" i="35"/>
  <c r="G46" i="35"/>
  <c r="B47" i="35"/>
  <c r="C47" i="35"/>
  <c r="D47" i="35"/>
  <c r="E47" i="35"/>
  <c r="F47" i="35"/>
  <c r="G47" i="35"/>
  <c r="F44" i="35"/>
  <c r="E44" i="35"/>
  <c r="D44" i="35"/>
  <c r="C44" i="35"/>
  <c r="G44" i="35" s="1"/>
  <c r="B44" i="35"/>
  <c r="B41" i="35"/>
  <c r="C41" i="35"/>
  <c r="D41" i="35"/>
  <c r="G41" i="35" s="1"/>
  <c r="E41" i="35"/>
  <c r="F41" i="35"/>
  <c r="B42" i="35"/>
  <c r="C42" i="35"/>
  <c r="D42" i="35"/>
  <c r="G42" i="35" s="1"/>
  <c r="E42" i="35"/>
  <c r="F42" i="35"/>
  <c r="B43" i="35"/>
  <c r="C43" i="35"/>
  <c r="D43" i="35"/>
  <c r="G43" i="35" s="1"/>
  <c r="E43" i="35"/>
  <c r="F43" i="35"/>
  <c r="B40" i="35"/>
  <c r="B89" i="34"/>
  <c r="C89" i="34"/>
  <c r="E89" i="34" s="1"/>
  <c r="D89" i="34"/>
  <c r="B90" i="34"/>
  <c r="C90" i="34"/>
  <c r="D90" i="34"/>
  <c r="B91" i="34"/>
  <c r="C91" i="34"/>
  <c r="E91" i="34" s="1"/>
  <c r="D91" i="34"/>
  <c r="D88" i="34"/>
  <c r="C88" i="34"/>
  <c r="B88" i="34"/>
  <c r="B85" i="34"/>
  <c r="B86" i="34"/>
  <c r="B87" i="34"/>
  <c r="B84" i="34"/>
  <c r="C85" i="34"/>
  <c r="D85" i="34"/>
  <c r="E85" i="34"/>
  <c r="C86" i="34"/>
  <c r="D86" i="34"/>
  <c r="E86" i="34"/>
  <c r="C87" i="34"/>
  <c r="D87" i="34"/>
  <c r="E87" i="34"/>
  <c r="E88" i="34"/>
  <c r="E90" i="34"/>
  <c r="B65" i="34"/>
  <c r="C65" i="34"/>
  <c r="D65" i="34"/>
  <c r="E65" i="34"/>
  <c r="B66" i="34"/>
  <c r="C66" i="34"/>
  <c r="D66" i="34"/>
  <c r="E66" i="34"/>
  <c r="B67" i="34"/>
  <c r="C67" i="34"/>
  <c r="D67" i="34"/>
  <c r="E67" i="34"/>
  <c r="B45" i="34"/>
  <c r="C45" i="34"/>
  <c r="D45" i="34"/>
  <c r="E45" i="34"/>
  <c r="F45" i="34"/>
  <c r="B46" i="34"/>
  <c r="C46" i="34"/>
  <c r="D46" i="34"/>
  <c r="G46" i="34" s="1"/>
  <c r="E46" i="34"/>
  <c r="F46" i="34"/>
  <c r="B47" i="34"/>
  <c r="C47" i="34"/>
  <c r="D47" i="34"/>
  <c r="E47" i="34"/>
  <c r="F47" i="34"/>
  <c r="F44" i="34"/>
  <c r="E44" i="34"/>
  <c r="D44" i="34"/>
  <c r="C44" i="34"/>
  <c r="B44" i="34"/>
  <c r="G44" i="34"/>
  <c r="G45" i="34"/>
  <c r="G47" i="34"/>
  <c r="B41" i="34"/>
  <c r="C41" i="34"/>
  <c r="D41" i="34"/>
  <c r="E41" i="34"/>
  <c r="F41" i="34"/>
  <c r="G41" i="34"/>
  <c r="B42" i="34"/>
  <c r="C42" i="34"/>
  <c r="D42" i="34"/>
  <c r="E42" i="34"/>
  <c r="F42" i="34"/>
  <c r="G42" i="34"/>
  <c r="B43" i="34"/>
  <c r="C43" i="34"/>
  <c r="D43" i="34"/>
  <c r="E43" i="34"/>
  <c r="F43" i="34"/>
  <c r="G43" i="34"/>
  <c r="B40" i="34"/>
  <c r="B90" i="33"/>
  <c r="C90" i="33"/>
  <c r="D90" i="33"/>
  <c r="E90" i="33"/>
  <c r="B91" i="33"/>
  <c r="C91" i="33"/>
  <c r="D91" i="33"/>
  <c r="E91" i="33"/>
  <c r="B92" i="33"/>
  <c r="C92" i="33"/>
  <c r="D92" i="33"/>
  <c r="E92" i="33"/>
  <c r="D89" i="33"/>
  <c r="C89" i="33"/>
  <c r="E89" i="33" s="1"/>
  <c r="B89" i="33"/>
  <c r="B86" i="33"/>
  <c r="C86" i="33"/>
  <c r="D86" i="33"/>
  <c r="E86" i="33"/>
  <c r="B87" i="33"/>
  <c r="C87" i="33"/>
  <c r="D87" i="33"/>
  <c r="E87" i="33"/>
  <c r="B88" i="33"/>
  <c r="C88" i="33"/>
  <c r="D88" i="33"/>
  <c r="E88" i="33"/>
  <c r="D85" i="33"/>
  <c r="C85" i="33"/>
  <c r="B85" i="33"/>
  <c r="D72" i="33"/>
  <c r="B70" i="33"/>
  <c r="C70" i="33"/>
  <c r="D70" i="33"/>
  <c r="E70" i="33"/>
  <c r="B71" i="33"/>
  <c r="C71" i="33"/>
  <c r="D71" i="33"/>
  <c r="E71" i="33"/>
  <c r="B72" i="33"/>
  <c r="C72" i="33"/>
  <c r="E72" i="33" s="1"/>
  <c r="B69" i="33"/>
  <c r="B46" i="33"/>
  <c r="C46" i="33"/>
  <c r="D46" i="33"/>
  <c r="E46" i="33"/>
  <c r="F46" i="33"/>
  <c r="B47" i="33"/>
  <c r="C47" i="33"/>
  <c r="D47" i="33"/>
  <c r="E47" i="33"/>
  <c r="F47" i="33"/>
  <c r="B48" i="33"/>
  <c r="E48" i="33"/>
  <c r="F48" i="33"/>
  <c r="F45" i="33"/>
  <c r="E45" i="33"/>
  <c r="D45" i="33"/>
  <c r="G45" i="33" s="1"/>
  <c r="C45" i="33"/>
  <c r="B45" i="33"/>
  <c r="B42" i="33"/>
  <c r="C42" i="33"/>
  <c r="D42" i="33"/>
  <c r="E42" i="33"/>
  <c r="F42" i="33"/>
  <c r="B43" i="33"/>
  <c r="C43" i="33"/>
  <c r="D43" i="33"/>
  <c r="E43" i="33"/>
  <c r="F43" i="33"/>
  <c r="B44" i="33"/>
  <c r="C44" i="33"/>
  <c r="D44" i="33"/>
  <c r="E44" i="33"/>
  <c r="F44" i="33"/>
  <c r="F41" i="33"/>
  <c r="E41" i="33"/>
  <c r="D41" i="33"/>
  <c r="C41" i="33"/>
  <c r="B41" i="33"/>
  <c r="D69" i="33"/>
  <c r="C69" i="33"/>
  <c r="G44" i="33" l="1"/>
  <c r="G43" i="33"/>
  <c r="G42" i="33"/>
  <c r="C32" i="44"/>
  <c r="D32" i="44"/>
  <c r="E32" i="44"/>
  <c r="F32" i="44"/>
  <c r="B32" i="44"/>
  <c r="F31" i="44"/>
  <c r="E31" i="44"/>
  <c r="D31" i="44"/>
  <c r="C31" i="44"/>
  <c r="B31" i="44"/>
  <c r="C10" i="44"/>
  <c r="C9" i="44"/>
  <c r="C8" i="44"/>
  <c r="C7" i="44"/>
  <c r="G32" i="44"/>
  <c r="G31" i="44"/>
  <c r="AU158" i="4" l="1"/>
  <c r="AV158" i="4"/>
  <c r="AW158" i="4" s="1"/>
  <c r="AX158" i="4" s="1"/>
  <c r="AY158" i="4" s="1"/>
  <c r="AU159" i="4"/>
  <c r="AV159" i="4"/>
  <c r="AW159" i="4"/>
  <c r="AX159" i="4" s="1"/>
  <c r="AY159" i="4" s="1"/>
  <c r="AU160" i="4"/>
  <c r="AV160" i="4"/>
  <c r="AW160" i="4" s="1"/>
  <c r="AX160" i="4" s="1"/>
  <c r="AY160" i="4" s="1"/>
  <c r="AU161" i="4"/>
  <c r="AV161" i="4"/>
  <c r="AW161" i="4"/>
  <c r="AX161" i="4" s="1"/>
  <c r="AY161" i="4" s="1"/>
  <c r="AU162" i="4"/>
  <c r="AV162" i="4"/>
  <c r="AW162" i="4" s="1"/>
  <c r="AX162" i="4" s="1"/>
  <c r="AY162" i="4" s="1"/>
  <c r="AT158" i="4"/>
  <c r="AT159" i="4"/>
  <c r="AT160" i="4"/>
  <c r="AT161" i="4"/>
  <c r="AT162" i="4"/>
  <c r="AR162" i="4"/>
  <c r="AS162" i="4"/>
  <c r="AS161" i="4"/>
  <c r="AR161" i="4"/>
  <c r="AJ162" i="4"/>
  <c r="AJ161" i="4"/>
  <c r="B44" i="23" l="1"/>
  <c r="E44" i="23"/>
  <c r="F44" i="23"/>
  <c r="B45" i="23"/>
  <c r="E45" i="23"/>
  <c r="F45" i="23"/>
  <c r="B46" i="23"/>
  <c r="E46" i="23"/>
  <c r="F46" i="23"/>
  <c r="B47" i="23"/>
  <c r="E47" i="23"/>
  <c r="F47" i="23"/>
  <c r="B48" i="23"/>
  <c r="E48" i="23"/>
  <c r="F48" i="23"/>
  <c r="B49" i="23"/>
  <c r="E49" i="23"/>
  <c r="F49" i="23"/>
  <c r="B50" i="23"/>
  <c r="E50" i="23"/>
  <c r="F50" i="23"/>
  <c r="B51" i="23"/>
  <c r="E51" i="23"/>
  <c r="F51" i="23"/>
  <c r="B52" i="23"/>
  <c r="E52" i="23"/>
  <c r="F52" i="23"/>
  <c r="B42" i="23"/>
  <c r="E42" i="23"/>
  <c r="F42" i="23"/>
  <c r="B43" i="23"/>
  <c r="E43" i="23"/>
  <c r="F43" i="23"/>
  <c r="B41" i="23"/>
  <c r="AQ122" i="4"/>
  <c r="B42" i="22"/>
  <c r="B43" i="22"/>
  <c r="B44" i="22"/>
  <c r="B45" i="22"/>
  <c r="B46" i="22"/>
  <c r="B47" i="22"/>
  <c r="B41" i="22"/>
  <c r="V129" i="4" l="1"/>
  <c r="W129" i="4" s="1"/>
  <c r="V130" i="4"/>
  <c r="W130" i="4" s="1"/>
  <c r="V131" i="4"/>
  <c r="W131" i="4" s="1"/>
  <c r="V132" i="4"/>
  <c r="W132" i="4" s="1"/>
  <c r="V128" i="4"/>
  <c r="W128" i="4" s="1"/>
  <c r="AD128" i="4" s="1"/>
  <c r="AU129" i="4"/>
  <c r="AU130" i="4"/>
  <c r="AU131" i="4"/>
  <c r="AU132" i="4"/>
  <c r="AU133" i="4"/>
  <c r="AR134" i="4"/>
  <c r="C47" i="23" s="1"/>
  <c r="AS134" i="4"/>
  <c r="AU134" i="4"/>
  <c r="AU135" i="4"/>
  <c r="AU136" i="4"/>
  <c r="AU137" i="4"/>
  <c r="AU138" i="4"/>
  <c r="AU139" i="4"/>
  <c r="AS128" i="4"/>
  <c r="AK131" i="4"/>
  <c r="AR131" i="4" s="1"/>
  <c r="C44" i="23" s="1"/>
  <c r="AK129" i="4"/>
  <c r="AR129" i="4" s="1"/>
  <c r="C42" i="23" s="1"/>
  <c r="AJ129" i="4"/>
  <c r="AJ130" i="4"/>
  <c r="AK130" i="4" s="1"/>
  <c r="AJ131" i="4"/>
  <c r="AJ132" i="4"/>
  <c r="AK132" i="4" s="1"/>
  <c r="AJ133" i="4"/>
  <c r="AK133" i="4" s="1"/>
  <c r="AR133" i="4" s="1"/>
  <c r="C46" i="23" s="1"/>
  <c r="AJ134" i="4"/>
  <c r="AJ135" i="4"/>
  <c r="AK135" i="4" s="1"/>
  <c r="AJ136" i="4"/>
  <c r="AK136" i="4" s="1"/>
  <c r="AJ137" i="4"/>
  <c r="AK137" i="4" s="1"/>
  <c r="AJ138" i="4"/>
  <c r="AK138" i="4" s="1"/>
  <c r="AJ139" i="4"/>
  <c r="AK139" i="4" s="1"/>
  <c r="AJ128" i="4"/>
  <c r="V127" i="4"/>
  <c r="W127" i="4"/>
  <c r="AD127" i="4" s="1"/>
  <c r="V126" i="4"/>
  <c r="V124" i="4"/>
  <c r="W124" i="4" s="1"/>
  <c r="AD124" i="4" s="1"/>
  <c r="V121" i="4"/>
  <c r="AS138" i="4" l="1"/>
  <c r="AR138" i="4"/>
  <c r="C51" i="23" s="1"/>
  <c r="AS136" i="4"/>
  <c r="AR136" i="4"/>
  <c r="C49" i="23" s="1"/>
  <c r="AS132" i="4"/>
  <c r="AR132" i="4"/>
  <c r="C45" i="23" s="1"/>
  <c r="AS130" i="4"/>
  <c r="AR130" i="4"/>
  <c r="C43" i="23" s="1"/>
  <c r="AR139" i="4"/>
  <c r="C52" i="23" s="1"/>
  <c r="AS139" i="4"/>
  <c r="AR137" i="4"/>
  <c r="C50" i="23" s="1"/>
  <c r="AS137" i="4"/>
  <c r="AR135" i="4"/>
  <c r="C48" i="23" s="1"/>
  <c r="AS135" i="4"/>
  <c r="AS133" i="4"/>
  <c r="AS131" i="4"/>
  <c r="AS129" i="4"/>
  <c r="AE131" i="4"/>
  <c r="AF131" i="4" s="1"/>
  <c r="AD131" i="4"/>
  <c r="AE129" i="4"/>
  <c r="AF129" i="4" s="1"/>
  <c r="AD129" i="4"/>
  <c r="AT134" i="4"/>
  <c r="AV134" i="4" s="1"/>
  <c r="AW134" i="4" s="1"/>
  <c r="AX134" i="4" s="1"/>
  <c r="AY134" i="4" s="1"/>
  <c r="D47" i="23"/>
  <c r="G47" i="23" s="1"/>
  <c r="AE132" i="4"/>
  <c r="AF132" i="4" s="1"/>
  <c r="AD132" i="4"/>
  <c r="AE130" i="4"/>
  <c r="AF130" i="4" s="1"/>
  <c r="AD130" i="4"/>
  <c r="AE127" i="4"/>
  <c r="AF127" i="4" s="1"/>
  <c r="AQ127" i="4"/>
  <c r="AQ126" i="4"/>
  <c r="AQ123" i="4"/>
  <c r="AQ124" i="4"/>
  <c r="AJ122" i="4"/>
  <c r="AK122" i="4" s="1"/>
  <c r="AJ123" i="4"/>
  <c r="AK123" i="4" s="1"/>
  <c r="AJ124" i="4"/>
  <c r="AK124" i="4" s="1"/>
  <c r="AJ125" i="4"/>
  <c r="AJ126" i="4"/>
  <c r="AK126" i="4" s="1"/>
  <c r="AJ127" i="4"/>
  <c r="AK127" i="4" s="1"/>
  <c r="AJ121" i="4"/>
  <c r="B115" i="21"/>
  <c r="D115" i="21"/>
  <c r="B116" i="21"/>
  <c r="D116" i="21"/>
  <c r="B117" i="21"/>
  <c r="D117" i="21"/>
  <c r="B118" i="21"/>
  <c r="D118" i="21"/>
  <c r="D114" i="21"/>
  <c r="B114" i="21"/>
  <c r="B89" i="21"/>
  <c r="E89" i="21"/>
  <c r="F89" i="21"/>
  <c r="B90" i="21"/>
  <c r="E90" i="21"/>
  <c r="F90" i="21"/>
  <c r="B91" i="21"/>
  <c r="E91" i="21"/>
  <c r="F91" i="21"/>
  <c r="B92" i="21"/>
  <c r="E92" i="21"/>
  <c r="F92" i="21"/>
  <c r="F88" i="21"/>
  <c r="E88" i="21"/>
  <c r="B88" i="21"/>
  <c r="B68" i="21"/>
  <c r="D68" i="21"/>
  <c r="B69" i="21"/>
  <c r="D69" i="21"/>
  <c r="B70" i="21"/>
  <c r="D70" i="21"/>
  <c r="B71" i="21"/>
  <c r="D71" i="21"/>
  <c r="B67" i="21"/>
  <c r="B42" i="21"/>
  <c r="E42" i="21"/>
  <c r="F42" i="21"/>
  <c r="B43" i="21"/>
  <c r="E43" i="21"/>
  <c r="F43" i="21"/>
  <c r="B44" i="21"/>
  <c r="E44" i="21"/>
  <c r="F44" i="21"/>
  <c r="B45" i="21"/>
  <c r="E45" i="21"/>
  <c r="F45" i="21"/>
  <c r="B41" i="21"/>
  <c r="B42" i="20"/>
  <c r="E42" i="20"/>
  <c r="F42" i="20"/>
  <c r="B43" i="20"/>
  <c r="E43" i="20"/>
  <c r="F43" i="20"/>
  <c r="B44" i="20"/>
  <c r="E44" i="20"/>
  <c r="F44" i="20"/>
  <c r="B45" i="20"/>
  <c r="E45" i="20"/>
  <c r="F45" i="20"/>
  <c r="B46" i="20"/>
  <c r="E46" i="20"/>
  <c r="F46" i="20"/>
  <c r="B47" i="20"/>
  <c r="E47" i="20"/>
  <c r="F47" i="20"/>
  <c r="B48" i="20"/>
  <c r="E48" i="20"/>
  <c r="F48" i="20"/>
  <c r="AU116" i="4"/>
  <c r="AU117" i="4"/>
  <c r="AQ116" i="4"/>
  <c r="AQ117" i="4"/>
  <c r="AM116" i="4"/>
  <c r="C114" i="21" s="1"/>
  <c r="E114" i="21" s="1"/>
  <c r="AM117" i="4"/>
  <c r="C115" i="21" s="1"/>
  <c r="E115" i="21" s="1"/>
  <c r="AM118" i="4"/>
  <c r="C116" i="21" s="1"/>
  <c r="E116" i="21" s="1"/>
  <c r="AM119" i="4"/>
  <c r="C117" i="21" s="1"/>
  <c r="E117" i="21" s="1"/>
  <c r="AM120" i="4"/>
  <c r="C118" i="21" s="1"/>
  <c r="E118" i="21" s="1"/>
  <c r="AM115" i="4"/>
  <c r="C71" i="21" s="1"/>
  <c r="E71" i="21" s="1"/>
  <c r="AJ116" i="4"/>
  <c r="AK116" i="4" s="1"/>
  <c r="AR116" i="4" s="1"/>
  <c r="AJ117" i="4"/>
  <c r="AK117" i="4" s="1"/>
  <c r="AJ118" i="4"/>
  <c r="AK118" i="4" s="1"/>
  <c r="AJ119" i="4"/>
  <c r="AK119" i="4" s="1"/>
  <c r="AJ120" i="4"/>
  <c r="AK120" i="4" s="1"/>
  <c r="AC117" i="4"/>
  <c r="AC120" i="4"/>
  <c r="Y117" i="4"/>
  <c r="V117" i="4"/>
  <c r="W117" i="4" s="1"/>
  <c r="Y120" i="4"/>
  <c r="W120" i="4"/>
  <c r="V120" i="4"/>
  <c r="AY112" i="4"/>
  <c r="AY113" i="4"/>
  <c r="AQ114" i="4"/>
  <c r="AR114" i="4" s="1"/>
  <c r="C44" i="21" s="1"/>
  <c r="AQ113" i="4"/>
  <c r="AQ112" i="4"/>
  <c r="AM114" i="4"/>
  <c r="C70" i="21" s="1"/>
  <c r="E70" i="21" s="1"/>
  <c r="AK114" i="4"/>
  <c r="AJ114" i="4"/>
  <c r="AM113" i="4"/>
  <c r="C69" i="21" s="1"/>
  <c r="E69" i="21" s="1"/>
  <c r="AJ113" i="4"/>
  <c r="AK113" i="4" s="1"/>
  <c r="AM112" i="4"/>
  <c r="C68" i="21" s="1"/>
  <c r="E68" i="21" s="1"/>
  <c r="AJ112" i="4"/>
  <c r="AK112" i="4" s="1"/>
  <c r="AT131" i="4" l="1"/>
  <c r="AV131" i="4" s="1"/>
  <c r="AW131" i="4" s="1"/>
  <c r="AX131" i="4" s="1"/>
  <c r="AY131" i="4" s="1"/>
  <c r="D44" i="23"/>
  <c r="G44" i="23" s="1"/>
  <c r="AT135" i="4"/>
  <c r="AV135" i="4" s="1"/>
  <c r="AW135" i="4" s="1"/>
  <c r="AX135" i="4" s="1"/>
  <c r="AY135" i="4" s="1"/>
  <c r="D48" i="23"/>
  <c r="G48" i="23" s="1"/>
  <c r="AT137" i="4"/>
  <c r="D50" i="23"/>
  <c r="G50" i="23" s="1"/>
  <c r="AT139" i="4"/>
  <c r="AV139" i="4" s="1"/>
  <c r="AW139" i="4" s="1"/>
  <c r="AX139" i="4" s="1"/>
  <c r="AY139" i="4" s="1"/>
  <c r="D52" i="23"/>
  <c r="G52" i="23" s="1"/>
  <c r="AT129" i="4"/>
  <c r="AV129" i="4" s="1"/>
  <c r="AW129" i="4" s="1"/>
  <c r="AX129" i="4" s="1"/>
  <c r="AY129" i="4" s="1"/>
  <c r="D42" i="23"/>
  <c r="G42" i="23" s="1"/>
  <c r="AT133" i="4"/>
  <c r="AV133" i="4" s="1"/>
  <c r="AW133" i="4" s="1"/>
  <c r="AX133" i="4" s="1"/>
  <c r="AY133" i="4" s="1"/>
  <c r="D46" i="23"/>
  <c r="G46" i="23" s="1"/>
  <c r="AT130" i="4"/>
  <c r="AV130" i="4" s="1"/>
  <c r="AW130" i="4" s="1"/>
  <c r="AX130" i="4" s="1"/>
  <c r="AY130" i="4" s="1"/>
  <c r="D43" i="23"/>
  <c r="G43" i="23" s="1"/>
  <c r="AT132" i="4"/>
  <c r="AV132" i="4" s="1"/>
  <c r="AW132" i="4" s="1"/>
  <c r="AX132" i="4" s="1"/>
  <c r="AY132" i="4" s="1"/>
  <c r="D45" i="23"/>
  <c r="G45" i="23" s="1"/>
  <c r="AT136" i="4"/>
  <c r="D49" i="23"/>
  <c r="G49" i="23" s="1"/>
  <c r="AT138" i="4"/>
  <c r="D51" i="23"/>
  <c r="G51" i="23" s="1"/>
  <c r="AS117" i="4"/>
  <c r="D89" i="21" s="1"/>
  <c r="AR117" i="4"/>
  <c r="AS116" i="4"/>
  <c r="AR112" i="4"/>
  <c r="C42" i="21" s="1"/>
  <c r="AD117" i="4"/>
  <c r="AR113" i="4"/>
  <c r="C43" i="21" s="1"/>
  <c r="AD120" i="4"/>
  <c r="D88" i="21"/>
  <c r="C88" i="21"/>
  <c r="AE117" i="4"/>
  <c r="AF117" i="4" s="1"/>
  <c r="AE120" i="4"/>
  <c r="AF120" i="4" s="1"/>
  <c r="AS112" i="4"/>
  <c r="AS113" i="4"/>
  <c r="AS114" i="4"/>
  <c r="AU118" i="4"/>
  <c r="AQ120" i="4"/>
  <c r="AS120" i="4" s="1"/>
  <c r="D92" i="21" s="1"/>
  <c r="AQ119" i="4"/>
  <c r="AS119" i="4" s="1"/>
  <c r="D91" i="21" s="1"/>
  <c r="AQ118" i="4"/>
  <c r="AR118" i="4" s="1"/>
  <c r="C90" i="21" s="1"/>
  <c r="AQ115" i="4"/>
  <c r="AJ115" i="4"/>
  <c r="AC115" i="4"/>
  <c r="AC114" i="4"/>
  <c r="Y115" i="4"/>
  <c r="Y114" i="4"/>
  <c r="V111" i="4"/>
  <c r="B76" i="20"/>
  <c r="B75" i="20"/>
  <c r="B74" i="20"/>
  <c r="B73" i="20"/>
  <c r="B72" i="20"/>
  <c r="B71" i="20"/>
  <c r="B70" i="20"/>
  <c r="B69" i="20"/>
  <c r="D70" i="20"/>
  <c r="D71" i="20"/>
  <c r="D72" i="20"/>
  <c r="D73" i="20"/>
  <c r="D74" i="20"/>
  <c r="D75" i="20"/>
  <c r="D76" i="20"/>
  <c r="B41" i="20"/>
  <c r="AU104" i="4"/>
  <c r="AU105" i="4"/>
  <c r="AU106" i="4"/>
  <c r="AU107" i="4"/>
  <c r="AU108" i="4"/>
  <c r="AU109" i="4"/>
  <c r="AU110" i="4"/>
  <c r="AQ105" i="4"/>
  <c r="AQ106" i="4"/>
  <c r="AQ107" i="4"/>
  <c r="AQ108" i="4"/>
  <c r="AQ109" i="4"/>
  <c r="AQ110" i="4"/>
  <c r="AQ104" i="4"/>
  <c r="AM105" i="4"/>
  <c r="C71" i="20" s="1"/>
  <c r="AM106" i="4"/>
  <c r="C72" i="20" s="1"/>
  <c r="AM107" i="4"/>
  <c r="C73" i="20" s="1"/>
  <c r="AM108" i="4"/>
  <c r="C74" i="20" s="1"/>
  <c r="AM109" i="4"/>
  <c r="C75" i="20" s="1"/>
  <c r="AM110" i="4"/>
  <c r="C76" i="20" s="1"/>
  <c r="E76" i="20" s="1"/>
  <c r="AM104" i="4"/>
  <c r="C70" i="20" s="1"/>
  <c r="AJ110" i="4"/>
  <c r="AK110" i="4" s="1"/>
  <c r="AJ105" i="4"/>
  <c r="AK105" i="4" s="1"/>
  <c r="AJ106" i="4"/>
  <c r="AK106" i="4" s="1"/>
  <c r="AJ107" i="4"/>
  <c r="AK107" i="4" s="1"/>
  <c r="AJ108" i="4"/>
  <c r="AK108" i="4" s="1"/>
  <c r="AJ109" i="4"/>
  <c r="AK109" i="4" s="1"/>
  <c r="AJ104" i="4"/>
  <c r="AK104" i="4" s="1"/>
  <c r="Y105" i="4"/>
  <c r="Y106" i="4"/>
  <c r="Y107" i="4"/>
  <c r="Y108" i="4"/>
  <c r="Y109" i="4"/>
  <c r="Y104" i="4"/>
  <c r="V108" i="4"/>
  <c r="W108" i="4" s="1"/>
  <c r="V106" i="4"/>
  <c r="W106" i="4" s="1"/>
  <c r="V104" i="4"/>
  <c r="W104" i="4" s="1"/>
  <c r="F42" i="43"/>
  <c r="E42" i="43"/>
  <c r="F50" i="43"/>
  <c r="E50" i="43"/>
  <c r="B50" i="43"/>
  <c r="B42" i="43"/>
  <c r="B43" i="43"/>
  <c r="E43" i="43"/>
  <c r="F43" i="43"/>
  <c r="B44" i="43"/>
  <c r="E44" i="43"/>
  <c r="F44" i="43"/>
  <c r="B45" i="43"/>
  <c r="E45" i="43"/>
  <c r="F45" i="43"/>
  <c r="B46" i="43"/>
  <c r="E46" i="43"/>
  <c r="F46" i="43"/>
  <c r="B47" i="43"/>
  <c r="E47" i="43"/>
  <c r="F47" i="43"/>
  <c r="B48" i="43"/>
  <c r="E48" i="43"/>
  <c r="F48" i="43"/>
  <c r="B49" i="43"/>
  <c r="E49" i="43"/>
  <c r="F49" i="43"/>
  <c r="F41" i="43"/>
  <c r="E41" i="43"/>
  <c r="B41" i="43"/>
  <c r="C10" i="43"/>
  <c r="C9" i="43"/>
  <c r="C8" i="43"/>
  <c r="C7" i="43"/>
  <c r="AU102" i="4"/>
  <c r="AT102" i="4"/>
  <c r="AC102" i="4"/>
  <c r="V102" i="4"/>
  <c r="W102" i="4" s="1"/>
  <c r="AU101" i="4"/>
  <c r="AQ101" i="4"/>
  <c r="AJ101" i="4"/>
  <c r="AK101" i="4" s="1"/>
  <c r="AC101" i="4"/>
  <c r="V101" i="4"/>
  <c r="W101" i="4" s="1"/>
  <c r="AU100" i="4"/>
  <c r="AC100" i="4"/>
  <c r="V100" i="4"/>
  <c r="W100" i="4" s="1"/>
  <c r="AU99" i="4"/>
  <c r="AQ99" i="4"/>
  <c r="AJ99" i="4"/>
  <c r="AK99" i="4" s="1"/>
  <c r="AC99" i="4"/>
  <c r="V99" i="4"/>
  <c r="W99" i="4" s="1"/>
  <c r="AU98" i="4"/>
  <c r="AQ98" i="4"/>
  <c r="AJ98" i="4"/>
  <c r="AK98" i="4" s="1"/>
  <c r="AC98" i="4"/>
  <c r="V98" i="4"/>
  <c r="W98" i="4" s="1"/>
  <c r="AU97" i="4"/>
  <c r="AQ97" i="4"/>
  <c r="AJ97" i="4"/>
  <c r="AK97" i="4" s="1"/>
  <c r="AC97" i="4"/>
  <c r="V97" i="4"/>
  <c r="W97" i="4" s="1"/>
  <c r="AU96" i="4"/>
  <c r="AQ96" i="4"/>
  <c r="AJ96" i="4"/>
  <c r="AK96" i="4" s="1"/>
  <c r="AC96" i="4"/>
  <c r="V96" i="4"/>
  <c r="W96" i="4" s="1"/>
  <c r="AU95" i="4"/>
  <c r="AQ95" i="4"/>
  <c r="AJ95" i="4"/>
  <c r="AK95" i="4" s="1"/>
  <c r="AC95" i="4"/>
  <c r="V95" i="4"/>
  <c r="W95" i="4" s="1"/>
  <c r="AU94" i="4"/>
  <c r="AQ94" i="4"/>
  <c r="AJ94" i="4"/>
  <c r="AK94" i="4" s="1"/>
  <c r="AC94" i="4"/>
  <c r="V94" i="4"/>
  <c r="W94" i="4" s="1"/>
  <c r="AU93" i="4"/>
  <c r="AQ93" i="4"/>
  <c r="AJ93" i="4"/>
  <c r="AK93" i="4" s="1"/>
  <c r="AC93" i="4"/>
  <c r="V93" i="4"/>
  <c r="W93" i="4" s="1"/>
  <c r="AU92" i="4"/>
  <c r="AC92" i="4"/>
  <c r="V92" i="4"/>
  <c r="W92" i="4" s="1"/>
  <c r="AU91" i="4"/>
  <c r="AQ91" i="4"/>
  <c r="AJ91" i="4"/>
  <c r="AK91" i="4" s="1"/>
  <c r="AC91" i="4"/>
  <c r="V91" i="4"/>
  <c r="W91" i="4" s="1"/>
  <c r="BD90" i="4"/>
  <c r="AU90" i="4"/>
  <c r="AQ90" i="4"/>
  <c r="AJ90" i="4"/>
  <c r="AK90" i="4" s="1"/>
  <c r="B42" i="36"/>
  <c r="AQ78" i="4"/>
  <c r="AJ78" i="4"/>
  <c r="AK78" i="4" s="1"/>
  <c r="AU78" i="4"/>
  <c r="AC78" i="4"/>
  <c r="V78" i="4"/>
  <c r="W78" i="4" s="1"/>
  <c r="F50" i="36"/>
  <c r="E50" i="36"/>
  <c r="B50" i="36"/>
  <c r="E42" i="36"/>
  <c r="F42" i="36"/>
  <c r="B43" i="36"/>
  <c r="E43" i="36"/>
  <c r="F43" i="36"/>
  <c r="B44" i="36"/>
  <c r="E44" i="36"/>
  <c r="F44" i="36"/>
  <c r="B45" i="36"/>
  <c r="E45" i="36"/>
  <c r="F45" i="36"/>
  <c r="B46" i="36"/>
  <c r="E46" i="36"/>
  <c r="F46" i="36"/>
  <c r="B47" i="36"/>
  <c r="E47" i="36"/>
  <c r="F47" i="36"/>
  <c r="B48" i="36"/>
  <c r="E48" i="36"/>
  <c r="F48" i="36"/>
  <c r="B49" i="36"/>
  <c r="E49" i="36"/>
  <c r="F49" i="36"/>
  <c r="B41" i="36"/>
  <c r="AU87" i="4"/>
  <c r="AT89" i="4"/>
  <c r="AU88" i="4"/>
  <c r="AU79" i="4"/>
  <c r="AU80" i="4"/>
  <c r="AU81" i="4"/>
  <c r="AU82" i="4"/>
  <c r="AU83" i="4"/>
  <c r="AU84" i="4"/>
  <c r="AU85" i="4"/>
  <c r="AU86" i="4"/>
  <c r="AQ80" i="4"/>
  <c r="AQ81" i="4"/>
  <c r="AQ82" i="4"/>
  <c r="AQ83" i="4"/>
  <c r="AQ84" i="4"/>
  <c r="AQ85" i="4"/>
  <c r="AQ86" i="4"/>
  <c r="AQ88" i="4"/>
  <c r="AQ77" i="4"/>
  <c r="AJ80" i="4"/>
  <c r="AK80" i="4" s="1"/>
  <c r="AJ81" i="4"/>
  <c r="AK81" i="4" s="1"/>
  <c r="AJ82" i="4"/>
  <c r="AK82" i="4" s="1"/>
  <c r="AJ83" i="4"/>
  <c r="AK83" i="4" s="1"/>
  <c r="AJ84" i="4"/>
  <c r="AK84" i="4" s="1"/>
  <c r="AJ85" i="4"/>
  <c r="AK85" i="4" s="1"/>
  <c r="AJ86" i="4"/>
  <c r="AK86" i="4" s="1"/>
  <c r="AJ88" i="4"/>
  <c r="AK88" i="4" s="1"/>
  <c r="AJ111" i="4"/>
  <c r="AJ77" i="4"/>
  <c r="AK77" i="4" s="1"/>
  <c r="AS118" i="4" l="1"/>
  <c r="D90" i="21" s="1"/>
  <c r="G90" i="21" s="1"/>
  <c r="AR99" i="4"/>
  <c r="C49" i="43" s="1"/>
  <c r="AT113" i="4"/>
  <c r="D43" i="21"/>
  <c r="G43" i="21" s="1"/>
  <c r="C89" i="21"/>
  <c r="G89" i="21" s="1"/>
  <c r="AT117" i="4"/>
  <c r="AV117" i="4" s="1"/>
  <c r="AW117" i="4" s="1"/>
  <c r="AX117" i="4" s="1"/>
  <c r="AY117" i="4" s="1"/>
  <c r="AR119" i="4"/>
  <c r="C91" i="21" s="1"/>
  <c r="G91" i="21" s="1"/>
  <c r="AT114" i="4"/>
  <c r="D44" i="21"/>
  <c r="G44" i="21" s="1"/>
  <c r="AT112" i="4"/>
  <c r="D42" i="21"/>
  <c r="G42" i="21" s="1"/>
  <c r="G88" i="21"/>
  <c r="AR120" i="4"/>
  <c r="C92" i="21" s="1"/>
  <c r="G92" i="21" s="1"/>
  <c r="AT116" i="4"/>
  <c r="AV116" i="4" s="1"/>
  <c r="AW116" i="4" s="1"/>
  <c r="AX116" i="4" s="1"/>
  <c r="AY116" i="4" s="1"/>
  <c r="AR78" i="4"/>
  <c r="C42" i="36" s="1"/>
  <c r="AE92" i="4"/>
  <c r="AE94" i="4"/>
  <c r="AS94" i="4"/>
  <c r="D44" i="43" s="1"/>
  <c r="AE100" i="4"/>
  <c r="AE96" i="4"/>
  <c r="AD106" i="4"/>
  <c r="AE106" i="4"/>
  <c r="AS104" i="4"/>
  <c r="D42" i="20" s="1"/>
  <c r="AR104" i="4"/>
  <c r="C42" i="20" s="1"/>
  <c r="AR108" i="4"/>
  <c r="C46" i="20" s="1"/>
  <c r="AS108" i="4"/>
  <c r="D46" i="20" s="1"/>
  <c r="AR106" i="4"/>
  <c r="C44" i="20" s="1"/>
  <c r="AS106" i="4"/>
  <c r="D44" i="20" s="1"/>
  <c r="AS110" i="4"/>
  <c r="D48" i="20" s="1"/>
  <c r="AR110" i="4"/>
  <c r="C48" i="20" s="1"/>
  <c r="AE104" i="4"/>
  <c r="AD104" i="4"/>
  <c r="AD108" i="4"/>
  <c r="AE108" i="4"/>
  <c r="AR109" i="4"/>
  <c r="C47" i="20" s="1"/>
  <c r="AS109" i="4"/>
  <c r="D47" i="20" s="1"/>
  <c r="AR107" i="4"/>
  <c r="C45" i="20" s="1"/>
  <c r="AS107" i="4"/>
  <c r="D45" i="20" s="1"/>
  <c r="AR105" i="4"/>
  <c r="C43" i="20" s="1"/>
  <c r="AS105" i="4"/>
  <c r="D43" i="20" s="1"/>
  <c r="AD78" i="4"/>
  <c r="AS78" i="4"/>
  <c r="D42" i="36" s="1"/>
  <c r="AD91" i="4"/>
  <c r="AR93" i="4"/>
  <c r="C43" i="43" s="1"/>
  <c r="AR95" i="4"/>
  <c r="C45" i="43" s="1"/>
  <c r="AS96" i="4"/>
  <c r="D46" i="43" s="1"/>
  <c r="AE98" i="4"/>
  <c r="AS98" i="4"/>
  <c r="D48" i="43" s="1"/>
  <c r="AR97" i="4"/>
  <c r="C47" i="43" s="1"/>
  <c r="AD101" i="4"/>
  <c r="AE91" i="4"/>
  <c r="AF91" i="4" s="1"/>
  <c r="AD92" i="4"/>
  <c r="AF92" i="4" s="1"/>
  <c r="AV92" i="4" s="1"/>
  <c r="AW92" i="4" s="1"/>
  <c r="AX92" i="4" s="1"/>
  <c r="AY92" i="4" s="1"/>
  <c r="AS93" i="4"/>
  <c r="AR94" i="4"/>
  <c r="AS95" i="4"/>
  <c r="D45" i="43" s="1"/>
  <c r="AR96" i="4"/>
  <c r="AS97" i="4"/>
  <c r="D47" i="43" s="1"/>
  <c r="AR98" i="4"/>
  <c r="AS99" i="4"/>
  <c r="D49" i="43" s="1"/>
  <c r="AE101" i="4"/>
  <c r="AF101" i="4" s="1"/>
  <c r="AR90" i="4"/>
  <c r="C41" i="43" s="1"/>
  <c r="AS90" i="4"/>
  <c r="D41" i="43" s="1"/>
  <c r="AR91" i="4"/>
  <c r="C42" i="43" s="1"/>
  <c r="AS91" i="4"/>
  <c r="D42" i="43" s="1"/>
  <c r="AD93" i="4"/>
  <c r="AE93" i="4"/>
  <c r="AD94" i="4"/>
  <c r="AF94" i="4" s="1"/>
  <c r="AD95" i="4"/>
  <c r="AE95" i="4"/>
  <c r="AD96" i="4"/>
  <c r="AF96" i="4" s="1"/>
  <c r="AD97" i="4"/>
  <c r="AE97" i="4"/>
  <c r="AD98" i="4"/>
  <c r="AF98" i="4" s="1"/>
  <c r="AD99" i="4"/>
  <c r="AE99" i="4"/>
  <c r="AD100" i="4"/>
  <c r="AR101" i="4"/>
  <c r="C50" i="43" s="1"/>
  <c r="AS101" i="4"/>
  <c r="D50" i="43" s="1"/>
  <c r="AD102" i="4"/>
  <c r="AE102" i="4"/>
  <c r="AE78" i="4"/>
  <c r="AF78" i="4" s="1"/>
  <c r="AS77" i="4"/>
  <c r="AR77" i="4"/>
  <c r="AR88" i="4"/>
  <c r="AS88" i="4"/>
  <c r="AS85" i="4"/>
  <c r="AR85" i="4"/>
  <c r="AS83" i="4"/>
  <c r="AR83" i="4"/>
  <c r="AS81" i="4"/>
  <c r="AR81" i="4"/>
  <c r="AR86" i="4"/>
  <c r="AS86" i="4"/>
  <c r="AR84" i="4"/>
  <c r="AS84" i="4"/>
  <c r="AR82" i="4"/>
  <c r="AS82" i="4"/>
  <c r="AR80" i="4"/>
  <c r="AS80" i="4"/>
  <c r="AC80" i="4"/>
  <c r="AC81" i="4"/>
  <c r="AC82" i="4"/>
  <c r="AC83" i="4"/>
  <c r="AC84" i="4"/>
  <c r="AC85" i="4"/>
  <c r="AC86" i="4"/>
  <c r="AC87" i="4"/>
  <c r="AC88" i="4"/>
  <c r="AC89" i="4"/>
  <c r="AC79" i="4"/>
  <c r="V80" i="4"/>
  <c r="W80" i="4" s="1"/>
  <c r="V81" i="4"/>
  <c r="W81" i="4" s="1"/>
  <c r="V82" i="4"/>
  <c r="W82" i="4" s="1"/>
  <c r="V83" i="4"/>
  <c r="W83" i="4" s="1"/>
  <c r="V84" i="4"/>
  <c r="W84" i="4" s="1"/>
  <c r="V85" i="4"/>
  <c r="W85" i="4" s="1"/>
  <c r="V86" i="4"/>
  <c r="W86" i="4" s="1"/>
  <c r="V87" i="4"/>
  <c r="W87" i="4" s="1"/>
  <c r="V88" i="4"/>
  <c r="W88" i="4" s="1"/>
  <c r="V89" i="4"/>
  <c r="W89" i="4" s="1"/>
  <c r="V79" i="4"/>
  <c r="W79" i="4" s="1"/>
  <c r="B40" i="39"/>
  <c r="C92" i="32"/>
  <c r="E92" i="32" s="1"/>
  <c r="D92" i="32"/>
  <c r="C93" i="32"/>
  <c r="E93" i="32" s="1"/>
  <c r="D93" i="32"/>
  <c r="C94" i="32"/>
  <c r="D94" i="32"/>
  <c r="D91" i="32"/>
  <c r="C91" i="32"/>
  <c r="E91" i="32" s="1"/>
  <c r="B94" i="32"/>
  <c r="B93" i="32"/>
  <c r="B92" i="32"/>
  <c r="B91" i="32"/>
  <c r="E94" i="32"/>
  <c r="D88" i="32"/>
  <c r="D89" i="32"/>
  <c r="D90" i="32"/>
  <c r="C88" i="32"/>
  <c r="E88" i="32" s="1"/>
  <c r="C89" i="32"/>
  <c r="E89" i="32" s="1"/>
  <c r="C90" i="32"/>
  <c r="E90" i="32" s="1"/>
  <c r="B88" i="32"/>
  <c r="B89" i="32"/>
  <c r="B90" i="32"/>
  <c r="B87" i="32"/>
  <c r="D72" i="32"/>
  <c r="D71" i="32"/>
  <c r="D70" i="32"/>
  <c r="C72" i="32"/>
  <c r="E72" i="32" s="1"/>
  <c r="C71" i="32"/>
  <c r="E71" i="32" s="1"/>
  <c r="C70" i="32"/>
  <c r="E70" i="32" s="1"/>
  <c r="B70" i="32"/>
  <c r="B71" i="32"/>
  <c r="B72" i="32"/>
  <c r="B69" i="32"/>
  <c r="E46" i="32"/>
  <c r="F46" i="32"/>
  <c r="E47" i="32"/>
  <c r="F47" i="32"/>
  <c r="E48" i="32"/>
  <c r="F48" i="32"/>
  <c r="F45" i="32"/>
  <c r="E45" i="32"/>
  <c r="E42" i="32"/>
  <c r="F42" i="32"/>
  <c r="E43" i="32"/>
  <c r="F43" i="32"/>
  <c r="E44" i="32"/>
  <c r="F44" i="32"/>
  <c r="B48" i="32"/>
  <c r="B47" i="32"/>
  <c r="B46" i="32"/>
  <c r="B45" i="32"/>
  <c r="B44" i="32"/>
  <c r="B43" i="32"/>
  <c r="B42" i="32"/>
  <c r="B41" i="32"/>
  <c r="AU57" i="4"/>
  <c r="AU58" i="4"/>
  <c r="AU59" i="4"/>
  <c r="AU60" i="4"/>
  <c r="AU61" i="4"/>
  <c r="AU62" i="4"/>
  <c r="AU63" i="4"/>
  <c r="AU64" i="4"/>
  <c r="AU65" i="4"/>
  <c r="AU66" i="4"/>
  <c r="AU67" i="4"/>
  <c r="AU68" i="4"/>
  <c r="AU69" i="4"/>
  <c r="AU70" i="4"/>
  <c r="AU71" i="4"/>
  <c r="AU72" i="4"/>
  <c r="AU73" i="4"/>
  <c r="AR72" i="4"/>
  <c r="AS72" i="4"/>
  <c r="AR70" i="4"/>
  <c r="AS70" i="4"/>
  <c r="AR68" i="4"/>
  <c r="AS68" i="4"/>
  <c r="AR67" i="4"/>
  <c r="AS67" i="4"/>
  <c r="AR64" i="4"/>
  <c r="AS64" i="4"/>
  <c r="AR63" i="4"/>
  <c r="AS63" i="4"/>
  <c r="AR60" i="4"/>
  <c r="C47" i="32" s="1"/>
  <c r="AS60" i="4"/>
  <c r="AR59" i="4"/>
  <c r="C46" i="32" s="1"/>
  <c r="AS59" i="4"/>
  <c r="D46" i="32" s="1"/>
  <c r="AJ54" i="4"/>
  <c r="AJ55" i="4"/>
  <c r="AJ56" i="4"/>
  <c r="AJ57" i="4"/>
  <c r="AJ58" i="4"/>
  <c r="AJ59" i="4"/>
  <c r="AJ60" i="4"/>
  <c r="AJ61" i="4"/>
  <c r="AJ62" i="4"/>
  <c r="AJ63" i="4"/>
  <c r="AJ64" i="4"/>
  <c r="AJ65" i="4"/>
  <c r="AJ66" i="4"/>
  <c r="AJ67" i="4"/>
  <c r="AJ68" i="4"/>
  <c r="AJ69" i="4"/>
  <c r="AU55" i="4"/>
  <c r="AU56" i="4"/>
  <c r="AR56" i="4"/>
  <c r="AS56" i="4"/>
  <c r="AR55" i="4"/>
  <c r="AS55" i="4"/>
  <c r="AU51" i="4"/>
  <c r="AU52" i="4"/>
  <c r="AU53" i="4"/>
  <c r="AR51" i="4"/>
  <c r="AS51" i="4"/>
  <c r="AR52" i="4"/>
  <c r="AS52" i="4"/>
  <c r="AR53" i="4"/>
  <c r="AS53" i="4"/>
  <c r="AU45" i="4"/>
  <c r="AU46" i="4"/>
  <c r="AU47" i="4"/>
  <c r="AU48" i="4"/>
  <c r="AU43" i="4"/>
  <c r="AU44" i="4"/>
  <c r="AJ44" i="4"/>
  <c r="AR44" i="4" s="1"/>
  <c r="C43" i="32" s="1"/>
  <c r="AJ45" i="4"/>
  <c r="AS45" i="4" s="1"/>
  <c r="D44" i="32" s="1"/>
  <c r="AJ46" i="4"/>
  <c r="AR46" i="4" s="1"/>
  <c r="AJ47" i="4"/>
  <c r="AR47" i="4" s="1"/>
  <c r="AJ48" i="4"/>
  <c r="AJ49" i="4"/>
  <c r="AJ50" i="4"/>
  <c r="AJ51" i="4"/>
  <c r="AJ52" i="4"/>
  <c r="AJ53" i="4"/>
  <c r="AJ43" i="4"/>
  <c r="AS43" i="4" s="1"/>
  <c r="D42" i="32" s="1"/>
  <c r="AJ42" i="4"/>
  <c r="AS42" i="4" s="1"/>
  <c r="D41" i="32" s="1"/>
  <c r="V56" i="4"/>
  <c r="AE56" i="4" s="1"/>
  <c r="V55" i="4"/>
  <c r="AE55" i="4" s="1"/>
  <c r="V54" i="4"/>
  <c r="AE54" i="4" s="1"/>
  <c r="V53" i="4"/>
  <c r="AE53" i="4" s="1"/>
  <c r="V52" i="4"/>
  <c r="AE52" i="4" s="1"/>
  <c r="V51" i="4"/>
  <c r="AE51" i="4" s="1"/>
  <c r="V50" i="4"/>
  <c r="AE50" i="4" s="1"/>
  <c r="V49" i="4"/>
  <c r="AD49" i="4" s="1"/>
  <c r="V48" i="4"/>
  <c r="AD48" i="4" s="1"/>
  <c r="V47" i="4"/>
  <c r="AD47" i="4" s="1"/>
  <c r="V46" i="4"/>
  <c r="AD46" i="4" s="1"/>
  <c r="V45" i="4"/>
  <c r="AD45" i="4" s="1"/>
  <c r="V44" i="4"/>
  <c r="AD44" i="4" s="1"/>
  <c r="V43" i="4"/>
  <c r="AD43" i="4" s="1"/>
  <c r="V42" i="4"/>
  <c r="AD42" i="4" s="1"/>
  <c r="V24" i="4"/>
  <c r="AD24" i="4" s="1"/>
  <c r="V23" i="4"/>
  <c r="AD23" i="4" s="1"/>
  <c r="V20" i="4"/>
  <c r="AD20" i="4" s="1"/>
  <c r="V19" i="4"/>
  <c r="AD19" i="4" s="1"/>
  <c r="V17" i="4"/>
  <c r="V16" i="4"/>
  <c r="V15" i="4"/>
  <c r="V14" i="4"/>
  <c r="V13" i="4"/>
  <c r="V12" i="4"/>
  <c r="V11" i="4"/>
  <c r="V10" i="4"/>
  <c r="AF100" i="4" l="1"/>
  <c r="AV100" i="4" s="1"/>
  <c r="AW100" i="4" s="1"/>
  <c r="AX100" i="4" s="1"/>
  <c r="AY100" i="4" s="1"/>
  <c r="AF108" i="4"/>
  <c r="G48" i="20"/>
  <c r="G42" i="20"/>
  <c r="AF106" i="4"/>
  <c r="G43" i="20"/>
  <c r="G45" i="20"/>
  <c r="G47" i="20"/>
  <c r="G44" i="20"/>
  <c r="G46" i="20"/>
  <c r="G50" i="43"/>
  <c r="G42" i="43"/>
  <c r="G41" i="43"/>
  <c r="AT99" i="4"/>
  <c r="AV99" i="4" s="1"/>
  <c r="AW99" i="4" s="1"/>
  <c r="AX99" i="4" s="1"/>
  <c r="AY99" i="4" s="1"/>
  <c r="AT94" i="4"/>
  <c r="C44" i="43"/>
  <c r="G44" i="43" s="1"/>
  <c r="AT110" i="4"/>
  <c r="AY110" i="4" s="1"/>
  <c r="AT104" i="4"/>
  <c r="AT78" i="4"/>
  <c r="AV78" i="4" s="1"/>
  <c r="AW78" i="4" s="1"/>
  <c r="AT98" i="4"/>
  <c r="AV98" i="4" s="1"/>
  <c r="AW98" i="4" s="1"/>
  <c r="AX98" i="4" s="1"/>
  <c r="AY98" i="4" s="1"/>
  <c r="C48" i="43"/>
  <c r="AT96" i="4"/>
  <c r="AV96" i="4" s="1"/>
  <c r="AW96" i="4" s="1"/>
  <c r="AX96" i="4" s="1"/>
  <c r="AY96" i="4" s="1"/>
  <c r="C46" i="43"/>
  <c r="AT95" i="4"/>
  <c r="AT93" i="4"/>
  <c r="D43" i="43"/>
  <c r="G43" i="43" s="1"/>
  <c r="AT105" i="4"/>
  <c r="AT107" i="4"/>
  <c r="AT109" i="4"/>
  <c r="AF104" i="4"/>
  <c r="AT106" i="4"/>
  <c r="AV106" i="4" s="1"/>
  <c r="AW106" i="4" s="1"/>
  <c r="AX106" i="4" s="1"/>
  <c r="AY106" i="4" s="1"/>
  <c r="AT108" i="4"/>
  <c r="AV108" i="4" s="1"/>
  <c r="AW108" i="4" s="1"/>
  <c r="AX108" i="4" s="1"/>
  <c r="AY108" i="4" s="1"/>
  <c r="AD88" i="4"/>
  <c r="AT97" i="4"/>
  <c r="AF99" i="4"/>
  <c r="AF95" i="4"/>
  <c r="C43" i="36"/>
  <c r="C45" i="36"/>
  <c r="C47" i="36"/>
  <c r="G46" i="43"/>
  <c r="C49" i="36"/>
  <c r="G48" i="43"/>
  <c r="C44" i="36"/>
  <c r="C46" i="36"/>
  <c r="G45" i="43"/>
  <c r="C48" i="36"/>
  <c r="G47" i="43"/>
  <c r="D50" i="36"/>
  <c r="G49" i="43"/>
  <c r="AX78" i="4"/>
  <c r="AY78" i="4" s="1"/>
  <c r="AF102" i="4"/>
  <c r="AV102" i="4" s="1"/>
  <c r="AW102" i="4" s="1"/>
  <c r="AX102" i="4" s="1"/>
  <c r="AY102" i="4" s="1"/>
  <c r="AT101" i="4"/>
  <c r="AV101" i="4" s="1"/>
  <c r="AW101" i="4" s="1"/>
  <c r="AX101" i="4" s="1"/>
  <c r="AY101" i="4" s="1"/>
  <c r="AF97" i="4"/>
  <c r="AF93" i="4"/>
  <c r="AV93" i="4" s="1"/>
  <c r="AW93" i="4" s="1"/>
  <c r="AX93" i="4" s="1"/>
  <c r="AY93" i="4" s="1"/>
  <c r="AT91" i="4"/>
  <c r="AV91" i="4" s="1"/>
  <c r="AW91" i="4" s="1"/>
  <c r="AX91" i="4" s="1"/>
  <c r="AY91" i="4" s="1"/>
  <c r="AT90" i="4"/>
  <c r="AV90" i="4" s="1"/>
  <c r="AW90" i="4" s="1"/>
  <c r="AX90" i="4" s="1"/>
  <c r="AY90" i="4" s="1"/>
  <c r="AV94" i="4"/>
  <c r="AW94" i="4" s="1"/>
  <c r="AX94" i="4" s="1"/>
  <c r="AY94" i="4" s="1"/>
  <c r="AS44" i="4"/>
  <c r="D43" i="32" s="1"/>
  <c r="G43" i="32" s="1"/>
  <c r="AT80" i="4"/>
  <c r="D43" i="36"/>
  <c r="AT82" i="4"/>
  <c r="D45" i="36"/>
  <c r="AT84" i="4"/>
  <c r="D47" i="36"/>
  <c r="AT86" i="4"/>
  <c r="D49" i="36"/>
  <c r="AS46" i="4"/>
  <c r="AT46" i="4" s="1"/>
  <c r="G42" i="36"/>
  <c r="AT81" i="4"/>
  <c r="D44" i="36"/>
  <c r="G44" i="36" s="1"/>
  <c r="AT83" i="4"/>
  <c r="D46" i="36"/>
  <c r="AT85" i="4"/>
  <c r="D48" i="36"/>
  <c r="AT88" i="4"/>
  <c r="C50" i="36"/>
  <c r="AD87" i="4"/>
  <c r="AE87" i="4"/>
  <c r="AE85" i="4"/>
  <c r="AD85" i="4"/>
  <c r="AD83" i="4"/>
  <c r="AE83" i="4"/>
  <c r="AE81" i="4"/>
  <c r="AD81" i="4"/>
  <c r="AD79" i="4"/>
  <c r="AE79" i="4"/>
  <c r="AE86" i="4"/>
  <c r="AD86" i="4"/>
  <c r="AD84" i="4"/>
  <c r="AE84" i="4"/>
  <c r="AE82" i="4"/>
  <c r="AD82" i="4"/>
  <c r="AD80" i="4"/>
  <c r="AE80" i="4"/>
  <c r="AR42" i="4"/>
  <c r="C41" i="32" s="1"/>
  <c r="G41" i="32" s="1"/>
  <c r="AS47" i="4"/>
  <c r="AT47" i="4" s="1"/>
  <c r="AR45" i="4"/>
  <c r="C44" i="32" s="1"/>
  <c r="G44" i="32" s="1"/>
  <c r="AR43" i="4"/>
  <c r="AT52" i="4"/>
  <c r="AT55" i="4"/>
  <c r="AT56" i="4"/>
  <c r="G46" i="32"/>
  <c r="AD50" i="4"/>
  <c r="AD51" i="4"/>
  <c r="AF51" i="4" s="1"/>
  <c r="AD52" i="4"/>
  <c r="AF52" i="4" s="1"/>
  <c r="AV52" i="4" s="1"/>
  <c r="AW52" i="4" s="1"/>
  <c r="AX52" i="4" s="1"/>
  <c r="AY52" i="4" s="1"/>
  <c r="AD53" i="4"/>
  <c r="AF53" i="4" s="1"/>
  <c r="AD54" i="4"/>
  <c r="AF54" i="4" s="1"/>
  <c r="AD55" i="4"/>
  <c r="AF55" i="4" s="1"/>
  <c r="AV55" i="4" s="1"/>
  <c r="AW55" i="4" s="1"/>
  <c r="AX55" i="4" s="1"/>
  <c r="AY55" i="4" s="1"/>
  <c r="AD56" i="4"/>
  <c r="AF56" i="4" s="1"/>
  <c r="AV56" i="4" s="1"/>
  <c r="AW56" i="4" s="1"/>
  <c r="AX56" i="4" s="1"/>
  <c r="AY56" i="4" s="1"/>
  <c r="AT53" i="4"/>
  <c r="AT59" i="4"/>
  <c r="AV59" i="4" s="1"/>
  <c r="AW59" i="4" s="1"/>
  <c r="AX59" i="4" s="1"/>
  <c r="AY59" i="4" s="1"/>
  <c r="AT60" i="4"/>
  <c r="AV60" i="4" s="1"/>
  <c r="AW60" i="4" s="1"/>
  <c r="AX60" i="4" s="1"/>
  <c r="AY60" i="4" s="1"/>
  <c r="AT63" i="4"/>
  <c r="AV63" i="4" s="1"/>
  <c r="AW63" i="4" s="1"/>
  <c r="AX63" i="4" s="1"/>
  <c r="AY63" i="4" s="1"/>
  <c r="AT64" i="4"/>
  <c r="AV64" i="4" s="1"/>
  <c r="AW64" i="4" s="1"/>
  <c r="AX64" i="4" s="1"/>
  <c r="AY64" i="4" s="1"/>
  <c r="AT67" i="4"/>
  <c r="AV67" i="4" s="1"/>
  <c r="AW67" i="4" s="1"/>
  <c r="AX67" i="4" s="1"/>
  <c r="AY67" i="4" s="1"/>
  <c r="AT68" i="4"/>
  <c r="AV68" i="4" s="1"/>
  <c r="AW68" i="4" s="1"/>
  <c r="AX68" i="4" s="1"/>
  <c r="AY68" i="4" s="1"/>
  <c r="AT70" i="4"/>
  <c r="AV70" i="4" s="1"/>
  <c r="AW70" i="4" s="1"/>
  <c r="AX70" i="4" s="1"/>
  <c r="AY70" i="4" s="1"/>
  <c r="AT72" i="4"/>
  <c r="AV72" i="4" s="1"/>
  <c r="AW72" i="4" s="1"/>
  <c r="AX72" i="4" s="1"/>
  <c r="AY72" i="4" s="1"/>
  <c r="D47" i="32"/>
  <c r="G47" i="32" s="1"/>
  <c r="AT51" i="4"/>
  <c r="AF50" i="4"/>
  <c r="AE42" i="4"/>
  <c r="AF42" i="4" s="1"/>
  <c r="AE43" i="4"/>
  <c r="AF43" i="4" s="1"/>
  <c r="AE44" i="4"/>
  <c r="AF44" i="4" s="1"/>
  <c r="AE45" i="4"/>
  <c r="AF45" i="4" s="1"/>
  <c r="AE46" i="4"/>
  <c r="AF46" i="4" s="1"/>
  <c r="AE47" i="4"/>
  <c r="AF47" i="4" s="1"/>
  <c r="AE48" i="4"/>
  <c r="AF48" i="4" s="1"/>
  <c r="AE49" i="4"/>
  <c r="AF49" i="4" s="1"/>
  <c r="AE20" i="4"/>
  <c r="AF20" i="4" s="1"/>
  <c r="AE24" i="4"/>
  <c r="AF24" i="4" s="1"/>
  <c r="AE19" i="4"/>
  <c r="AF19" i="4" s="1"/>
  <c r="AE23" i="4"/>
  <c r="AF23" i="4" s="1"/>
  <c r="AE15" i="4"/>
  <c r="AD15" i="4"/>
  <c r="AD16" i="4"/>
  <c r="B44" i="5"/>
  <c r="B43" i="5"/>
  <c r="B42" i="5"/>
  <c r="B41" i="5"/>
  <c r="AD12" i="4"/>
  <c r="AE12" i="4"/>
  <c r="AE11" i="4"/>
  <c r="AV97" i="4" l="1"/>
  <c r="AW97" i="4" s="1"/>
  <c r="AX97" i="4" s="1"/>
  <c r="AY97" i="4" s="1"/>
  <c r="G43" i="36"/>
  <c r="AV104" i="4"/>
  <c r="AW104" i="4" s="1"/>
  <c r="AX104" i="4" s="1"/>
  <c r="AY104" i="4" s="1"/>
  <c r="G50" i="36"/>
  <c r="G48" i="36"/>
  <c r="G46" i="36"/>
  <c r="G49" i="36"/>
  <c r="G47" i="36"/>
  <c r="G45" i="36"/>
  <c r="AV95" i="4"/>
  <c r="AW95" i="4" s="1"/>
  <c r="AX95" i="4" s="1"/>
  <c r="AY95" i="4" s="1"/>
  <c r="AF82" i="4"/>
  <c r="AF86" i="4"/>
  <c r="AV86" i="4" s="1"/>
  <c r="AW86" i="4" s="1"/>
  <c r="AX86" i="4" s="1"/>
  <c r="AY86" i="4" s="1"/>
  <c r="AF79" i="4"/>
  <c r="AF83" i="4"/>
  <c r="AF87" i="4"/>
  <c r="AV87" i="4" s="1"/>
  <c r="AW87" i="4" s="1"/>
  <c r="AX87" i="4" s="1"/>
  <c r="AY87" i="4" s="1"/>
  <c r="AV46" i="4"/>
  <c r="AW46" i="4" s="1"/>
  <c r="AX46" i="4" s="1"/>
  <c r="AY46" i="4" s="1"/>
  <c r="AV82" i="4"/>
  <c r="AW82" i="4" s="1"/>
  <c r="AX82" i="4" s="1"/>
  <c r="AY82" i="4" s="1"/>
  <c r="AV83" i="4"/>
  <c r="AW83" i="4" s="1"/>
  <c r="AX83" i="4" s="1"/>
  <c r="AY83" i="4" s="1"/>
  <c r="AV79" i="4"/>
  <c r="AW79" i="4" s="1"/>
  <c r="AX79" i="4" s="1"/>
  <c r="AY79" i="4" s="1"/>
  <c r="AT44" i="4"/>
  <c r="AV44" i="4" s="1"/>
  <c r="AW44" i="4" s="1"/>
  <c r="AX44" i="4" s="1"/>
  <c r="AY44" i="4" s="1"/>
  <c r="C42" i="32"/>
  <c r="G42" i="32" s="1"/>
  <c r="AT43" i="4"/>
  <c r="AV47" i="4"/>
  <c r="AW47" i="4" s="1"/>
  <c r="AX47" i="4" s="1"/>
  <c r="AY47" i="4" s="1"/>
  <c r="AV43" i="4"/>
  <c r="AW43" i="4" s="1"/>
  <c r="AX43" i="4" s="1"/>
  <c r="AY43" i="4" s="1"/>
  <c r="AF80" i="4"/>
  <c r="AV80" i="4" s="1"/>
  <c r="AW80" i="4" s="1"/>
  <c r="AX80" i="4" s="1"/>
  <c r="AY80" i="4" s="1"/>
  <c r="AF84" i="4"/>
  <c r="AV84" i="4" s="1"/>
  <c r="AW84" i="4" s="1"/>
  <c r="AX84" i="4" s="1"/>
  <c r="AY84" i="4" s="1"/>
  <c r="AF81" i="4"/>
  <c r="AV81" i="4" s="1"/>
  <c r="AW81" i="4" s="1"/>
  <c r="AX81" i="4" s="1"/>
  <c r="AY81" i="4" s="1"/>
  <c r="AF85" i="4"/>
  <c r="AV85" i="4" s="1"/>
  <c r="AW85" i="4" s="1"/>
  <c r="AX85" i="4" s="1"/>
  <c r="AY85" i="4" s="1"/>
  <c r="AV53" i="4"/>
  <c r="AW53" i="4" s="1"/>
  <c r="AX53" i="4" s="1"/>
  <c r="AV51" i="4"/>
  <c r="AW51" i="4" s="1"/>
  <c r="AX51" i="4" s="1"/>
  <c r="AY51" i="4" s="1"/>
  <c r="AF15" i="4"/>
  <c r="AE16" i="4"/>
  <c r="AF16" i="4" s="1"/>
  <c r="AF12" i="4"/>
  <c r="AD11" i="4"/>
  <c r="AF11" i="4" s="1"/>
  <c r="B34" i="41"/>
  <c r="B33" i="41"/>
  <c r="B32" i="41"/>
  <c r="C7" i="41"/>
  <c r="C10" i="41"/>
  <c r="C9" i="41"/>
  <c r="C8" i="41"/>
  <c r="C10" i="42"/>
  <c r="C9" i="42"/>
  <c r="C8" i="42"/>
  <c r="C7" i="42"/>
  <c r="B32" i="42"/>
  <c r="B33" i="42"/>
  <c r="B34" i="42"/>
  <c r="B35" i="42"/>
  <c r="B36" i="42"/>
  <c r="B37" i="42"/>
  <c r="B38" i="42"/>
  <c r="B39" i="42"/>
  <c r="B40" i="42"/>
  <c r="B31" i="42"/>
  <c r="C10" i="40"/>
  <c r="C9" i="40"/>
  <c r="C8" i="40"/>
  <c r="C7" i="40"/>
  <c r="C7" i="39"/>
  <c r="C10" i="23" l="1"/>
  <c r="C9" i="23"/>
  <c r="C8" i="23"/>
  <c r="C7" i="23"/>
  <c r="C10" i="22"/>
  <c r="C9" i="22"/>
  <c r="C8" i="22"/>
  <c r="C7" i="22"/>
  <c r="C10" i="21"/>
  <c r="C9" i="21"/>
  <c r="C8" i="21"/>
  <c r="C7" i="21"/>
  <c r="C69" i="20"/>
  <c r="D69" i="20"/>
  <c r="C10" i="20"/>
  <c r="C9" i="20"/>
  <c r="C8" i="20"/>
  <c r="C7" i="20"/>
  <c r="E69" i="20"/>
  <c r="C7" i="36"/>
  <c r="C10" i="36"/>
  <c r="C9" i="36"/>
  <c r="C8" i="36"/>
  <c r="C10" i="39"/>
  <c r="C9" i="39"/>
  <c r="C8" i="39"/>
  <c r="C68" i="5"/>
  <c r="C67" i="5"/>
  <c r="C66" i="5"/>
  <c r="C65" i="5"/>
  <c r="D68" i="11"/>
  <c r="D67" i="11"/>
  <c r="D66" i="11"/>
  <c r="D65" i="11"/>
  <c r="D68" i="13"/>
  <c r="D67" i="13"/>
  <c r="D66" i="13"/>
  <c r="D65" i="13"/>
  <c r="D68" i="12"/>
  <c r="D67" i="12"/>
  <c r="D66" i="12"/>
  <c r="D65" i="12"/>
  <c r="C69" i="32"/>
  <c r="E69" i="32" s="1"/>
  <c r="C64" i="34"/>
  <c r="C10" i="35"/>
  <c r="C9" i="35"/>
  <c r="C8" i="35"/>
  <c r="C7" i="35"/>
  <c r="D89" i="35"/>
  <c r="C89" i="35"/>
  <c r="E89" i="35" s="1"/>
  <c r="C69" i="35"/>
  <c r="E72" i="35"/>
  <c r="E71" i="35"/>
  <c r="E70" i="35"/>
  <c r="E69" i="35"/>
  <c r="D69" i="35"/>
  <c r="F40" i="35"/>
  <c r="E40" i="35"/>
  <c r="C10" i="34"/>
  <c r="C9" i="34"/>
  <c r="C8" i="34"/>
  <c r="C7" i="34"/>
  <c r="C10" i="33" l="1"/>
  <c r="C9" i="33"/>
  <c r="C8" i="33"/>
  <c r="C7" i="33"/>
  <c r="C10" i="32"/>
  <c r="C10" i="12"/>
  <c r="C9" i="32"/>
  <c r="C8" i="32"/>
  <c r="C7" i="32"/>
  <c r="E41" i="32"/>
  <c r="F41" i="32"/>
  <c r="D69" i="32"/>
  <c r="C10" i="13"/>
  <c r="C9" i="13"/>
  <c r="C8" i="13"/>
  <c r="C7" i="13"/>
  <c r="B40" i="13"/>
  <c r="E40" i="13"/>
  <c r="F40" i="13"/>
  <c r="B41" i="13"/>
  <c r="E41" i="13"/>
  <c r="F41" i="13"/>
  <c r="B42" i="13"/>
  <c r="E42" i="13"/>
  <c r="F42" i="13"/>
  <c r="B43" i="13"/>
  <c r="E43" i="13"/>
  <c r="F43" i="13"/>
  <c r="C65" i="13"/>
  <c r="E65" i="13"/>
  <c r="F65" i="13"/>
  <c r="C66" i="13"/>
  <c r="E66" i="13"/>
  <c r="F66" i="13"/>
  <c r="C67" i="13"/>
  <c r="E67" i="13"/>
  <c r="F67" i="13"/>
  <c r="C68" i="13"/>
  <c r="E68" i="13"/>
  <c r="F68" i="13"/>
  <c r="C9" i="12"/>
  <c r="C8" i="12"/>
  <c r="C7" i="12"/>
  <c r="C10" i="11"/>
  <c r="C9" i="11"/>
  <c r="C8" i="11"/>
  <c r="C7" i="11"/>
  <c r="F66" i="11"/>
  <c r="F67" i="11"/>
  <c r="F65" i="11"/>
  <c r="F68" i="11"/>
  <c r="C9" i="5"/>
  <c r="C10" i="5"/>
  <c r="C8" i="5"/>
  <c r="C7" i="5"/>
  <c r="E84" i="11" l="1"/>
  <c r="D84" i="11"/>
  <c r="F84" i="11" s="1"/>
  <c r="E83" i="11"/>
  <c r="D83" i="11"/>
  <c r="F83" i="11" s="1"/>
  <c r="C84" i="11"/>
  <c r="C83" i="11"/>
  <c r="E32" i="42" l="1"/>
  <c r="F32" i="42"/>
  <c r="E33" i="42"/>
  <c r="F33" i="42"/>
  <c r="E34" i="42"/>
  <c r="F34" i="42"/>
  <c r="E35" i="42"/>
  <c r="F35" i="42"/>
  <c r="E36" i="42"/>
  <c r="F36" i="42"/>
  <c r="E37" i="42"/>
  <c r="F37" i="42"/>
  <c r="E38" i="42"/>
  <c r="F38" i="42"/>
  <c r="E39" i="42"/>
  <c r="F39" i="42"/>
  <c r="E40" i="42"/>
  <c r="F40" i="42"/>
  <c r="F31" i="42"/>
  <c r="E31" i="42"/>
  <c r="AU157" i="4"/>
  <c r="AU156" i="4"/>
  <c r="AU155" i="4"/>
  <c r="AU154" i="4"/>
  <c r="AU153" i="4"/>
  <c r="AU152" i="4"/>
  <c r="AU151" i="4"/>
  <c r="AU150" i="4"/>
  <c r="AU149" i="4"/>
  <c r="AU148" i="4"/>
  <c r="AJ149" i="4"/>
  <c r="AJ150" i="4"/>
  <c r="AJ151" i="4"/>
  <c r="AJ152" i="4"/>
  <c r="AJ153" i="4"/>
  <c r="AJ154" i="4"/>
  <c r="AJ155" i="4"/>
  <c r="AJ156" i="4"/>
  <c r="AJ157" i="4"/>
  <c r="AJ148" i="4"/>
  <c r="AR148" i="4" l="1"/>
  <c r="AS148" i="4"/>
  <c r="D31" i="42" s="1"/>
  <c r="AR156" i="4"/>
  <c r="C39" i="42" s="1"/>
  <c r="AS156" i="4"/>
  <c r="D39" i="42" s="1"/>
  <c r="AR154" i="4"/>
  <c r="C37" i="42" s="1"/>
  <c r="AS154" i="4"/>
  <c r="D37" i="42" s="1"/>
  <c r="AR152" i="4"/>
  <c r="C35" i="42" s="1"/>
  <c r="AS152" i="4"/>
  <c r="D35" i="42" s="1"/>
  <c r="AR150" i="4"/>
  <c r="AS150" i="4"/>
  <c r="D33" i="42" s="1"/>
  <c r="AR157" i="4"/>
  <c r="AS157" i="4"/>
  <c r="D40" i="42" s="1"/>
  <c r="AR155" i="4"/>
  <c r="C38" i="42" s="1"/>
  <c r="AS155" i="4"/>
  <c r="D38" i="42" s="1"/>
  <c r="AR153" i="4"/>
  <c r="C36" i="42" s="1"/>
  <c r="AS153" i="4"/>
  <c r="D36" i="42" s="1"/>
  <c r="AR151" i="4"/>
  <c r="C34" i="42" s="1"/>
  <c r="AS151" i="4"/>
  <c r="D34" i="42" s="1"/>
  <c r="AR149" i="4"/>
  <c r="C32" i="42" s="1"/>
  <c r="AS149" i="4"/>
  <c r="D32" i="42" s="1"/>
  <c r="C31" i="42"/>
  <c r="C33" i="42"/>
  <c r="E45" i="22"/>
  <c r="F45" i="22"/>
  <c r="E46" i="22"/>
  <c r="F46" i="22"/>
  <c r="E47" i="22"/>
  <c r="F47" i="22"/>
  <c r="AU123" i="4"/>
  <c r="AU124" i="4"/>
  <c r="AU125" i="4"/>
  <c r="AU126" i="4"/>
  <c r="AU127" i="4"/>
  <c r="AU128" i="4"/>
  <c r="AR125" i="4"/>
  <c r="C45" i="22" s="1"/>
  <c r="AR126" i="4"/>
  <c r="C46" i="22" s="1"/>
  <c r="AR127" i="4"/>
  <c r="C47" i="22" s="1"/>
  <c r="AR121" i="4"/>
  <c r="W137" i="4"/>
  <c r="AD137" i="4" s="1"/>
  <c r="W138" i="4"/>
  <c r="AD138" i="4" s="1"/>
  <c r="W136" i="4"/>
  <c r="AD136" i="4" s="1"/>
  <c r="W126" i="4"/>
  <c r="AE126" i="4" s="1"/>
  <c r="V123" i="4"/>
  <c r="W123" i="4" s="1"/>
  <c r="V122" i="4"/>
  <c r="W122" i="4" s="1"/>
  <c r="W121" i="4"/>
  <c r="C87" i="13"/>
  <c r="C86" i="13"/>
  <c r="C85" i="13"/>
  <c r="C84" i="13"/>
  <c r="E68" i="11"/>
  <c r="E67" i="11"/>
  <c r="C67" i="11"/>
  <c r="E66" i="11"/>
  <c r="E65" i="11"/>
  <c r="C68" i="11"/>
  <c r="C66" i="11"/>
  <c r="C65" i="11"/>
  <c r="D84" i="34"/>
  <c r="C84" i="34"/>
  <c r="E84" i="34" s="1"/>
  <c r="D64" i="34"/>
  <c r="E64" i="34"/>
  <c r="B64" i="34"/>
  <c r="E85" i="33"/>
  <c r="E69" i="33"/>
  <c r="AU54" i="4"/>
  <c r="AU49" i="4"/>
  <c r="AU50" i="4"/>
  <c r="AR65" i="4"/>
  <c r="C48" i="33" s="1"/>
  <c r="AS65" i="4"/>
  <c r="AR66" i="4"/>
  <c r="AS66" i="4"/>
  <c r="AR69" i="4"/>
  <c r="AS69" i="4"/>
  <c r="AR71" i="4"/>
  <c r="AS71" i="4"/>
  <c r="AR73" i="4"/>
  <c r="AS73" i="4"/>
  <c r="AR54" i="4"/>
  <c r="AS54" i="4"/>
  <c r="D40" i="35" s="1"/>
  <c r="AR57" i="4"/>
  <c r="AS57" i="4"/>
  <c r="AR58" i="4"/>
  <c r="C45" i="32" s="1"/>
  <c r="AS58" i="4"/>
  <c r="D45" i="32" s="1"/>
  <c r="AR61" i="4"/>
  <c r="C48" i="32" s="1"/>
  <c r="AS61" i="4"/>
  <c r="D48" i="32" s="1"/>
  <c r="AR62" i="4"/>
  <c r="AS62" i="4"/>
  <c r="AR48" i="4"/>
  <c r="AS48" i="4"/>
  <c r="AR49" i="4"/>
  <c r="AS49" i="4"/>
  <c r="AR50" i="4"/>
  <c r="AS50" i="4"/>
  <c r="AE121" i="4" l="1"/>
  <c r="AD121" i="4"/>
  <c r="G31" i="42"/>
  <c r="G32" i="42"/>
  <c r="G34" i="42"/>
  <c r="G36" i="42"/>
  <c r="G38" i="42"/>
  <c r="G37" i="42"/>
  <c r="G40" i="42"/>
  <c r="G33" i="42"/>
  <c r="AT151" i="4"/>
  <c r="AV151" i="4" s="1"/>
  <c r="AW151" i="4" s="1"/>
  <c r="AX151" i="4" s="1"/>
  <c r="AY151" i="4" s="1"/>
  <c r="AT155" i="4"/>
  <c r="AV155" i="4" s="1"/>
  <c r="AW155" i="4" s="1"/>
  <c r="AX155" i="4" s="1"/>
  <c r="AY155" i="4" s="1"/>
  <c r="G35" i="42"/>
  <c r="G39" i="42"/>
  <c r="G48" i="32"/>
  <c r="G45" i="32"/>
  <c r="AT157" i="4"/>
  <c r="AV157" i="4" s="1"/>
  <c r="AW157" i="4" s="1"/>
  <c r="AX157" i="4" s="1"/>
  <c r="AY157" i="4" s="1"/>
  <c r="AT153" i="4"/>
  <c r="AV153" i="4" s="1"/>
  <c r="AW153" i="4" s="1"/>
  <c r="AX153" i="4" s="1"/>
  <c r="AY153" i="4" s="1"/>
  <c r="AT149" i="4"/>
  <c r="AV149" i="4" s="1"/>
  <c r="AW149" i="4" s="1"/>
  <c r="AX149" i="4" s="1"/>
  <c r="AY149" i="4" s="1"/>
  <c r="AT150" i="4"/>
  <c r="AV150" i="4" s="1"/>
  <c r="AW150" i="4" s="1"/>
  <c r="AX150" i="4" s="1"/>
  <c r="AY150" i="4" s="1"/>
  <c r="AT152" i="4"/>
  <c r="AV152" i="4" s="1"/>
  <c r="AW152" i="4" s="1"/>
  <c r="AX152" i="4" s="1"/>
  <c r="AY152" i="4" s="1"/>
  <c r="AT154" i="4"/>
  <c r="AV154" i="4" s="1"/>
  <c r="AW154" i="4" s="1"/>
  <c r="AX154" i="4" s="1"/>
  <c r="AY154" i="4" s="1"/>
  <c r="AT156" i="4"/>
  <c r="AV156" i="4" s="1"/>
  <c r="AW156" i="4" s="1"/>
  <c r="AX156" i="4" s="1"/>
  <c r="AY156" i="4" s="1"/>
  <c r="AT148" i="4"/>
  <c r="AV148" i="4" s="1"/>
  <c r="AW148" i="4" s="1"/>
  <c r="AX148" i="4" s="1"/>
  <c r="AY148" i="4" s="1"/>
  <c r="AT57" i="4"/>
  <c r="AV57" i="4" s="1"/>
  <c r="AW57" i="4" s="1"/>
  <c r="AX57" i="4" s="1"/>
  <c r="AY57" i="4" s="1"/>
  <c r="C40" i="35"/>
  <c r="G40" i="35" s="1"/>
  <c r="AT54" i="4"/>
  <c r="AE138" i="4"/>
  <c r="AF138" i="4" s="1"/>
  <c r="AV138" i="4" s="1"/>
  <c r="AW138" i="4" s="1"/>
  <c r="AX138" i="4" s="1"/>
  <c r="AY138" i="4" s="1"/>
  <c r="AD126" i="4"/>
  <c r="AE136" i="4"/>
  <c r="AE137" i="4"/>
  <c r="AS126" i="4"/>
  <c r="AR128" i="4"/>
  <c r="AT73" i="4"/>
  <c r="AV73" i="4" s="1"/>
  <c r="AW73" i="4" s="1"/>
  <c r="AX73" i="4" s="1"/>
  <c r="AY73" i="4" s="1"/>
  <c r="AS127" i="4"/>
  <c r="AS125" i="4"/>
  <c r="AT71" i="4"/>
  <c r="AV71" i="4" s="1"/>
  <c r="AW71" i="4" s="1"/>
  <c r="AX71" i="4" s="1"/>
  <c r="AY71" i="4" s="1"/>
  <c r="AT66" i="4"/>
  <c r="AV66" i="4" s="1"/>
  <c r="AW66" i="4" s="1"/>
  <c r="AX66" i="4" s="1"/>
  <c r="AT65" i="4"/>
  <c r="E87" i="13"/>
  <c r="E86" i="13"/>
  <c r="E85" i="13"/>
  <c r="E84" i="13"/>
  <c r="D87" i="13"/>
  <c r="F87" i="13" s="1"/>
  <c r="D86" i="13"/>
  <c r="F86" i="13" s="1"/>
  <c r="D85" i="13"/>
  <c r="F85" i="13" s="1"/>
  <c r="D84" i="13"/>
  <c r="F84" i="13" s="1"/>
  <c r="E85" i="12"/>
  <c r="D85" i="12"/>
  <c r="F85" i="12" s="1"/>
  <c r="E84" i="12"/>
  <c r="D84" i="12"/>
  <c r="F84" i="12" s="1"/>
  <c r="E83" i="12"/>
  <c r="D83" i="12"/>
  <c r="F83" i="12" s="1"/>
  <c r="E82" i="12"/>
  <c r="D82" i="12"/>
  <c r="F82" i="12" s="1"/>
  <c r="C85" i="12"/>
  <c r="C84" i="12"/>
  <c r="C83" i="12"/>
  <c r="C82" i="12"/>
  <c r="E68" i="12"/>
  <c r="F68" i="12"/>
  <c r="E67" i="12"/>
  <c r="F67" i="12"/>
  <c r="E66" i="12"/>
  <c r="F66" i="12"/>
  <c r="E65" i="12"/>
  <c r="F65" i="12"/>
  <c r="C68" i="12"/>
  <c r="C67" i="12"/>
  <c r="C66" i="12"/>
  <c r="C65" i="12"/>
  <c r="F43" i="12"/>
  <c r="F42" i="12"/>
  <c r="E43" i="12"/>
  <c r="E42" i="12"/>
  <c r="B43" i="12"/>
  <c r="B42" i="12"/>
  <c r="F44" i="11"/>
  <c r="F43" i="11"/>
  <c r="E44" i="11"/>
  <c r="E43" i="11"/>
  <c r="B44" i="11"/>
  <c r="B43" i="11"/>
  <c r="D87" i="5"/>
  <c r="D86" i="5"/>
  <c r="C87" i="5"/>
  <c r="C86" i="5"/>
  <c r="B87" i="5"/>
  <c r="E87" i="5" s="1"/>
  <c r="B86" i="5"/>
  <c r="E86" i="5" s="1"/>
  <c r="D68" i="5"/>
  <c r="D67" i="5"/>
  <c r="B68" i="5"/>
  <c r="E68" i="5" s="1"/>
  <c r="B67" i="5"/>
  <c r="E67" i="5" s="1"/>
  <c r="E44" i="5"/>
  <c r="F44" i="5"/>
  <c r="F43" i="5"/>
  <c r="E43" i="5"/>
  <c r="AU41" i="4"/>
  <c r="AR13" i="4"/>
  <c r="AS13" i="4"/>
  <c r="AR14" i="4"/>
  <c r="AS14" i="4"/>
  <c r="AR17" i="4"/>
  <c r="AS17" i="4"/>
  <c r="AR18" i="4"/>
  <c r="AS18" i="4"/>
  <c r="AR21" i="4"/>
  <c r="AS21" i="4"/>
  <c r="AR22" i="4"/>
  <c r="C40" i="13" s="1"/>
  <c r="AS22" i="4"/>
  <c r="D40" i="13" s="1"/>
  <c r="AR25" i="4"/>
  <c r="C41" i="13" s="1"/>
  <c r="AS25" i="4"/>
  <c r="D41" i="13" s="1"/>
  <c r="AR26" i="4"/>
  <c r="C43" i="5" s="1"/>
  <c r="AS26" i="4"/>
  <c r="AR29" i="4"/>
  <c r="C44" i="5" s="1"/>
  <c r="AS29" i="4"/>
  <c r="AR30" i="4"/>
  <c r="AS30" i="4"/>
  <c r="AR33" i="4"/>
  <c r="C44" i="11" s="1"/>
  <c r="AS33" i="4"/>
  <c r="AR34" i="4"/>
  <c r="C42" i="12" s="1"/>
  <c r="AS34" i="4"/>
  <c r="D42" i="12" s="1"/>
  <c r="AR37" i="4"/>
  <c r="AS37" i="4"/>
  <c r="D43" i="12" s="1"/>
  <c r="AR38" i="4"/>
  <c r="C42" i="13" s="1"/>
  <c r="AS38" i="4"/>
  <c r="D42" i="13" s="1"/>
  <c r="AR41" i="4"/>
  <c r="C43" i="13" s="1"/>
  <c r="AS41" i="4"/>
  <c r="D43" i="13" s="1"/>
  <c r="AS10" i="4"/>
  <c r="AR10" i="4"/>
  <c r="AJ41" i="4"/>
  <c r="AU38" i="4"/>
  <c r="AU37" i="4"/>
  <c r="AU34" i="4"/>
  <c r="AU33" i="4"/>
  <c r="AU30" i="4"/>
  <c r="AU29" i="4"/>
  <c r="AU26" i="4"/>
  <c r="AV65" i="4" l="1"/>
  <c r="AW65" i="4" s="1"/>
  <c r="AX65" i="4" s="1"/>
  <c r="AY65" i="4" s="1"/>
  <c r="D48" i="33"/>
  <c r="G48" i="33" s="1"/>
  <c r="AY66" i="4"/>
  <c r="G43" i="13"/>
  <c r="G42" i="13"/>
  <c r="G41" i="13"/>
  <c r="G40" i="13"/>
  <c r="G42" i="12"/>
  <c r="AT125" i="4"/>
  <c r="AV125" i="4" s="1"/>
  <c r="AW125" i="4" s="1"/>
  <c r="AX125" i="4" s="1"/>
  <c r="AY125" i="4" s="1"/>
  <c r="D45" i="22"/>
  <c r="G45" i="22" s="1"/>
  <c r="AT126" i="4"/>
  <c r="D46" i="22"/>
  <c r="G46" i="22" s="1"/>
  <c r="AT127" i="4"/>
  <c r="D47" i="22"/>
  <c r="G47" i="22" s="1"/>
  <c r="AF137" i="4"/>
  <c r="AV137" i="4" s="1"/>
  <c r="AW137" i="4" s="1"/>
  <c r="AX137" i="4" s="1"/>
  <c r="AY137" i="4" s="1"/>
  <c r="AF136" i="4"/>
  <c r="AV136" i="4" s="1"/>
  <c r="AW136" i="4" s="1"/>
  <c r="AX136" i="4" s="1"/>
  <c r="AY136" i="4" s="1"/>
  <c r="AF126" i="4"/>
  <c r="AT26" i="4"/>
  <c r="D43" i="5" s="1"/>
  <c r="G43" i="5" s="1"/>
  <c r="AV54" i="4"/>
  <c r="AT41" i="4"/>
  <c r="AV41" i="4" s="1"/>
  <c r="AW41" i="4" s="1"/>
  <c r="AX41" i="4" s="1"/>
  <c r="AY41" i="4" s="1"/>
  <c r="AT37" i="4"/>
  <c r="AT30" i="4"/>
  <c r="D43" i="11" s="1"/>
  <c r="AT38" i="4"/>
  <c r="C43" i="11"/>
  <c r="AT34" i="4"/>
  <c r="C43" i="12"/>
  <c r="G43" i="12" s="1"/>
  <c r="AT33" i="4"/>
  <c r="D44" i="11" s="1"/>
  <c r="G44" i="11" s="1"/>
  <c r="AT29" i="4"/>
  <c r="D44" i="5" s="1"/>
  <c r="G44" i="5" s="1"/>
  <c r="AT25" i="4"/>
  <c r="AV25" i="4" s="1"/>
  <c r="AW25" i="4" s="1"/>
  <c r="AX25" i="4" s="1"/>
  <c r="AY25" i="4" s="1"/>
  <c r="AT69" i="4"/>
  <c r="AV69" i="4" s="1"/>
  <c r="AW69" i="4" s="1"/>
  <c r="AX69" i="4" s="1"/>
  <c r="AY69" i="4" s="1"/>
  <c r="AT62" i="4"/>
  <c r="AV62" i="4" s="1"/>
  <c r="AW62" i="4" s="1"/>
  <c r="AX62" i="4" s="1"/>
  <c r="AY62" i="4" s="1"/>
  <c r="AT61" i="4"/>
  <c r="AV61" i="4" s="1"/>
  <c r="AW61" i="4" s="1"/>
  <c r="AX61" i="4" s="1"/>
  <c r="AY61" i="4" s="1"/>
  <c r="AT58" i="4"/>
  <c r="AV58" i="4" s="1"/>
  <c r="AW58" i="4" s="1"/>
  <c r="AX58" i="4" s="1"/>
  <c r="AY58" i="4" s="1"/>
  <c r="V18" i="4"/>
  <c r="V21" i="4"/>
  <c r="V22" i="4"/>
  <c r="AE103" i="4"/>
  <c r="AD103" i="4"/>
  <c r="F34" i="41"/>
  <c r="E34" i="41"/>
  <c r="F33" i="41"/>
  <c r="E33" i="41"/>
  <c r="F32" i="41"/>
  <c r="E32" i="41"/>
  <c r="AQ160" i="4"/>
  <c r="AJ160" i="4"/>
  <c r="AC160" i="4"/>
  <c r="V160" i="4"/>
  <c r="AQ159" i="4"/>
  <c r="AJ159" i="4"/>
  <c r="AC159" i="4"/>
  <c r="V159" i="4"/>
  <c r="BD158" i="4"/>
  <c r="AQ158" i="4"/>
  <c r="AJ158" i="4"/>
  <c r="AC158" i="4"/>
  <c r="V158" i="4"/>
  <c r="B42" i="40"/>
  <c r="B43" i="40"/>
  <c r="B44" i="40"/>
  <c r="B45" i="40"/>
  <c r="B46" i="40"/>
  <c r="B47" i="40"/>
  <c r="B48" i="40"/>
  <c r="E42" i="40"/>
  <c r="F42" i="40"/>
  <c r="E43" i="40"/>
  <c r="F43" i="40"/>
  <c r="B41" i="40"/>
  <c r="AR158" i="4" l="1"/>
  <c r="C33" i="41" s="1"/>
  <c r="AW54" i="4"/>
  <c r="AX54" i="4" s="1"/>
  <c r="AY54" i="4" s="1"/>
  <c r="AV127" i="4"/>
  <c r="AW127" i="4" s="1"/>
  <c r="AX127" i="4" s="1"/>
  <c r="AY127" i="4" s="1"/>
  <c r="AR159" i="4"/>
  <c r="AV37" i="4"/>
  <c r="AW37" i="4" s="1"/>
  <c r="AX37" i="4" s="1"/>
  <c r="AY37" i="4" s="1"/>
  <c r="AD160" i="4"/>
  <c r="AR160" i="4"/>
  <c r="C34" i="41" s="1"/>
  <c r="AV126" i="4"/>
  <c r="AW126" i="4" s="1"/>
  <c r="AX126" i="4" s="1"/>
  <c r="AY126" i="4" s="1"/>
  <c r="AE158" i="4"/>
  <c r="AS158" i="4"/>
  <c r="D32" i="41" s="1"/>
  <c r="AD159" i="4"/>
  <c r="AS159" i="4"/>
  <c r="D33" i="41" s="1"/>
  <c r="AE160" i="4"/>
  <c r="G43" i="11"/>
  <c r="AD158" i="4"/>
  <c r="AE159" i="4"/>
  <c r="AK158" i="4"/>
  <c r="AS160" i="4"/>
  <c r="D34" i="41" s="1"/>
  <c r="AE10" i="4"/>
  <c r="AD10" i="4"/>
  <c r="AV38" i="4"/>
  <c r="AW38" i="4" s="1"/>
  <c r="AX38" i="4" s="1"/>
  <c r="AY38" i="4" s="1"/>
  <c r="G47" i="33"/>
  <c r="AV33" i="4"/>
  <c r="AW33" i="4" s="1"/>
  <c r="AX33" i="4" s="1"/>
  <c r="AY33" i="4" s="1"/>
  <c r="AV26" i="4"/>
  <c r="AW26" i="4" s="1"/>
  <c r="AV29" i="4"/>
  <c r="AW29" i="4" s="1"/>
  <c r="AX29" i="4" s="1"/>
  <c r="AY29" i="4" s="1"/>
  <c r="AV34" i="4"/>
  <c r="AW34" i="4" s="1"/>
  <c r="AX34" i="4" s="1"/>
  <c r="AY34" i="4" s="1"/>
  <c r="AV30" i="4"/>
  <c r="AW30" i="4" s="1"/>
  <c r="AX30" i="4" s="1"/>
  <c r="AY30" i="4" s="1"/>
  <c r="AD21" i="4"/>
  <c r="AE21" i="4"/>
  <c r="AD17" i="4"/>
  <c r="AE17" i="4"/>
  <c r="AD13" i="4"/>
  <c r="AE13" i="4"/>
  <c r="AD22" i="4"/>
  <c r="AE22" i="4"/>
  <c r="AD18" i="4"/>
  <c r="AE18" i="4"/>
  <c r="AD14" i="4"/>
  <c r="AE14" i="4"/>
  <c r="W158" i="4"/>
  <c r="W159" i="4"/>
  <c r="AK159" i="4"/>
  <c r="W160" i="4"/>
  <c r="AF160" i="4"/>
  <c r="AK160" i="4"/>
  <c r="AQ141" i="4"/>
  <c r="AQ142" i="4"/>
  <c r="AQ143" i="4"/>
  <c r="AQ144" i="4"/>
  <c r="AQ145" i="4"/>
  <c r="AQ146" i="4"/>
  <c r="AQ147" i="4"/>
  <c r="AQ140" i="4"/>
  <c r="AI147" i="4"/>
  <c r="AJ147" i="4" s="1"/>
  <c r="AI146" i="4"/>
  <c r="AJ146" i="4" s="1"/>
  <c r="AI145" i="4"/>
  <c r="AJ145" i="4" s="1"/>
  <c r="AI144" i="4"/>
  <c r="AJ144" i="4" s="1"/>
  <c r="AI143" i="4"/>
  <c r="AJ143" i="4" s="1"/>
  <c r="AI142" i="4"/>
  <c r="AJ142" i="4" s="1"/>
  <c r="AI141" i="4"/>
  <c r="AJ141" i="4" s="1"/>
  <c r="AI140" i="4"/>
  <c r="AJ140" i="4" s="1"/>
  <c r="AU144" i="4"/>
  <c r="AU143" i="4"/>
  <c r="AU142" i="4"/>
  <c r="AU141" i="4"/>
  <c r="AU140" i="4"/>
  <c r="AC147" i="4"/>
  <c r="AC145" i="4"/>
  <c r="AC143" i="4"/>
  <c r="AC140" i="4"/>
  <c r="V147" i="4"/>
  <c r="W147" i="4" s="1"/>
  <c r="V145" i="4"/>
  <c r="W145" i="4" s="1"/>
  <c r="V143" i="4"/>
  <c r="W143" i="4" s="1"/>
  <c r="V140" i="4"/>
  <c r="W140" i="4" s="1"/>
  <c r="AU147" i="4"/>
  <c r="AU146" i="4"/>
  <c r="BD140" i="4"/>
  <c r="AU145" i="4"/>
  <c r="F41" i="40"/>
  <c r="E41" i="40"/>
  <c r="E75" i="20"/>
  <c r="E70" i="20"/>
  <c r="E71" i="20"/>
  <c r="E72" i="20"/>
  <c r="E73" i="20"/>
  <c r="E74" i="20"/>
  <c r="AR122" i="4"/>
  <c r="AR123" i="4"/>
  <c r="AR124" i="4"/>
  <c r="AQ75" i="4"/>
  <c r="AQ76" i="4"/>
  <c r="AQ74" i="4"/>
  <c r="AJ75" i="4"/>
  <c r="AK75" i="4" s="1"/>
  <c r="AJ76" i="4"/>
  <c r="AK76" i="4" s="1"/>
  <c r="AJ74" i="4"/>
  <c r="AC75" i="4"/>
  <c r="AC76" i="4"/>
  <c r="AC74" i="4"/>
  <c r="V76" i="4"/>
  <c r="V109" i="4"/>
  <c r="W109" i="4" s="1"/>
  <c r="V107" i="4"/>
  <c r="W107" i="4" s="1"/>
  <c r="V105" i="4"/>
  <c r="W105" i="4" s="1"/>
  <c r="AD105" i="4" s="1"/>
  <c r="V103" i="4"/>
  <c r="V115" i="4"/>
  <c r="W115" i="4" s="1"/>
  <c r="V114" i="4"/>
  <c r="W114" i="4" s="1"/>
  <c r="AR103" i="4"/>
  <c r="C32" i="41" l="1"/>
  <c r="AD111" i="4"/>
  <c r="AF159" i="4"/>
  <c r="AS74" i="4"/>
  <c r="AE140" i="4"/>
  <c r="AD140" i="4"/>
  <c r="AE145" i="4"/>
  <c r="AD145" i="4"/>
  <c r="AK141" i="4"/>
  <c r="AS141" i="4" s="1"/>
  <c r="D42" i="40" s="1"/>
  <c r="AR141" i="4"/>
  <c r="AK143" i="4"/>
  <c r="AS143" i="4" s="1"/>
  <c r="D44" i="40" s="1"/>
  <c r="AR143" i="4"/>
  <c r="AK145" i="4"/>
  <c r="AS145" i="4" s="1"/>
  <c r="D46" i="40" s="1"/>
  <c r="AR145" i="4"/>
  <c r="C46" i="40" s="1"/>
  <c r="AK147" i="4"/>
  <c r="AS147" i="4" s="1"/>
  <c r="D48" i="40" s="1"/>
  <c r="AR147" i="4"/>
  <c r="C48" i="40" s="1"/>
  <c r="AD143" i="4"/>
  <c r="AE143" i="4"/>
  <c r="AD147" i="4"/>
  <c r="AE147" i="4"/>
  <c r="AR140" i="4"/>
  <c r="AK140" i="4"/>
  <c r="AS140" i="4" s="1"/>
  <c r="D41" i="40" s="1"/>
  <c r="AR142" i="4"/>
  <c r="AK142" i="4"/>
  <c r="AS142" i="4" s="1"/>
  <c r="D43" i="40" s="1"/>
  <c r="AR144" i="4"/>
  <c r="AK144" i="4"/>
  <c r="AS144" i="4" s="1"/>
  <c r="D45" i="40" s="1"/>
  <c r="AR146" i="4"/>
  <c r="C47" i="40" s="1"/>
  <c r="AK146" i="4"/>
  <c r="AS146" i="4" s="1"/>
  <c r="D47" i="40" s="1"/>
  <c r="AE105" i="4"/>
  <c r="AD76" i="4"/>
  <c r="AE76" i="4"/>
  <c r="AS75" i="4"/>
  <c r="V74" i="4"/>
  <c r="V75" i="4"/>
  <c r="W76" i="4"/>
  <c r="AK74" i="4"/>
  <c r="AS76" i="4"/>
  <c r="AX26" i="4"/>
  <c r="AY26" i="4" s="1"/>
  <c r="AF158" i="4"/>
  <c r="AR75" i="4"/>
  <c r="AR76" i="4"/>
  <c r="AU119" i="4"/>
  <c r="AU120" i="4"/>
  <c r="AT145" i="4" l="1"/>
  <c r="AT146" i="4"/>
  <c r="AV146" i="4" s="1"/>
  <c r="AW146" i="4" s="1"/>
  <c r="AX146" i="4" s="1"/>
  <c r="AY146" i="4" s="1"/>
  <c r="AF105" i="4"/>
  <c r="AV105" i="4" s="1"/>
  <c r="AW105" i="4" s="1"/>
  <c r="AX105" i="4" s="1"/>
  <c r="AY105" i="4" s="1"/>
  <c r="AF140" i="4"/>
  <c r="AD75" i="4"/>
  <c r="AE75" i="4"/>
  <c r="W75" i="4"/>
  <c r="AT147" i="4"/>
  <c r="AE74" i="4"/>
  <c r="AD74" i="4"/>
  <c r="W74" i="4"/>
  <c r="G47" i="40"/>
  <c r="C45" i="40"/>
  <c r="G45" i="40" s="1"/>
  <c r="AT144" i="4"/>
  <c r="AV144" i="4" s="1"/>
  <c r="AW144" i="4" s="1"/>
  <c r="AX144" i="4" s="1"/>
  <c r="AY144" i="4" s="1"/>
  <c r="C43" i="40"/>
  <c r="G43" i="40" s="1"/>
  <c r="AT142" i="4"/>
  <c r="AV142" i="4" s="1"/>
  <c r="AW142" i="4" s="1"/>
  <c r="AX142" i="4" s="1"/>
  <c r="AY142" i="4" s="1"/>
  <c r="C41" i="40"/>
  <c r="G41" i="40" s="1"/>
  <c r="AT140" i="4"/>
  <c r="AF147" i="4"/>
  <c r="AF143" i="4"/>
  <c r="G48" i="40"/>
  <c r="G46" i="40"/>
  <c r="C44" i="40"/>
  <c r="G44" i="40" s="1"/>
  <c r="AT143" i="4"/>
  <c r="AV143" i="4" s="1"/>
  <c r="AW143" i="4" s="1"/>
  <c r="AX143" i="4" s="1"/>
  <c r="AY143" i="4" s="1"/>
  <c r="C42" i="40"/>
  <c r="G42" i="40" s="1"/>
  <c r="AT141" i="4"/>
  <c r="AV141" i="4" s="1"/>
  <c r="AW141" i="4" s="1"/>
  <c r="AX141" i="4" s="1"/>
  <c r="AY141" i="4" s="1"/>
  <c r="AF145" i="4"/>
  <c r="AV145" i="4" l="1"/>
  <c r="AW145" i="4" s="1"/>
  <c r="AX145" i="4" s="1"/>
  <c r="AY145" i="4" s="1"/>
  <c r="AV140" i="4"/>
  <c r="AW140" i="4" s="1"/>
  <c r="AX140" i="4" s="1"/>
  <c r="AY140" i="4" s="1"/>
  <c r="AV147" i="4"/>
  <c r="AW147" i="4" s="1"/>
  <c r="AX147" i="4" s="1"/>
  <c r="AY147" i="4" s="1"/>
  <c r="AT119" i="4"/>
  <c r="AY119" i="4" s="1"/>
  <c r="AT120" i="4"/>
  <c r="AV120" i="4" s="1"/>
  <c r="AW120" i="4" s="1"/>
  <c r="AX120" i="4" s="1"/>
  <c r="AY120" i="4" s="1"/>
  <c r="BC159" i="4" l="1"/>
  <c r="AK115" i="4"/>
  <c r="D67" i="21"/>
  <c r="C67" i="21"/>
  <c r="E67" i="21" s="1"/>
  <c r="D87" i="32"/>
  <c r="C87" i="32"/>
  <c r="E87" i="32" s="1"/>
  <c r="E86" i="11"/>
  <c r="D86" i="11"/>
  <c r="F86" i="11" s="1"/>
  <c r="C86" i="11"/>
  <c r="E85" i="11"/>
  <c r="D85" i="11"/>
  <c r="F85" i="11" s="1"/>
  <c r="C85" i="11"/>
  <c r="D85" i="5" l="1"/>
  <c r="C85" i="5"/>
  <c r="B85" i="5"/>
  <c r="E85" i="5" s="1"/>
  <c r="D84" i="5"/>
  <c r="C84" i="5"/>
  <c r="B84" i="5"/>
  <c r="E84" i="5" s="1"/>
  <c r="D66" i="5"/>
  <c r="B66" i="5"/>
  <c r="E66" i="5" s="1"/>
  <c r="D65" i="5"/>
  <c r="B65" i="5"/>
  <c r="E65" i="5" s="1"/>
  <c r="AU122" i="4"/>
  <c r="AU121" i="4"/>
  <c r="AU115" i="4"/>
  <c r="AU114" i="4"/>
  <c r="AU111" i="4"/>
  <c r="AU103" i="4"/>
  <c r="AU89" i="4"/>
  <c r="AU77" i="4"/>
  <c r="AU76" i="4"/>
  <c r="AU75" i="4"/>
  <c r="AU74" i="4"/>
  <c r="AU42" i="4"/>
  <c r="AU22" i="4"/>
  <c r="AU21" i="4"/>
  <c r="AU18" i="4"/>
  <c r="AU17" i="4"/>
  <c r="AU14" i="4"/>
  <c r="AU13" i="4"/>
  <c r="AU10" i="4"/>
  <c r="AS124" i="4"/>
  <c r="AS123" i="4"/>
  <c r="AS122" i="4"/>
  <c r="AS121" i="4"/>
  <c r="AS103" i="4"/>
  <c r="AR111" i="4"/>
  <c r="AE128" i="4"/>
  <c r="AF128" i="4" s="1"/>
  <c r="AE124" i="4"/>
  <c r="AE123" i="4"/>
  <c r="AD123" i="4"/>
  <c r="AE122" i="4"/>
  <c r="AD122" i="4"/>
  <c r="AE115" i="4"/>
  <c r="AD115" i="4"/>
  <c r="AE114" i="4"/>
  <c r="AD114" i="4"/>
  <c r="AE111" i="4"/>
  <c r="AE109" i="4"/>
  <c r="AD109" i="4"/>
  <c r="AE107" i="4"/>
  <c r="AD107" i="4"/>
  <c r="AE89" i="4"/>
  <c r="AD89" i="4"/>
  <c r="AE88" i="4"/>
  <c r="AS115" i="4" l="1"/>
  <c r="D45" i="21" s="1"/>
  <c r="AR115" i="4"/>
  <c r="C45" i="21" s="1"/>
  <c r="AT14" i="4"/>
  <c r="AT17" i="4"/>
  <c r="AT22" i="4"/>
  <c r="AT42" i="4"/>
  <c r="AT45" i="4"/>
  <c r="AT122" i="4"/>
  <c r="AT123" i="4"/>
  <c r="AT124" i="4"/>
  <c r="G33" i="41"/>
  <c r="G34" i="41"/>
  <c r="AT48" i="4"/>
  <c r="AT49" i="4"/>
  <c r="AT128" i="4"/>
  <c r="AV128" i="4" s="1"/>
  <c r="AW128" i="4" s="1"/>
  <c r="AX128" i="4" s="1"/>
  <c r="AY128" i="4" s="1"/>
  <c r="AS111" i="4"/>
  <c r="AT111" i="4" s="1"/>
  <c r="AT103" i="4"/>
  <c r="AT13" i="4"/>
  <c r="E40" i="39"/>
  <c r="E42" i="5"/>
  <c r="G45" i="21" l="1"/>
  <c r="G32" i="41"/>
  <c r="AT118" i="4"/>
  <c r="AT115" i="4"/>
  <c r="AT75" i="4"/>
  <c r="AT74" i="4"/>
  <c r="AF76" i="4"/>
  <c r="AF74" i="4"/>
  <c r="AT76" i="4"/>
  <c r="AF75" i="4"/>
  <c r="AV76" i="4" l="1"/>
  <c r="AW76" i="4" s="1"/>
  <c r="AX76" i="4" s="1"/>
  <c r="AY76" i="4" s="1"/>
  <c r="AV75" i="4"/>
  <c r="AW75" i="4" s="1"/>
  <c r="AX75" i="4" s="1"/>
  <c r="AY75" i="4" s="1"/>
  <c r="AV74" i="4"/>
  <c r="AW74" i="4" s="1"/>
  <c r="AX74" i="4" s="1"/>
  <c r="AF114" i="4"/>
  <c r="AV114" i="4" s="1"/>
  <c r="AF107" i="4"/>
  <c r="AV107" i="4" s="1"/>
  <c r="AW107" i="4" s="1"/>
  <c r="AX107" i="4" s="1"/>
  <c r="AY107" i="4" s="1"/>
  <c r="AY74" i="4" l="1"/>
  <c r="AW114" i="4"/>
  <c r="AX114" i="4" s="1"/>
  <c r="AY114" i="4" s="1"/>
  <c r="F41" i="36"/>
  <c r="E41" i="36"/>
  <c r="F40" i="34"/>
  <c r="E40" i="34"/>
  <c r="D40" i="34" l="1"/>
  <c r="C40" i="34"/>
  <c r="G40" i="34" l="1"/>
  <c r="D41" i="36"/>
  <c r="C41" i="36"/>
  <c r="G40" i="39"/>
  <c r="AT50" i="4"/>
  <c r="AF88" i="4"/>
  <c r="AV88" i="4" s="1"/>
  <c r="AW88" i="4" s="1"/>
  <c r="AX88" i="4" s="1"/>
  <c r="AY88" i="4" s="1"/>
  <c r="AY53" i="4"/>
  <c r="AT77" i="4"/>
  <c r="AF89" i="4"/>
  <c r="AV89" i="4" s="1"/>
  <c r="G42" i="39" l="1"/>
  <c r="G41" i="36"/>
  <c r="AV77" i="4"/>
  <c r="G41" i="39"/>
  <c r="AV50" i="4"/>
  <c r="AW50" i="4" s="1"/>
  <c r="AX50" i="4" s="1"/>
  <c r="AY50" i="4" s="1"/>
  <c r="AV48" i="4"/>
  <c r="AW48" i="4" s="1"/>
  <c r="AX48" i="4" s="1"/>
  <c r="AY48" i="4" s="1"/>
  <c r="AV49" i="4"/>
  <c r="AW49" i="4" s="1"/>
  <c r="AX49" i="4" s="1"/>
  <c r="AY49" i="4" s="1"/>
  <c r="AV45" i="4"/>
  <c r="AW45" i="4" s="1"/>
  <c r="AX45" i="4" s="1"/>
  <c r="AY45" i="4" s="1"/>
  <c r="AW77" i="4"/>
  <c r="AX77" i="4" s="1"/>
  <c r="AV42" i="4"/>
  <c r="AW42" i="4" s="1"/>
  <c r="AX42" i="4" s="1"/>
  <c r="G41" i="33"/>
  <c r="AW89" i="4"/>
  <c r="AX89" i="4" s="1"/>
  <c r="AY89" i="4" s="1"/>
  <c r="G46" i="33"/>
  <c r="E41" i="22"/>
  <c r="E42" i="22"/>
  <c r="E43" i="22"/>
  <c r="E44" i="22"/>
  <c r="F44" i="22"/>
  <c r="F43" i="22"/>
  <c r="F42" i="22"/>
  <c r="AY77" i="4" l="1"/>
  <c r="BC75" i="4"/>
  <c r="BC42" i="4"/>
  <c r="AY42" i="4"/>
  <c r="F41" i="21"/>
  <c r="E41" i="21"/>
  <c r="F41" i="12"/>
  <c r="E41" i="12"/>
  <c r="B41" i="12"/>
  <c r="E40" i="12"/>
  <c r="B40" i="12"/>
  <c r="D40" i="12"/>
  <c r="D41" i="12"/>
  <c r="D41" i="20"/>
  <c r="D41" i="21"/>
  <c r="D41" i="22"/>
  <c r="D42" i="22"/>
  <c r="D43" i="22"/>
  <c r="D44" i="22"/>
  <c r="D41" i="23"/>
  <c r="F42" i="11" l="1"/>
  <c r="E42" i="11"/>
  <c r="B42" i="11"/>
  <c r="F41" i="11"/>
  <c r="E41" i="11"/>
  <c r="B41" i="11"/>
  <c r="F42" i="5"/>
  <c r="E41" i="5"/>
  <c r="AT18" i="4" l="1"/>
  <c r="C40" i="12"/>
  <c r="G40" i="12" s="1"/>
  <c r="AF21" i="4"/>
  <c r="AF103" i="4"/>
  <c r="AF124" i="4"/>
  <c r="AV124" i="4" s="1"/>
  <c r="AW124" i="4" s="1"/>
  <c r="AX124" i="4" s="1"/>
  <c r="AY124" i="4" s="1"/>
  <c r="AF122" i="4"/>
  <c r="C41" i="23"/>
  <c r="G41" i="23" s="1"/>
  <c r="C42" i="22"/>
  <c r="G42" i="22" s="1"/>
  <c r="AF123" i="4"/>
  <c r="AV123" i="4" s="1"/>
  <c r="AW123" i="4" s="1"/>
  <c r="AX123" i="4" s="1"/>
  <c r="AY123" i="4" s="1"/>
  <c r="AF111" i="4"/>
  <c r="AF121" i="4"/>
  <c r="C43" i="22"/>
  <c r="G43" i="22" s="1"/>
  <c r="AF22" i="4"/>
  <c r="AF109" i="4"/>
  <c r="AV109" i="4" s="1"/>
  <c r="AW109" i="4" s="1"/>
  <c r="AX109" i="4" s="1"/>
  <c r="AY109" i="4" s="1"/>
  <c r="AF115" i="4"/>
  <c r="C44" i="22"/>
  <c r="G44" i="22" s="1"/>
  <c r="AT121" i="4"/>
  <c r="C41" i="22"/>
  <c r="G41" i="22" s="1"/>
  <c r="C41" i="21"/>
  <c r="G41" i="21" s="1"/>
  <c r="C41" i="20"/>
  <c r="G41" i="20" s="1"/>
  <c r="AT21" i="4"/>
  <c r="C41" i="12"/>
  <c r="G41" i="12" s="1"/>
  <c r="AF18" i="4"/>
  <c r="C42" i="11"/>
  <c r="C41" i="11"/>
  <c r="AF17" i="4"/>
  <c r="C41" i="5"/>
  <c r="AT10" i="4"/>
  <c r="AF14" i="4"/>
  <c r="C42" i="5"/>
  <c r="AF13" i="4"/>
  <c r="AF10" i="4"/>
  <c r="AV13" i="4" l="1"/>
  <c r="AV14" i="4"/>
  <c r="AV122" i="4"/>
  <c r="AV21" i="4"/>
  <c r="AV103" i="4"/>
  <c r="AV22" i="4"/>
  <c r="AV115" i="4"/>
  <c r="AV10" i="4"/>
  <c r="AV17" i="4"/>
  <c r="AV111" i="4"/>
  <c r="AV121" i="4"/>
  <c r="AV18" i="4"/>
  <c r="D42" i="5"/>
  <c r="G42" i="5" s="1"/>
  <c r="D41" i="5"/>
  <c r="G41" i="5" s="1"/>
  <c r="D41" i="11"/>
  <c r="G41" i="11" s="1"/>
  <c r="D42" i="11"/>
  <c r="G42" i="11" s="1"/>
  <c r="AW103" i="4" l="1"/>
  <c r="AX103" i="4" s="1"/>
  <c r="AY118" i="4"/>
  <c r="AW115" i="4"/>
  <c r="AX115" i="4" s="1"/>
  <c r="AY115" i="4" s="1"/>
  <c r="AW111" i="4"/>
  <c r="AX111" i="4" s="1"/>
  <c r="AY111" i="4" s="1"/>
  <c r="AW21" i="4"/>
  <c r="AX21" i="4" s="1"/>
  <c r="AY21" i="4" s="1"/>
  <c r="AW22" i="4"/>
  <c r="AX22" i="4" s="1"/>
  <c r="AY22" i="4" s="1"/>
  <c r="AW121" i="4"/>
  <c r="AX121" i="4" s="1"/>
  <c r="AW18" i="4"/>
  <c r="AX18" i="4" s="1"/>
  <c r="AY18" i="4" s="1"/>
  <c r="AW122" i="4"/>
  <c r="AX122" i="4" s="1"/>
  <c r="AY122" i="4" s="1"/>
  <c r="AW17" i="4"/>
  <c r="AX17" i="4" s="1"/>
  <c r="AY17" i="4" s="1"/>
  <c r="AW13" i="4"/>
  <c r="AY13" i="4" s="1"/>
  <c r="AW14" i="4"/>
  <c r="AY14" i="4" s="1"/>
  <c r="AW10" i="4"/>
  <c r="AX10" i="4" s="1"/>
  <c r="AY10" i="4" s="1"/>
  <c r="BC88" i="4" l="1"/>
  <c r="BC101" i="4"/>
  <c r="BC140" i="4"/>
  <c r="BC124" i="4"/>
  <c r="AY121" i="4"/>
  <c r="BC103" i="4"/>
  <c r="AY103" i="4"/>
  <c r="BC10" i="4"/>
  <c r="F41" i="23"/>
  <c r="E41" i="23"/>
  <c r="F41" i="22"/>
  <c r="F41" i="20"/>
  <c r="E41" i="20"/>
  <c r="BC163" i="4" l="1"/>
  <c r="BD74" i="4" s="1"/>
  <c r="F40" i="12"/>
  <c r="F41" i="5"/>
  <c r="BD10" i="4" l="1"/>
  <c r="BD121" i="4" s="1"/>
  <c r="BD77" i="4" l="1"/>
  <c r="BD42" i="4"/>
  <c r="BD103" i="4"/>
</calcChain>
</file>

<file path=xl/sharedStrings.xml><?xml version="1.0" encoding="utf-8"?>
<sst xmlns="http://schemas.openxmlformats.org/spreadsheetml/2006/main" count="2328" uniqueCount="200">
  <si>
    <t>MARCA</t>
  </si>
  <si>
    <t xml:space="preserve">MODELO </t>
  </si>
  <si>
    <t>MAGNITUD</t>
  </si>
  <si>
    <t>ESTACION</t>
  </si>
  <si>
    <t>SERIE</t>
  </si>
  <si>
    <t xml:space="preserve">RESOLUCION </t>
  </si>
  <si>
    <t>DIOXIDO CO2</t>
  </si>
  <si>
    <t>HIDROCARBUROS HC</t>
  </si>
  <si>
    <t>OXIGENO O2</t>
  </si>
  <si>
    <t>GASES</t>
  </si>
  <si>
    <t>REVOLUCIONES POR MINUTO</t>
  </si>
  <si>
    <t>LUXOMETRO</t>
  </si>
  <si>
    <t>INTENSIDAD</t>
  </si>
  <si>
    <t>INCLINACION</t>
  </si>
  <si>
    <t>1 PPM</t>
  </si>
  <si>
    <t>10 rpm</t>
  </si>
  <si>
    <t>1 N</t>
  </si>
  <si>
    <t>0,1 Klux</t>
  </si>
  <si>
    <t>0,5 a 3, 5</t>
  </si>
  <si>
    <t>±ppm</t>
  </si>
  <si>
    <t>±%</t>
  </si>
  <si>
    <t xml:space="preserve">EXACTITUD SEGÚN NTC </t>
  </si>
  <si>
    <t>10 a 9999</t>
  </si>
  <si>
    <t>%</t>
  </si>
  <si>
    <t>ppm</t>
  </si>
  <si>
    <t>rpm</t>
  </si>
  <si>
    <t>T2 - T1</t>
  </si>
  <si>
    <t>FECHA (T2)</t>
  </si>
  <si>
    <t xml:space="preserve">DERIVA </t>
  </si>
  <si>
    <t>RANGO DE MEDICION EQUIPO</t>
  </si>
  <si>
    <t>E = e + U (Donde e es el error y U es la Incert Exp)</t>
  </si>
  <si>
    <t>E = e - U (Donde e es el error y U es la Incert Exp)</t>
  </si>
  <si>
    <t>DESCRIPCION INSTRUMENTO</t>
  </si>
  <si>
    <t>Valor maximo entre E+ y E -</t>
  </si>
  <si>
    <t>METODO DE AJUSTE AUTOMATICO</t>
  </si>
  <si>
    <t>METODO CARTAS DE CONTROL</t>
  </si>
  <si>
    <t>√</t>
  </si>
  <si>
    <t>3 COMPROBACIONES ENTRE CALIBRACIONES</t>
  </si>
  <si>
    <t>Vt1 Valor maximo entre E+ y E-</t>
  </si>
  <si>
    <t>INT. CALIBRACION CON CONDICION</t>
  </si>
  <si>
    <t xml:space="preserve">CONFORMIDAD DE ACUERDO A NTC: 5385:2011
</t>
  </si>
  <si>
    <t>INTERVALO DE CALIBRACION [%]</t>
  </si>
  <si>
    <t>MIN</t>
  </si>
  <si>
    <t>FORMULACION CALIBRACION</t>
  </si>
  <si>
    <t>FORMULACION VERIFICACION</t>
  </si>
  <si>
    <t>INTERVALO DETIEMPO EN CALIBRACION VALOR NUMERICO EN AÑOS</t>
  </si>
  <si>
    <r>
      <rPr>
        <b/>
        <sz val="11"/>
        <color theme="1"/>
        <rFont val="Calibri"/>
        <family val="2"/>
      </rPr>
      <t>±</t>
    </r>
    <r>
      <rPr>
        <b/>
        <sz val="11"/>
        <color theme="1"/>
        <rFont val="Calibri"/>
        <family val="2"/>
        <scheme val="minor"/>
      </rPr>
      <t>%</t>
    </r>
  </si>
  <si>
    <t>GASES 4 TIEMPOS</t>
  </si>
  <si>
    <t>REVOLUCIONES POR MINUTO 4 TIEMPOS</t>
  </si>
  <si>
    <t>FRENOMETRO MOTOS</t>
  </si>
  <si>
    <t xml:space="preserve">FUERZA MOTOS </t>
  </si>
  <si>
    <t xml:space="preserve">0,00 a 15,00 </t>
  </si>
  <si>
    <t>0,0 a 19,9</t>
  </si>
  <si>
    <r>
      <rPr>
        <sz val="11"/>
        <color theme="1"/>
        <rFont val="Calibri"/>
        <family val="2"/>
      </rPr>
      <t>±</t>
    </r>
    <r>
      <rPr>
        <sz val="11"/>
        <color theme="1"/>
        <rFont val="Calibri"/>
        <family val="2"/>
        <scheme val="minor"/>
      </rPr>
      <t>ppm</t>
    </r>
  </si>
  <si>
    <t>0,00 a 25,00</t>
  </si>
  <si>
    <t>0 a 20000</t>
  </si>
  <si>
    <t>BRAIN BEE</t>
  </si>
  <si>
    <t>FECHA (T1)</t>
  </si>
  <si>
    <t>PUNTOS DE CALIBRACION</t>
  </si>
  <si>
    <t>DESVIACION Vt2 - Vt1</t>
  </si>
  <si>
    <t xml:space="preserve">FRENOMETRO </t>
  </si>
  <si>
    <t xml:space="preserve"> MGT 300 EVO</t>
  </si>
  <si>
    <t>2 COMPROBACIONES ENTRE CALIBRACIONES</t>
  </si>
  <si>
    <t>PESO MOTOS</t>
  </si>
  <si>
    <t>INTERVALO DE TIEMPO DE COMPROBACIONES VALOR NUMERICO EN AÑOS</t>
  </si>
  <si>
    <t>TEMPERATURA 4 TIEMPOS</t>
  </si>
  <si>
    <t>TEMPERATURA</t>
  </si>
  <si>
    <t>1 Grado</t>
  </si>
  <si>
    <t>20 a 100</t>
  </si>
  <si>
    <t>1. SE TOMAN LAS INCERTIDUMBRES MAS ALTAS PARA PODER ASEGURAR LA ESCALA COMPLETA</t>
  </si>
  <si>
    <t>2. ESTADISTICAMENTE DE ACUERDO A LA DERIVA DE LOS EQUIPOS SE PUEDEN CALIBRAR CADA 2 AÑOS</t>
  </si>
  <si>
    <t>4. CABE ANOTAR QUE LOS EQUIPOS SUCEPTIBLES DE REPARACIONES Y AJUSTES NO APLICA ESTE METODO PUES DEBEN SER CALIBRADOS INMEDIATAMENTE.</t>
  </si>
  <si>
    <t>3. ESTADISTICAMENTE DE ACUERDO AL PRCEDIMIENTO DE SELECCIONAR EL INTERVALO MINIMO DE TODA LA TOMA DE DATOS SE PUEDE HACER VERIFICACIONES CADA NUEVE MESES.</t>
  </si>
  <si>
    <t xml:space="preserve">PRECISION SEGÚN NTC </t>
  </si>
  <si>
    <t>RUIDO SEGÚN NTC 5365 / 5.2.7.1.</t>
  </si>
  <si>
    <t>REPETIBILIDAD SEGÚN NTC NTC 4983 / 5.2.7.1.</t>
  </si>
  <si>
    <t>-</t>
  </si>
  <si>
    <t>NUMERO CERTIFICADO DE CAL 1</t>
  </si>
  <si>
    <t>PROMEDIOS DE INDICACION DEL INSTRUMENTO (Vt2)</t>
  </si>
  <si>
    <t xml:space="preserve">ERRORES DE CALIBRACION </t>
  </si>
  <si>
    <t xml:space="preserve">ERRORES % </t>
  </si>
  <si>
    <t xml:space="preserve">PRECISION </t>
  </si>
  <si>
    <t xml:space="preserve">PRECISION % </t>
  </si>
  <si>
    <t xml:space="preserve">RUIDO </t>
  </si>
  <si>
    <t xml:space="preserve">REPETIBILIDAD </t>
  </si>
  <si>
    <t xml:space="preserve">INCERTIDUMBRE DE CALIBRACION </t>
  </si>
  <si>
    <t xml:space="preserve">% INCERTIDUMBRE DE CALIBRACION </t>
  </si>
  <si>
    <t>NUMERO CERTIFICADO DE CAL 2</t>
  </si>
  <si>
    <t>PROMEDIOS DE INDICACION DEL INSTRUMENTO (Vt1)</t>
  </si>
  <si>
    <r>
      <rPr>
        <sz val="11"/>
        <color theme="1"/>
        <rFont val="Calibri"/>
        <family val="2"/>
      </rPr>
      <t>°</t>
    </r>
    <r>
      <rPr>
        <sz val="8.8000000000000007"/>
        <color theme="1"/>
        <rFont val="Calibri"/>
        <family val="2"/>
      </rPr>
      <t xml:space="preserve"> C</t>
    </r>
  </si>
  <si>
    <t>CONFIRMACION METROLOGICA RESPECTO AL RUIDO</t>
  </si>
  <si>
    <t>RUIDO CAL 2</t>
  </si>
  <si>
    <t>Ruido NTC 4983 Numeral 5.2.7.1 (+) [%]</t>
  </si>
  <si>
    <t xml:space="preserve">CONFORMIDAD DE ACUERDO A NTC 4983 Numeral 5.2.7.
</t>
  </si>
  <si>
    <t>CONFIRMACION METROLOGICA RESPECTO A LA REPETIBILIDAD</t>
  </si>
  <si>
    <t>REPETIBILIDAD  CAL 2</t>
  </si>
  <si>
    <t>CONFIRMACION METROLOGICA RESPECTO A PRECISION</t>
  </si>
  <si>
    <t>PRECISION CAL 2</t>
  </si>
  <si>
    <t xml:space="preserve">CONFORMIDAD DE ACUERDO A NTC 5385
</t>
  </si>
  <si>
    <t>Precision NTC 5385</t>
  </si>
  <si>
    <t>ERROR + U EXPANDIDA CAL 2 [%]</t>
  </si>
  <si>
    <t>ERROR - U EXPANDIDA CAL 2 [%]</t>
  </si>
  <si>
    <t>Exactitud NTC 5365 Numeral 5.2.7.1 (+) [%]</t>
  </si>
  <si>
    <t>Exactitud NTC 5365 Numeral 5.2.7.1 (-) [%]</t>
  </si>
  <si>
    <t xml:space="preserve">CONFORMIDAD DE ACUERDO A NTC 5365 Numeral 5.2.7.
</t>
  </si>
  <si>
    <t>INTERVALO DE CALIBRACION [mm]</t>
  </si>
  <si>
    <t>ERROR + U EXPANDIDA CAL 2 [mm]</t>
  </si>
  <si>
    <t>ERROR - U EXPANDIDA CAL 2 [mm]</t>
  </si>
  <si>
    <t>EXACTITUD DE ACUERDO A NTC: 5385:2011 (+) [mm]</t>
  </si>
  <si>
    <t>EXACTITUD DE ACUERDO A NTC: 5385:2011 (-) [mm]</t>
  </si>
  <si>
    <t>EXACTITUD DE ACUERDO A NTC: 5385:2011 (+) [%]</t>
  </si>
  <si>
    <t>EXACTITUD DE ACUERDO A NTC: 5385:2011 (-) [%]</t>
  </si>
  <si>
    <t>VAMAG</t>
  </si>
  <si>
    <t>RBT 1000 PN FW</t>
  </si>
  <si>
    <t>1 kg</t>
  </si>
  <si>
    <t>0 a 500 Kg</t>
  </si>
  <si>
    <t>FECHA CAL # 2 (2021)</t>
  </si>
  <si>
    <t>CAL 1 (2020)</t>
  </si>
  <si>
    <t>ERROR + U EXPANDIDA CAL 2 [%] 2021</t>
  </si>
  <si>
    <t>ERROR - U EXPANDIDA CAL 2 [%] 2021</t>
  </si>
  <si>
    <t>PRECISION CAL 2 2021</t>
  </si>
  <si>
    <t>0-3000   N</t>
  </si>
  <si>
    <t>VALOR APLICADO</t>
  </si>
  <si>
    <t>REVOLUCIONES POR MINUTO 2 TIEMPOS</t>
  </si>
  <si>
    <t>TECNIMAQ</t>
  </si>
  <si>
    <t>INTERFAZ RPM 2T/4T</t>
  </si>
  <si>
    <t>TMI-RPM0063</t>
  </si>
  <si>
    <t>TMI-TEM0063</t>
  </si>
  <si>
    <t>ACTIA</t>
  </si>
  <si>
    <t>021/18</t>
  </si>
  <si>
    <t>AT505</t>
  </si>
  <si>
    <t>MONOXIDO DE CARBONO CO</t>
  </si>
  <si>
    <t>DIOXIDO DE CARBONO CO2</t>
  </si>
  <si>
    <t>Repetibilidad NTC 4983 Numeral 5.2.7.1 (+) [%]</t>
  </si>
  <si>
    <t>026/18</t>
  </si>
  <si>
    <t>TMI-LUX</t>
  </si>
  <si>
    <t>TMI-LUX-0050</t>
  </si>
  <si>
    <t xml:space="preserve">2,5 a 100 </t>
  </si>
  <si>
    <t>PROFUNDIMENTRO</t>
  </si>
  <si>
    <t>FOWLER</t>
  </si>
  <si>
    <t>X-TREAD</t>
  </si>
  <si>
    <t>0.01 mm</t>
  </si>
  <si>
    <t>0 a 25 mm</t>
  </si>
  <si>
    <t>mm</t>
  </si>
  <si>
    <t>LONGITUD</t>
  </si>
  <si>
    <t>CUMPLIMIENTO DE LOS REQUISITOS COMUNES PARA LOS INFORMES (ENSAYO, CALIBRACION O MUESTREO)
 (NTC ISO IEC 17025:2017)</t>
  </si>
  <si>
    <t>No.</t>
  </si>
  <si>
    <t>Descripción</t>
  </si>
  <si>
    <t>Cumple</t>
  </si>
  <si>
    <t>Observaciones</t>
  </si>
  <si>
    <t>Un titulo (por ejemplo, "informe de ensayo", "Certificado de calibración" o "Informe de muestreo")</t>
  </si>
  <si>
    <t>Si</t>
  </si>
  <si>
    <t>El nombre y la dirección del laboratorio.</t>
  </si>
  <si>
    <t>El lugar en que se realizan las actividades del laboratorio, incluso cuando se realizan en las instalaciones del cliente o en sitios alejados de las instalaciones permanentes del laboratorio, o en instalaciones temporales o móviles asociadas.</t>
  </si>
  <si>
    <t>Identificación única de que todos sus componentes se reconocen como una parte de un informe completo y una clara identificación del final.</t>
  </si>
  <si>
    <t>El nombre y la información de contacto del cliente.</t>
  </si>
  <si>
    <t>Una descripción, una identificación inequívoca y, cuando sea necesario la condición del ítem.</t>
  </si>
  <si>
    <t>Fecha de recepción de los ítems de calibración o ensayo, y la fecha del muestreo, cuando este sea critico para la validez y aplicación de los resultados.</t>
  </si>
  <si>
    <t>Fecha de ejecución de la actividad del laboratorio.</t>
  </si>
  <si>
    <t>Fecha de emisión del informe.</t>
  </si>
  <si>
    <t>Referencia al plan y método de muestreo usados por el laboratorio u otros organismos, cuando sean pertinentes para la validez o aplicación de los resultados.</t>
  </si>
  <si>
    <t>Declaración acerca de que los resultados se relacionan solamente con los ítems sometidos a ensayos, calibración o muestreo.</t>
  </si>
  <si>
    <t>Resultados con las unidades de medición, cuando sea apropiado.</t>
  </si>
  <si>
    <t>Las adiciones, desviaciones o exclusiones del método.</t>
  </si>
  <si>
    <t>Identificación de las personas que autorizan el informe.</t>
  </si>
  <si>
    <t>Identificación clara cuando los resultados provengan de proveedores externos.
NOTA: La inclusión de una declaración que especifique que sin la aprobación del laboratorio no se puede reproducir el informe, excepto cuando se reproduce en su totalidad, puede proporcionar seguridad de que partes de un informe no se sacan de contexto</t>
  </si>
  <si>
    <t>Cumplimiento de los requisitos especificos certificados de calibracion (NTC ISO IEC 17025:2017)</t>
  </si>
  <si>
    <t>La incertidumbre de medición del resultado de medición presentado en la misma unida del mesurado o en termino relativo a dicha unidad (ej.: porcentaje)
NOTA: De acuerdo con la Guía ISO /IEC99, un resultado de medición se expresa generalmente como un valor de una magnitud única medida, incluyendo la unidad de medición y una incertidumbre de medición.</t>
  </si>
  <si>
    <t>SI</t>
  </si>
  <si>
    <t xml:space="preserve">Condiciones (por ejemplo, ambientales) en las que se hicieron las calibraciones, que influyen  en los resultados de medición </t>
  </si>
  <si>
    <t>Declaración que identifique como las mediciones son trazables metrológicamente.</t>
  </si>
  <si>
    <t xml:space="preserve">Resultados antes y después de cualquier ajuste o reparación, si están disponibles </t>
  </si>
  <si>
    <t>N/A</t>
  </si>
  <si>
    <t>Cuando sea pertinente, una declaración de conformidad con los requisitos o especificaciones</t>
  </si>
  <si>
    <t>Cuando sea apropiado, opiniones e interpretaciones.</t>
  </si>
  <si>
    <t>EQUIPO:</t>
  </si>
  <si>
    <t>MARCA:</t>
  </si>
  <si>
    <t>MODELO:</t>
  </si>
  <si>
    <t>SERIE:</t>
  </si>
  <si>
    <t>VALORES MONOXIDO DE CARBONO</t>
  </si>
  <si>
    <t>VALORES DIOXIDO DE CARBONO</t>
  </si>
  <si>
    <t>TEMPERATURA 2 TIEMPOS</t>
  </si>
  <si>
    <t>ANALIZADOR DE GASES 2 TIEMPOS</t>
  </si>
  <si>
    <t>1785-20c</t>
  </si>
  <si>
    <t>MONOXIDO CO</t>
  </si>
  <si>
    <t>1789-20C</t>
  </si>
  <si>
    <t>1787-20c</t>
  </si>
  <si>
    <t>SENSOR DE VIBRACION</t>
  </si>
  <si>
    <t>1788-20c</t>
  </si>
  <si>
    <t>1792-20C</t>
  </si>
  <si>
    <t>INTERVALO DE CALIBRACION [N]</t>
  </si>
  <si>
    <t>1793-20C</t>
  </si>
  <si>
    <t>SONOMETRO</t>
  </si>
  <si>
    <t xml:space="preserve">DECIBELES </t>
  </si>
  <si>
    <t>EXTECH INSTRUMENTS</t>
  </si>
  <si>
    <t>30 a 130 dB</t>
  </si>
  <si>
    <t>0.1 dB</t>
  </si>
  <si>
    <t>dB</t>
  </si>
  <si>
    <t>V-22484</t>
  </si>
  <si>
    <t>L19802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</si>
</sst>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
    <numFmt numFmtId="167" formatCode="yyyy\-mm\-dd;@"/>
    <numFmt numFmtId="168" formatCode="0.E+00"/>
    <numFmt numFmtId="169" formatCode="0.0000"/>
  </numFmts>
  <fonts count="27" x14ac:knownFonts="1">
    <font>
      <sz val="11"/>
      <color theme="1"/>
      <name val="Calibri"/>
      <family val="2"/>
      <scheme val="minor"/>
    </font>
    <font>
      <sz val="11"/>
      <color theme="1"/>
      <name val="Arial"/>
      <family val="2"/>
    </font>
    <font>
      <b/>
      <sz val="11"/>
      <color theme="1"/>
      <name val="Arial"/>
      <family val="2"/>
    </font>
    <font>
      <sz val="8"/>
      <color theme="1"/>
      <name val="Calibri"/>
      <family val="2"/>
      <scheme val="minor"/>
    </font>
    <font>
      <sz val="11"/>
      <color theme="1"/>
      <name val="Calibri"/>
      <family val="2"/>
    </font>
    <font>
      <sz val="11"/>
      <name val="Calibri"/>
      <family val="2"/>
      <scheme val="minor"/>
    </font>
    <font>
      <b/>
      <sz val="11"/>
      <color theme="1"/>
      <name val="Calibri"/>
      <family val="2"/>
      <scheme val="minor"/>
    </font>
    <font>
      <b/>
      <i/>
      <u/>
      <sz val="11"/>
      <color theme="1"/>
      <name val="Calibri"/>
      <family val="2"/>
      <scheme val="minor"/>
    </font>
    <font>
      <b/>
      <u/>
      <sz val="11"/>
      <color theme="1"/>
      <name val="Calibri"/>
      <family val="2"/>
      <scheme val="minor"/>
    </font>
    <font>
      <b/>
      <sz val="11"/>
      <color theme="1"/>
      <name val="Calibri"/>
      <family val="2"/>
    </font>
    <font>
      <b/>
      <sz val="8"/>
      <color theme="1"/>
      <name val="Arial"/>
      <family val="2"/>
    </font>
    <font>
      <b/>
      <sz val="9"/>
      <color theme="1"/>
      <name val="Arial"/>
      <family val="2"/>
    </font>
    <font>
      <b/>
      <sz val="11"/>
      <color rgb="FFFF0000"/>
      <name val="Calibri"/>
      <family val="2"/>
      <scheme val="minor"/>
    </font>
    <font>
      <sz val="8.8000000000000007"/>
      <color theme="1"/>
      <name val="Calibri"/>
      <family val="2"/>
    </font>
    <font>
      <b/>
      <u/>
      <sz val="11"/>
      <color rgb="FFFF0000"/>
      <name val="Calibri"/>
      <family val="2"/>
      <scheme val="minor"/>
    </font>
    <font>
      <sz val="11"/>
      <name val="Calibri"/>
      <family val="2"/>
    </font>
    <font>
      <sz val="8"/>
      <name val="Calibri"/>
      <family val="2"/>
      <scheme val="minor"/>
    </font>
    <font>
      <b/>
      <sz val="8"/>
      <color theme="1"/>
      <name val="Calibri"/>
      <family val="2"/>
      <scheme val="minor"/>
    </font>
    <font>
      <b/>
      <sz val="18"/>
      <color theme="1"/>
      <name val="Arial"/>
      <family val="2"/>
    </font>
    <font>
      <sz val="9"/>
      <color theme="1"/>
      <name val="Arial"/>
      <family val="2"/>
    </font>
    <font>
      <sz val="8"/>
      <color theme="1"/>
      <name val="Arial"/>
      <family val="2"/>
    </font>
    <font>
      <sz val="8"/>
      <name val="Arial"/>
      <family val="2"/>
    </font>
    <font>
      <sz val="11"/>
      <color rgb="FFFF0000"/>
      <name val="Arial"/>
      <family val="2"/>
    </font>
    <font>
      <sz val="12"/>
      <color theme="1"/>
      <name val="Arial"/>
      <family val="2"/>
    </font>
    <font>
      <sz val="11"/>
      <color rgb="FFFF0000"/>
      <name val="Calibri"/>
      <family val="2"/>
      <scheme val="minor"/>
    </font>
    <font>
      <b/>
      <sz val="11"/>
      <color rgb="FFFF0000"/>
      <name val="Calibri"/>
      <family val="2"/>
    </font>
    <font>
      <sz val="11"/>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auto="1"/>
      </left>
      <right style="hair">
        <color auto="1"/>
      </right>
      <top style="medium">
        <color auto="1"/>
      </top>
      <bottom style="hair">
        <color auto="1"/>
      </bottom>
      <diagonal/>
    </border>
    <border>
      <left style="hair">
        <color indexed="64"/>
      </left>
      <right style="hair">
        <color indexed="64"/>
      </right>
      <top/>
      <bottom style="hair">
        <color indexed="64"/>
      </bottom>
      <diagonal/>
    </border>
    <border>
      <left/>
      <right/>
      <top style="hair">
        <color auto="1"/>
      </top>
      <bottom style="medium">
        <color auto="1"/>
      </bottom>
      <diagonal/>
    </border>
    <border>
      <left style="hair">
        <color indexed="64"/>
      </left>
      <right style="hair">
        <color indexed="64"/>
      </right>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auto="1"/>
      </left>
      <right style="hair">
        <color indexed="64"/>
      </right>
      <top style="medium">
        <color auto="1"/>
      </top>
      <bottom/>
      <diagonal/>
    </border>
    <border>
      <left style="hair">
        <color auto="1"/>
      </left>
      <right style="hair">
        <color indexed="64"/>
      </right>
      <top/>
      <bottom style="medium">
        <color indexed="64"/>
      </bottom>
      <diagonal/>
    </border>
    <border>
      <left/>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diagonal/>
    </border>
    <border>
      <left/>
      <right style="hair">
        <color indexed="64"/>
      </right>
      <top/>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style="hair">
        <color indexed="64"/>
      </top>
      <bottom style="medium">
        <color indexed="64"/>
      </bottom>
      <diagonal/>
    </border>
    <border>
      <left/>
      <right style="hair">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692">
    <xf numFmtId="0" fontId="0" fillId="0" borderId="0" xfId="0"/>
    <xf numFmtId="0" fontId="1" fillId="0" borderId="0" xfId="0" applyFont="1"/>
    <xf numFmtId="0" fontId="2"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164" fontId="1" fillId="2" borderId="3" xfId="0" applyNumberFormat="1" applyFont="1" applyFill="1" applyBorder="1" applyAlignment="1">
      <alignment horizontal="center"/>
    </xf>
    <xf numFmtId="0" fontId="3" fillId="0" borderId="3" xfId="0" applyFont="1" applyBorder="1" applyAlignment="1">
      <alignment horizontal="center" vertical="center" wrapText="1"/>
    </xf>
    <xf numFmtId="2" fontId="1" fillId="0" borderId="3" xfId="0" applyNumberFormat="1" applyFont="1" applyBorder="1" applyAlignment="1">
      <alignment horizontal="center"/>
    </xf>
    <xf numFmtId="2" fontId="1" fillId="2" borderId="3" xfId="0" applyNumberFormat="1" applyFont="1" applyFill="1" applyBorder="1" applyAlignment="1">
      <alignment horizont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2" fillId="5"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0" xfId="0" applyFont="1"/>
    <xf numFmtId="0" fontId="6" fillId="0" borderId="5" xfId="0" applyFont="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2" xfId="0" applyFont="1" applyBorder="1" applyAlignment="1">
      <alignment horizontal="center" vertical="center" wrapText="1"/>
    </xf>
    <xf numFmtId="166" fontId="1" fillId="0" borderId="3" xfId="0" applyNumberFormat="1" applyFont="1" applyBorder="1" applyAlignment="1">
      <alignment horizontal="center" vertical="center" wrapText="1"/>
    </xf>
    <xf numFmtId="0" fontId="10" fillId="3" borderId="3" xfId="0" applyFont="1" applyFill="1" applyBorder="1" applyAlignment="1">
      <alignment horizontal="center" vertical="center" wrapText="1"/>
    </xf>
    <xf numFmtId="0" fontId="11" fillId="3" borderId="3" xfId="0" applyFont="1" applyFill="1" applyBorder="1" applyAlignment="1">
      <alignment horizontal="center" vertical="center" wrapText="1"/>
    </xf>
    <xf numFmtId="166" fontId="6" fillId="0" borderId="3" xfId="0" applyNumberFormat="1" applyFont="1" applyBorder="1" applyAlignment="1">
      <alignment horizontal="center" vertical="center"/>
    </xf>
    <xf numFmtId="166" fontId="0" fillId="0" borderId="0" xfId="0" applyNumberFormat="1"/>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8" borderId="7"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0" fillId="11" borderId="17" xfId="0" applyFill="1" applyBorder="1" applyAlignment="1">
      <alignment horizontal="center" vertical="center"/>
    </xf>
    <xf numFmtId="167" fontId="0" fillId="5" borderId="17" xfId="0" applyNumberFormat="1" applyFill="1" applyBorder="1" applyAlignment="1">
      <alignment horizontal="center" vertical="center"/>
    </xf>
    <xf numFmtId="164" fontId="0" fillId="5" borderId="17" xfId="0" applyNumberFormat="1" applyFont="1" applyFill="1" applyBorder="1" applyAlignment="1">
      <alignment horizontal="center"/>
    </xf>
    <xf numFmtId="164" fontId="0" fillId="0" borderId="17" xfId="0" applyNumberFormat="1" applyBorder="1" applyAlignment="1">
      <alignment horizontal="center"/>
    </xf>
    <xf numFmtId="167" fontId="0" fillId="4" borderId="17" xfId="0" applyNumberFormat="1" applyFill="1" applyBorder="1" applyAlignment="1">
      <alignment horizontal="center" vertical="center"/>
    </xf>
    <xf numFmtId="164" fontId="0" fillId="4" borderId="17" xfId="0" applyNumberFormat="1" applyFont="1" applyFill="1" applyBorder="1" applyAlignment="1">
      <alignment horizontal="center"/>
    </xf>
    <xf numFmtId="2" fontId="3" fillId="6" borderId="17" xfId="0" applyNumberFormat="1" applyFont="1" applyFill="1" applyBorder="1" applyAlignment="1">
      <alignment horizontal="center" vertical="center"/>
    </xf>
    <xf numFmtId="2" fontId="0" fillId="6" borderId="17" xfId="0" applyNumberFormat="1" applyFill="1" applyBorder="1" applyAlignment="1">
      <alignment horizontal="center"/>
    </xf>
    <xf numFmtId="164" fontId="0" fillId="6" borderId="17" xfId="0" applyNumberFormat="1" applyFont="1" applyFill="1" applyBorder="1" applyAlignment="1">
      <alignment horizontal="center"/>
    </xf>
    <xf numFmtId="166" fontId="0" fillId="6" borderId="17" xfId="0" applyNumberFormat="1" applyFill="1" applyBorder="1" applyAlignment="1">
      <alignment horizontal="center" vertical="center"/>
    </xf>
    <xf numFmtId="0" fontId="3" fillId="6" borderId="18" xfId="0" applyNumberFormat="1" applyFont="1" applyFill="1" applyBorder="1" applyAlignment="1" applyProtection="1">
      <alignment horizontal="center" vertical="center" wrapText="1"/>
    </xf>
    <xf numFmtId="0" fontId="0" fillId="11" borderId="20" xfId="0" applyFill="1" applyBorder="1" applyAlignment="1">
      <alignment horizontal="center" vertical="center"/>
    </xf>
    <xf numFmtId="164" fontId="0" fillId="5" borderId="20" xfId="0" applyNumberFormat="1" applyFont="1" applyFill="1" applyBorder="1" applyAlignment="1">
      <alignment horizontal="center"/>
    </xf>
    <xf numFmtId="164" fontId="0" fillId="0" borderId="20" xfId="0" applyNumberFormat="1" applyBorder="1" applyAlignment="1">
      <alignment horizontal="center"/>
    </xf>
    <xf numFmtId="164" fontId="0" fillId="4" borderId="20" xfId="0" applyNumberFormat="1" applyFont="1" applyFill="1" applyBorder="1" applyAlignment="1">
      <alignment horizontal="center"/>
    </xf>
    <xf numFmtId="2" fontId="3" fillId="6" borderId="20" xfId="0" applyNumberFormat="1" applyFont="1" applyFill="1" applyBorder="1" applyAlignment="1">
      <alignment horizontal="center" vertical="center"/>
    </xf>
    <xf numFmtId="2" fontId="0" fillId="6" borderId="20" xfId="0" applyNumberFormat="1" applyFill="1" applyBorder="1" applyAlignment="1">
      <alignment horizontal="center"/>
    </xf>
    <xf numFmtId="166" fontId="0" fillId="6" borderId="20" xfId="0" applyNumberFormat="1" applyFill="1" applyBorder="1" applyAlignment="1">
      <alignment horizontal="center" vertical="center"/>
    </xf>
    <xf numFmtId="0" fontId="3" fillId="6" borderId="21" xfId="0" applyNumberFormat="1" applyFont="1" applyFill="1" applyBorder="1" applyAlignment="1" applyProtection="1">
      <alignment horizontal="center" vertical="center" wrapText="1"/>
    </xf>
    <xf numFmtId="2" fontId="1" fillId="0" borderId="3" xfId="0" applyNumberFormat="1" applyFont="1" applyBorder="1" applyAlignment="1">
      <alignment horizontal="center" vertical="center" wrapText="1"/>
    </xf>
    <xf numFmtId="0" fontId="9" fillId="9" borderId="22" xfId="0" applyFont="1" applyFill="1" applyBorder="1" applyAlignment="1">
      <alignment horizontal="center" vertical="center"/>
    </xf>
    <xf numFmtId="0" fontId="9" fillId="12" borderId="22" xfId="0" applyFont="1" applyFill="1" applyBorder="1" applyAlignment="1">
      <alignment horizontal="center" vertical="center"/>
    </xf>
    <xf numFmtId="0" fontId="0" fillId="11" borderId="22" xfId="0" applyFill="1" applyBorder="1" applyAlignment="1">
      <alignment horizontal="center" vertical="center"/>
    </xf>
    <xf numFmtId="167" fontId="0" fillId="5" borderId="22" xfId="0" applyNumberFormat="1" applyFill="1" applyBorder="1" applyAlignment="1">
      <alignment horizontal="center" vertical="center"/>
    </xf>
    <xf numFmtId="164" fontId="0" fillId="0" borderId="22" xfId="0" applyNumberFormat="1" applyBorder="1" applyAlignment="1">
      <alignment horizontal="center"/>
    </xf>
    <xf numFmtId="167" fontId="0" fillId="4" borderId="22" xfId="0" applyNumberFormat="1" applyFill="1" applyBorder="1" applyAlignment="1">
      <alignment horizontal="center" vertical="center"/>
    </xf>
    <xf numFmtId="164" fontId="0" fillId="4" borderId="22" xfId="0" applyNumberFormat="1" applyFont="1" applyFill="1" applyBorder="1" applyAlignment="1">
      <alignment horizontal="center"/>
    </xf>
    <xf numFmtId="2" fontId="3" fillId="6" borderId="22" xfId="0" applyNumberFormat="1" applyFont="1" applyFill="1" applyBorder="1" applyAlignment="1">
      <alignment horizontal="center" vertical="center"/>
    </xf>
    <xf numFmtId="2" fontId="0" fillId="6" borderId="22" xfId="0" applyNumberFormat="1" applyFill="1" applyBorder="1" applyAlignment="1">
      <alignment horizontal="center"/>
    </xf>
    <xf numFmtId="164" fontId="0" fillId="6" borderId="22" xfId="0" applyNumberFormat="1" applyFont="1" applyFill="1" applyBorder="1" applyAlignment="1">
      <alignment horizontal="center"/>
    </xf>
    <xf numFmtId="166" fontId="0" fillId="6" borderId="22" xfId="0" applyNumberFormat="1" applyFill="1" applyBorder="1" applyAlignment="1">
      <alignment horizontal="center" vertical="center"/>
    </xf>
    <xf numFmtId="0" fontId="3" fillId="6" borderId="22" xfId="0" applyNumberFormat="1" applyFont="1" applyFill="1" applyBorder="1" applyAlignment="1" applyProtection="1">
      <alignment horizontal="center" vertical="center" wrapText="1"/>
    </xf>
    <xf numFmtId="166" fontId="0" fillId="0" borderId="22" xfId="0" applyNumberFormat="1" applyBorder="1" applyAlignment="1"/>
    <xf numFmtId="0" fontId="0" fillId="0" borderId="22" xfId="0" applyBorder="1"/>
    <xf numFmtId="0" fontId="9" fillId="9" borderId="17" xfId="0" applyFont="1" applyFill="1" applyBorder="1" applyAlignment="1">
      <alignment horizontal="center" vertical="center"/>
    </xf>
    <xf numFmtId="0" fontId="9" fillId="7" borderId="17" xfId="0" applyFont="1" applyFill="1" applyBorder="1" applyAlignment="1">
      <alignment horizontal="center" vertical="center"/>
    </xf>
    <xf numFmtId="0" fontId="9" fillId="12" borderId="17" xfId="0" applyFont="1" applyFill="1" applyBorder="1" applyAlignment="1">
      <alignment horizontal="center" vertical="center"/>
    </xf>
    <xf numFmtId="0" fontId="3" fillId="6" borderId="17" xfId="0" applyNumberFormat="1" applyFont="1" applyFill="1" applyBorder="1" applyAlignment="1" applyProtection="1">
      <alignment horizontal="center" vertical="center" wrapText="1"/>
    </xf>
    <xf numFmtId="0" fontId="0" fillId="0" borderId="17" xfId="0" applyBorder="1"/>
    <xf numFmtId="0" fontId="0" fillId="0" borderId="17" xfId="0" applyBorder="1" applyAlignment="1"/>
    <xf numFmtId="0" fontId="0" fillId="0" borderId="24" xfId="0" applyBorder="1"/>
    <xf numFmtId="2" fontId="6" fillId="9" borderId="22" xfId="0" applyNumberFormat="1" applyFont="1" applyFill="1" applyBorder="1" applyAlignment="1">
      <alignment horizontal="center" vertical="center"/>
    </xf>
    <xf numFmtId="10" fontId="6" fillId="9" borderId="22" xfId="0" applyNumberFormat="1" applyFont="1" applyFill="1" applyBorder="1" applyAlignment="1">
      <alignment horizontal="center" vertical="center"/>
    </xf>
    <xf numFmtId="2" fontId="6" fillId="6" borderId="22" xfId="0" applyNumberFormat="1" applyFont="1" applyFill="1" applyBorder="1" applyAlignment="1">
      <alignment horizontal="center" vertical="center"/>
    </xf>
    <xf numFmtId="10" fontId="6" fillId="6" borderId="22" xfId="0" applyNumberFormat="1" applyFont="1" applyFill="1" applyBorder="1" applyAlignment="1">
      <alignment horizontal="center" vertical="center"/>
    </xf>
    <xf numFmtId="2" fontId="6" fillId="10" borderId="22" xfId="0" applyNumberFormat="1" applyFont="1" applyFill="1" applyBorder="1" applyAlignment="1">
      <alignment horizontal="center" vertical="center"/>
    </xf>
    <xf numFmtId="10" fontId="6" fillId="10" borderId="22" xfId="0" applyNumberFormat="1" applyFont="1" applyFill="1" applyBorder="1" applyAlignment="1">
      <alignment horizontal="center" vertical="center"/>
    </xf>
    <xf numFmtId="0" fontId="4" fillId="11" borderId="22" xfId="0" applyFont="1" applyFill="1" applyBorder="1" applyAlignment="1">
      <alignment horizontal="center" vertical="center"/>
    </xf>
    <xf numFmtId="164" fontId="0" fillId="5" borderId="22" xfId="0" applyNumberFormat="1" applyFill="1" applyBorder="1" applyAlignment="1">
      <alignment horizontal="center" vertical="center"/>
    </xf>
    <xf numFmtId="164" fontId="0" fillId="4" borderId="22" xfId="0" applyNumberFormat="1" applyFill="1" applyBorder="1" applyAlignment="1">
      <alignment horizontal="center"/>
    </xf>
    <xf numFmtId="164" fontId="0" fillId="6" borderId="22" xfId="0" applyNumberFormat="1" applyFill="1" applyBorder="1" applyAlignment="1">
      <alignment horizontal="center"/>
    </xf>
    <xf numFmtId="0" fontId="3" fillId="6" borderId="27" xfId="0" applyNumberFormat="1" applyFont="1" applyFill="1" applyBorder="1" applyAlignment="1" applyProtection="1">
      <alignment horizontal="center" vertical="center" wrapText="1"/>
    </xf>
    <xf numFmtId="2" fontId="6" fillId="9" borderId="17" xfId="0" applyNumberFormat="1" applyFont="1" applyFill="1" applyBorder="1" applyAlignment="1">
      <alignment horizontal="center" vertical="center"/>
    </xf>
    <xf numFmtId="10" fontId="6" fillId="9" borderId="17" xfId="0" applyNumberFormat="1" applyFont="1" applyFill="1" applyBorder="1" applyAlignment="1">
      <alignment horizontal="center" vertical="center"/>
    </xf>
    <xf numFmtId="2" fontId="6" fillId="6" borderId="17" xfId="0" applyNumberFormat="1" applyFont="1" applyFill="1" applyBorder="1" applyAlignment="1">
      <alignment horizontal="center" vertical="center"/>
    </xf>
    <xf numFmtId="10" fontId="6" fillId="6" borderId="17" xfId="0" applyNumberFormat="1" applyFont="1" applyFill="1" applyBorder="1" applyAlignment="1">
      <alignment horizontal="center" vertical="center"/>
    </xf>
    <xf numFmtId="2" fontId="6" fillId="10" borderId="17" xfId="0" applyNumberFormat="1" applyFont="1" applyFill="1" applyBorder="1" applyAlignment="1">
      <alignment horizontal="center" vertical="center"/>
    </xf>
    <xf numFmtId="10" fontId="6" fillId="10" borderId="17" xfId="0" applyNumberFormat="1" applyFont="1" applyFill="1" applyBorder="1" applyAlignment="1">
      <alignment horizontal="center" vertical="center"/>
    </xf>
    <xf numFmtId="0" fontId="4" fillId="11" borderId="17" xfId="0" applyFont="1" applyFill="1" applyBorder="1" applyAlignment="1">
      <alignment horizontal="center" vertical="center"/>
    </xf>
    <xf numFmtId="164" fontId="0" fillId="5" borderId="17" xfId="0" applyNumberFormat="1" applyFill="1" applyBorder="1" applyAlignment="1">
      <alignment horizontal="center" vertical="center"/>
    </xf>
    <xf numFmtId="164" fontId="0" fillId="4" borderId="17" xfId="0" applyNumberFormat="1" applyFill="1" applyBorder="1" applyAlignment="1">
      <alignment horizontal="center"/>
    </xf>
    <xf numFmtId="164" fontId="0" fillId="6" borderId="17" xfId="0" applyNumberFormat="1" applyFill="1" applyBorder="1" applyAlignment="1">
      <alignment horizontal="center"/>
    </xf>
    <xf numFmtId="164" fontId="0" fillId="5" borderId="17" xfId="0" applyNumberFormat="1" applyFill="1" applyBorder="1" applyAlignment="1">
      <alignment horizontal="center"/>
    </xf>
    <xf numFmtId="0" fontId="6" fillId="9" borderId="17" xfId="0" applyFont="1" applyFill="1" applyBorder="1" applyAlignment="1">
      <alignment horizontal="center" vertical="center"/>
    </xf>
    <xf numFmtId="0" fontId="0" fillId="9" borderId="17" xfId="0" applyFont="1" applyFill="1" applyBorder="1" applyAlignment="1">
      <alignment horizontal="center" vertical="center"/>
    </xf>
    <xf numFmtId="0" fontId="6" fillId="6" borderId="17" xfId="0" applyFont="1" applyFill="1" applyBorder="1" applyAlignment="1">
      <alignment horizontal="center" vertical="center"/>
    </xf>
    <xf numFmtId="0" fontId="0" fillId="6" borderId="17" xfId="0" applyFont="1" applyFill="1" applyBorder="1" applyAlignment="1">
      <alignment horizontal="center" vertical="center"/>
    </xf>
    <xf numFmtId="0" fontId="6" fillId="10" borderId="17" xfId="0" applyFont="1" applyFill="1" applyBorder="1" applyAlignment="1">
      <alignment horizontal="center" vertical="center"/>
    </xf>
    <xf numFmtId="0" fontId="0" fillId="10" borderId="17" xfId="0" applyFont="1" applyFill="1" applyBorder="1" applyAlignment="1">
      <alignment horizontal="center" vertical="center"/>
    </xf>
    <xf numFmtId="0" fontId="4" fillId="9" borderId="17" xfId="0" applyFont="1" applyFill="1" applyBorder="1" applyAlignment="1">
      <alignment horizontal="center" vertical="center"/>
    </xf>
    <xf numFmtId="0" fontId="9" fillId="6" borderId="17" xfId="0" applyFont="1" applyFill="1" applyBorder="1" applyAlignment="1">
      <alignment horizontal="center" vertical="center"/>
    </xf>
    <xf numFmtId="0" fontId="4" fillId="6" borderId="17" xfId="0" applyFont="1" applyFill="1" applyBorder="1" applyAlignment="1">
      <alignment horizontal="center" vertical="center"/>
    </xf>
    <xf numFmtId="0" fontId="9" fillId="10" borderId="17" xfId="0" applyFont="1" applyFill="1" applyBorder="1" applyAlignment="1">
      <alignment horizontal="center" vertical="center"/>
    </xf>
    <xf numFmtId="0" fontId="4" fillId="10" borderId="17" xfId="0" applyFont="1" applyFill="1" applyBorder="1" applyAlignment="1">
      <alignment horizontal="center" vertical="center"/>
    </xf>
    <xf numFmtId="0" fontId="9" fillId="9" borderId="20" xfId="0" applyFont="1" applyFill="1" applyBorder="1" applyAlignment="1">
      <alignment horizontal="center" vertical="center"/>
    </xf>
    <xf numFmtId="0" fontId="4" fillId="9" borderId="20" xfId="0" applyFont="1" applyFill="1" applyBorder="1" applyAlignment="1">
      <alignment horizontal="center" vertical="center"/>
    </xf>
    <xf numFmtId="0" fontId="9" fillId="12" borderId="20" xfId="0" applyFont="1" applyFill="1" applyBorder="1" applyAlignment="1">
      <alignment horizontal="center" vertical="center"/>
    </xf>
    <xf numFmtId="0" fontId="9" fillId="6" borderId="20" xfId="0" applyFont="1" applyFill="1" applyBorder="1" applyAlignment="1">
      <alignment horizontal="center" vertical="center"/>
    </xf>
    <xf numFmtId="0" fontId="4" fillId="6" borderId="20" xfId="0" applyFont="1" applyFill="1" applyBorder="1" applyAlignment="1">
      <alignment horizontal="center" vertical="center"/>
    </xf>
    <xf numFmtId="0" fontId="9" fillId="10" borderId="20" xfId="0" applyFont="1" applyFill="1" applyBorder="1" applyAlignment="1">
      <alignment horizontal="center" vertical="center"/>
    </xf>
    <xf numFmtId="0" fontId="4" fillId="10" borderId="20" xfId="0" applyFont="1" applyFill="1" applyBorder="1" applyAlignment="1">
      <alignment horizontal="center" vertical="center"/>
    </xf>
    <xf numFmtId="0" fontId="4" fillId="11" borderId="20" xfId="0" applyFont="1" applyFill="1" applyBorder="1" applyAlignment="1">
      <alignment horizontal="center" vertical="center"/>
    </xf>
    <xf numFmtId="167" fontId="0" fillId="5" borderId="20" xfId="0" applyNumberFormat="1" applyFill="1" applyBorder="1" applyAlignment="1">
      <alignment horizontal="center" vertical="center"/>
    </xf>
    <xf numFmtId="164" fontId="0" fillId="5" borderId="20" xfId="0" applyNumberFormat="1" applyFill="1" applyBorder="1" applyAlignment="1">
      <alignment horizontal="center"/>
    </xf>
    <xf numFmtId="164" fontId="0" fillId="5" borderId="20" xfId="0" applyNumberFormat="1" applyFill="1" applyBorder="1" applyAlignment="1">
      <alignment horizontal="center" vertical="center"/>
    </xf>
    <xf numFmtId="167"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164" fontId="0" fillId="4" borderId="20" xfId="0" applyNumberFormat="1" applyFill="1" applyBorder="1" applyAlignment="1">
      <alignment horizontal="center"/>
    </xf>
    <xf numFmtId="164" fontId="0" fillId="6" borderId="20" xfId="0" applyNumberFormat="1" applyFill="1" applyBorder="1" applyAlignment="1">
      <alignment horizontal="center"/>
    </xf>
    <xf numFmtId="0" fontId="0" fillId="5" borderId="17" xfId="0" applyFill="1" applyBorder="1" applyAlignment="1">
      <alignment horizontal="center" vertical="center"/>
    </xf>
    <xf numFmtId="166" fontId="6" fillId="0" borderId="27" xfId="0" applyNumberFormat="1" applyFont="1" applyBorder="1" applyAlignment="1">
      <alignment horizontal="center" vertical="center"/>
    </xf>
    <xf numFmtId="166" fontId="0" fillId="0" borderId="17" xfId="0" applyNumberFormat="1" applyBorder="1" applyAlignment="1">
      <alignment horizontal="center"/>
    </xf>
    <xf numFmtId="0" fontId="3" fillId="6" borderId="20" xfId="0" applyNumberFormat="1" applyFont="1" applyFill="1" applyBorder="1" applyAlignment="1" applyProtection="1">
      <alignment horizontal="center" vertical="center" wrapText="1"/>
    </xf>
    <xf numFmtId="0" fontId="0" fillId="0" borderId="20" xfId="0" applyBorder="1" applyAlignment="1"/>
    <xf numFmtId="166" fontId="6" fillId="0" borderId="18" xfId="0" applyNumberFormat="1" applyFont="1" applyBorder="1" applyAlignment="1">
      <alignment horizontal="center" vertical="center"/>
    </xf>
    <xf numFmtId="166" fontId="6" fillId="0" borderId="21" xfId="0" applyNumberFormat="1" applyFont="1" applyBorder="1" applyAlignment="1">
      <alignment horizontal="center" vertical="center"/>
    </xf>
    <xf numFmtId="166" fontId="0" fillId="0" borderId="22" xfId="0" applyNumberFormat="1" applyBorder="1" applyAlignment="1">
      <alignment horizontal="center"/>
    </xf>
    <xf numFmtId="0" fontId="0" fillId="0" borderId="20" xfId="0" applyBorder="1" applyAlignment="1">
      <alignment horizontal="center"/>
    </xf>
    <xf numFmtId="1" fontId="6" fillId="8" borderId="17" xfId="0" applyNumberFormat="1" applyFont="1" applyFill="1" applyBorder="1" applyAlignment="1">
      <alignment horizontal="center" vertical="center" wrapText="1"/>
    </xf>
    <xf numFmtId="0" fontId="9" fillId="9" borderId="22" xfId="0" applyFont="1" applyFill="1" applyBorder="1" applyAlignment="1">
      <alignment horizontal="center" vertical="center"/>
    </xf>
    <xf numFmtId="0" fontId="9" fillId="12" borderId="22" xfId="0" applyFont="1" applyFill="1" applyBorder="1" applyAlignment="1">
      <alignment horizontal="center" vertical="center"/>
    </xf>
    <xf numFmtId="1" fontId="0" fillId="0" borderId="22" xfId="0" applyNumberFormat="1" applyBorder="1" applyAlignment="1">
      <alignment horizontal="center" vertical="center"/>
    </xf>
    <xf numFmtId="0" fontId="9" fillId="9" borderId="17" xfId="0" applyFont="1" applyFill="1" applyBorder="1" applyAlignment="1">
      <alignment horizontal="center" vertical="center"/>
    </xf>
    <xf numFmtId="0" fontId="9" fillId="12" borderId="17" xfId="0" applyFont="1" applyFill="1" applyBorder="1" applyAlignment="1">
      <alignment horizontal="center" vertical="center"/>
    </xf>
    <xf numFmtId="0" fontId="7" fillId="0" borderId="17" xfId="0" applyFont="1" applyBorder="1" applyAlignment="1">
      <alignment horizontal="center" vertical="center" wrapText="1"/>
    </xf>
    <xf numFmtId="1" fontId="0" fillId="0" borderId="17" xfId="0" applyNumberFormat="1" applyBorder="1" applyAlignment="1">
      <alignment horizontal="center" vertical="center"/>
    </xf>
    <xf numFmtId="164" fontId="0" fillId="5" borderId="22" xfId="0" applyNumberFormat="1" applyFill="1" applyBorder="1" applyAlignment="1">
      <alignment horizontal="center"/>
    </xf>
    <xf numFmtId="164" fontId="5" fillId="4" borderId="22" xfId="0" applyNumberFormat="1" applyFont="1" applyFill="1" applyBorder="1" applyAlignment="1">
      <alignment horizontal="center"/>
    </xf>
    <xf numFmtId="164" fontId="5" fillId="4" borderId="17" xfId="0" applyNumberFormat="1" applyFont="1" applyFill="1" applyBorder="1" applyAlignment="1">
      <alignment horizontal="center"/>
    </xf>
    <xf numFmtId="0" fontId="9" fillId="9" borderId="20" xfId="0" applyFont="1" applyFill="1" applyBorder="1" applyAlignment="1">
      <alignment horizontal="center" vertical="center"/>
    </xf>
    <xf numFmtId="0" fontId="9" fillId="12" borderId="20" xfId="0" applyFont="1" applyFill="1" applyBorder="1" applyAlignment="1">
      <alignment horizontal="center" vertical="center"/>
    </xf>
    <xf numFmtId="164" fontId="5" fillId="4" borderId="20" xfId="0" applyNumberFormat="1" applyFont="1" applyFill="1" applyBorder="1" applyAlignment="1">
      <alignment horizontal="center"/>
    </xf>
    <xf numFmtId="1" fontId="0" fillId="0" borderId="20" xfId="0" applyNumberFormat="1" applyBorder="1" applyAlignment="1">
      <alignment horizontal="center" vertical="center"/>
    </xf>
    <xf numFmtId="0" fontId="15" fillId="9" borderId="22" xfId="0" applyFont="1" applyFill="1" applyBorder="1" applyAlignment="1">
      <alignment horizontal="center" vertical="center"/>
    </xf>
    <xf numFmtId="0" fontId="15" fillId="12" borderId="22" xfId="0" applyFont="1" applyFill="1" applyBorder="1" applyAlignment="1">
      <alignment horizontal="center" vertical="center"/>
    </xf>
    <xf numFmtId="0" fontId="5" fillId="11" borderId="22" xfId="0" applyFont="1" applyFill="1" applyBorder="1" applyAlignment="1">
      <alignment horizontal="center" vertical="center"/>
    </xf>
    <xf numFmtId="0" fontId="15" fillId="11" borderId="22" xfId="0" applyFont="1" applyFill="1" applyBorder="1" applyAlignment="1">
      <alignment horizontal="center" vertical="center"/>
    </xf>
    <xf numFmtId="167" fontId="5" fillId="5" borderId="22" xfId="0" applyNumberFormat="1" applyFont="1" applyFill="1" applyBorder="1" applyAlignment="1">
      <alignment horizontal="center" vertical="center"/>
    </xf>
    <xf numFmtId="164" fontId="5" fillId="5" borderId="22" xfId="0" applyNumberFormat="1" applyFont="1" applyFill="1" applyBorder="1" applyAlignment="1">
      <alignment horizontal="center"/>
    </xf>
    <xf numFmtId="164" fontId="5" fillId="0" borderId="22" xfId="0" applyNumberFormat="1" applyFont="1" applyBorder="1" applyAlignment="1">
      <alignment horizontal="center"/>
    </xf>
    <xf numFmtId="167" fontId="5" fillId="4" borderId="22" xfId="0" applyNumberFormat="1" applyFont="1" applyFill="1" applyBorder="1" applyAlignment="1">
      <alignment horizontal="center" vertical="center"/>
    </xf>
    <xf numFmtId="2" fontId="16" fillId="6" borderId="22" xfId="0" applyNumberFormat="1" applyFont="1" applyFill="1" applyBorder="1" applyAlignment="1">
      <alignment horizontal="center" vertical="center"/>
    </xf>
    <xf numFmtId="2" fontId="5" fillId="6" borderId="22" xfId="0" applyNumberFormat="1" applyFont="1" applyFill="1" applyBorder="1" applyAlignment="1">
      <alignment horizontal="center"/>
    </xf>
    <xf numFmtId="164" fontId="5" fillId="6" borderId="22" xfId="0" applyNumberFormat="1" applyFont="1" applyFill="1" applyBorder="1" applyAlignment="1">
      <alignment horizontal="center"/>
    </xf>
    <xf numFmtId="166" fontId="5" fillId="6" borderId="22" xfId="0" applyNumberFormat="1" applyFont="1" applyFill="1" applyBorder="1" applyAlignment="1">
      <alignment horizontal="center" vertical="center"/>
    </xf>
    <xf numFmtId="0" fontId="16" fillId="6" borderId="22" xfId="0" applyNumberFormat="1" applyFont="1" applyFill="1" applyBorder="1" applyAlignment="1" applyProtection="1">
      <alignment horizontal="center" vertical="center" wrapText="1"/>
    </xf>
    <xf numFmtId="166" fontId="5" fillId="0" borderId="22" xfId="0" applyNumberFormat="1" applyFont="1" applyBorder="1" applyAlignment="1">
      <alignment horizontal="center"/>
    </xf>
    <xf numFmtId="0" fontId="15" fillId="9" borderId="17" xfId="0" applyFont="1" applyFill="1" applyBorder="1" applyAlignment="1">
      <alignment horizontal="center" vertical="center"/>
    </xf>
    <xf numFmtId="0" fontId="15" fillId="12" borderId="17" xfId="0" applyFont="1" applyFill="1" applyBorder="1" applyAlignment="1">
      <alignment horizontal="center" vertical="center"/>
    </xf>
    <xf numFmtId="0" fontId="5" fillId="11" borderId="17" xfId="0" applyFont="1" applyFill="1" applyBorder="1" applyAlignment="1">
      <alignment horizontal="center" vertical="center"/>
    </xf>
    <xf numFmtId="0" fontId="15" fillId="11" borderId="17" xfId="0" applyFont="1" applyFill="1" applyBorder="1" applyAlignment="1">
      <alignment horizontal="center" vertical="center"/>
    </xf>
    <xf numFmtId="167" fontId="5" fillId="5" borderId="17" xfId="0" applyNumberFormat="1" applyFont="1" applyFill="1" applyBorder="1" applyAlignment="1">
      <alignment horizontal="center" vertical="center"/>
    </xf>
    <xf numFmtId="164" fontId="5" fillId="5" borderId="17" xfId="0" applyNumberFormat="1" applyFont="1" applyFill="1" applyBorder="1" applyAlignment="1">
      <alignment horizontal="center"/>
    </xf>
    <xf numFmtId="164" fontId="5" fillId="0" borderId="17" xfId="0" applyNumberFormat="1" applyFont="1" applyBorder="1" applyAlignment="1">
      <alignment horizontal="center"/>
    </xf>
    <xf numFmtId="167" fontId="5" fillId="4" borderId="17" xfId="0" applyNumberFormat="1" applyFont="1" applyFill="1" applyBorder="1" applyAlignment="1">
      <alignment horizontal="center" vertical="center"/>
    </xf>
    <xf numFmtId="2" fontId="16" fillId="6" borderId="17" xfId="0" applyNumberFormat="1" applyFont="1" applyFill="1" applyBorder="1" applyAlignment="1">
      <alignment horizontal="center" vertical="center"/>
    </xf>
    <xf numFmtId="2" fontId="5" fillId="6" borderId="17" xfId="0" applyNumberFormat="1" applyFont="1" applyFill="1" applyBorder="1" applyAlignment="1">
      <alignment horizontal="center"/>
    </xf>
    <xf numFmtId="164" fontId="5" fillId="6" borderId="17" xfId="0" applyNumberFormat="1" applyFont="1" applyFill="1" applyBorder="1" applyAlignment="1">
      <alignment horizontal="center"/>
    </xf>
    <xf numFmtId="166" fontId="5" fillId="6" borderId="17" xfId="0" applyNumberFormat="1" applyFont="1" applyFill="1" applyBorder="1" applyAlignment="1">
      <alignment horizontal="center" vertical="center"/>
    </xf>
    <xf numFmtId="0" fontId="16" fillId="6" borderId="17" xfId="0" applyNumberFormat="1" applyFont="1" applyFill="1" applyBorder="1" applyAlignment="1" applyProtection="1">
      <alignment horizontal="center" vertical="center" wrapText="1"/>
    </xf>
    <xf numFmtId="166" fontId="5" fillId="0" borderId="17" xfId="0" applyNumberFormat="1" applyFont="1" applyBorder="1" applyAlignment="1">
      <alignment horizontal="center"/>
    </xf>
    <xf numFmtId="166" fontId="0" fillId="11" borderId="22" xfId="0" applyNumberFormat="1" applyFill="1" applyBorder="1" applyAlignment="1">
      <alignment horizontal="center" vertical="center"/>
    </xf>
    <xf numFmtId="164" fontId="0" fillId="9" borderId="22" xfId="0" applyNumberFormat="1" applyFont="1" applyFill="1" applyBorder="1" applyAlignment="1">
      <alignment horizontal="center"/>
    </xf>
    <xf numFmtId="166" fontId="0" fillId="11" borderId="17" xfId="0" applyNumberFormat="1" applyFill="1" applyBorder="1" applyAlignment="1">
      <alignment horizontal="center" vertical="center"/>
    </xf>
    <xf numFmtId="164" fontId="0" fillId="9" borderId="17" xfId="0" applyNumberFormat="1" applyFont="1" applyFill="1" applyBorder="1" applyAlignment="1">
      <alignment horizontal="center"/>
    </xf>
    <xf numFmtId="164" fontId="0" fillId="9" borderId="17" xfId="0" applyNumberFormat="1" applyFill="1" applyBorder="1" applyAlignment="1">
      <alignment horizontal="center"/>
    </xf>
    <xf numFmtId="164" fontId="0" fillId="9" borderId="20" xfId="0" applyNumberFormat="1" applyFill="1" applyBorder="1" applyAlignment="1">
      <alignment horizontal="center"/>
    </xf>
    <xf numFmtId="166" fontId="0" fillId="0" borderId="22" xfId="0" applyNumberFormat="1" applyBorder="1" applyAlignment="1">
      <alignment horizontal="center" vertical="center"/>
    </xf>
    <xf numFmtId="166" fontId="0" fillId="0" borderId="17" xfId="0" applyNumberFormat="1" applyBorder="1" applyAlignment="1">
      <alignment horizontal="center" vertical="center"/>
    </xf>
    <xf numFmtId="166" fontId="0" fillId="0" borderId="20" xfId="0" applyNumberFormat="1" applyBorder="1" applyAlignment="1">
      <alignment horizontal="center" vertical="center"/>
    </xf>
    <xf numFmtId="1" fontId="0" fillId="11" borderId="22" xfId="0" applyNumberFormat="1" applyFill="1" applyBorder="1" applyAlignment="1">
      <alignment horizontal="center" vertical="center"/>
    </xf>
    <xf numFmtId="1" fontId="0" fillId="11" borderId="17" xfId="0" applyNumberFormat="1" applyFill="1" applyBorder="1" applyAlignment="1">
      <alignment horizontal="center" vertical="center"/>
    </xf>
    <xf numFmtId="166" fontId="0" fillId="11" borderId="20" xfId="0" applyNumberFormat="1" applyFill="1" applyBorder="1" applyAlignment="1">
      <alignment horizontal="center" vertical="center"/>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164" fontId="0" fillId="9" borderId="22" xfId="0" applyNumberFormat="1" applyFill="1" applyBorder="1" applyAlignment="1">
      <alignment horizontal="center"/>
    </xf>
    <xf numFmtId="0" fontId="17" fillId="0" borderId="7" xfId="0" applyFont="1" applyBorder="1" applyAlignment="1">
      <alignment horizontal="center" vertical="center"/>
    </xf>
    <xf numFmtId="0" fontId="0" fillId="0" borderId="34" xfId="0" applyBorder="1" applyAlignment="1"/>
    <xf numFmtId="0" fontId="18" fillId="0" borderId="0" xfId="0" applyFont="1" applyAlignment="1">
      <alignment horizontal="right" vertical="center" wrapText="1"/>
    </xf>
    <xf numFmtId="0" fontId="19" fillId="0" borderId="0" xfId="0" applyFont="1"/>
    <xf numFmtId="0" fontId="20" fillId="0" borderId="17" xfId="0" applyFont="1" applyBorder="1" applyAlignment="1">
      <alignment horizontal="center" vertical="center"/>
    </xf>
    <xf numFmtId="0" fontId="20" fillId="0" borderId="17" xfId="0" applyFont="1" applyBorder="1" applyAlignment="1">
      <alignment horizontal="center" vertical="center"/>
    </xf>
    <xf numFmtId="0" fontId="21" fillId="0" borderId="17" xfId="0" applyFont="1" applyBorder="1" applyAlignment="1">
      <alignment horizontal="center" vertical="center"/>
    </xf>
    <xf numFmtId="0" fontId="22" fillId="0" borderId="0" xfId="0" applyFont="1"/>
    <xf numFmtId="0" fontId="20" fillId="0" borderId="0" xfId="0" applyFont="1" applyFill="1" applyBorder="1" applyAlignment="1">
      <alignment horizontal="center" vertical="center" wrapText="1"/>
    </xf>
    <xf numFmtId="0" fontId="20" fillId="0" borderId="0" xfId="0" applyFont="1" applyFill="1" applyBorder="1" applyAlignment="1">
      <alignment horizontal="justify" vertical="center" wrapText="1"/>
    </xf>
    <xf numFmtId="0" fontId="20" fillId="0" borderId="0" xfId="0" applyFont="1" applyFill="1" applyBorder="1" applyAlignment="1">
      <alignment horizontal="center" vertical="center"/>
    </xf>
    <xf numFmtId="0" fontId="1" fillId="0" borderId="0" xfId="0" applyFont="1" applyFill="1" applyBorder="1"/>
    <xf numFmtId="0" fontId="20" fillId="0" borderId="17"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17" xfId="0" applyFont="1" applyFill="1" applyBorder="1" applyAlignment="1">
      <alignment horizontal="center" vertical="center"/>
    </xf>
    <xf numFmtId="0" fontId="18" fillId="0" borderId="0" xfId="0" applyFont="1" applyBorder="1" applyAlignment="1">
      <alignment horizontal="right" vertical="center" wrapText="1"/>
    </xf>
    <xf numFmtId="0" fontId="0" fillId="0" borderId="0" xfId="0" applyBorder="1"/>
    <xf numFmtId="0" fontId="10" fillId="2" borderId="0" xfId="0" applyFont="1" applyFill="1" applyBorder="1" applyAlignment="1">
      <alignment vertical="center" wrapText="1"/>
    </xf>
    <xf numFmtId="0" fontId="19" fillId="2" borderId="0" xfId="0" applyFont="1" applyFill="1" applyBorder="1"/>
    <xf numFmtId="0" fontId="1" fillId="0" borderId="0" xfId="0" applyFont="1" applyBorder="1"/>
    <xf numFmtId="0" fontId="10" fillId="2" borderId="16" xfId="0" applyFont="1" applyFill="1" applyBorder="1" applyAlignment="1">
      <alignment horizontal="center" vertical="center"/>
    </xf>
    <xf numFmtId="0" fontId="20" fillId="0" borderId="16" xfId="0" applyFont="1" applyBorder="1" applyAlignment="1">
      <alignment horizontal="center" vertical="center" wrapText="1"/>
    </xf>
    <xf numFmtId="0" fontId="21" fillId="0" borderId="16"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xf>
    <xf numFmtId="0" fontId="20" fillId="0" borderId="20"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horizontal="center" vertical="center" wrapText="1"/>
    </xf>
    <xf numFmtId="0" fontId="20" fillId="0" borderId="16"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xf>
    <xf numFmtId="0" fontId="1" fillId="2" borderId="0" xfId="0" applyFont="1" applyFill="1"/>
    <xf numFmtId="0" fontId="11" fillId="2" borderId="16" xfId="0" applyFont="1" applyFill="1" applyBorder="1" applyAlignment="1">
      <alignment horizontal="center"/>
    </xf>
    <xf numFmtId="0" fontId="11" fillId="2" borderId="17" xfId="0" applyFont="1" applyFill="1" applyBorder="1" applyAlignment="1">
      <alignment horizontal="center"/>
    </xf>
    <xf numFmtId="0" fontId="11" fillId="2" borderId="14" xfId="0" applyFont="1" applyFill="1" applyBorder="1" applyAlignment="1">
      <alignment vertical="center" wrapText="1"/>
    </xf>
    <xf numFmtId="0" fontId="11" fillId="2" borderId="0" xfId="0" applyFont="1" applyFill="1" applyBorder="1" applyAlignment="1">
      <alignment vertical="center" wrapText="1"/>
    </xf>
    <xf numFmtId="0" fontId="1" fillId="2" borderId="14" xfId="0" applyFont="1" applyFill="1" applyBorder="1"/>
    <xf numFmtId="0" fontId="1" fillId="2" borderId="0" xfId="0" applyFont="1" applyFill="1" applyBorder="1"/>
    <xf numFmtId="0" fontId="1" fillId="0" borderId="14" xfId="0" applyFont="1" applyBorder="1"/>
    <xf numFmtId="0" fontId="0" fillId="0" borderId="4" xfId="0" applyBorder="1" applyAlignment="1"/>
    <xf numFmtId="0" fontId="0" fillId="0" borderId="5" xfId="0" applyBorder="1" applyAlignment="1"/>
    <xf numFmtId="0" fontId="0" fillId="0" borderId="6" xfId="0" applyBorder="1" applyAlignment="1"/>
    <xf numFmtId="0" fontId="0" fillId="0" borderId="14" xfId="0" applyBorder="1" applyAlignment="1"/>
    <xf numFmtId="0" fontId="23" fillId="0" borderId="1" xfId="0" applyFont="1" applyBorder="1" applyAlignment="1">
      <alignment horizontal="left" vertical="center" wrapText="1"/>
    </xf>
    <xf numFmtId="0" fontId="0" fillId="0" borderId="11" xfId="0" applyBorder="1" applyAlignment="1">
      <alignment horizontal="center"/>
    </xf>
    <xf numFmtId="0" fontId="20" fillId="0" borderId="0" xfId="0" applyFont="1" applyBorder="1" applyAlignment="1">
      <alignment horizontal="center" vertical="center" wrapText="1"/>
    </xf>
    <xf numFmtId="0" fontId="20" fillId="0" borderId="0" xfId="0" applyNumberFormat="1" applyFont="1" applyFill="1" applyBorder="1" applyAlignment="1">
      <alignment horizontal="justify" vertical="center" wrapText="1"/>
    </xf>
    <xf numFmtId="0" fontId="20" fillId="0" borderId="0" xfId="0" applyFont="1" applyBorder="1" applyAlignment="1">
      <alignment horizontal="center" vertical="center"/>
    </xf>
    <xf numFmtId="0" fontId="18" fillId="0" borderId="0" xfId="0" applyFont="1" applyAlignment="1">
      <alignment horizontal="right" vertical="center" wrapText="1"/>
    </xf>
    <xf numFmtId="0" fontId="20" fillId="0" borderId="20" xfId="0" applyFont="1" applyBorder="1" applyAlignment="1">
      <alignment horizontal="center" vertical="center"/>
    </xf>
    <xf numFmtId="0" fontId="11" fillId="2" borderId="17" xfId="0" applyFont="1" applyFill="1" applyBorder="1" applyAlignment="1">
      <alignment horizontal="center"/>
    </xf>
    <xf numFmtId="0" fontId="20" fillId="0" borderId="17" xfId="0" applyFont="1" applyBorder="1" applyAlignment="1">
      <alignment horizontal="center" vertical="center"/>
    </xf>
    <xf numFmtId="0" fontId="10" fillId="2" borderId="17" xfId="0" applyFont="1" applyFill="1" applyBorder="1" applyAlignment="1">
      <alignment horizontal="center" vertical="center"/>
    </xf>
    <xf numFmtId="0" fontId="1" fillId="0" borderId="3" xfId="0" applyFont="1" applyFill="1" applyBorder="1" applyAlignment="1">
      <alignment horizontal="center" vertical="center" wrapText="1"/>
    </xf>
    <xf numFmtId="164" fontId="1" fillId="0" borderId="3" xfId="0" applyNumberFormat="1" applyFont="1" applyFill="1" applyBorder="1" applyAlignment="1">
      <alignment horizontal="center"/>
    </xf>
    <xf numFmtId="2" fontId="1" fillId="0" borderId="3" xfId="0" applyNumberFormat="1" applyFont="1" applyFill="1" applyBorder="1" applyAlignment="1">
      <alignment horizontal="center"/>
    </xf>
    <xf numFmtId="0" fontId="3" fillId="0" borderId="3" xfId="0" applyFont="1" applyFill="1" applyBorder="1" applyAlignment="1">
      <alignment horizontal="center" vertical="center" wrapText="1"/>
    </xf>
    <xf numFmtId="0" fontId="9" fillId="9" borderId="17" xfId="0" applyFont="1" applyFill="1" applyBorder="1" applyAlignment="1">
      <alignment horizontal="center" vertical="center"/>
    </xf>
    <xf numFmtId="0" fontId="6" fillId="0" borderId="17" xfId="0" applyFont="1" applyBorder="1" applyAlignment="1">
      <alignment horizontal="center" vertical="center"/>
    </xf>
    <xf numFmtId="0" fontId="9" fillId="9" borderId="17" xfId="0" applyFont="1" applyFill="1" applyBorder="1" applyAlignment="1">
      <alignment horizontal="center" vertical="center"/>
    </xf>
    <xf numFmtId="0" fontId="9" fillId="9" borderId="20" xfId="0" applyFont="1" applyFill="1" applyBorder="1" applyAlignment="1">
      <alignment horizontal="center" vertical="center"/>
    </xf>
    <xf numFmtId="0" fontId="9" fillId="12" borderId="22" xfId="0" applyFont="1" applyFill="1" applyBorder="1" applyAlignment="1">
      <alignment horizontal="center" vertical="center"/>
    </xf>
    <xf numFmtId="0" fontId="9" fillId="12" borderId="17" xfId="0" applyFont="1" applyFill="1" applyBorder="1" applyAlignment="1">
      <alignment horizontal="center" vertical="center"/>
    </xf>
    <xf numFmtId="0" fontId="9" fillId="12" borderId="20" xfId="0" applyFont="1" applyFill="1" applyBorder="1" applyAlignment="1">
      <alignment horizontal="center" vertical="center"/>
    </xf>
    <xf numFmtId="2" fontId="6" fillId="9" borderId="23" xfId="0" applyNumberFormat="1" applyFont="1" applyFill="1" applyBorder="1" applyAlignment="1">
      <alignment horizontal="center" vertical="center"/>
    </xf>
    <xf numFmtId="2" fontId="6" fillId="6" borderId="23" xfId="0" applyNumberFormat="1" applyFont="1" applyFill="1" applyBorder="1" applyAlignment="1">
      <alignment horizontal="center" vertical="center"/>
    </xf>
    <xf numFmtId="2" fontId="6" fillId="10" borderId="23" xfId="0" applyNumberFormat="1" applyFont="1" applyFill="1" applyBorder="1" applyAlignment="1">
      <alignment horizontal="center" vertical="center"/>
    </xf>
    <xf numFmtId="0" fontId="0" fillId="11" borderId="23" xfId="0" applyFill="1" applyBorder="1" applyAlignment="1">
      <alignment horizontal="center" vertical="center"/>
    </xf>
    <xf numFmtId="0" fontId="4" fillId="11" borderId="23" xfId="0" applyFont="1" applyFill="1" applyBorder="1" applyAlignment="1">
      <alignment horizontal="center" vertical="center"/>
    </xf>
    <xf numFmtId="167" fontId="0" fillId="5" borderId="23" xfId="0" applyNumberFormat="1" applyFill="1" applyBorder="1" applyAlignment="1">
      <alignment horizontal="center" vertical="center"/>
    </xf>
    <xf numFmtId="164" fontId="0" fillId="5" borderId="23" xfId="0" applyNumberFormat="1" applyFill="1" applyBorder="1" applyAlignment="1">
      <alignment horizontal="center" vertical="center"/>
    </xf>
    <xf numFmtId="164" fontId="0" fillId="0" borderId="23" xfId="0" applyNumberFormat="1" applyBorder="1" applyAlignment="1">
      <alignment horizontal="center"/>
    </xf>
    <xf numFmtId="167" fontId="0" fillId="4" borderId="23" xfId="0" applyNumberFormat="1" applyFill="1" applyBorder="1" applyAlignment="1">
      <alignment horizontal="center" vertical="center"/>
    </xf>
    <xf numFmtId="164" fontId="0" fillId="4" borderId="23" xfId="0" applyNumberFormat="1" applyFill="1" applyBorder="1" applyAlignment="1">
      <alignment horizontal="center"/>
    </xf>
    <xf numFmtId="2" fontId="3" fillId="6" borderId="23" xfId="0" applyNumberFormat="1" applyFont="1" applyFill="1" applyBorder="1" applyAlignment="1">
      <alignment horizontal="center" vertical="center"/>
    </xf>
    <xf numFmtId="2" fontId="0" fillId="6" borderId="23" xfId="0" applyNumberFormat="1" applyFill="1" applyBorder="1" applyAlignment="1">
      <alignment horizontal="center"/>
    </xf>
    <xf numFmtId="164" fontId="0" fillId="6" borderId="23" xfId="0" applyNumberFormat="1" applyFill="1" applyBorder="1" applyAlignment="1">
      <alignment horizontal="center"/>
    </xf>
    <xf numFmtId="166" fontId="0" fillId="6" borderId="23" xfId="0" applyNumberFormat="1" applyFill="1" applyBorder="1" applyAlignment="1">
      <alignment horizontal="center" vertical="center"/>
    </xf>
    <xf numFmtId="0" fontId="3" fillId="6" borderId="39" xfId="0" applyNumberFormat="1" applyFont="1" applyFill="1" applyBorder="1" applyAlignment="1" applyProtection="1">
      <alignment horizontal="center" vertical="center" wrapText="1"/>
    </xf>
    <xf numFmtId="0" fontId="9" fillId="9" borderId="28" xfId="0" applyFont="1" applyFill="1" applyBorder="1" applyAlignment="1">
      <alignment horizontal="center" vertical="center"/>
    </xf>
    <xf numFmtId="0" fontId="4" fillId="9" borderId="28" xfId="0" applyFont="1" applyFill="1" applyBorder="1" applyAlignment="1">
      <alignment horizontal="center" vertical="center"/>
    </xf>
    <xf numFmtId="0" fontId="9" fillId="6" borderId="28" xfId="0" applyFont="1" applyFill="1" applyBorder="1" applyAlignment="1">
      <alignment horizontal="center" vertical="center"/>
    </xf>
    <xf numFmtId="0" fontId="4" fillId="6" borderId="28" xfId="0" applyFont="1" applyFill="1" applyBorder="1" applyAlignment="1">
      <alignment horizontal="center" vertical="center"/>
    </xf>
    <xf numFmtId="0" fontId="9" fillId="10" borderId="28" xfId="0" applyFont="1" applyFill="1" applyBorder="1" applyAlignment="1">
      <alignment horizontal="center" vertical="center"/>
    </xf>
    <xf numFmtId="0" fontId="4" fillId="10" borderId="28" xfId="0" applyFont="1" applyFill="1" applyBorder="1" applyAlignment="1">
      <alignment horizontal="center" vertical="center"/>
    </xf>
    <xf numFmtId="0" fontId="0" fillId="11" borderId="28" xfId="0" applyFill="1" applyBorder="1" applyAlignment="1">
      <alignment horizontal="center" vertical="center"/>
    </xf>
    <xf numFmtId="0" fontId="4" fillId="11" borderId="28" xfId="0" applyFont="1" applyFill="1" applyBorder="1" applyAlignment="1">
      <alignment horizontal="center" vertical="center"/>
    </xf>
    <xf numFmtId="167" fontId="0" fillId="5" borderId="28" xfId="0" applyNumberFormat="1" applyFill="1" applyBorder="1" applyAlignment="1">
      <alignment horizontal="center" vertical="center"/>
    </xf>
    <xf numFmtId="164" fontId="0" fillId="5" borderId="28" xfId="0" applyNumberFormat="1" applyFill="1" applyBorder="1" applyAlignment="1">
      <alignment horizontal="center"/>
    </xf>
    <xf numFmtId="164" fontId="0" fillId="5" borderId="28" xfId="0" applyNumberFormat="1" applyFill="1" applyBorder="1" applyAlignment="1">
      <alignment horizontal="center" vertical="center"/>
    </xf>
    <xf numFmtId="164" fontId="0" fillId="0" borderId="28" xfId="0" applyNumberFormat="1" applyBorder="1" applyAlignment="1">
      <alignment horizontal="center"/>
    </xf>
    <xf numFmtId="167" fontId="0" fillId="4" borderId="28" xfId="0" applyNumberFormat="1" applyFill="1" applyBorder="1" applyAlignment="1">
      <alignment horizontal="center" vertical="center"/>
    </xf>
    <xf numFmtId="0" fontId="0" fillId="4" borderId="28" xfId="0" applyFill="1" applyBorder="1" applyAlignment="1">
      <alignment horizontal="center" vertical="center"/>
    </xf>
    <xf numFmtId="164" fontId="0" fillId="4" borderId="28" xfId="0" applyNumberFormat="1" applyFill="1" applyBorder="1" applyAlignment="1">
      <alignment horizontal="center"/>
    </xf>
    <xf numFmtId="2" fontId="3" fillId="6" borderId="28" xfId="0" applyNumberFormat="1" applyFont="1" applyFill="1" applyBorder="1" applyAlignment="1">
      <alignment horizontal="center" vertical="center"/>
    </xf>
    <xf numFmtId="2" fontId="0" fillId="6" borderId="28" xfId="0" applyNumberFormat="1" applyFill="1" applyBorder="1" applyAlignment="1">
      <alignment horizontal="center"/>
    </xf>
    <xf numFmtId="164" fontId="0" fillId="6" borderId="28" xfId="0" applyNumberFormat="1" applyFill="1" applyBorder="1" applyAlignment="1">
      <alignment horizontal="center"/>
    </xf>
    <xf numFmtId="166" fontId="0" fillId="6" borderId="28" xfId="0" applyNumberFormat="1" applyFill="1" applyBorder="1" applyAlignment="1">
      <alignment horizontal="center" vertical="center"/>
    </xf>
    <xf numFmtId="0" fontId="3" fillId="6" borderId="40" xfId="0" applyNumberFormat="1" applyFont="1" applyFill="1" applyBorder="1" applyAlignment="1" applyProtection="1">
      <alignment horizontal="center" vertical="center" wrapText="1"/>
    </xf>
    <xf numFmtId="2" fontId="12" fillId="2" borderId="22" xfId="0" applyNumberFormat="1" applyFont="1" applyFill="1" applyBorder="1" applyAlignment="1">
      <alignment horizontal="center" vertical="center"/>
    </xf>
    <xf numFmtId="2" fontId="12" fillId="2" borderId="23" xfId="0" applyNumberFormat="1" applyFont="1" applyFill="1" applyBorder="1" applyAlignment="1">
      <alignment horizontal="center" vertical="center"/>
    </xf>
    <xf numFmtId="10" fontId="12" fillId="2" borderId="23" xfId="0" applyNumberFormat="1" applyFont="1" applyFill="1" applyBorder="1" applyAlignment="1">
      <alignment horizontal="center" vertical="center"/>
    </xf>
    <xf numFmtId="2" fontId="12" fillId="2" borderId="17" xfId="0" applyNumberFormat="1" applyFont="1" applyFill="1" applyBorder="1" applyAlignment="1">
      <alignment horizontal="center" vertical="center"/>
    </xf>
    <xf numFmtId="10" fontId="12" fillId="2" borderId="17" xfId="0" applyNumberFormat="1" applyFont="1" applyFill="1" applyBorder="1" applyAlignment="1">
      <alignment horizontal="center" vertical="center"/>
    </xf>
    <xf numFmtId="0" fontId="12" fillId="2" borderId="17" xfId="0" applyFont="1" applyFill="1" applyBorder="1" applyAlignment="1">
      <alignment horizontal="center" vertical="center"/>
    </xf>
    <xf numFmtId="0" fontId="24" fillId="2" borderId="17" xfId="0" applyFont="1" applyFill="1" applyBorder="1" applyAlignment="1">
      <alignment horizontal="center" vertical="center"/>
    </xf>
    <xf numFmtId="0" fontId="25" fillId="2" borderId="17" xfId="0" applyFont="1" applyFill="1" applyBorder="1" applyAlignment="1">
      <alignment horizontal="center" vertical="center"/>
    </xf>
    <xf numFmtId="0" fontId="26" fillId="2" borderId="17" xfId="0" applyFont="1" applyFill="1" applyBorder="1" applyAlignment="1">
      <alignment horizontal="center" vertical="center"/>
    </xf>
    <xf numFmtId="0" fontId="25" fillId="2" borderId="28" xfId="0" applyFont="1" applyFill="1" applyBorder="1" applyAlignment="1">
      <alignment horizontal="center" vertical="center"/>
    </xf>
    <xf numFmtId="0" fontId="26" fillId="2" borderId="28" xfId="0" applyFont="1" applyFill="1" applyBorder="1" applyAlignment="1">
      <alignment horizontal="center" vertical="center"/>
    </xf>
    <xf numFmtId="0" fontId="25" fillId="2" borderId="20" xfId="0" applyFont="1" applyFill="1" applyBorder="1" applyAlignment="1">
      <alignment horizontal="center" vertical="center"/>
    </xf>
    <xf numFmtId="0" fontId="26" fillId="2" borderId="20" xfId="0" applyFont="1" applyFill="1" applyBorder="1" applyAlignment="1">
      <alignment horizontal="center" vertical="center"/>
    </xf>
    <xf numFmtId="0" fontId="26" fillId="2" borderId="22" xfId="0" applyFont="1" applyFill="1" applyBorder="1" applyAlignment="1">
      <alignment horizontal="center" vertical="center"/>
    </xf>
    <xf numFmtId="0" fontId="26" fillId="2" borderId="17" xfId="0" applyFont="1" applyFill="1" applyBorder="1" applyAlignment="1">
      <alignment horizontal="center" vertical="center"/>
    </xf>
    <xf numFmtId="10" fontId="25" fillId="2" borderId="22" xfId="0" applyNumberFormat="1" applyFont="1" applyFill="1" applyBorder="1" applyAlignment="1">
      <alignment horizontal="center" vertical="center"/>
    </xf>
    <xf numFmtId="10" fontId="25" fillId="2" borderId="17" xfId="0" applyNumberFormat="1" applyFont="1" applyFill="1" applyBorder="1" applyAlignment="1">
      <alignment horizontal="center" vertical="center"/>
    </xf>
    <xf numFmtId="0" fontId="9" fillId="12" borderId="22" xfId="0" applyFont="1" applyFill="1" applyBorder="1" applyAlignment="1">
      <alignment horizontal="center" vertical="center"/>
    </xf>
    <xf numFmtId="0" fontId="9" fillId="12" borderId="17" xfId="0" applyFont="1" applyFill="1" applyBorder="1" applyAlignment="1">
      <alignment horizontal="center" vertical="center"/>
    </xf>
    <xf numFmtId="0" fontId="9" fillId="12" borderId="20" xfId="0" applyFont="1" applyFill="1" applyBorder="1" applyAlignment="1">
      <alignment horizontal="center" vertical="center"/>
    </xf>
    <xf numFmtId="0" fontId="9" fillId="9" borderId="17" xfId="0" applyFont="1" applyFill="1" applyBorder="1" applyAlignment="1">
      <alignment horizontal="center" vertical="center"/>
    </xf>
    <xf numFmtId="0" fontId="9" fillId="9" borderId="20" xfId="0" applyFont="1" applyFill="1" applyBorder="1" applyAlignment="1">
      <alignment horizontal="center" vertical="center"/>
    </xf>
    <xf numFmtId="0" fontId="18" fillId="0" borderId="0" xfId="0" applyFont="1" applyAlignment="1">
      <alignment horizontal="right" vertical="center" wrapText="1"/>
    </xf>
    <xf numFmtId="0" fontId="20" fillId="0" borderId="17" xfId="0" applyFont="1" applyBorder="1" applyAlignment="1">
      <alignment horizontal="center" vertical="center"/>
    </xf>
    <xf numFmtId="0" fontId="10" fillId="2" borderId="17" xfId="0" applyFont="1" applyFill="1" applyBorder="1" applyAlignment="1">
      <alignment horizontal="center" vertical="center"/>
    </xf>
    <xf numFmtId="0" fontId="20" fillId="0" borderId="20" xfId="0" applyFont="1" applyBorder="1" applyAlignment="1">
      <alignment horizontal="center" vertical="center"/>
    </xf>
    <xf numFmtId="0" fontId="11" fillId="2" borderId="17" xfId="0" applyFont="1" applyFill="1" applyBorder="1" applyAlignment="1">
      <alignment horizontal="center"/>
    </xf>
    <xf numFmtId="0" fontId="3" fillId="6" borderId="23" xfId="0" applyNumberFormat="1" applyFont="1" applyFill="1" applyBorder="1" applyAlignment="1" applyProtection="1">
      <alignment horizontal="center" vertical="center" wrapText="1"/>
    </xf>
    <xf numFmtId="0" fontId="15" fillId="9" borderId="28" xfId="0" applyFont="1" applyFill="1" applyBorder="1" applyAlignment="1">
      <alignment horizontal="center" vertical="center"/>
    </xf>
    <xf numFmtId="0" fontId="15" fillId="12" borderId="28" xfId="0" applyFont="1" applyFill="1" applyBorder="1" applyAlignment="1">
      <alignment horizontal="center" vertical="center"/>
    </xf>
    <xf numFmtId="0" fontId="5" fillId="11" borderId="28" xfId="0" applyFont="1" applyFill="1" applyBorder="1" applyAlignment="1">
      <alignment horizontal="center" vertical="center"/>
    </xf>
    <xf numFmtId="0" fontId="15" fillId="11" borderId="28" xfId="0" applyFont="1" applyFill="1" applyBorder="1" applyAlignment="1">
      <alignment horizontal="center" vertical="center"/>
    </xf>
    <xf numFmtId="167" fontId="5" fillId="5" borderId="28" xfId="0" applyNumberFormat="1" applyFont="1" applyFill="1" applyBorder="1" applyAlignment="1">
      <alignment horizontal="center" vertical="center"/>
    </xf>
    <xf numFmtId="164" fontId="5" fillId="5" borderId="28" xfId="0" applyNumberFormat="1" applyFont="1" applyFill="1" applyBorder="1" applyAlignment="1">
      <alignment horizontal="center"/>
    </xf>
    <xf numFmtId="164" fontId="5" fillId="0" borderId="28" xfId="0" applyNumberFormat="1" applyFont="1" applyBorder="1" applyAlignment="1">
      <alignment horizontal="center"/>
    </xf>
    <xf numFmtId="167" fontId="5" fillId="4" borderId="28" xfId="0" applyNumberFormat="1" applyFont="1" applyFill="1" applyBorder="1" applyAlignment="1">
      <alignment horizontal="center" vertical="center"/>
    </xf>
    <xf numFmtId="164" fontId="5" fillId="4" borderId="28" xfId="0" applyNumberFormat="1" applyFont="1" applyFill="1" applyBorder="1" applyAlignment="1">
      <alignment horizontal="center"/>
    </xf>
    <xf numFmtId="2" fontId="16" fillId="6" borderId="28" xfId="0" applyNumberFormat="1" applyFont="1" applyFill="1" applyBorder="1" applyAlignment="1">
      <alignment horizontal="center" vertical="center"/>
    </xf>
    <xf numFmtId="2" fontId="5" fillId="6" borderId="28" xfId="0" applyNumberFormat="1" applyFont="1" applyFill="1" applyBorder="1" applyAlignment="1">
      <alignment horizontal="center"/>
    </xf>
    <xf numFmtId="164" fontId="5" fillId="6" borderId="28" xfId="0" applyNumberFormat="1" applyFont="1" applyFill="1" applyBorder="1" applyAlignment="1">
      <alignment horizontal="center"/>
    </xf>
    <xf numFmtId="166" fontId="5" fillId="6" borderId="28" xfId="0" applyNumberFormat="1" applyFont="1" applyFill="1" applyBorder="1" applyAlignment="1">
      <alignment horizontal="center" vertical="center"/>
    </xf>
    <xf numFmtId="0" fontId="16" fillId="6" borderId="28" xfId="0" applyNumberFormat="1" applyFont="1" applyFill="1" applyBorder="1" applyAlignment="1" applyProtection="1">
      <alignment horizontal="center" vertical="center" wrapText="1"/>
    </xf>
    <xf numFmtId="0" fontId="5" fillId="0" borderId="28" xfId="0" applyFont="1" applyBorder="1" applyAlignment="1">
      <alignment horizontal="center"/>
    </xf>
    <xf numFmtId="0" fontId="0" fillId="0" borderId="23" xfId="0" applyBorder="1"/>
    <xf numFmtId="0" fontId="9" fillId="9" borderId="23" xfId="0" applyFont="1" applyFill="1" applyBorder="1" applyAlignment="1">
      <alignment horizontal="center" vertical="center"/>
    </xf>
    <xf numFmtId="0" fontId="9" fillId="7" borderId="23" xfId="0" applyFont="1" applyFill="1" applyBorder="1" applyAlignment="1">
      <alignment horizontal="center" vertical="center"/>
    </xf>
    <xf numFmtId="0" fontId="9" fillId="12" borderId="23" xfId="0" applyFont="1" applyFill="1" applyBorder="1" applyAlignment="1">
      <alignment horizontal="center" vertical="center"/>
    </xf>
    <xf numFmtId="164" fontId="0" fillId="5" borderId="23" xfId="0" applyNumberFormat="1" applyFont="1" applyFill="1" applyBorder="1" applyAlignment="1">
      <alignment horizontal="center"/>
    </xf>
    <xf numFmtId="164" fontId="0" fillId="4" borderId="23" xfId="0" applyNumberFormat="1" applyFont="1" applyFill="1" applyBorder="1" applyAlignment="1">
      <alignment horizontal="center"/>
    </xf>
    <xf numFmtId="168" fontId="0" fillId="4" borderId="23" xfId="0" applyNumberFormat="1" applyFont="1" applyFill="1" applyBorder="1" applyAlignment="1">
      <alignment horizontal="center"/>
    </xf>
    <xf numFmtId="164" fontId="0" fillId="6" borderId="23" xfId="0" applyNumberFormat="1" applyFont="1" applyFill="1" applyBorder="1" applyAlignment="1">
      <alignment horizontal="center"/>
    </xf>
    <xf numFmtId="0" fontId="25" fillId="2" borderId="22" xfId="0" applyFont="1" applyFill="1" applyBorder="1" applyAlignment="1">
      <alignment horizontal="center" vertical="center"/>
    </xf>
    <xf numFmtId="0" fontId="25" fillId="2" borderId="22" xfId="0" applyFont="1" applyFill="1" applyBorder="1" applyAlignment="1">
      <alignment horizontal="center" vertical="center"/>
    </xf>
    <xf numFmtId="0" fontId="25" fillId="2" borderId="17" xfId="0" applyFont="1" applyFill="1" applyBorder="1" applyAlignment="1">
      <alignment horizontal="center" vertical="center"/>
    </xf>
    <xf numFmtId="0" fontId="25" fillId="2" borderId="20" xfId="0" applyFont="1" applyFill="1" applyBorder="1" applyAlignment="1">
      <alignment horizontal="center" vertical="center"/>
    </xf>
    <xf numFmtId="0" fontId="0" fillId="0" borderId="20" xfId="0" applyBorder="1"/>
    <xf numFmtId="0" fontId="9" fillId="9" borderId="17" xfId="0" applyFont="1" applyFill="1" applyBorder="1" applyAlignment="1">
      <alignment horizontal="center" vertical="center"/>
    </xf>
    <xf numFmtId="0" fontId="9" fillId="12" borderId="17" xfId="0" applyFont="1" applyFill="1" applyBorder="1" applyAlignment="1">
      <alignment horizontal="center" vertical="center"/>
    </xf>
    <xf numFmtId="0" fontId="25" fillId="2" borderId="23" xfId="0" applyFont="1" applyFill="1" applyBorder="1" applyAlignment="1">
      <alignment horizontal="center" vertical="center"/>
    </xf>
    <xf numFmtId="164" fontId="0" fillId="5" borderId="23" xfId="0" applyNumberFormat="1" applyFill="1" applyBorder="1" applyAlignment="1">
      <alignment horizontal="center"/>
    </xf>
    <xf numFmtId="166" fontId="0" fillId="0" borderId="23" xfId="0" applyNumberFormat="1" applyBorder="1" applyAlignment="1">
      <alignment horizontal="center"/>
    </xf>
    <xf numFmtId="1" fontId="9" fillId="9" borderId="22" xfId="0" applyNumberFormat="1" applyFont="1" applyFill="1" applyBorder="1" applyAlignment="1">
      <alignment horizontal="center" vertical="center"/>
    </xf>
    <xf numFmtId="1" fontId="9" fillId="9" borderId="23" xfId="0" applyNumberFormat="1" applyFont="1" applyFill="1" applyBorder="1" applyAlignment="1">
      <alignment horizontal="center" vertical="center"/>
    </xf>
    <xf numFmtId="1" fontId="0" fillId="6" borderId="23" xfId="0" applyNumberFormat="1" applyFill="1" applyBorder="1" applyAlignment="1">
      <alignment horizontal="center" vertical="center"/>
    </xf>
    <xf numFmtId="0" fontId="6" fillId="0" borderId="13"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1" xfId="0" applyBorder="1"/>
    <xf numFmtId="0" fontId="20" fillId="2" borderId="0" xfId="0" applyFont="1" applyFill="1" applyBorder="1" applyAlignment="1">
      <alignment horizontal="left" vertical="center"/>
    </xf>
    <xf numFmtId="0" fontId="9" fillId="12" borderId="17" xfId="0" applyFont="1" applyFill="1" applyBorder="1" applyAlignment="1">
      <alignment horizontal="center" vertical="center"/>
    </xf>
    <xf numFmtId="0" fontId="9" fillId="9" borderId="17" xfId="0" applyFont="1" applyFill="1" applyBorder="1" applyAlignment="1">
      <alignment horizontal="center" vertical="center"/>
    </xf>
    <xf numFmtId="2" fontId="0" fillId="5" borderId="17" xfId="0" applyNumberFormat="1" applyFont="1" applyFill="1" applyBorder="1" applyAlignment="1">
      <alignment horizontal="center"/>
    </xf>
    <xf numFmtId="1" fontId="1" fillId="0" borderId="3" xfId="0" applyNumberFormat="1" applyFont="1" applyBorder="1" applyAlignment="1">
      <alignment horizontal="center" vertical="center" wrapText="1"/>
    </xf>
    <xf numFmtId="0" fontId="18" fillId="0" borderId="0" xfId="0" applyFont="1" applyAlignment="1">
      <alignment horizontal="right" vertical="center" wrapText="1"/>
    </xf>
    <xf numFmtId="0" fontId="20" fillId="0" borderId="17" xfId="0" applyFont="1" applyBorder="1" applyAlignment="1">
      <alignment horizontal="center" vertical="center"/>
    </xf>
    <xf numFmtId="0" fontId="20" fillId="0" borderId="20" xfId="0" applyFont="1" applyBorder="1" applyAlignment="1">
      <alignment horizontal="center" vertical="center"/>
    </xf>
    <xf numFmtId="0" fontId="10" fillId="2" borderId="17" xfId="0" applyFont="1" applyFill="1" applyBorder="1" applyAlignment="1">
      <alignment horizontal="center" vertical="center"/>
    </xf>
    <xf numFmtId="0" fontId="9" fillId="9" borderId="34" xfId="0" applyFont="1" applyFill="1" applyBorder="1" applyAlignment="1">
      <alignment horizontal="center" vertical="center"/>
    </xf>
    <xf numFmtId="0" fontId="9" fillId="12" borderId="34" xfId="0" applyFont="1" applyFill="1" applyBorder="1" applyAlignment="1">
      <alignment horizontal="center" vertical="center"/>
    </xf>
    <xf numFmtId="0" fontId="0" fillId="11" borderId="34" xfId="0" applyFill="1" applyBorder="1" applyAlignment="1">
      <alignment horizontal="center" vertical="center"/>
    </xf>
    <xf numFmtId="0" fontId="4" fillId="11" borderId="34" xfId="0" applyFont="1" applyFill="1" applyBorder="1" applyAlignment="1">
      <alignment horizontal="center" vertical="center"/>
    </xf>
    <xf numFmtId="167" fontId="0" fillId="5" borderId="34" xfId="0" applyNumberFormat="1" applyFill="1" applyBorder="1" applyAlignment="1">
      <alignment horizontal="center" vertical="center"/>
    </xf>
    <xf numFmtId="0" fontId="0" fillId="5" borderId="34" xfId="0" applyFill="1" applyBorder="1" applyAlignment="1">
      <alignment horizontal="center" vertical="center"/>
    </xf>
    <xf numFmtId="164" fontId="0" fillId="5" borderId="34" xfId="0" applyNumberFormat="1" applyFill="1" applyBorder="1" applyAlignment="1">
      <alignment horizontal="center"/>
    </xf>
    <xf numFmtId="164" fontId="0" fillId="0" borderId="34" xfId="0" applyNumberFormat="1" applyBorder="1" applyAlignment="1">
      <alignment horizontal="center"/>
    </xf>
    <xf numFmtId="167" fontId="0" fillId="4" borderId="34" xfId="0" applyNumberFormat="1" applyFill="1" applyBorder="1" applyAlignment="1">
      <alignment horizontal="center" vertical="center"/>
    </xf>
    <xf numFmtId="164" fontId="0" fillId="4" borderId="34" xfId="0" applyNumberFormat="1" applyFill="1" applyBorder="1" applyAlignment="1">
      <alignment horizontal="center"/>
    </xf>
    <xf numFmtId="164" fontId="5" fillId="4" borderId="34" xfId="0" applyNumberFormat="1" applyFont="1" applyFill="1" applyBorder="1" applyAlignment="1">
      <alignment horizontal="center"/>
    </xf>
    <xf numFmtId="0" fontId="8" fillId="0" borderId="34" xfId="0" applyFont="1" applyBorder="1" applyAlignment="1">
      <alignment horizontal="center" vertical="center" wrapText="1"/>
    </xf>
    <xf numFmtId="1" fontId="6" fillId="8" borderId="34" xfId="0" applyNumberFormat="1" applyFont="1" applyFill="1" applyBorder="1" applyAlignment="1">
      <alignment horizontal="center" vertical="center" wrapText="1"/>
    </xf>
    <xf numFmtId="1" fontId="0" fillId="0" borderId="34" xfId="0" applyNumberFormat="1" applyBorder="1" applyAlignment="1">
      <alignment horizontal="center" vertical="center"/>
    </xf>
    <xf numFmtId="0" fontId="0" fillId="0" borderId="34" xfId="0" applyBorder="1" applyAlignment="1">
      <alignment horizontal="center"/>
    </xf>
    <xf numFmtId="166" fontId="6" fillId="0" borderId="47" xfId="0" applyNumberFormat="1" applyFont="1" applyBorder="1" applyAlignment="1">
      <alignment horizontal="center" vertical="center"/>
    </xf>
    <xf numFmtId="0" fontId="5" fillId="0" borderId="8"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2" xfId="0" applyFont="1" applyBorder="1" applyAlignment="1">
      <alignment horizontal="center" vertical="center"/>
    </xf>
    <xf numFmtId="0" fontId="5" fillId="0" borderId="34" xfId="0" applyFont="1" applyBorder="1" applyAlignment="1">
      <alignment horizontal="center" vertical="center"/>
    </xf>
    <xf numFmtId="0" fontId="0" fillId="0" borderId="12" xfId="0" applyBorder="1" applyAlignment="1">
      <alignment horizontal="center" vertical="center" wrapText="1"/>
    </xf>
    <xf numFmtId="0" fontId="0" fillId="0" borderId="34" xfId="0" applyBorder="1" applyAlignment="1">
      <alignment horizontal="center" vertical="center" wrapText="1"/>
    </xf>
    <xf numFmtId="0" fontId="0" fillId="2" borderId="12" xfId="0" applyFill="1" applyBorder="1" applyAlignment="1">
      <alignment horizontal="center" vertical="center"/>
    </xf>
    <xf numFmtId="0" fontId="0" fillId="2" borderId="34" xfId="0" applyFill="1" applyBorder="1" applyAlignment="1">
      <alignment horizontal="center" vertical="center"/>
    </xf>
    <xf numFmtId="1" fontId="0" fillId="2" borderId="12" xfId="0" quotePrefix="1" applyNumberFormat="1" applyFill="1" applyBorder="1" applyAlignment="1">
      <alignment horizontal="center" vertical="center"/>
    </xf>
    <xf numFmtId="1" fontId="0" fillId="2" borderId="34" xfId="0" quotePrefix="1" applyNumberFormat="1" applyFill="1" applyBorder="1" applyAlignment="1">
      <alignment horizontal="center" vertical="center"/>
    </xf>
    <xf numFmtId="0" fontId="6" fillId="0" borderId="12" xfId="0" applyFont="1" applyBorder="1" applyAlignment="1">
      <alignment horizontal="center" vertical="center"/>
    </xf>
    <xf numFmtId="0" fontId="6" fillId="0" borderId="34" xfId="0" applyFont="1" applyBorder="1" applyAlignment="1">
      <alignment horizontal="center" vertical="center"/>
    </xf>
    <xf numFmtId="0" fontId="6" fillId="0" borderId="0" xfId="0" applyFont="1" applyBorder="1" applyAlignment="1">
      <alignment horizontal="center" vertical="center"/>
    </xf>
    <xf numFmtId="0" fontId="9" fillId="9" borderId="12" xfId="0" applyFont="1" applyFill="1" applyBorder="1" applyAlignment="1">
      <alignment horizontal="center" vertical="center"/>
    </xf>
    <xf numFmtId="0" fontId="9" fillId="9" borderId="34" xfId="0" applyFont="1" applyFill="1" applyBorder="1" applyAlignment="1">
      <alignment horizontal="center" vertical="center"/>
    </xf>
    <xf numFmtId="0" fontId="0" fillId="4" borderId="12" xfId="0" applyFill="1" applyBorder="1" applyAlignment="1">
      <alignment horizontal="center" vertical="center"/>
    </xf>
    <xf numFmtId="0" fontId="0" fillId="4" borderId="34" xfId="0" applyFill="1" applyBorder="1" applyAlignment="1">
      <alignment horizontal="center" vertical="center"/>
    </xf>
    <xf numFmtId="0" fontId="8" fillId="0" borderId="32"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33" xfId="0" applyFont="1" applyBorder="1" applyAlignment="1">
      <alignment horizontal="center" vertical="center" wrapText="1"/>
    </xf>
    <xf numFmtId="1" fontId="6" fillId="8" borderId="32" xfId="0" applyNumberFormat="1" applyFont="1" applyFill="1" applyBorder="1" applyAlignment="1">
      <alignment horizontal="center" vertical="center" wrapText="1"/>
    </xf>
    <xf numFmtId="1" fontId="6" fillId="8" borderId="25" xfId="0" applyNumberFormat="1" applyFont="1" applyFill="1" applyBorder="1" applyAlignment="1">
      <alignment horizontal="center" vertical="center" wrapText="1"/>
    </xf>
    <xf numFmtId="1" fontId="6" fillId="8" borderId="33" xfId="0" applyNumberFormat="1" applyFont="1" applyFill="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44" xfId="0" applyFont="1" applyBorder="1" applyAlignment="1">
      <alignment horizontal="center" vertical="center" wrapText="1"/>
    </xf>
    <xf numFmtId="0" fontId="8" fillId="0" borderId="45" xfId="0" applyFont="1" applyBorder="1" applyAlignment="1">
      <alignment horizontal="center" vertical="center" wrapText="1"/>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17" xfId="0" applyFill="1" applyBorder="1" applyAlignment="1">
      <alignment horizontal="center" vertical="center"/>
    </xf>
    <xf numFmtId="0" fontId="0" fillId="2" borderId="28" xfId="0" applyFill="1" applyBorder="1" applyAlignment="1">
      <alignment horizontal="center" vertical="center"/>
    </xf>
    <xf numFmtId="0" fontId="0" fillId="2" borderId="20" xfId="0" applyFill="1" applyBorder="1" applyAlignment="1">
      <alignment horizontal="center" vertical="center"/>
    </xf>
    <xf numFmtId="49" fontId="0" fillId="2" borderId="22" xfId="0" quotePrefix="1" applyNumberFormat="1" applyFill="1" applyBorder="1" applyAlignment="1">
      <alignment horizontal="center" vertical="center"/>
    </xf>
    <xf numFmtId="49" fontId="0" fillId="2" borderId="23" xfId="0" quotePrefix="1" applyNumberFormat="1" applyFill="1" applyBorder="1" applyAlignment="1">
      <alignment horizontal="center" vertical="center"/>
    </xf>
    <xf numFmtId="49" fontId="0" fillId="2" borderId="17" xfId="0" quotePrefix="1" applyNumberFormat="1" applyFill="1" applyBorder="1" applyAlignment="1">
      <alignment horizontal="center" vertical="center"/>
    </xf>
    <xf numFmtId="49" fontId="0" fillId="2" borderId="28" xfId="0" quotePrefix="1" applyNumberFormat="1" applyFill="1" applyBorder="1" applyAlignment="1">
      <alignment horizontal="center" vertical="center"/>
    </xf>
    <xf numFmtId="49" fontId="0" fillId="2" borderId="20" xfId="0" quotePrefix="1" applyNumberFormat="1" applyFill="1" applyBorder="1" applyAlignment="1">
      <alignment horizontal="center" vertical="center"/>
    </xf>
    <xf numFmtId="0" fontId="15" fillId="9" borderId="22" xfId="0" applyFont="1" applyFill="1" applyBorder="1" applyAlignment="1">
      <alignment horizontal="center" vertical="center"/>
    </xf>
    <xf numFmtId="0" fontId="15" fillId="9" borderId="17" xfId="0" applyFont="1" applyFill="1" applyBorder="1" applyAlignment="1">
      <alignment horizontal="center" vertical="center"/>
    </xf>
    <xf numFmtId="0" fontId="15" fillId="9" borderId="20" xfId="0" applyFont="1" applyFill="1" applyBorder="1" applyAlignment="1">
      <alignment horizontal="center" vertical="center"/>
    </xf>
    <xf numFmtId="0" fontId="5" fillId="5" borderId="22" xfId="0" applyFont="1" applyFill="1" applyBorder="1" applyAlignment="1">
      <alignment horizontal="center" vertical="center"/>
    </xf>
    <xf numFmtId="0" fontId="5" fillId="5" borderId="17" xfId="0" applyFont="1" applyFill="1" applyBorder="1" applyAlignment="1">
      <alignment horizontal="center" vertical="center"/>
    </xf>
    <xf numFmtId="0" fontId="5" fillId="5" borderId="20" xfId="0" applyFont="1" applyFill="1" applyBorder="1" applyAlignment="1">
      <alignment horizontal="center" vertical="center"/>
    </xf>
    <xf numFmtId="0" fontId="9" fillId="12" borderId="22" xfId="0" applyFont="1" applyFill="1" applyBorder="1" applyAlignment="1">
      <alignment horizontal="center" vertical="center"/>
    </xf>
    <xf numFmtId="0" fontId="9" fillId="12" borderId="17" xfId="0" applyFont="1" applyFill="1" applyBorder="1" applyAlignment="1">
      <alignment horizontal="center" vertical="center"/>
    </xf>
    <xf numFmtId="0" fontId="9" fillId="12" borderId="20" xfId="0" applyFont="1"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5" borderId="17" xfId="0" applyFill="1" applyBorder="1" applyAlignment="1">
      <alignment horizontal="center" vertical="center"/>
    </xf>
    <xf numFmtId="0" fontId="0" fillId="5" borderId="28" xfId="0" applyFill="1" applyBorder="1" applyAlignment="1">
      <alignment horizontal="center" vertical="center"/>
    </xf>
    <xf numFmtId="0" fontId="0" fillId="5" borderId="20" xfId="0" applyFill="1" applyBorder="1" applyAlignment="1">
      <alignment horizontal="center" vertical="center"/>
    </xf>
    <xf numFmtId="0" fontId="26" fillId="2" borderId="22" xfId="0" applyFont="1" applyFill="1" applyBorder="1" applyAlignment="1">
      <alignment horizontal="center" vertical="center"/>
    </xf>
    <xf numFmtId="0" fontId="26" fillId="2" borderId="17" xfId="0" applyFont="1" applyFill="1" applyBorder="1" applyAlignment="1">
      <alignment horizontal="center" vertical="center"/>
    </xf>
    <xf numFmtId="0" fontId="26" fillId="2" borderId="20" xfId="0" applyFont="1" applyFill="1" applyBorder="1" applyAlignment="1">
      <alignment horizontal="center" vertical="center"/>
    </xf>
    <xf numFmtId="0" fontId="25" fillId="2" borderId="22"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17" xfId="0" applyFont="1" applyFill="1" applyBorder="1" applyAlignment="1">
      <alignment horizontal="center" vertical="center"/>
    </xf>
    <xf numFmtId="0" fontId="25" fillId="2" borderId="20"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25" xfId="0" applyFont="1" applyFill="1" applyBorder="1" applyAlignment="1">
      <alignment horizontal="center" vertical="center"/>
    </xf>
    <xf numFmtId="0" fontId="9" fillId="12" borderId="32" xfId="0" applyFont="1" applyFill="1" applyBorder="1" applyAlignment="1">
      <alignment horizontal="center" vertical="center"/>
    </xf>
    <xf numFmtId="0" fontId="9" fillId="12" borderId="25" xfId="0" applyFont="1" applyFill="1" applyBorder="1" applyAlignment="1">
      <alignment horizontal="center" vertical="center"/>
    </xf>
    <xf numFmtId="0" fontId="14" fillId="0" borderId="42"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37" xfId="0" applyFont="1" applyBorder="1" applyAlignment="1">
      <alignment horizontal="center" vertical="center" wrapText="1"/>
    </xf>
    <xf numFmtId="0" fontId="14" fillId="0" borderId="45" xfId="0" applyFont="1" applyBorder="1" applyAlignment="1">
      <alignment horizontal="center"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2" borderId="22" xfId="0" applyFill="1" applyBorder="1" applyAlignment="1">
      <alignment horizontal="left" vertical="center"/>
    </xf>
    <xf numFmtId="0" fontId="0" fillId="2" borderId="23" xfId="0" applyFill="1" applyBorder="1" applyAlignment="1">
      <alignment horizontal="left" vertical="center"/>
    </xf>
    <xf numFmtId="0" fontId="0" fillId="2" borderId="17" xfId="0" applyFill="1" applyBorder="1" applyAlignment="1">
      <alignment horizontal="left" vertical="center"/>
    </xf>
    <xf numFmtId="0" fontId="0" fillId="2" borderId="20" xfId="0" applyFill="1" applyBorder="1" applyAlignment="1">
      <alignment horizontal="left" vertical="center"/>
    </xf>
    <xf numFmtId="1" fontId="6" fillId="8" borderId="22" xfId="0" applyNumberFormat="1" applyFont="1" applyFill="1" applyBorder="1" applyAlignment="1">
      <alignment horizontal="center" vertical="center" wrapText="1"/>
    </xf>
    <xf numFmtId="1" fontId="6" fillId="8" borderId="23" xfId="0" applyNumberFormat="1" applyFont="1" applyFill="1" applyBorder="1" applyAlignment="1">
      <alignment horizontal="center" vertical="center" wrapText="1"/>
    </xf>
    <xf numFmtId="1" fontId="6" fillId="8" borderId="17" xfId="0" applyNumberFormat="1" applyFont="1" applyFill="1" applyBorder="1" applyAlignment="1">
      <alignment horizontal="center" vertical="center" wrapText="1"/>
    </xf>
    <xf numFmtId="1" fontId="6" fillId="8" borderId="20" xfId="0" applyNumberFormat="1" applyFont="1" applyFill="1" applyBorder="1" applyAlignment="1">
      <alignment horizontal="center" vertical="center" wrapText="1"/>
    </xf>
    <xf numFmtId="0" fontId="9" fillId="9" borderId="22" xfId="0" applyFont="1" applyFill="1" applyBorder="1" applyAlignment="1">
      <alignment horizontal="center" vertical="center"/>
    </xf>
    <xf numFmtId="0" fontId="9" fillId="9" borderId="23" xfId="0" applyFont="1" applyFill="1" applyBorder="1" applyAlignment="1">
      <alignment horizontal="center" vertical="center"/>
    </xf>
    <xf numFmtId="0" fontId="9" fillId="9" borderId="17" xfId="0" applyFont="1" applyFill="1" applyBorder="1" applyAlignment="1">
      <alignment horizontal="center" vertical="center"/>
    </xf>
    <xf numFmtId="0" fontId="9" fillId="9"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17" xfId="0" applyFont="1" applyBorder="1" applyAlignment="1">
      <alignment horizontal="center" vertical="center"/>
    </xf>
    <xf numFmtId="0" fontId="6" fillId="0" borderId="20" xfId="0" applyFont="1" applyBorder="1" applyAlignment="1">
      <alignment horizontal="center" vertical="center"/>
    </xf>
    <xf numFmtId="0" fontId="0" fillId="5" borderId="32" xfId="0" applyFill="1" applyBorder="1" applyAlignment="1">
      <alignment horizontal="center" vertical="center"/>
    </xf>
    <xf numFmtId="0" fontId="0" fillId="5" borderId="25" xfId="0" applyFill="1" applyBorder="1" applyAlignment="1">
      <alignment horizontal="center" vertical="center"/>
    </xf>
    <xf numFmtId="0" fontId="0" fillId="5" borderId="33" xfId="0" applyFill="1" applyBorder="1" applyAlignment="1">
      <alignment horizontal="center" vertical="center"/>
    </xf>
    <xf numFmtId="0" fontId="0" fillId="4" borderId="32" xfId="0" applyFill="1" applyBorder="1" applyAlignment="1">
      <alignment horizontal="center" vertical="center"/>
    </xf>
    <xf numFmtId="0" fontId="0" fillId="4" borderId="25" xfId="0" applyFill="1" applyBorder="1" applyAlignment="1">
      <alignment horizontal="center" vertical="center"/>
    </xf>
    <xf numFmtId="0" fontId="0" fillId="4" borderId="33" xfId="0" applyFill="1" applyBorder="1" applyAlignment="1">
      <alignment horizontal="center" vertical="center"/>
    </xf>
    <xf numFmtId="10" fontId="6" fillId="0" borderId="17" xfId="0" applyNumberFormat="1" applyFont="1" applyBorder="1" applyAlignment="1">
      <alignment horizontal="center" vertical="center"/>
    </xf>
    <xf numFmtId="165" fontId="6" fillId="0" borderId="17" xfId="0" applyNumberFormat="1" applyFont="1" applyBorder="1" applyAlignment="1">
      <alignment horizontal="center" vertical="center"/>
    </xf>
    <xf numFmtId="0" fontId="6" fillId="0" borderId="23" xfId="0" applyFont="1" applyBorder="1" applyAlignment="1">
      <alignment horizontal="center" vertical="center"/>
    </xf>
    <xf numFmtId="1" fontId="0" fillId="2" borderId="22" xfId="0" quotePrefix="1" applyNumberFormat="1" applyFill="1" applyBorder="1" applyAlignment="1">
      <alignment horizontal="left" vertical="center"/>
    </xf>
    <xf numFmtId="1" fontId="0" fillId="2" borderId="23" xfId="0" quotePrefix="1" applyNumberFormat="1" applyFill="1" applyBorder="1" applyAlignment="1">
      <alignment horizontal="left" vertical="center"/>
    </xf>
    <xf numFmtId="1" fontId="0" fillId="2" borderId="17" xfId="0" quotePrefix="1" applyNumberFormat="1" applyFill="1" applyBorder="1" applyAlignment="1">
      <alignment horizontal="left" vertical="center"/>
    </xf>
    <xf numFmtId="1" fontId="0" fillId="2" borderId="20" xfId="0" quotePrefix="1" applyNumberFormat="1" applyFill="1" applyBorder="1" applyAlignment="1">
      <alignment horizontal="left" vertical="center"/>
    </xf>
    <xf numFmtId="0" fontId="5" fillId="0" borderId="22" xfId="0" applyFont="1" applyBorder="1" applyAlignment="1">
      <alignment horizontal="center" vertical="center"/>
    </xf>
    <xf numFmtId="0" fontId="5" fillId="0" borderId="17" xfId="0" applyFont="1" applyBorder="1" applyAlignment="1">
      <alignment horizontal="center" vertical="center"/>
    </xf>
    <xf numFmtId="0" fontId="5" fillId="0" borderId="20" xfId="0" applyFont="1" applyBorder="1" applyAlignment="1">
      <alignment horizontal="center" vertical="center"/>
    </xf>
    <xf numFmtId="0" fontId="8" fillId="0" borderId="22"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0" xfId="0" applyFont="1" applyBorder="1" applyAlignment="1">
      <alignment horizontal="center" vertical="center" wrapText="1"/>
    </xf>
    <xf numFmtId="1" fontId="0" fillId="0" borderId="22" xfId="0" applyNumberFormat="1" applyBorder="1" applyAlignment="1">
      <alignment horizontal="center" vertical="center"/>
    </xf>
    <xf numFmtId="1" fontId="0" fillId="0" borderId="17" xfId="0" applyNumberFormat="1" applyBorder="1" applyAlignment="1">
      <alignment horizontal="center" vertical="center"/>
    </xf>
    <xf numFmtId="1" fontId="0" fillId="0" borderId="20" xfId="0" applyNumberFormat="1" applyBorder="1" applyAlignment="1">
      <alignment horizontal="center" vertical="center"/>
    </xf>
    <xf numFmtId="166" fontId="0" fillId="0" borderId="22" xfId="0" applyNumberFormat="1" applyBorder="1" applyAlignment="1">
      <alignment horizontal="center" vertical="center"/>
    </xf>
    <xf numFmtId="166" fontId="0" fillId="0" borderId="17" xfId="0" applyNumberFormat="1" applyBorder="1" applyAlignment="1">
      <alignment horizontal="center" vertical="center"/>
    </xf>
    <xf numFmtId="166" fontId="0" fillId="0" borderId="20" xfId="0" applyNumberFormat="1" applyBorder="1" applyAlignment="1">
      <alignment horizontal="center" vertical="center"/>
    </xf>
    <xf numFmtId="166" fontId="6" fillId="0" borderId="27" xfId="0" applyNumberFormat="1" applyFont="1" applyBorder="1" applyAlignment="1">
      <alignment horizontal="center" vertical="center"/>
    </xf>
    <xf numFmtId="166" fontId="6" fillId="0" borderId="18" xfId="0" applyNumberFormat="1" applyFont="1" applyBorder="1" applyAlignment="1">
      <alignment horizontal="center" vertical="center"/>
    </xf>
    <xf numFmtId="166" fontId="6" fillId="0" borderId="21" xfId="0" applyNumberFormat="1" applyFont="1" applyBorder="1" applyAlignment="1">
      <alignment horizontal="center" vertical="center"/>
    </xf>
    <xf numFmtId="0" fontId="7" fillId="0" borderId="22"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0" xfId="0" applyFont="1" applyBorder="1" applyAlignment="1">
      <alignment horizontal="center" vertical="center" wrapText="1"/>
    </xf>
    <xf numFmtId="166" fontId="6" fillId="0" borderId="29" xfId="0" applyNumberFormat="1" applyFont="1" applyBorder="1" applyAlignment="1">
      <alignment horizontal="center" vertical="center"/>
    </xf>
    <xf numFmtId="166"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0" fillId="0" borderId="32" xfId="0" applyNumberFormat="1" applyBorder="1" applyAlignment="1">
      <alignment horizontal="center" vertical="center"/>
    </xf>
    <xf numFmtId="166" fontId="0" fillId="0" borderId="25" xfId="0" applyNumberFormat="1" applyBorder="1" applyAlignment="1">
      <alignment horizontal="center" vertical="center"/>
    </xf>
    <xf numFmtId="166" fontId="0" fillId="0" borderId="33" xfId="0" applyNumberFormat="1" applyBorder="1" applyAlignment="1">
      <alignment horizontal="center" vertical="center"/>
    </xf>
    <xf numFmtId="1" fontId="9" fillId="0" borderId="32" xfId="0" applyNumberFormat="1" applyFont="1" applyBorder="1" applyAlignment="1">
      <alignment horizontal="center" vertical="center"/>
    </xf>
    <xf numFmtId="1" fontId="9" fillId="0" borderId="25" xfId="0" applyNumberFormat="1" applyFont="1" applyBorder="1" applyAlignment="1">
      <alignment horizontal="center" vertical="center"/>
    </xf>
    <xf numFmtId="1" fontId="9" fillId="0" borderId="33" xfId="0" applyNumberFormat="1" applyFont="1" applyBorder="1" applyAlignment="1">
      <alignment horizontal="center" vertical="center"/>
    </xf>
    <xf numFmtId="166" fontId="0" fillId="0" borderId="23" xfId="0" applyNumberFormat="1" applyBorder="1" applyAlignment="1">
      <alignment horizontal="center" vertical="center"/>
    </xf>
    <xf numFmtId="0" fontId="8" fillId="0" borderId="23" xfId="0" applyFont="1" applyBorder="1" applyAlignment="1">
      <alignment horizontal="center" vertical="center" wrapText="1"/>
    </xf>
    <xf numFmtId="1" fontId="0" fillId="0" borderId="23" xfId="0" applyNumberFormat="1" applyBorder="1" applyAlignment="1">
      <alignment horizontal="center" vertical="center"/>
    </xf>
    <xf numFmtId="166" fontId="6" fillId="0" borderId="22" xfId="0" applyNumberFormat="1" applyFont="1" applyBorder="1" applyAlignment="1">
      <alignment horizontal="center" vertical="center"/>
    </xf>
    <xf numFmtId="166" fontId="6" fillId="0" borderId="23" xfId="0" applyNumberFormat="1" applyFont="1" applyBorder="1" applyAlignment="1">
      <alignment horizontal="center" vertical="center"/>
    </xf>
    <xf numFmtId="166" fontId="6" fillId="0" borderId="17" xfId="0" applyNumberFormat="1" applyFont="1" applyBorder="1" applyAlignment="1">
      <alignment horizontal="center" vertical="center"/>
    </xf>
    <xf numFmtId="166" fontId="6" fillId="0" borderId="20" xfId="0" applyNumberFormat="1" applyFont="1" applyBorder="1" applyAlignment="1">
      <alignment horizontal="center" vertical="center"/>
    </xf>
    <xf numFmtId="0" fontId="5" fillId="0" borderId="2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0" xfId="0" applyFont="1" applyBorder="1" applyAlignment="1">
      <alignment horizontal="center" vertical="center" wrapText="1"/>
    </xf>
    <xf numFmtId="1" fontId="5" fillId="8" borderId="22" xfId="0" applyNumberFormat="1" applyFont="1" applyFill="1" applyBorder="1" applyAlignment="1">
      <alignment horizontal="center" vertical="center" wrapText="1"/>
    </xf>
    <xf numFmtId="1" fontId="5" fillId="8" borderId="17" xfId="0" applyNumberFormat="1" applyFont="1" applyFill="1" applyBorder="1" applyAlignment="1">
      <alignment horizontal="center" vertical="center" wrapText="1"/>
    </xf>
    <xf numFmtId="1" fontId="5" fillId="8" borderId="20" xfId="0" applyNumberFormat="1" applyFont="1" applyFill="1" applyBorder="1" applyAlignment="1">
      <alignment horizontal="center" vertical="center" wrapText="1"/>
    </xf>
    <xf numFmtId="1" fontId="0" fillId="2" borderId="22" xfId="0" quotePrefix="1" applyNumberFormat="1" applyFill="1" applyBorder="1" applyAlignment="1">
      <alignment horizontal="center" vertical="center"/>
    </xf>
    <xf numFmtId="1" fontId="0" fillId="2" borderId="17" xfId="0" quotePrefix="1" applyNumberFormat="1" applyFill="1" applyBorder="1" applyAlignment="1">
      <alignment horizontal="center" vertical="center"/>
    </xf>
    <xf numFmtId="1" fontId="0" fillId="2" borderId="20" xfId="0" quotePrefix="1" applyNumberFormat="1" applyFill="1" applyBorder="1" applyAlignment="1">
      <alignment horizontal="center" vertical="center"/>
    </xf>
    <xf numFmtId="0" fontId="5" fillId="0" borderId="42"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22" xfId="0" applyFont="1" applyBorder="1" applyAlignment="1">
      <alignment horizontal="left" vertical="center"/>
    </xf>
    <xf numFmtId="0" fontId="5" fillId="0" borderId="17" xfId="0" applyFont="1" applyBorder="1" applyAlignment="1">
      <alignment horizontal="left" vertical="center"/>
    </xf>
    <xf numFmtId="0" fontId="5" fillId="0" borderId="20" xfId="0" applyFont="1" applyBorder="1" applyAlignment="1">
      <alignment horizontal="left" vertical="center"/>
    </xf>
    <xf numFmtId="0" fontId="5" fillId="2" borderId="22" xfId="0" applyFont="1" applyFill="1" applyBorder="1" applyAlignment="1">
      <alignment horizontal="left" vertical="center"/>
    </xf>
    <xf numFmtId="0" fontId="5" fillId="2" borderId="17" xfId="0" applyFont="1" applyFill="1" applyBorder="1" applyAlignment="1">
      <alignment horizontal="left" vertical="center"/>
    </xf>
    <xf numFmtId="0" fontId="5" fillId="2" borderId="20" xfId="0" applyFont="1" applyFill="1" applyBorder="1" applyAlignment="1">
      <alignment horizontal="left" vertical="center"/>
    </xf>
    <xf numFmtId="1" fontId="5" fillId="2" borderId="22" xfId="0" quotePrefix="1" applyNumberFormat="1" applyFont="1" applyFill="1" applyBorder="1" applyAlignment="1">
      <alignment horizontal="left" vertical="center"/>
    </xf>
    <xf numFmtId="1" fontId="5" fillId="2" borderId="17" xfId="0" quotePrefix="1" applyNumberFormat="1" applyFont="1" applyFill="1" applyBorder="1" applyAlignment="1">
      <alignment horizontal="left" vertical="center"/>
    </xf>
    <xf numFmtId="1" fontId="5" fillId="2" borderId="20" xfId="0" quotePrefix="1" applyNumberFormat="1" applyFont="1" applyFill="1" applyBorder="1" applyAlignment="1">
      <alignment horizontal="left" vertical="center"/>
    </xf>
    <xf numFmtId="0" fontId="7" fillId="0" borderId="42"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5" xfId="0" applyFont="1" applyBorder="1" applyAlignment="1">
      <alignment horizontal="center" vertical="center" wrapText="1"/>
    </xf>
    <xf numFmtId="0" fontId="0" fillId="2" borderId="22" xfId="0" quotePrefix="1" applyFill="1" applyBorder="1" applyAlignment="1">
      <alignment horizontal="left" vertical="center"/>
    </xf>
    <xf numFmtId="0" fontId="0" fillId="0" borderId="22" xfId="0" applyBorder="1" applyAlignment="1">
      <alignment horizontal="center" vertical="center"/>
    </xf>
    <xf numFmtId="0" fontId="0" fillId="0" borderId="17" xfId="0" applyBorder="1" applyAlignment="1">
      <alignment horizontal="center" vertical="center"/>
    </xf>
    <xf numFmtId="10" fontId="6" fillId="0" borderId="28" xfId="0" applyNumberFormat="1" applyFont="1" applyBorder="1" applyAlignment="1">
      <alignment horizontal="center" vertical="center"/>
    </xf>
    <xf numFmtId="10" fontId="6" fillId="0" borderId="20" xfId="0" applyNumberFormat="1" applyFont="1" applyBorder="1" applyAlignment="1">
      <alignment horizontal="center" vertical="center"/>
    </xf>
    <xf numFmtId="0" fontId="6" fillId="0" borderId="28" xfId="0" applyFont="1" applyBorder="1" applyAlignment="1">
      <alignment horizontal="center" vertical="center"/>
    </xf>
    <xf numFmtId="10" fontId="6" fillId="0" borderId="22" xfId="0" applyNumberFormat="1" applyFont="1" applyBorder="1" applyAlignment="1">
      <alignment horizontal="center" vertical="center"/>
    </xf>
    <xf numFmtId="10" fontId="6" fillId="0" borderId="23" xfId="0" applyNumberFormat="1" applyFont="1" applyBorder="1" applyAlignment="1">
      <alignment horizontal="center" vertical="center"/>
    </xf>
    <xf numFmtId="1" fontId="5" fillId="0" borderId="22" xfId="0" applyNumberFormat="1" applyFont="1" applyBorder="1" applyAlignment="1">
      <alignment horizontal="center" vertical="center"/>
    </xf>
    <xf numFmtId="1" fontId="5" fillId="0" borderId="17" xfId="0" applyNumberFormat="1" applyFont="1" applyBorder="1" applyAlignment="1">
      <alignment horizontal="center" vertical="center"/>
    </xf>
    <xf numFmtId="1" fontId="5" fillId="0" borderId="20" xfId="0" applyNumberFormat="1" applyFont="1" applyBorder="1" applyAlignment="1">
      <alignment horizontal="center" vertical="center"/>
    </xf>
    <xf numFmtId="0" fontId="0" fillId="0" borderId="17" xfId="0" applyBorder="1" applyAlignment="1">
      <alignment vertical="center"/>
    </xf>
    <xf numFmtId="0" fontId="0" fillId="0" borderId="28" xfId="0" applyBorder="1" applyAlignment="1">
      <alignment vertical="center"/>
    </xf>
    <xf numFmtId="0" fontId="0" fillId="0" borderId="20" xfId="0" applyBorder="1" applyAlignment="1">
      <alignment vertical="center"/>
    </xf>
    <xf numFmtId="0" fontId="0" fillId="0" borderId="17" xfId="0" applyBorder="1" applyAlignment="1">
      <alignment vertical="center" wrapText="1"/>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1" fontId="6" fillId="8" borderId="7" xfId="0" applyNumberFormat="1" applyFont="1" applyFill="1" applyBorder="1" applyAlignment="1">
      <alignment horizontal="center" vertical="center" wrapText="1"/>
    </xf>
    <xf numFmtId="1" fontId="6" fillId="8" borderId="9" xfId="0" applyNumberFormat="1" applyFont="1" applyFill="1" applyBorder="1" applyAlignment="1">
      <alignment horizontal="center" vertical="center" wrapText="1"/>
    </xf>
    <xf numFmtId="1" fontId="6" fillId="8" borderId="10" xfId="0" applyNumberFormat="1" applyFont="1" applyFill="1" applyBorder="1" applyAlignment="1">
      <alignment horizontal="center" vertical="center" wrapText="1"/>
    </xf>
    <xf numFmtId="1" fontId="9" fillId="0" borderId="7" xfId="0" applyNumberFormat="1" applyFont="1" applyBorder="1" applyAlignment="1">
      <alignment horizontal="center" vertical="center"/>
    </xf>
    <xf numFmtId="1" fontId="9" fillId="0" borderId="9" xfId="0" applyNumberFormat="1" applyFont="1" applyBorder="1" applyAlignment="1">
      <alignment horizontal="center" vertical="center"/>
    </xf>
    <xf numFmtId="1" fontId="9" fillId="0" borderId="10" xfId="0" applyNumberFormat="1" applyFont="1" applyBorder="1" applyAlignment="1">
      <alignment horizontal="center" vertical="center"/>
    </xf>
    <xf numFmtId="166" fontId="6" fillId="0" borderId="7" xfId="0" applyNumberFormat="1" applyFont="1" applyBorder="1" applyAlignment="1">
      <alignment horizontal="center" vertical="center"/>
    </xf>
    <xf numFmtId="166" fontId="6" fillId="0" borderId="9" xfId="0" applyNumberFormat="1" applyFont="1" applyBorder="1" applyAlignment="1">
      <alignment horizontal="center" vertical="center"/>
    </xf>
    <xf numFmtId="166" fontId="6" fillId="0" borderId="10" xfId="0" applyNumberFormat="1" applyFont="1" applyBorder="1" applyAlignment="1">
      <alignment horizontal="center" vertical="center"/>
    </xf>
    <xf numFmtId="166" fontId="0" fillId="0" borderId="7" xfId="0" applyNumberFormat="1" applyBorder="1" applyAlignment="1">
      <alignment horizontal="center" vertical="center"/>
    </xf>
    <xf numFmtId="166" fontId="0" fillId="0" borderId="9" xfId="0" applyNumberFormat="1" applyBorder="1" applyAlignment="1">
      <alignment horizontal="center" vertical="center"/>
    </xf>
    <xf numFmtId="166" fontId="0" fillId="0" borderId="10" xfId="0" applyNumberFormat="1" applyBorder="1" applyAlignment="1">
      <alignment horizontal="center" vertical="center"/>
    </xf>
    <xf numFmtId="0" fontId="9" fillId="12" borderId="23" xfId="0" applyFont="1"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6" fillId="11" borderId="12" xfId="0" applyFont="1" applyFill="1" applyBorder="1" applyAlignment="1">
      <alignment horizontal="center" vertical="center" wrapText="1"/>
    </xf>
    <xf numFmtId="0" fontId="6" fillId="11" borderId="13"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13" xfId="0" applyFont="1" applyFill="1" applyBorder="1" applyAlignment="1">
      <alignment horizontal="center" vertical="center" wrapText="1"/>
    </xf>
    <xf numFmtId="166" fontId="5" fillId="0" borderId="27" xfId="0" applyNumberFormat="1" applyFont="1" applyBorder="1" applyAlignment="1">
      <alignment horizontal="center" vertical="center"/>
    </xf>
    <xf numFmtId="166" fontId="5" fillId="0" borderId="18" xfId="0" applyNumberFormat="1" applyFont="1" applyBorder="1" applyAlignment="1">
      <alignment horizontal="center" vertical="center"/>
    </xf>
    <xf numFmtId="166" fontId="5" fillId="0" borderId="21" xfId="0" applyNumberFormat="1" applyFont="1" applyBorder="1" applyAlignment="1">
      <alignment horizontal="center" vertical="center"/>
    </xf>
    <xf numFmtId="0" fontId="8" fillId="0" borderId="28" xfId="0" applyFont="1" applyBorder="1" applyAlignment="1">
      <alignment horizontal="center" vertical="center" wrapText="1"/>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6" fillId="10" borderId="8"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15" fillId="12" borderId="22" xfId="0" applyFont="1" applyFill="1" applyBorder="1" applyAlignment="1">
      <alignment horizontal="center" vertical="center"/>
    </xf>
    <xf numFmtId="0" fontId="15" fillId="12" borderId="17" xfId="0" applyFont="1" applyFill="1" applyBorder="1" applyAlignment="1">
      <alignment horizontal="center" vertical="center"/>
    </xf>
    <xf numFmtId="0" fontId="15" fillId="12" borderId="20" xfId="0" applyFont="1" applyFill="1" applyBorder="1" applyAlignment="1">
      <alignment horizontal="center" vertical="center"/>
    </xf>
    <xf numFmtId="0" fontId="6" fillId="12"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1" fontId="0" fillId="4" borderId="22" xfId="0" applyNumberFormat="1" applyFill="1" applyBorder="1" applyAlignment="1">
      <alignment horizontal="center" vertical="center"/>
    </xf>
    <xf numFmtId="1" fontId="0" fillId="4" borderId="17" xfId="0" applyNumberFormat="1" applyFill="1" applyBorder="1" applyAlignment="1">
      <alignment horizontal="center" vertical="center"/>
    </xf>
    <xf numFmtId="1" fontId="0" fillId="4" borderId="20" xfId="0" applyNumberFormat="1" applyFill="1" applyBorder="1" applyAlignment="1">
      <alignment horizontal="center" vertical="center"/>
    </xf>
    <xf numFmtId="0" fontId="6" fillId="11" borderId="5"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9" fillId="9" borderId="32" xfId="0" applyFont="1" applyFill="1" applyBorder="1" applyAlignment="1">
      <alignment horizontal="center" vertical="center"/>
    </xf>
    <xf numFmtId="0" fontId="9" fillId="9" borderId="25" xfId="0" applyFont="1" applyFill="1" applyBorder="1" applyAlignment="1">
      <alignment horizontal="center" vertical="center"/>
    </xf>
    <xf numFmtId="1" fontId="0" fillId="5" borderId="22" xfId="0" applyNumberFormat="1" applyFill="1" applyBorder="1" applyAlignment="1">
      <alignment horizontal="center" vertical="center"/>
    </xf>
    <xf numFmtId="1" fontId="0" fillId="5" borderId="17" xfId="0" applyNumberFormat="1" applyFill="1" applyBorder="1" applyAlignment="1">
      <alignment horizontal="center" vertical="center"/>
    </xf>
    <xf numFmtId="1" fontId="0" fillId="5" borderId="20" xfId="0" applyNumberFormat="1" applyFill="1" applyBorder="1" applyAlignment="1">
      <alignment horizontal="center" vertical="center"/>
    </xf>
    <xf numFmtId="0" fontId="6"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0" fillId="4" borderId="28" xfId="0" applyFill="1" applyBorder="1" applyAlignment="1">
      <alignment horizontal="center" vertical="center"/>
    </xf>
    <xf numFmtId="0" fontId="5" fillId="0" borderId="46" xfId="0" applyFont="1" applyBorder="1" applyAlignment="1">
      <alignment horizontal="center" vertical="center" wrapText="1"/>
    </xf>
    <xf numFmtId="0" fontId="5" fillId="0" borderId="41" xfId="0" applyFont="1" applyBorder="1" applyAlignment="1">
      <alignment horizontal="center" vertical="center" wrapText="1"/>
    </xf>
    <xf numFmtId="0" fontId="5" fillId="2" borderId="32"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7" xfId="0" applyFont="1" applyBorder="1" applyAlignment="1">
      <alignment horizontal="center" vertical="center" wrapText="1"/>
    </xf>
    <xf numFmtId="0" fontId="0" fillId="0" borderId="22" xfId="0" applyBorder="1" applyAlignment="1">
      <alignment vertical="center" wrapText="1"/>
    </xf>
    <xf numFmtId="0" fontId="0" fillId="0" borderId="23" xfId="0" applyBorder="1" applyAlignment="1">
      <alignment vertical="center" wrapText="1"/>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5" fillId="2" borderId="22" xfId="0" quotePrefix="1" applyFont="1" applyFill="1" applyBorder="1" applyAlignment="1">
      <alignment horizontal="center" vertical="center" wrapText="1"/>
    </xf>
    <xf numFmtId="0" fontId="5" fillId="2" borderId="17" xfId="0" quotePrefix="1" applyFont="1" applyFill="1" applyBorder="1" applyAlignment="1">
      <alignment horizontal="center" vertical="center" wrapText="1"/>
    </xf>
    <xf numFmtId="0" fontId="0" fillId="0" borderId="28" xfId="0" applyBorder="1" applyAlignment="1">
      <alignment horizontal="left" vertical="center"/>
    </xf>
    <xf numFmtId="0" fontId="0" fillId="0" borderId="25" xfId="0" applyBorder="1" applyAlignment="1">
      <alignment horizontal="left" vertical="center"/>
    </xf>
    <xf numFmtId="0" fontId="0" fillId="0" borderId="33" xfId="0" applyBorder="1" applyAlignment="1">
      <alignment horizontal="left" vertical="center"/>
    </xf>
    <xf numFmtId="165" fontId="6" fillId="0" borderId="28" xfId="0" applyNumberFormat="1" applyFont="1" applyBorder="1" applyAlignment="1">
      <alignment horizontal="center" vertical="center"/>
    </xf>
    <xf numFmtId="165" fontId="6" fillId="0" borderId="25" xfId="0" applyNumberFormat="1" applyFont="1" applyBorder="1" applyAlignment="1">
      <alignment horizontal="center" vertical="center"/>
    </xf>
    <xf numFmtId="165" fontId="6" fillId="0" borderId="23" xfId="0" applyNumberFormat="1" applyFont="1" applyBorder="1" applyAlignment="1">
      <alignment horizontal="center" vertical="center"/>
    </xf>
    <xf numFmtId="0" fontId="6" fillId="0" borderId="25" xfId="0" applyFont="1" applyBorder="1" applyAlignment="1">
      <alignment horizontal="center" vertical="center"/>
    </xf>
    <xf numFmtId="10" fontId="6" fillId="0" borderId="25" xfId="0" applyNumberFormat="1" applyFont="1" applyBorder="1" applyAlignment="1">
      <alignment horizontal="center" vertical="center"/>
    </xf>
    <xf numFmtId="0" fontId="18" fillId="0" borderId="0" xfId="0" applyFont="1" applyAlignment="1">
      <alignment horizontal="right" vertical="center" wrapText="1"/>
    </xf>
    <xf numFmtId="0" fontId="5" fillId="4" borderId="22"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20" xfId="0" applyFont="1" applyFill="1" applyBorder="1" applyAlignment="1">
      <alignment horizontal="center" vertical="center"/>
    </xf>
    <xf numFmtId="0" fontId="20" fillId="0" borderId="17" xfId="0" applyNumberFormat="1" applyFont="1" applyFill="1" applyBorder="1" applyAlignment="1">
      <alignment horizontal="justify" vertical="center" wrapText="1"/>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10" fillId="2" borderId="35"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18" xfId="0" applyFont="1" applyFill="1" applyBorder="1" applyAlignment="1">
      <alignment horizontal="center" vertical="center"/>
    </xf>
    <xf numFmtId="0" fontId="20"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15" xfId="0" applyFont="1" applyBorder="1" applyAlignment="1">
      <alignment horizontal="center" vertical="center" wrapText="1"/>
    </xf>
    <xf numFmtId="169" fontId="23" fillId="0" borderId="2" xfId="0" applyNumberFormat="1" applyFont="1" applyBorder="1" applyAlignment="1">
      <alignment horizontal="center" vertical="center" wrapText="1"/>
    </xf>
    <xf numFmtId="169" fontId="23" fillId="0" borderId="38" xfId="0" applyNumberFormat="1" applyFont="1" applyBorder="1" applyAlignment="1">
      <alignment horizontal="center" vertical="center" wrapText="1"/>
    </xf>
    <xf numFmtId="169" fontId="23" fillId="0" borderId="15" xfId="0" applyNumberFormat="1" applyFont="1" applyBorder="1" applyAlignment="1">
      <alignment horizontal="center" vertical="center" wrapText="1"/>
    </xf>
    <xf numFmtId="0" fontId="10" fillId="2" borderId="26"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20" fillId="0" borderId="20" xfId="0" applyNumberFormat="1" applyFont="1" applyFill="1" applyBorder="1" applyAlignment="1">
      <alignment horizontal="justify" vertical="center" wrapText="1"/>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11" fillId="2" borderId="26"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1" fillId="2" borderId="17" xfId="0" applyFont="1" applyFill="1" applyBorder="1" applyAlignment="1">
      <alignment horizontal="center"/>
    </xf>
    <xf numFmtId="0" fontId="11" fillId="2" borderId="18" xfId="0" applyFont="1" applyFill="1" applyBorder="1" applyAlignment="1">
      <alignment horizontal="center"/>
    </xf>
    <xf numFmtId="0" fontId="20" fillId="0" borderId="17" xfId="0" applyFont="1" applyFill="1" applyBorder="1" applyAlignment="1">
      <alignment horizontal="justify" vertical="center" wrapText="1"/>
    </xf>
    <xf numFmtId="0" fontId="20" fillId="2" borderId="17" xfId="0" applyFont="1" applyFill="1" applyBorder="1" applyAlignment="1">
      <alignment horizontal="left" vertical="center"/>
    </xf>
    <xf numFmtId="0" fontId="20" fillId="2" borderId="18" xfId="0" applyFont="1" applyFill="1" applyBorder="1" applyAlignment="1">
      <alignment horizontal="left" vertical="center"/>
    </xf>
    <xf numFmtId="0" fontId="20" fillId="0" borderId="20" xfId="0" applyFont="1" applyFill="1" applyBorder="1" applyAlignment="1">
      <alignment horizontal="justify" vertical="center" wrapText="1"/>
    </xf>
    <xf numFmtId="0" fontId="20" fillId="2" borderId="20" xfId="0" applyFont="1" applyFill="1" applyBorder="1" applyAlignment="1">
      <alignment horizontal="left" vertical="center"/>
    </xf>
    <xf numFmtId="0" fontId="20" fillId="2" borderId="21" xfId="0" applyFont="1" applyFill="1" applyBorder="1" applyAlignment="1">
      <alignment horizontal="lef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0" fillId="2" borderId="17" xfId="0" applyFont="1" applyFill="1" applyBorder="1" applyAlignment="1">
      <alignment horizontal="left" vertical="center" wrapText="1"/>
    </xf>
    <xf numFmtId="0" fontId="20" fillId="2" borderId="18" xfId="0" applyFont="1" applyFill="1" applyBorder="1" applyAlignment="1">
      <alignment horizontal="left" vertical="center" wrapText="1"/>
    </xf>
    <xf numFmtId="1" fontId="23" fillId="0" borderId="2" xfId="0" applyNumberFormat="1" applyFont="1" applyBorder="1" applyAlignment="1">
      <alignment horizontal="center" vertical="center" wrapText="1"/>
    </xf>
    <xf numFmtId="1" fontId="23" fillId="0" borderId="38" xfId="0" applyNumberFormat="1" applyFont="1" applyBorder="1" applyAlignment="1">
      <alignment horizontal="center" vertical="center" wrapText="1"/>
    </xf>
    <xf numFmtId="1" fontId="23" fillId="0" borderId="15" xfId="0" applyNumberFormat="1"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1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4T '!$C$40</c:f>
              <c:strCache>
                <c:ptCount val="1"/>
                <c:pt idx="0">
                  <c:v>ERROR + U EXPANDIDA CAL 2 [%]</c:v>
                </c:pt>
              </c:strCache>
            </c:strRef>
          </c:tx>
          <c:val>
            <c:numRef>
              <c:f>'MONOXIDO (CO) 4T '!$C$41:$C$48</c:f>
              <c:numCache>
                <c:formatCode>0.000</c:formatCode>
                <c:ptCount val="8"/>
                <c:pt idx="0">
                  <c:v>1.6999999999999998E-2</c:v>
                </c:pt>
                <c:pt idx="1">
                  <c:v>0.13000000000000003</c:v>
                </c:pt>
                <c:pt idx="2">
                  <c:v>0.19000000000000047</c:v>
                </c:pt>
                <c:pt idx="3">
                  <c:v>6.0000000000000001E-3</c:v>
                </c:pt>
                <c:pt idx="4">
                  <c:v>2.1000000000000001E-2</c:v>
                </c:pt>
                <c:pt idx="5">
                  <c:v>0.09</c:v>
                </c:pt>
                <c:pt idx="6">
                  <c:v>0.17</c:v>
                </c:pt>
                <c:pt idx="7">
                  <c:v>6.0000000000000001E-3</c:v>
                </c:pt>
              </c:numCache>
            </c:numRef>
          </c:val>
          <c:smooth val="0"/>
          <c:extLst>
            <c:ext xmlns:c16="http://schemas.microsoft.com/office/drawing/2014/chart" uri="{C3380CC4-5D6E-409C-BE32-E72D297353CC}">
              <c16:uniqueId val="{00000000-7013-4E5C-BF9B-CC8271F1F145}"/>
            </c:ext>
          </c:extLst>
        </c:ser>
        <c:ser>
          <c:idx val="1"/>
          <c:order val="1"/>
          <c:tx>
            <c:strRef>
              <c:f>'MONOXIDO (CO) 4T '!$D$40</c:f>
              <c:strCache>
                <c:ptCount val="1"/>
                <c:pt idx="0">
                  <c:v>ERROR - U EXPANDIDA CAL 2 [%]</c:v>
                </c:pt>
              </c:strCache>
            </c:strRef>
          </c:tx>
          <c:val>
            <c:numRef>
              <c:f>'MONOXIDO (CO) 4T '!$D$41:$D$48</c:f>
              <c:numCache>
                <c:formatCode>0.000</c:formatCode>
                <c:ptCount val="8"/>
                <c:pt idx="0">
                  <c:v>-2.5000000000000005E-2</c:v>
                </c:pt>
                <c:pt idx="1">
                  <c:v>-4.9999999999999961E-2</c:v>
                </c:pt>
                <c:pt idx="2">
                  <c:v>-0.14999999999999955</c:v>
                </c:pt>
                <c:pt idx="3">
                  <c:v>-6.0000000000000001E-3</c:v>
                </c:pt>
                <c:pt idx="4">
                  <c:v>-2.1000000000000001E-2</c:v>
                </c:pt>
                <c:pt idx="5">
                  <c:v>-0.09</c:v>
                </c:pt>
                <c:pt idx="6">
                  <c:v>-0.17</c:v>
                </c:pt>
                <c:pt idx="7">
                  <c:v>-6.0000000000000001E-3</c:v>
                </c:pt>
              </c:numCache>
            </c:numRef>
          </c:val>
          <c:smooth val="0"/>
          <c:extLst>
            <c:ext xmlns:c16="http://schemas.microsoft.com/office/drawing/2014/chart" uri="{C3380CC4-5D6E-409C-BE32-E72D297353CC}">
              <c16:uniqueId val="{00000001-7013-4E5C-BF9B-CC8271F1F145}"/>
            </c:ext>
          </c:extLst>
        </c:ser>
        <c:ser>
          <c:idx val="2"/>
          <c:order val="2"/>
          <c:tx>
            <c:strRef>
              <c:f>'MONOXIDO (CO) 4T '!$E$40</c:f>
              <c:strCache>
                <c:ptCount val="1"/>
                <c:pt idx="0">
                  <c:v>Exactitud NTC 5365 Numeral 5.2.7.1 (+) [%]</c:v>
                </c:pt>
              </c:strCache>
            </c:strRef>
          </c:tx>
          <c:val>
            <c:numRef>
              <c:f>'MONOXIDO (CO) 4T '!$E$41:$E$48</c:f>
              <c:numCache>
                <c:formatCode>0.00</c:formatCode>
                <c:ptCount val="8"/>
                <c:pt idx="0">
                  <c:v>0.1</c:v>
                </c:pt>
                <c:pt idx="1">
                  <c:v>0.2</c:v>
                </c:pt>
                <c:pt idx="2">
                  <c:v>0.5</c:v>
                </c:pt>
                <c:pt idx="3">
                  <c:v>0.05</c:v>
                </c:pt>
                <c:pt idx="4">
                  <c:v>0.1</c:v>
                </c:pt>
                <c:pt idx="5">
                  <c:v>0.2</c:v>
                </c:pt>
                <c:pt idx="6">
                  <c:v>0.5</c:v>
                </c:pt>
                <c:pt idx="7">
                  <c:v>0.05</c:v>
                </c:pt>
              </c:numCache>
            </c:numRef>
          </c:val>
          <c:smooth val="0"/>
          <c:extLst>
            <c:ext xmlns:c16="http://schemas.microsoft.com/office/drawing/2014/chart" uri="{C3380CC4-5D6E-409C-BE32-E72D297353CC}">
              <c16:uniqueId val="{00000002-7013-4E5C-BF9B-CC8271F1F145}"/>
            </c:ext>
          </c:extLst>
        </c:ser>
        <c:ser>
          <c:idx val="3"/>
          <c:order val="3"/>
          <c:tx>
            <c:strRef>
              <c:f>'MONOXIDO (CO) 4T '!$F$40</c:f>
              <c:strCache>
                <c:ptCount val="1"/>
                <c:pt idx="0">
                  <c:v>Exactitud NTC 5365 Numeral 5.2.7.1 (-) [%]</c:v>
                </c:pt>
              </c:strCache>
            </c:strRef>
          </c:tx>
          <c:val>
            <c:numRef>
              <c:f>'MONOXIDO (CO) 4T '!$F$41:$F$48</c:f>
              <c:numCache>
                <c:formatCode>0.00</c:formatCode>
                <c:ptCount val="8"/>
                <c:pt idx="0">
                  <c:v>-0.1</c:v>
                </c:pt>
                <c:pt idx="1">
                  <c:v>-0.2</c:v>
                </c:pt>
                <c:pt idx="2">
                  <c:v>-0.5</c:v>
                </c:pt>
                <c:pt idx="3">
                  <c:v>-0.05</c:v>
                </c:pt>
                <c:pt idx="4">
                  <c:v>-0.1</c:v>
                </c:pt>
                <c:pt idx="5">
                  <c:v>-0.2</c:v>
                </c:pt>
                <c:pt idx="6">
                  <c:v>-0.5</c:v>
                </c:pt>
                <c:pt idx="7">
                  <c:v>-0.05</c:v>
                </c:pt>
              </c:numCache>
            </c:numRef>
          </c:val>
          <c:smooth val="0"/>
          <c:extLst>
            <c:ext xmlns:c16="http://schemas.microsoft.com/office/drawing/2014/chart" uri="{C3380CC4-5D6E-409C-BE32-E72D297353CC}">
              <c16:uniqueId val="{00000000-5AAC-4CD3-A3C9-FD8013BFA71F}"/>
            </c:ext>
          </c:extLst>
        </c:ser>
        <c:dLbls>
          <c:showLegendKey val="0"/>
          <c:showVal val="0"/>
          <c:showCatName val="0"/>
          <c:showSerName val="0"/>
          <c:showPercent val="0"/>
          <c:showBubbleSize val="0"/>
        </c:dLbls>
        <c:marker val="1"/>
        <c:smooth val="0"/>
        <c:axId val="414187064"/>
        <c:axId val="414187456"/>
      </c:lineChart>
      <c:catAx>
        <c:axId val="414187064"/>
        <c:scaling>
          <c:orientation val="minMax"/>
        </c:scaling>
        <c:delete val="0"/>
        <c:axPos val="b"/>
        <c:numFmt formatCode="General" sourceLinked="1"/>
        <c:majorTickMark val="none"/>
        <c:minorTickMark val="none"/>
        <c:tickLblPos val="nextTo"/>
        <c:crossAx val="414187456"/>
        <c:crosses val="autoZero"/>
        <c:auto val="1"/>
        <c:lblAlgn val="ctr"/>
        <c:lblOffset val="100"/>
        <c:noMultiLvlLbl val="0"/>
      </c:catAx>
      <c:valAx>
        <c:axId val="414187456"/>
        <c:scaling>
          <c:orientation val="minMax"/>
        </c:scaling>
        <c:delete val="0"/>
        <c:axPos val="l"/>
        <c:majorGridlines/>
        <c:title>
          <c:overlay val="0"/>
        </c:title>
        <c:numFmt formatCode="0.000" sourceLinked="1"/>
        <c:majorTickMark val="none"/>
        <c:minorTickMark val="none"/>
        <c:tickLblPos val="nextTo"/>
        <c:crossAx val="41418706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manualLayout>
          <c:layoutTarget val="inner"/>
          <c:xMode val="edge"/>
          <c:yMode val="edge"/>
          <c:x val="8.2177693802692783E-2"/>
          <c:y val="0.15915385185002343"/>
          <c:w val="0.60795532381315365"/>
          <c:h val="0.77772171895440967"/>
        </c:manualLayout>
      </c:layout>
      <c:lineChart>
        <c:grouping val="standard"/>
        <c:varyColors val="0"/>
        <c:ser>
          <c:idx val="0"/>
          <c:order val="0"/>
          <c:tx>
            <c:strRef>
              <c:f>'OXIGENO (O2) 4T '!$C$39</c:f>
              <c:strCache>
                <c:ptCount val="1"/>
                <c:pt idx="0">
                  <c:v>ERROR + U EXPANDIDA CAL 2 [%]</c:v>
                </c:pt>
              </c:strCache>
            </c:strRef>
          </c:tx>
          <c:val>
            <c:numRef>
              <c:f>'OXIGENO (O2) 4T '!$C$40:$C$47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0-17F1-4DEF-A9D0-138736425EA4}"/>
            </c:ext>
          </c:extLst>
        </c:ser>
        <c:ser>
          <c:idx val="1"/>
          <c:order val="1"/>
          <c:tx>
            <c:strRef>
              <c:f>'OXIGENO (O2) 4T '!$D$39</c:f>
              <c:strCache>
                <c:ptCount val="1"/>
                <c:pt idx="0">
                  <c:v>ERROR - U EXPANDIDA CAL 2 [%]</c:v>
                </c:pt>
              </c:strCache>
            </c:strRef>
          </c:tx>
          <c:val>
            <c:numRef>
              <c:f>'OXIGENO (O2) 4T '!$D$40:$D$47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1-17F1-4DEF-A9D0-138736425EA4}"/>
            </c:ext>
          </c:extLst>
        </c:ser>
        <c:ser>
          <c:idx val="2"/>
          <c:order val="2"/>
          <c:tx>
            <c:strRef>
              <c:f>'OXIGENO (O2) 4T '!$E$39</c:f>
              <c:strCache>
                <c:ptCount val="1"/>
                <c:pt idx="0">
                  <c:v>Exactitud NTC 5365 Numeral 5.2.7.1 (+) [%]</c:v>
                </c:pt>
              </c:strCache>
            </c:strRef>
          </c:tx>
          <c:val>
            <c:numRef>
              <c:f>'OXIGENO (O2) 4T '!$E$40:$E$47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2-17F1-4DEF-A9D0-138736425EA4}"/>
            </c:ext>
          </c:extLst>
        </c:ser>
        <c:ser>
          <c:idx val="3"/>
          <c:order val="3"/>
          <c:tx>
            <c:strRef>
              <c:f>'OXIGENO (O2) 4T '!$F$39</c:f>
              <c:strCache>
                <c:ptCount val="1"/>
                <c:pt idx="0">
                  <c:v>Exactitud NTC 5365 Numeral 5.2.7.1 (-) [%]</c:v>
                </c:pt>
              </c:strCache>
            </c:strRef>
          </c:tx>
          <c:val>
            <c:numRef>
              <c:f>'OXIGENO (O2) 4T '!$F$40:$F$47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3-17F1-4DEF-A9D0-138736425EA4}"/>
            </c:ext>
          </c:extLst>
        </c:ser>
        <c:dLbls>
          <c:showLegendKey val="0"/>
          <c:showVal val="0"/>
          <c:showCatName val="0"/>
          <c:showSerName val="0"/>
          <c:showPercent val="0"/>
          <c:showBubbleSize val="0"/>
        </c:dLbls>
        <c:marker val="1"/>
        <c:smooth val="0"/>
        <c:axId val="413403704"/>
        <c:axId val="413404096"/>
      </c:lineChart>
      <c:catAx>
        <c:axId val="413403704"/>
        <c:scaling>
          <c:orientation val="minMax"/>
        </c:scaling>
        <c:delete val="0"/>
        <c:axPos val="b"/>
        <c:numFmt formatCode="General" sourceLinked="1"/>
        <c:majorTickMark val="none"/>
        <c:minorTickMark val="none"/>
        <c:tickLblPos val="nextTo"/>
        <c:crossAx val="413404096"/>
        <c:crosses val="autoZero"/>
        <c:auto val="1"/>
        <c:lblAlgn val="ctr"/>
        <c:lblOffset val="100"/>
        <c:noMultiLvlLbl val="0"/>
      </c:catAx>
      <c:valAx>
        <c:axId val="413404096"/>
        <c:scaling>
          <c:orientation val="minMax"/>
        </c:scaling>
        <c:delete val="0"/>
        <c:axPos val="l"/>
        <c:majorGridlines/>
        <c:title>
          <c:overlay val="0"/>
        </c:title>
        <c:numFmt formatCode="0.000" sourceLinked="1"/>
        <c:majorTickMark val="none"/>
        <c:minorTickMark val="none"/>
        <c:tickLblPos val="nextTo"/>
        <c:crossAx val="4134037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4T '!$C$68</c:f>
              <c:strCache>
                <c:ptCount val="1"/>
                <c:pt idx="0">
                  <c:v>RUIDO CAL 2</c:v>
                </c:pt>
              </c:strCache>
            </c:strRef>
          </c:tx>
          <c:val>
            <c:numRef>
              <c:f>'OXIGENO (O2) 4T '!$C$69:$C$72</c:f>
              <c:numCache>
                <c:formatCode>0.000</c:formatCode>
                <c:ptCount val="4"/>
                <c:pt idx="0">
                  <c:v>0</c:v>
                </c:pt>
                <c:pt idx="1">
                  <c:v>0</c:v>
                </c:pt>
                <c:pt idx="2">
                  <c:v>4.0000000000000001E-3</c:v>
                </c:pt>
                <c:pt idx="3">
                  <c:v>0</c:v>
                </c:pt>
              </c:numCache>
            </c:numRef>
          </c:val>
          <c:smooth val="0"/>
          <c:extLst>
            <c:ext xmlns:c16="http://schemas.microsoft.com/office/drawing/2014/chart" uri="{C3380CC4-5D6E-409C-BE32-E72D297353CC}">
              <c16:uniqueId val="{0000000C-FA3B-45C7-B754-01DF695F8898}"/>
            </c:ext>
          </c:extLst>
        </c:ser>
        <c:ser>
          <c:idx val="1"/>
          <c:order val="1"/>
          <c:tx>
            <c:strRef>
              <c:f>'OXIGENO (O2) 4T '!$D$68</c:f>
              <c:strCache>
                <c:ptCount val="1"/>
                <c:pt idx="0">
                  <c:v>Ruido NTC 4983 Numeral 5.2.7.1 (+) [%]</c:v>
                </c:pt>
              </c:strCache>
            </c:strRef>
          </c:tx>
          <c:val>
            <c:numRef>
              <c:f>'OXIGENO (O2) 4T '!$D$69:$D$72</c:f>
              <c:numCache>
                <c:formatCode>0.00</c:formatCode>
                <c:ptCount val="4"/>
                <c:pt idx="0">
                  <c:v>0.3</c:v>
                </c:pt>
                <c:pt idx="1">
                  <c:v>0.3</c:v>
                </c:pt>
                <c:pt idx="2">
                  <c:v>0.3</c:v>
                </c:pt>
                <c:pt idx="3">
                  <c:v>0.3</c:v>
                </c:pt>
              </c:numCache>
            </c:numRef>
          </c:val>
          <c:smooth val="0"/>
          <c:extLst>
            <c:ext xmlns:c16="http://schemas.microsoft.com/office/drawing/2014/chart" uri="{C3380CC4-5D6E-409C-BE32-E72D297353CC}">
              <c16:uniqueId val="{0000000D-FA3B-45C7-B754-01DF695F8898}"/>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(O2) 4T '!$C$88</c:f>
              <c:strCache>
                <c:ptCount val="1"/>
                <c:pt idx="0">
                  <c:v>REPETIBILIDAD  CAL 2</c:v>
                </c:pt>
              </c:strCache>
            </c:strRef>
          </c:tx>
          <c:val>
            <c:numRef>
              <c:f>'OXIGENO (O2) 4T '!$C$89:$C$96</c:f>
              <c:numCache>
                <c:formatCode>0.000</c:formatCode>
                <c:ptCount val="8"/>
                <c:pt idx="0">
                  <c:v>0</c:v>
                </c:pt>
                <c:pt idx="1">
                  <c:v>0</c:v>
                </c:pt>
                <c:pt idx="2">
                  <c:v>0</c:v>
                </c:pt>
                <c:pt idx="3">
                  <c:v>0</c:v>
                </c:pt>
                <c:pt idx="4">
                  <c:v>0</c:v>
                </c:pt>
                <c:pt idx="5">
                  <c:v>0</c:v>
                </c:pt>
                <c:pt idx="6">
                  <c:v>0</c:v>
                </c:pt>
                <c:pt idx="7">
                  <c:v>0.01</c:v>
                </c:pt>
              </c:numCache>
            </c:numRef>
          </c:val>
          <c:smooth val="0"/>
          <c:extLst>
            <c:ext xmlns:c16="http://schemas.microsoft.com/office/drawing/2014/chart" uri="{C3380CC4-5D6E-409C-BE32-E72D297353CC}">
              <c16:uniqueId val="{00000000-296A-4A57-9E7D-9AA37E5DA78C}"/>
            </c:ext>
          </c:extLst>
        </c:ser>
        <c:ser>
          <c:idx val="4"/>
          <c:order val="1"/>
          <c:tx>
            <c:strRef>
              <c:f>'OXIGENO (O2) 4T '!$D$88</c:f>
              <c:strCache>
                <c:ptCount val="1"/>
                <c:pt idx="0">
                  <c:v>Ruido NTC 4983 Numeral 5.2.7.1 (+) [%]</c:v>
                </c:pt>
              </c:strCache>
            </c:strRef>
          </c:tx>
          <c:val>
            <c:numRef>
              <c:f>'OXIGENO (O2) 4T '!$D$89:$D$96</c:f>
              <c:numCache>
                <c:formatCode>0.00</c:formatCode>
                <c:ptCount val="8"/>
                <c:pt idx="0">
                  <c:v>0.4</c:v>
                </c:pt>
                <c:pt idx="1">
                  <c:v>0.4</c:v>
                </c:pt>
                <c:pt idx="2">
                  <c:v>0.4</c:v>
                </c:pt>
                <c:pt idx="3">
                  <c:v>0.4</c:v>
                </c:pt>
                <c:pt idx="4">
                  <c:v>0.4</c:v>
                </c:pt>
                <c:pt idx="5">
                  <c:v>0.4</c:v>
                </c:pt>
                <c:pt idx="6">
                  <c:v>0.4</c:v>
                </c:pt>
                <c:pt idx="7">
                  <c:v>0.4</c:v>
                </c:pt>
              </c:numCache>
            </c:numRef>
          </c:val>
          <c:smooth val="0"/>
          <c:extLst>
            <c:ext xmlns:c16="http://schemas.microsoft.com/office/drawing/2014/chart" uri="{C3380CC4-5D6E-409C-BE32-E72D297353CC}">
              <c16:uniqueId val="{00000001-296A-4A57-9E7D-9AA37E5DA78C}"/>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4T'!$C$39</c:f>
              <c:strCache>
                <c:ptCount val="1"/>
                <c:pt idx="0">
                  <c:v>ERROR + U EXPANDIDA CAL 2 [%]</c:v>
                </c:pt>
              </c:strCache>
            </c:strRef>
          </c:tx>
          <c:val>
            <c:numRef>
              <c:f>'TEMPERATURA (TEM) 4T'!$C$40:$C$42</c:f>
              <c:numCache>
                <c:formatCode>0.000</c:formatCode>
                <c:ptCount val="3"/>
                <c:pt idx="0">
                  <c:v>3.066571288823674</c:v>
                </c:pt>
                <c:pt idx="1">
                  <c:v>1.4275668449197894</c:v>
                </c:pt>
                <c:pt idx="2">
                  <c:v>1.092735745064642</c:v>
                </c:pt>
              </c:numCache>
            </c:numRef>
          </c:val>
          <c:smooth val="0"/>
          <c:extLst>
            <c:ext xmlns:c16="http://schemas.microsoft.com/office/drawing/2014/chart" uri="{C3380CC4-5D6E-409C-BE32-E72D297353CC}">
              <c16:uniqueId val="{00000000-58DC-4EBB-A029-F1A5D00452E9}"/>
            </c:ext>
          </c:extLst>
        </c:ser>
        <c:ser>
          <c:idx val="1"/>
          <c:order val="1"/>
          <c:tx>
            <c:strRef>
              <c:f>'TEMPERATURA (TEM) 4T'!$D$39</c:f>
              <c:strCache>
                <c:ptCount val="1"/>
                <c:pt idx="0">
                  <c:v>ERROR - U EXPANDIDA CAL 2 [%]</c:v>
                </c:pt>
              </c:strCache>
            </c:strRef>
          </c:tx>
          <c:val>
            <c:numRef>
              <c:f>'TEMPERATURA (TEM) 4T'!$D$40:$D$42</c:f>
              <c:numCache>
                <c:formatCode>0.000</c:formatCode>
                <c:ptCount val="3"/>
                <c:pt idx="0">
                  <c:v>-1.2865712888236729</c:v>
                </c:pt>
                <c:pt idx="1">
                  <c:v>-1.7475668449197825</c:v>
                </c:pt>
                <c:pt idx="2">
                  <c:v>-1.5127357450646295</c:v>
                </c:pt>
              </c:numCache>
            </c:numRef>
          </c:val>
          <c:smooth val="0"/>
          <c:extLst>
            <c:ext xmlns:c16="http://schemas.microsoft.com/office/drawing/2014/chart" uri="{C3380CC4-5D6E-409C-BE32-E72D297353CC}">
              <c16:uniqueId val="{00000001-58DC-4EBB-A029-F1A5D00452E9}"/>
            </c:ext>
          </c:extLst>
        </c:ser>
        <c:ser>
          <c:idx val="2"/>
          <c:order val="2"/>
          <c:tx>
            <c:strRef>
              <c:f>'TEMPERATURA (TEM) 4T'!$E$39</c:f>
              <c:strCache>
                <c:ptCount val="1"/>
                <c:pt idx="0">
                  <c:v>Exactitud NTC 5365 Numeral 5.2.7.1 (+) [%]</c:v>
                </c:pt>
              </c:strCache>
            </c:strRef>
          </c:tx>
          <c:val>
            <c:numRef>
              <c:f>'TEMPERATURA (TEM) 4T'!$E$40:$E$42</c:f>
              <c:numCache>
                <c:formatCode>0.00</c:formatCode>
                <c:ptCount val="3"/>
                <c:pt idx="0">
                  <c:v>5</c:v>
                </c:pt>
                <c:pt idx="1">
                  <c:v>5</c:v>
                </c:pt>
                <c:pt idx="2">
                  <c:v>5</c:v>
                </c:pt>
              </c:numCache>
            </c:numRef>
          </c:val>
          <c:smooth val="0"/>
          <c:extLst>
            <c:ext xmlns:c16="http://schemas.microsoft.com/office/drawing/2014/chart" uri="{C3380CC4-5D6E-409C-BE32-E72D297353CC}">
              <c16:uniqueId val="{00000002-58DC-4EBB-A029-F1A5D00452E9}"/>
            </c:ext>
          </c:extLst>
        </c:ser>
        <c:ser>
          <c:idx val="3"/>
          <c:order val="3"/>
          <c:tx>
            <c:strRef>
              <c:f>'TEMPERATURA (TEM) 4T'!$F$39</c:f>
              <c:strCache>
                <c:ptCount val="1"/>
                <c:pt idx="0">
                  <c:v>Exactitud NTC 5365 Numeral 5.2.7.1 (-) [%]</c:v>
                </c:pt>
              </c:strCache>
            </c:strRef>
          </c:tx>
          <c:val>
            <c:numRef>
              <c:f>'TEMPERATURA (TEM) 4T'!$F$40:$F$42</c:f>
              <c:numCache>
                <c:formatCode>0.00</c:formatCode>
                <c:ptCount val="3"/>
                <c:pt idx="0">
                  <c:v>-5</c:v>
                </c:pt>
                <c:pt idx="1">
                  <c:v>-5</c:v>
                </c:pt>
                <c:pt idx="2">
                  <c:v>-5</c:v>
                </c:pt>
              </c:numCache>
            </c:numRef>
          </c:val>
          <c:smooth val="0"/>
          <c:extLst>
            <c:ext xmlns:c16="http://schemas.microsoft.com/office/drawing/2014/chart" uri="{C3380CC4-5D6E-409C-BE32-E72D297353CC}">
              <c16:uniqueId val="{00000003-58DC-4EBB-A029-F1A5D00452E9}"/>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'VIBRACION RPM'!$C$40</c:f>
              <c:strCache>
                <c:ptCount val="1"/>
                <c:pt idx="0">
                  <c:v>ERROR + U EXPANDIDA CAL 2 [%]</c:v>
                </c:pt>
              </c:strCache>
            </c:strRef>
          </c:tx>
          <c:val>
            <c:numRef>
              <c:f>'VIBRACION RPM'!$C$41:$C$50</c:f>
              <c:numCache>
                <c:formatCode>0.000</c:formatCode>
                <c:ptCount val="10"/>
                <c:pt idx="0">
                  <c:v>1.6274411617426197</c:v>
                </c:pt>
                <c:pt idx="1">
                  <c:v>1.4434643143544483</c:v>
                </c:pt>
                <c:pt idx="2">
                  <c:v>0.72436617959285055</c:v>
                </c:pt>
                <c:pt idx="3">
                  <c:v>0.95238095238095233</c:v>
                </c:pt>
                <c:pt idx="4">
                  <c:v>0.51111111111111107</c:v>
                </c:pt>
                <c:pt idx="5">
                  <c:v>0.52020808323329326</c:v>
                </c:pt>
                <c:pt idx="6">
                  <c:v>0.43333333333333335</c:v>
                </c:pt>
                <c:pt idx="7">
                  <c:v>0.45011252813203301</c:v>
                </c:pt>
                <c:pt idx="8">
                  <c:v>0.39994286530495643</c:v>
                </c:pt>
                <c:pt idx="9">
                  <c:v>0.36650377609951135</c:v>
                </c:pt>
              </c:numCache>
            </c:numRef>
          </c:val>
          <c:smooth val="0"/>
          <c:extLst>
            <c:ext xmlns:c16="http://schemas.microsoft.com/office/drawing/2014/chart" uri="{C3380CC4-5D6E-409C-BE32-E72D297353CC}">
              <c16:uniqueId val="{00000000-1487-45AB-B395-B62079E74F97}"/>
            </c:ext>
          </c:extLst>
        </c:ser>
        <c:ser>
          <c:idx val="1"/>
          <c:order val="1"/>
          <c:tx>
            <c:strRef>
              <c:f>'VIBRACION RPM'!$D$40</c:f>
              <c:strCache>
                <c:ptCount val="1"/>
                <c:pt idx="0">
                  <c:v>ERROR - U EXPANDIDA CAL 2 [%]</c:v>
                </c:pt>
              </c:strCache>
            </c:strRef>
          </c:tx>
          <c:val>
            <c:numRef>
              <c:f>'VIBRACION RPM'!$D$41:$D$50</c:f>
              <c:numCache>
                <c:formatCode>0.000</c:formatCode>
                <c:ptCount val="10"/>
                <c:pt idx="0">
                  <c:v>-1.3269904857285872</c:v>
                </c:pt>
                <c:pt idx="1">
                  <c:v>-0.96230954290296944</c:v>
                </c:pt>
                <c:pt idx="2">
                  <c:v>-0.89921318846010301</c:v>
                </c:pt>
                <c:pt idx="3">
                  <c:v>-0.45112781954887216</c:v>
                </c:pt>
                <c:pt idx="4">
                  <c:v>-0.51111111111111107</c:v>
                </c:pt>
                <c:pt idx="5">
                  <c:v>-0.44017607042817125</c:v>
                </c:pt>
                <c:pt idx="6">
                  <c:v>-0.43333333333333335</c:v>
                </c:pt>
                <c:pt idx="7">
                  <c:v>-0.40010002500625158</c:v>
                </c:pt>
                <c:pt idx="8">
                  <c:v>-0.42851021282673901</c:v>
                </c:pt>
                <c:pt idx="9">
                  <c:v>-0.45535317636605954</c:v>
                </c:pt>
              </c:numCache>
            </c:numRef>
          </c:val>
          <c:smooth val="0"/>
          <c:extLst>
            <c:ext xmlns:c16="http://schemas.microsoft.com/office/drawing/2014/chart" uri="{C3380CC4-5D6E-409C-BE32-E72D297353CC}">
              <c16:uniqueId val="{00000001-1487-45AB-B395-B62079E74F97}"/>
            </c:ext>
          </c:extLst>
        </c:ser>
        <c:ser>
          <c:idx val="2"/>
          <c:order val="2"/>
          <c:tx>
            <c:strRef>
              <c:f>'VIBRACION RPM'!$E$40</c:f>
              <c:strCache>
                <c:ptCount val="1"/>
                <c:pt idx="0">
                  <c:v>Exactitud NTC 5365 Numeral 5.2.7.1 (+) [%]</c:v>
                </c:pt>
              </c:strCache>
            </c:strRef>
          </c:tx>
          <c:val>
            <c:numRef>
              <c:f>'VIBRACION RPM'!$E$41:$E$50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2-1487-45AB-B395-B62079E74F97}"/>
            </c:ext>
          </c:extLst>
        </c:ser>
        <c:ser>
          <c:idx val="3"/>
          <c:order val="3"/>
          <c:tx>
            <c:strRef>
              <c:f>'VIBRACION RPM'!$F$40</c:f>
              <c:strCache>
                <c:ptCount val="1"/>
                <c:pt idx="0">
                  <c:v>Exactitud NTC 5365 Numeral 5.2.7.1 (-) [%]</c:v>
                </c:pt>
              </c:strCache>
            </c:strRef>
          </c:tx>
          <c:val>
            <c:numRef>
              <c:f>'VIBRACION RPM'!$F$41:$F$50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3-1487-45AB-B395-B62079E74F97}"/>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'BATERIA RPM '!$C$40</c:f>
              <c:strCache>
                <c:ptCount val="1"/>
                <c:pt idx="0">
                  <c:v>ERROR + U EXPANDIDA CAL 2 [%]</c:v>
                </c:pt>
              </c:strCache>
            </c:strRef>
          </c:tx>
          <c:val>
            <c:numRef>
              <c:f>'BATERIA RPM '!$C$41:$C$49</c:f>
              <c:numCache>
                <c:formatCode>0.000</c:formatCode>
                <c:ptCount val="9"/>
                <c:pt idx="0">
                  <c:v>1.6274411617426197</c:v>
                </c:pt>
                <c:pt idx="1">
                  <c:v>1.0787055533359922</c:v>
                </c:pt>
                <c:pt idx="2">
                  <c:v>0.72436617959285055</c:v>
                </c:pt>
                <c:pt idx="3">
                  <c:v>0.95238095238095233</c:v>
                </c:pt>
                <c:pt idx="4">
                  <c:v>1.6277777777777778</c:v>
                </c:pt>
                <c:pt idx="5">
                  <c:v>1.720688275310124</c:v>
                </c:pt>
                <c:pt idx="6">
                  <c:v>1.7999999999999998</c:v>
                </c:pt>
                <c:pt idx="7">
                  <c:v>1.7004251062765692</c:v>
                </c:pt>
                <c:pt idx="8">
                  <c:v>0.82845307813169544</c:v>
                </c:pt>
              </c:numCache>
            </c:numRef>
          </c:val>
          <c:smooth val="0"/>
          <c:extLst>
            <c:ext xmlns:c16="http://schemas.microsoft.com/office/drawing/2014/chart" uri="{C3380CC4-5D6E-409C-BE32-E72D297353CC}">
              <c16:uniqueId val="{00000000-C4F2-4A69-B65E-14ACF692D1D9}"/>
            </c:ext>
          </c:extLst>
        </c:ser>
        <c:ser>
          <c:idx val="1"/>
          <c:order val="1"/>
          <c:tx>
            <c:strRef>
              <c:f>'BATERIA RPM '!$D$40</c:f>
              <c:strCache>
                <c:ptCount val="1"/>
                <c:pt idx="0">
                  <c:v>ERROR - U EXPANDIDA CAL 2 [%]</c:v>
                </c:pt>
              </c:strCache>
            </c:strRef>
          </c:tx>
          <c:val>
            <c:numRef>
              <c:f>'BATERIA RPM '!$D$41:$D$49</c:f>
              <c:numCache>
                <c:formatCode>0.000</c:formatCode>
                <c:ptCount val="9"/>
                <c:pt idx="0">
                  <c:v>-1.3269904857285872</c:v>
                </c:pt>
                <c:pt idx="1">
                  <c:v>-1.3184178985217783</c:v>
                </c:pt>
                <c:pt idx="2">
                  <c:v>-0.89921318846010301</c:v>
                </c:pt>
                <c:pt idx="3">
                  <c:v>-0.45112781954887216</c:v>
                </c:pt>
                <c:pt idx="4">
                  <c:v>0.59444444444444444</c:v>
                </c:pt>
                <c:pt idx="5">
                  <c:v>0.76030412164865957</c:v>
                </c:pt>
                <c:pt idx="6">
                  <c:v>0.86666666666666659</c:v>
                </c:pt>
                <c:pt idx="7">
                  <c:v>0.8502125531382847</c:v>
                </c:pt>
                <c:pt idx="8">
                  <c:v>0</c:v>
                </c:pt>
              </c:numCache>
            </c:numRef>
          </c:val>
          <c:smooth val="0"/>
          <c:extLst>
            <c:ext xmlns:c16="http://schemas.microsoft.com/office/drawing/2014/chart" uri="{C3380CC4-5D6E-409C-BE32-E72D297353CC}">
              <c16:uniqueId val="{00000001-C4F2-4A69-B65E-14ACF692D1D9}"/>
            </c:ext>
          </c:extLst>
        </c:ser>
        <c:ser>
          <c:idx val="2"/>
          <c:order val="2"/>
          <c:tx>
            <c:strRef>
              <c:f>'BATERIA RPM '!$E$40</c:f>
              <c:strCache>
                <c:ptCount val="1"/>
                <c:pt idx="0">
                  <c:v>Exactitud NTC 5365 Numeral 5.2.7.1 (+) [%]</c:v>
                </c:pt>
              </c:strCache>
            </c:strRef>
          </c:tx>
          <c:val>
            <c:numRef>
              <c:f>'BATERIA RPM '!$E$41:$E$49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2-C4F2-4A69-B65E-14ACF692D1D9}"/>
            </c:ext>
          </c:extLst>
        </c:ser>
        <c:ser>
          <c:idx val="3"/>
          <c:order val="3"/>
          <c:tx>
            <c:strRef>
              <c:f>'BATERIA RPM '!$F$40</c:f>
              <c:strCache>
                <c:ptCount val="1"/>
                <c:pt idx="0">
                  <c:v>Exactitud NTC 5365 Numeral 5.2.7.1 (-) [%]</c:v>
                </c:pt>
              </c:strCache>
            </c:strRef>
          </c:tx>
          <c:val>
            <c:numRef>
              <c:f>'BATERIA RPM '!$F$41:$F$49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3-C4F2-4A69-B65E-14ACF692D1D9}"/>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(FUERZA)'!$C$40</c:f>
              <c:strCache>
                <c:ptCount val="1"/>
                <c:pt idx="0">
                  <c:v>ERROR + U EXPANDIDA CAL 2 [mm]</c:v>
                </c:pt>
              </c:strCache>
            </c:strRef>
          </c:tx>
          <c:val>
            <c:numRef>
              <c:f>'FRENOMETRO (FUERZA)'!$C$41:$C$48</c:f>
              <c:numCache>
                <c:formatCode>0.000</c:formatCode>
                <c:ptCount val="8"/>
                <c:pt idx="0">
                  <c:v>0.6</c:v>
                </c:pt>
                <c:pt idx="1">
                  <c:v>0.11000000000000018</c:v>
                </c:pt>
                <c:pt idx="2">
                  <c:v>9.6666666666667039E-2</c:v>
                </c:pt>
                <c:pt idx="3">
                  <c:v>0.11666666666666667</c:v>
                </c:pt>
                <c:pt idx="4">
                  <c:v>0.36666666666666664</c:v>
                </c:pt>
                <c:pt idx="5">
                  <c:v>1</c:v>
                </c:pt>
                <c:pt idx="6">
                  <c:v>1.6333333333333333</c:v>
                </c:pt>
                <c:pt idx="7">
                  <c:v>1.2666666666666666</c:v>
                </c:pt>
              </c:numCache>
            </c:numRef>
          </c:val>
          <c:smooth val="0"/>
          <c:extLst>
            <c:ext xmlns:c16="http://schemas.microsoft.com/office/drawing/2014/chart" uri="{C3380CC4-5D6E-409C-BE32-E72D297353CC}">
              <c16:uniqueId val="{00000000-4029-44BB-9542-32A8A6E0FC46}"/>
            </c:ext>
          </c:extLst>
        </c:ser>
        <c:ser>
          <c:idx val="1"/>
          <c:order val="1"/>
          <c:tx>
            <c:strRef>
              <c:f>'FRENOMETRO (FUERZA)'!$D$40</c:f>
              <c:strCache>
                <c:ptCount val="1"/>
                <c:pt idx="0">
                  <c:v>ERROR - U EXPANDIDA CAL 2 [mm]</c:v>
                </c:pt>
              </c:strCache>
            </c:strRef>
          </c:tx>
          <c:val>
            <c:numRef>
              <c:f>'FRENOMETRO (FUERZA)'!$D$41:$D$48</c:f>
              <c:numCache>
                <c:formatCode>0.000</c:formatCode>
                <c:ptCount val="8"/>
                <c:pt idx="0">
                  <c:v>-0.6</c:v>
                </c:pt>
                <c:pt idx="1">
                  <c:v>1.666666666666685E-2</c:v>
                </c:pt>
                <c:pt idx="2">
                  <c:v>-0.2099999999999996</c:v>
                </c:pt>
                <c:pt idx="3">
                  <c:v>-0.44999999999999996</c:v>
                </c:pt>
                <c:pt idx="4">
                  <c:v>-0.76666666666666661</c:v>
                </c:pt>
                <c:pt idx="5">
                  <c:v>-1.2000000000000002</c:v>
                </c:pt>
                <c:pt idx="6">
                  <c:v>-1.6333333333333333</c:v>
                </c:pt>
                <c:pt idx="7">
                  <c:v>-2</c:v>
                </c:pt>
              </c:numCache>
            </c:numRef>
          </c:val>
          <c:smooth val="0"/>
          <c:extLst>
            <c:ext xmlns:c16="http://schemas.microsoft.com/office/drawing/2014/chart" uri="{C3380CC4-5D6E-409C-BE32-E72D297353CC}">
              <c16:uniqueId val="{00000001-4029-44BB-9542-32A8A6E0FC46}"/>
            </c:ext>
          </c:extLst>
        </c:ser>
        <c:ser>
          <c:idx val="2"/>
          <c:order val="2"/>
          <c:tx>
            <c:strRef>
              <c:f>'FRENOMETRO (FUERZA)'!$E$40</c:f>
              <c:strCache>
                <c:ptCount val="1"/>
                <c:pt idx="0">
                  <c:v>EXACTITUD DE ACUERDO A NTC: 5385:2011 (+) [mm]</c:v>
                </c:pt>
              </c:strCache>
            </c:strRef>
          </c:tx>
          <c:val>
            <c:numRef>
              <c:f>'FRENOMETRO (FUERZA)'!$E$41:$E$48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2-4029-44BB-9542-32A8A6E0FC46}"/>
            </c:ext>
          </c:extLst>
        </c:ser>
        <c:ser>
          <c:idx val="3"/>
          <c:order val="3"/>
          <c:tx>
            <c:strRef>
              <c:f>'FRENOMETRO (FUERZA)'!$F$40</c:f>
              <c:strCache>
                <c:ptCount val="1"/>
                <c:pt idx="0">
                  <c:v>EXACTITUD DE ACUERDO A NTC: 5385:2011 (-) [mm]</c:v>
                </c:pt>
              </c:strCache>
            </c:strRef>
          </c:tx>
          <c:val>
            <c:numRef>
              <c:f>'FRENOMETRO (FUERZA)'!$F$41:$F$48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3-4029-44BB-9542-32A8A6E0FC46}"/>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(FUERZA)'!$C$68</c:f>
              <c:strCache>
                <c:ptCount val="1"/>
                <c:pt idx="0">
                  <c:v>PRECISION CAL 2</c:v>
                </c:pt>
              </c:strCache>
            </c:strRef>
          </c:tx>
          <c:val>
            <c:numRef>
              <c:f>'FRENOMETRO (FUERZA)'!$C$69:$C$76</c:f>
              <c:numCache>
                <c:formatCode>0.000</c:formatCode>
                <c:ptCount val="8"/>
                <c:pt idx="0">
                  <c:v>0</c:v>
                </c:pt>
                <c:pt idx="1">
                  <c:v>2.6666666666666668E-2</c:v>
                </c:pt>
                <c:pt idx="2">
                  <c:v>0.08</c:v>
                </c:pt>
                <c:pt idx="3">
                  <c:v>7.0000000000000007E-2</c:v>
                </c:pt>
                <c:pt idx="4">
                  <c:v>0.13333333333333333</c:v>
                </c:pt>
                <c:pt idx="5">
                  <c:v>0.04</c:v>
                </c:pt>
                <c:pt idx="6">
                  <c:v>4.3333333333333335E-2</c:v>
                </c:pt>
                <c:pt idx="7">
                  <c:v>7.3333333333333348E-2</c:v>
                </c:pt>
              </c:numCache>
            </c:numRef>
          </c:val>
          <c:smooth val="0"/>
          <c:extLst>
            <c:ext xmlns:c16="http://schemas.microsoft.com/office/drawing/2014/chart" uri="{C3380CC4-5D6E-409C-BE32-E72D297353CC}">
              <c16:uniqueId val="{00000000-8A2A-4986-BF67-32F8CBFA5125}"/>
            </c:ext>
          </c:extLst>
        </c:ser>
        <c:ser>
          <c:idx val="1"/>
          <c:order val="1"/>
          <c:tx>
            <c:strRef>
              <c:f>'FRENOMETRO (FUERZA)'!$D$68</c:f>
              <c:strCache>
                <c:ptCount val="1"/>
                <c:pt idx="0">
                  <c:v>Precision NTC 5385</c:v>
                </c:pt>
              </c:strCache>
            </c:strRef>
          </c:tx>
          <c:val>
            <c:numRef>
              <c:f>'FRENOMETRO (FUERZA)'!$D$69:$D$76</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1-8A2A-4986-BF67-32F8CBFA512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(PESO)'!$C$40</c:f>
              <c:strCache>
                <c:ptCount val="1"/>
                <c:pt idx="0">
                  <c:v>ERROR + U EXPANDIDA CAL 2 [%] 2021</c:v>
                </c:pt>
              </c:strCache>
            </c:strRef>
          </c:tx>
          <c:val>
            <c:numRef>
              <c:f>'FRENOMETRO (PESO)'!$C$41:$C$45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6498-47AC-BFAE-9B5D23432D22}"/>
            </c:ext>
          </c:extLst>
        </c:ser>
        <c:ser>
          <c:idx val="1"/>
          <c:order val="1"/>
          <c:tx>
            <c:strRef>
              <c:f>'FRENOMETRO (PESO)'!$D$40</c:f>
              <c:strCache>
                <c:ptCount val="1"/>
                <c:pt idx="0">
                  <c:v>ERROR - U EXPANDIDA CAL 2 [%] 2021</c:v>
                </c:pt>
              </c:strCache>
            </c:strRef>
          </c:tx>
          <c:val>
            <c:numRef>
              <c:f>'FRENOMETRO (PESO)'!$D$41:$D$45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6498-47AC-BFAE-9B5D23432D22}"/>
            </c:ext>
          </c:extLst>
        </c:ser>
        <c:ser>
          <c:idx val="2"/>
          <c:order val="2"/>
          <c:tx>
            <c:strRef>
              <c:f>'FRENOMETRO (PESO)'!$E$40</c:f>
              <c:strCache>
                <c:ptCount val="1"/>
                <c:pt idx="0">
                  <c:v>EXACTITUD DE ACUERDO A NTC: 5385:2011 (+) [%]</c:v>
                </c:pt>
              </c:strCache>
            </c:strRef>
          </c:tx>
          <c:val>
            <c:numRef>
              <c:f>'FRENOMETRO (PESO)'!$E$41:$E$45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6498-47AC-BFAE-9B5D23432D22}"/>
            </c:ext>
          </c:extLst>
        </c:ser>
        <c:ser>
          <c:idx val="3"/>
          <c:order val="3"/>
          <c:tx>
            <c:strRef>
              <c:f>'FRENOMETRO (PESO)'!$F$40</c:f>
              <c:strCache>
                <c:ptCount val="1"/>
                <c:pt idx="0">
                  <c:v>EXACTITUD DE ACUERDO A NTC: 5385:2011 (-) [%]</c:v>
                </c:pt>
              </c:strCache>
            </c:strRef>
          </c:tx>
          <c:val>
            <c:numRef>
              <c:f>'FRENOMETRO (PESO)'!$F$41:$F$45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6498-47AC-BFAE-9B5D23432D22}"/>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(PESO)'!$C$66</c:f>
              <c:strCache>
                <c:ptCount val="1"/>
                <c:pt idx="0">
                  <c:v>PRECISION CAL 2 2021</c:v>
                </c:pt>
              </c:strCache>
            </c:strRef>
          </c:tx>
          <c:val>
            <c:numRef>
              <c:f>'FRENOMETRO (PESO)'!$C$67:$C$71</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81D9-4810-85D4-4F5420FA4394}"/>
            </c:ext>
          </c:extLst>
        </c:ser>
        <c:ser>
          <c:idx val="1"/>
          <c:order val="1"/>
          <c:tx>
            <c:strRef>
              <c:f>'FRENOMETRO (PESO)'!$D$66</c:f>
              <c:strCache>
                <c:ptCount val="1"/>
                <c:pt idx="0">
                  <c:v>Precision NTC 5385</c:v>
                </c:pt>
              </c:strCache>
            </c:strRef>
          </c:tx>
          <c:val>
            <c:numRef>
              <c:f>'FRENOMETRO (PESO)'!$D$67:$D$71</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81D9-4810-85D4-4F5420FA439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(CO) 4T '!$C$68</c:f>
              <c:strCache>
                <c:ptCount val="1"/>
                <c:pt idx="0">
                  <c:v>RUIDO CAL 2</c:v>
                </c:pt>
              </c:strCache>
            </c:strRef>
          </c:tx>
          <c:val>
            <c:numRef>
              <c:f>'MONOXIDO (CO) 4T '!$C$69:$C$72</c:f>
              <c:numCache>
                <c:formatCode>0.000</c:formatCode>
                <c:ptCount val="4"/>
                <c:pt idx="0">
                  <c:v>0</c:v>
                </c:pt>
                <c:pt idx="1">
                  <c:v>0</c:v>
                </c:pt>
                <c:pt idx="2">
                  <c:v>3.0000000000000001E-3</c:v>
                </c:pt>
                <c:pt idx="3">
                  <c:v>0</c:v>
                </c:pt>
              </c:numCache>
            </c:numRef>
          </c:val>
          <c:smooth val="0"/>
          <c:extLst>
            <c:ext xmlns:c16="http://schemas.microsoft.com/office/drawing/2014/chart" uri="{C3380CC4-5D6E-409C-BE32-E72D297353CC}">
              <c16:uniqueId val="{00000000-45BA-40FA-8EB9-24B451D8DBD0}"/>
            </c:ext>
          </c:extLst>
        </c:ser>
        <c:ser>
          <c:idx val="4"/>
          <c:order val="1"/>
          <c:tx>
            <c:strRef>
              <c:f>'MONOXIDO (CO) 4T '!$D$68</c:f>
              <c:strCache>
                <c:ptCount val="1"/>
                <c:pt idx="0">
                  <c:v>Ruido NTC 4983 Numeral 5.2.7.1 (+) [%]</c:v>
                </c:pt>
              </c:strCache>
            </c:strRef>
          </c:tx>
          <c:val>
            <c:numRef>
              <c:f>'MONOXIDO (CO) 4T '!$D$69:$D$72</c:f>
              <c:numCache>
                <c:formatCode>0.00</c:formatCode>
                <c:ptCount val="4"/>
                <c:pt idx="0">
                  <c:v>0.04</c:v>
                </c:pt>
                <c:pt idx="1">
                  <c:v>0.08</c:v>
                </c:pt>
                <c:pt idx="2">
                  <c:v>0.16</c:v>
                </c:pt>
                <c:pt idx="3">
                  <c:v>0.02</c:v>
                </c:pt>
              </c:numCache>
            </c:numRef>
          </c:val>
          <c:smooth val="0"/>
          <c:extLst>
            <c:ext xmlns:c16="http://schemas.microsoft.com/office/drawing/2014/chart" uri="{C3380CC4-5D6E-409C-BE32-E72D297353CC}">
              <c16:uniqueId val="{00000001-45BA-40FA-8EB9-24B451D8DB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(PESO)'!$C$87</c:f>
              <c:strCache>
                <c:ptCount val="1"/>
                <c:pt idx="0">
                  <c:v>ERROR + U EXPANDIDA CAL 2 [%] 2021</c:v>
                </c:pt>
              </c:strCache>
            </c:strRef>
          </c:tx>
          <c:val>
            <c:numRef>
              <c:f>'FRENOMETRO (PESO)'!$C$88:$C$92</c:f>
              <c:numCache>
                <c:formatCode>0.000</c:formatCode>
                <c:ptCount val="5"/>
                <c:pt idx="0">
                  <c:v>1.3944223107569664</c:v>
                </c:pt>
                <c:pt idx="1">
                  <c:v>1.442805620322575</c:v>
                </c:pt>
                <c:pt idx="2">
                  <c:v>1.1616329239960095</c:v>
                </c:pt>
                <c:pt idx="3">
                  <c:v>1.4186162269785962</c:v>
                </c:pt>
                <c:pt idx="4">
                  <c:v>1.7519410710730594</c:v>
                </c:pt>
              </c:numCache>
            </c:numRef>
          </c:val>
          <c:smooth val="0"/>
          <c:extLst>
            <c:ext xmlns:c16="http://schemas.microsoft.com/office/drawing/2014/chart" uri="{C3380CC4-5D6E-409C-BE32-E72D297353CC}">
              <c16:uniqueId val="{00000000-22FE-4A33-AD6B-33341BA9AE3B}"/>
            </c:ext>
          </c:extLst>
        </c:ser>
        <c:ser>
          <c:idx val="1"/>
          <c:order val="1"/>
          <c:tx>
            <c:strRef>
              <c:f>'FRENOMETRO (PESO)'!$D$87</c:f>
              <c:strCache>
                <c:ptCount val="1"/>
                <c:pt idx="0">
                  <c:v>ERROR - U EXPANDIDA CAL 2 [%] 2021</c:v>
                </c:pt>
              </c:strCache>
            </c:strRef>
          </c:tx>
          <c:val>
            <c:numRef>
              <c:f>'FRENOMETRO (PESO)'!$D$88:$D$92</c:f>
              <c:numCache>
                <c:formatCode>0.000</c:formatCode>
                <c:ptCount val="5"/>
                <c:pt idx="0">
                  <c:v>-2.1912350597609618</c:v>
                </c:pt>
                <c:pt idx="1">
                  <c:v>-1.6433068734554239</c:v>
                </c:pt>
                <c:pt idx="2">
                  <c:v>-1.5599070693660875</c:v>
                </c:pt>
                <c:pt idx="3">
                  <c:v>-1.1697361871577898</c:v>
                </c:pt>
                <c:pt idx="4">
                  <c:v>-0.79633685048776082</c:v>
                </c:pt>
              </c:numCache>
            </c:numRef>
          </c:val>
          <c:smooth val="0"/>
          <c:extLst>
            <c:ext xmlns:c16="http://schemas.microsoft.com/office/drawing/2014/chart" uri="{C3380CC4-5D6E-409C-BE32-E72D297353CC}">
              <c16:uniqueId val="{00000001-22FE-4A33-AD6B-33341BA9AE3B}"/>
            </c:ext>
          </c:extLst>
        </c:ser>
        <c:ser>
          <c:idx val="2"/>
          <c:order val="2"/>
          <c:tx>
            <c:strRef>
              <c:f>'FRENOMETRO (PESO)'!$E$87</c:f>
              <c:strCache>
                <c:ptCount val="1"/>
                <c:pt idx="0">
                  <c:v>EXACTITUD DE ACUERDO A NTC: 5385:2011 (+) [%]</c:v>
                </c:pt>
              </c:strCache>
            </c:strRef>
          </c:tx>
          <c:val>
            <c:numRef>
              <c:f>'FRENOMETRO (PESO)'!$E$88:$E$92</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22FE-4A33-AD6B-33341BA9AE3B}"/>
            </c:ext>
          </c:extLst>
        </c:ser>
        <c:ser>
          <c:idx val="3"/>
          <c:order val="3"/>
          <c:tx>
            <c:strRef>
              <c:f>'FRENOMETRO (PESO)'!$F$87</c:f>
              <c:strCache>
                <c:ptCount val="1"/>
                <c:pt idx="0">
                  <c:v>EXACTITUD DE ACUERDO A NTC: 5385:2011 (-) [%]</c:v>
                </c:pt>
              </c:strCache>
            </c:strRef>
          </c:tx>
          <c:val>
            <c:numRef>
              <c:f>'FRENOMETRO (PESO)'!$F$88:$F$92</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22FE-4A33-AD6B-33341BA9AE3B}"/>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(PESO)'!$C$113</c:f>
              <c:strCache>
                <c:ptCount val="1"/>
                <c:pt idx="0">
                  <c:v>PRECISION CAL 2 2021</c:v>
                </c:pt>
              </c:strCache>
            </c:strRef>
          </c:tx>
          <c:val>
            <c:numRef>
              <c:f>'FRENOMETRO (PESO)'!$C$114:$C$118</c:f>
              <c:numCache>
                <c:formatCode>0.000</c:formatCode>
                <c:ptCount val="5"/>
                <c:pt idx="0">
                  <c:v>0</c:v>
                </c:pt>
                <c:pt idx="1">
                  <c:v>0.28870084619213537</c:v>
                </c:pt>
                <c:pt idx="2">
                  <c:v>0.19249917026219712</c:v>
                </c:pt>
                <c:pt idx="3">
                  <c:v>0.14435042309606769</c:v>
                </c:pt>
                <c:pt idx="4">
                  <c:v>0.11546884332072464</c:v>
                </c:pt>
              </c:numCache>
            </c:numRef>
          </c:val>
          <c:smooth val="0"/>
          <c:extLst>
            <c:ext xmlns:c16="http://schemas.microsoft.com/office/drawing/2014/chart" uri="{C3380CC4-5D6E-409C-BE32-E72D297353CC}">
              <c16:uniqueId val="{00000000-1904-4A30-85BF-0495DECC40B6}"/>
            </c:ext>
          </c:extLst>
        </c:ser>
        <c:ser>
          <c:idx val="1"/>
          <c:order val="1"/>
          <c:tx>
            <c:strRef>
              <c:f>'FRENOMETRO (PESO)'!$D$113</c:f>
              <c:strCache>
                <c:ptCount val="1"/>
                <c:pt idx="0">
                  <c:v>Precision NTC 5385</c:v>
                </c:pt>
              </c:strCache>
            </c:strRef>
          </c:tx>
          <c:val>
            <c:numRef>
              <c:f>'FRENOMETRO (PESO)'!$D$114:$D$118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1904-4A30-85BF-0495DECC40B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(INTENSIDAD)'!$C$40</c:f>
              <c:strCache>
                <c:ptCount val="1"/>
                <c:pt idx="0">
                  <c:v>ERROR + U EXPANDIDA CAL 2 [mm]</c:v>
                </c:pt>
              </c:strCache>
            </c:strRef>
          </c:tx>
          <c:val>
            <c:numRef>
              <c:f>'LUXOMETRO (INTENSIDAD)'!$C$41:$C$47</c:f>
              <c:numCache>
                <c:formatCode>0.000</c:formatCode>
                <c:ptCount val="7"/>
                <c:pt idx="0">
                  <c:v>5.7000000000000002E-2</c:v>
                </c:pt>
                <c:pt idx="1">
                  <c:v>5.5</c:v>
                </c:pt>
                <c:pt idx="2">
                  <c:v>4.5</c:v>
                </c:pt>
                <c:pt idx="3">
                  <c:v>0.66153846153846085</c:v>
                </c:pt>
                <c:pt idx="4">
                  <c:v>5.7000000000000002E-2</c:v>
                </c:pt>
                <c:pt idx="5">
                  <c:v>4.6857142857142842</c:v>
                </c:pt>
                <c:pt idx="6">
                  <c:v>3.622222222222228</c:v>
                </c:pt>
              </c:numCache>
            </c:numRef>
          </c:val>
          <c:smooth val="0"/>
          <c:extLst>
            <c:ext xmlns:c16="http://schemas.microsoft.com/office/drawing/2014/chart" uri="{C3380CC4-5D6E-409C-BE32-E72D297353CC}">
              <c16:uniqueId val="{00000000-8224-425B-9C4B-C6C6555C3D47}"/>
            </c:ext>
          </c:extLst>
        </c:ser>
        <c:ser>
          <c:idx val="1"/>
          <c:order val="1"/>
          <c:tx>
            <c:strRef>
              <c:f>'LUXOMETRO (INTENSIDAD)'!$D$40</c:f>
              <c:strCache>
                <c:ptCount val="1"/>
                <c:pt idx="0">
                  <c:v>ERROR - U EXPANDIDA CAL 2 [mm]</c:v>
                </c:pt>
              </c:strCache>
            </c:strRef>
          </c:tx>
          <c:val>
            <c:numRef>
              <c:f>'LUXOMETRO (INTENSIDAD)'!$D$41:$D$47</c:f>
              <c:numCache>
                <c:formatCode>0.000</c:formatCode>
                <c:ptCount val="7"/>
                <c:pt idx="0">
                  <c:v>-5.7000000000000002E-2</c:v>
                </c:pt>
                <c:pt idx="1">
                  <c:v>-9.600000000000005</c:v>
                </c:pt>
                <c:pt idx="2">
                  <c:v>-4.5</c:v>
                </c:pt>
                <c:pt idx="3">
                  <c:v>0.30769230769230493</c:v>
                </c:pt>
                <c:pt idx="4">
                  <c:v>-5.7000000000000002E-2</c:v>
                </c:pt>
                <c:pt idx="5">
                  <c:v>-3.5714285714285738</c:v>
                </c:pt>
                <c:pt idx="6">
                  <c:v>-4.8888888888888822</c:v>
                </c:pt>
              </c:numCache>
            </c:numRef>
          </c:val>
          <c:smooth val="0"/>
          <c:extLst>
            <c:ext xmlns:c16="http://schemas.microsoft.com/office/drawing/2014/chart" uri="{C3380CC4-5D6E-409C-BE32-E72D297353CC}">
              <c16:uniqueId val="{00000001-8224-425B-9C4B-C6C6555C3D47}"/>
            </c:ext>
          </c:extLst>
        </c:ser>
        <c:ser>
          <c:idx val="2"/>
          <c:order val="2"/>
          <c:tx>
            <c:strRef>
              <c:f>'LUXOMETRO (INTENSIDAD)'!$E$40</c:f>
              <c:strCache>
                <c:ptCount val="1"/>
                <c:pt idx="0">
                  <c:v>EXACTITUD DE ACUERDO A NTC: 5385:2011 (+) [mm]</c:v>
                </c:pt>
              </c:strCache>
            </c:strRef>
          </c:tx>
          <c:val>
            <c:numRef>
              <c:f>'LUXOMETRO (INTENSIDAD)'!$E$41:$E$47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2-8224-425B-9C4B-C6C6555C3D47}"/>
            </c:ext>
          </c:extLst>
        </c:ser>
        <c:ser>
          <c:idx val="3"/>
          <c:order val="3"/>
          <c:tx>
            <c:strRef>
              <c:f>'LUXOMETRO (INTENSIDAD)'!$F$40</c:f>
              <c:strCache>
                <c:ptCount val="1"/>
                <c:pt idx="0">
                  <c:v>EXACTITUD DE ACUERDO A NTC: 5385:2011 (-) [mm]</c:v>
                </c:pt>
              </c:strCache>
            </c:strRef>
          </c:tx>
          <c:val>
            <c:numRef>
              <c:f>'LUXOMETRO (INTENSIDAD)'!$F$41:$F$47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3-8224-425B-9C4B-C6C6555C3D47}"/>
            </c:ext>
          </c:extLst>
        </c:ser>
        <c:dLbls>
          <c:showLegendKey val="0"/>
          <c:showVal val="0"/>
          <c:showCatName val="0"/>
          <c:showSerName val="0"/>
          <c:showPercent val="0"/>
          <c:showBubbleSize val="0"/>
        </c:dLbls>
        <c:marker val="1"/>
        <c:smooth val="0"/>
        <c:axId val="413369104"/>
        <c:axId val="413369496"/>
      </c:lineChart>
      <c:catAx>
        <c:axId val="413369104"/>
        <c:scaling>
          <c:orientation val="minMax"/>
        </c:scaling>
        <c:delete val="0"/>
        <c:axPos val="b"/>
        <c:numFmt formatCode="General" sourceLinked="1"/>
        <c:majorTickMark val="none"/>
        <c:minorTickMark val="none"/>
        <c:tickLblPos val="nextTo"/>
        <c:crossAx val="413369496"/>
        <c:crosses val="autoZero"/>
        <c:auto val="1"/>
        <c:lblAlgn val="ctr"/>
        <c:lblOffset val="100"/>
        <c:noMultiLvlLbl val="0"/>
      </c:catAx>
      <c:valAx>
        <c:axId val="413369496"/>
        <c:scaling>
          <c:orientation val="minMax"/>
        </c:scaling>
        <c:delete val="0"/>
        <c:axPos val="l"/>
        <c:majorGridlines/>
        <c:title>
          <c:overlay val="0"/>
        </c:title>
        <c:numFmt formatCode="0.000" sourceLinked="1"/>
        <c:majorTickMark val="none"/>
        <c:minorTickMark val="none"/>
        <c:tickLblPos val="nextTo"/>
        <c:crossAx val="4133691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(INCLINACION)'!$C$40</c:f>
              <c:strCache>
                <c:ptCount val="1"/>
                <c:pt idx="0">
                  <c:v>ERROR + U EXPANDIDA CAL 2 [mm]</c:v>
                </c:pt>
              </c:strCache>
            </c:strRef>
          </c:tx>
          <c:val>
            <c:numRef>
              <c:f>'LUXOMETRO (INCLINACION)'!$C$41:$C$52</c:f>
              <c:numCache>
                <c:formatCode>0.000</c:formatCode>
                <c:ptCount val="12"/>
                <c:pt idx="0">
                  <c:v>5.8000000000000003E-2</c:v>
                </c:pt>
                <c:pt idx="1">
                  <c:v>-0.14160079840319378</c:v>
                </c:pt>
                <c:pt idx="2">
                  <c:v>-0.29077927254609454</c:v>
                </c:pt>
                <c:pt idx="3">
                  <c:v>-0.2411026919242239</c:v>
                </c:pt>
                <c:pt idx="4">
                  <c:v>-0.26494717169199855</c:v>
                </c:pt>
                <c:pt idx="5">
                  <c:v>-0.38498407167745369</c:v>
                </c:pt>
                <c:pt idx="6">
                  <c:v>5.8000000000000003E-2</c:v>
                </c:pt>
                <c:pt idx="7">
                  <c:v>-0.14160079840319378</c:v>
                </c:pt>
                <c:pt idx="8">
                  <c:v>-0.29077927254609454</c:v>
                </c:pt>
                <c:pt idx="9">
                  <c:v>-0.2411026919242239</c:v>
                </c:pt>
                <c:pt idx="10">
                  <c:v>-0.26494717169199855</c:v>
                </c:pt>
                <c:pt idx="11">
                  <c:v>-0.38498407167745369</c:v>
                </c:pt>
              </c:numCache>
            </c:numRef>
          </c:val>
          <c:smooth val="0"/>
          <c:extLst>
            <c:ext xmlns:c16="http://schemas.microsoft.com/office/drawing/2014/chart" uri="{C3380CC4-5D6E-409C-BE32-E72D297353CC}">
              <c16:uniqueId val="{00000000-C635-4DC3-8A03-474597DECD0B}"/>
            </c:ext>
          </c:extLst>
        </c:ser>
        <c:ser>
          <c:idx val="1"/>
          <c:order val="1"/>
          <c:tx>
            <c:strRef>
              <c:f>'LUXOMETRO (INCLINACION)'!$D$40</c:f>
              <c:strCache>
                <c:ptCount val="1"/>
                <c:pt idx="0">
                  <c:v>ERROR - U EXPANDIDA CAL 2 [mm]</c:v>
                </c:pt>
              </c:strCache>
            </c:strRef>
          </c:tx>
          <c:val>
            <c:numRef>
              <c:f>'LUXOMETRO (INCLINACION)'!$D$41:$D$52</c:f>
              <c:numCache>
                <c:formatCode>0.000</c:formatCode>
                <c:ptCount val="12"/>
                <c:pt idx="0">
                  <c:v>-5.8000000000000003E-2</c:v>
                </c:pt>
                <c:pt idx="1">
                  <c:v>-0.25760079840319378</c:v>
                </c:pt>
                <c:pt idx="2">
                  <c:v>-0.40677927254609453</c:v>
                </c:pt>
                <c:pt idx="3">
                  <c:v>-0.35710269192422389</c:v>
                </c:pt>
                <c:pt idx="4">
                  <c:v>-0.38294717169199854</c:v>
                </c:pt>
                <c:pt idx="5">
                  <c:v>-0.51098407167745363</c:v>
                </c:pt>
                <c:pt idx="6">
                  <c:v>-5.8000000000000003E-2</c:v>
                </c:pt>
                <c:pt idx="7">
                  <c:v>-0.25760079840319378</c:v>
                </c:pt>
                <c:pt idx="8">
                  <c:v>-0.40677927254609453</c:v>
                </c:pt>
                <c:pt idx="9">
                  <c:v>-0.35710269192422389</c:v>
                </c:pt>
                <c:pt idx="10">
                  <c:v>-0.38294717169199854</c:v>
                </c:pt>
                <c:pt idx="11">
                  <c:v>-0.51098407167745363</c:v>
                </c:pt>
              </c:numCache>
            </c:numRef>
          </c:val>
          <c:smooth val="0"/>
          <c:extLst>
            <c:ext xmlns:c16="http://schemas.microsoft.com/office/drawing/2014/chart" uri="{C3380CC4-5D6E-409C-BE32-E72D297353CC}">
              <c16:uniqueId val="{00000001-C635-4DC3-8A03-474597DECD0B}"/>
            </c:ext>
          </c:extLst>
        </c:ser>
        <c:ser>
          <c:idx val="2"/>
          <c:order val="2"/>
          <c:tx>
            <c:strRef>
              <c:f>'LUXOMETRO (INCLINACION)'!$E$40</c:f>
              <c:strCache>
                <c:ptCount val="1"/>
                <c:pt idx="0">
                  <c:v>EXACTITUD DE ACUERDO A NTC: 5385:2011 (+) [mm]</c:v>
                </c:pt>
              </c:strCache>
            </c:strRef>
          </c:tx>
          <c:val>
            <c:numRef>
              <c:f>'LUXOMETRO (INCLINACION)'!$E$41:$E$52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2-C635-4DC3-8A03-474597DECD0B}"/>
            </c:ext>
          </c:extLst>
        </c:ser>
        <c:ser>
          <c:idx val="3"/>
          <c:order val="3"/>
          <c:tx>
            <c:strRef>
              <c:f>'LUXOMETRO (INCLINACION)'!$F$40</c:f>
              <c:strCache>
                <c:ptCount val="1"/>
                <c:pt idx="0">
                  <c:v>EXACTITUD DE ACUERDO A NTC: 5385:2011 (-) [mm]</c:v>
                </c:pt>
              </c:strCache>
            </c:strRef>
          </c:tx>
          <c:val>
            <c:numRef>
              <c:f>'LUXOMETRO (INCLINACION)'!$F$41:$F$52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C635-4DC3-8A03-474597DECD0B}"/>
            </c:ext>
          </c:extLst>
        </c:ser>
        <c:dLbls>
          <c:showLegendKey val="0"/>
          <c:showVal val="0"/>
          <c:showCatName val="0"/>
          <c:showSerName val="0"/>
          <c:showPercent val="0"/>
          <c:showBubbleSize val="0"/>
        </c:dLbls>
        <c:marker val="1"/>
        <c:smooth val="0"/>
        <c:axId val="413370280"/>
        <c:axId val="413370672"/>
      </c:lineChart>
      <c:catAx>
        <c:axId val="413370280"/>
        <c:scaling>
          <c:orientation val="minMax"/>
        </c:scaling>
        <c:delete val="0"/>
        <c:axPos val="b"/>
        <c:numFmt formatCode="General" sourceLinked="1"/>
        <c:majorTickMark val="none"/>
        <c:minorTickMark val="none"/>
        <c:tickLblPos val="nextTo"/>
        <c:crossAx val="413370672"/>
        <c:crosses val="autoZero"/>
        <c:auto val="1"/>
        <c:lblAlgn val="ctr"/>
        <c:lblOffset val="100"/>
        <c:noMultiLvlLbl val="0"/>
      </c:catAx>
      <c:valAx>
        <c:axId val="413370672"/>
        <c:scaling>
          <c:orientation val="minMax"/>
        </c:scaling>
        <c:delete val="0"/>
        <c:axPos val="l"/>
        <c:majorGridlines/>
        <c:title>
          <c:overlay val="0"/>
        </c:title>
        <c:numFmt formatCode="0.000" sourceLinked="1"/>
        <c:majorTickMark val="none"/>
        <c:minorTickMark val="none"/>
        <c:tickLblPos val="nextTo"/>
        <c:crossAx val="4133702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PROFUNDIMETRO!$C$30</c:f>
              <c:strCache>
                <c:ptCount val="1"/>
                <c:pt idx="0">
                  <c:v>ERROR + U EXPANDIDA CAL 2 [%]</c:v>
                </c:pt>
              </c:strCache>
            </c:strRef>
          </c:tx>
          <c:val>
            <c:numRef>
              <c:f>PROFUNDIMETRO!$C$31:$C$40</c:f>
              <c:numCache>
                <c:formatCode>0.000</c:formatCode>
                <c:ptCount val="10"/>
                <c:pt idx="0">
                  <c:v>6.4000000000000003E-3</c:v>
                </c:pt>
                <c:pt idx="1">
                  <c:v>1.1400000000000004E-2</c:v>
                </c:pt>
                <c:pt idx="2">
                  <c:v>-3.6000000000000086E-3</c:v>
                </c:pt>
                <c:pt idx="3">
                  <c:v>6.4000000000000003E-3</c:v>
                </c:pt>
                <c:pt idx="4">
                  <c:v>-8.5999999999999029E-3</c:v>
                </c:pt>
                <c:pt idx="5">
                  <c:v>6.4000000000000003E-3</c:v>
                </c:pt>
                <c:pt idx="6">
                  <c:v>6.4000000000000003E-3</c:v>
                </c:pt>
                <c:pt idx="7">
                  <c:v>6.4000000000000003E-3</c:v>
                </c:pt>
                <c:pt idx="8">
                  <c:v>-3.6000000000015629E-3</c:v>
                </c:pt>
                <c:pt idx="9">
                  <c:v>6.4000000000000003E-3</c:v>
                </c:pt>
              </c:numCache>
            </c:numRef>
          </c:val>
          <c:smooth val="0"/>
          <c:extLst>
            <c:ext xmlns:c16="http://schemas.microsoft.com/office/drawing/2014/chart" uri="{C3380CC4-5D6E-409C-BE32-E72D297353CC}">
              <c16:uniqueId val="{00000000-8C78-44EA-B071-32CC77B9B08A}"/>
            </c:ext>
          </c:extLst>
        </c:ser>
        <c:ser>
          <c:idx val="1"/>
          <c:order val="1"/>
          <c:tx>
            <c:strRef>
              <c:f>PROFUNDIMETRO!$D$30</c:f>
              <c:strCache>
                <c:ptCount val="1"/>
                <c:pt idx="0">
                  <c:v>ERROR - U EXPANDIDA CAL 2 [%]</c:v>
                </c:pt>
              </c:strCache>
            </c:strRef>
          </c:tx>
          <c:val>
            <c:numRef>
              <c:f>PROFUNDIMETRO!$D$31:$D$40</c:f>
              <c:numCache>
                <c:formatCode>0.000</c:formatCode>
                <c:ptCount val="10"/>
                <c:pt idx="0">
                  <c:v>6.4000000000000003E-3</c:v>
                </c:pt>
                <c:pt idx="1">
                  <c:v>1.3999999999999959E-3</c:v>
                </c:pt>
                <c:pt idx="2">
                  <c:v>1.6400000000000008E-2</c:v>
                </c:pt>
                <c:pt idx="3">
                  <c:v>6.4000000000000003E-3</c:v>
                </c:pt>
                <c:pt idx="4">
                  <c:v>2.1399999999999902E-2</c:v>
                </c:pt>
                <c:pt idx="5">
                  <c:v>6.4000000000000003E-3</c:v>
                </c:pt>
                <c:pt idx="6">
                  <c:v>6.4000000000000003E-3</c:v>
                </c:pt>
                <c:pt idx="7">
                  <c:v>6.4000000000000003E-3</c:v>
                </c:pt>
                <c:pt idx="8">
                  <c:v>1.6400000000001563E-2</c:v>
                </c:pt>
                <c:pt idx="9">
                  <c:v>6.4000000000000003E-3</c:v>
                </c:pt>
              </c:numCache>
            </c:numRef>
          </c:val>
          <c:smooth val="0"/>
          <c:extLst>
            <c:ext xmlns:c16="http://schemas.microsoft.com/office/drawing/2014/chart" uri="{C3380CC4-5D6E-409C-BE32-E72D297353CC}">
              <c16:uniqueId val="{00000001-8C78-44EA-B071-32CC77B9B08A}"/>
            </c:ext>
          </c:extLst>
        </c:ser>
        <c:ser>
          <c:idx val="2"/>
          <c:order val="2"/>
          <c:tx>
            <c:strRef>
              <c:f>PROFUNDIMETRO!$E$30</c:f>
              <c:strCache>
                <c:ptCount val="1"/>
                <c:pt idx="0">
                  <c:v>Exactitud NTC 5365 Numeral 5.2.7.1 (+) [%]</c:v>
                </c:pt>
              </c:strCache>
            </c:strRef>
          </c:tx>
          <c:val>
            <c:numRef>
              <c:f>PROFUNDIMETRO!$E$31:$E$40</c:f>
              <c:numCache>
                <c:formatCode>0.00</c:formatCode>
                <c:ptCount val="10"/>
                <c:pt idx="0">
                  <c:v>0.04</c:v>
                </c:pt>
                <c:pt idx="1">
                  <c:v>0.04</c:v>
                </c:pt>
                <c:pt idx="2">
                  <c:v>0.04</c:v>
                </c:pt>
                <c:pt idx="3">
                  <c:v>0.04</c:v>
                </c:pt>
                <c:pt idx="4">
                  <c:v>0.04</c:v>
                </c:pt>
                <c:pt idx="5">
                  <c:v>0.04</c:v>
                </c:pt>
                <c:pt idx="6">
                  <c:v>0.04</c:v>
                </c:pt>
                <c:pt idx="7">
                  <c:v>0.04</c:v>
                </c:pt>
                <c:pt idx="8">
                  <c:v>0.04</c:v>
                </c:pt>
                <c:pt idx="9">
                  <c:v>0.04</c:v>
                </c:pt>
              </c:numCache>
            </c:numRef>
          </c:val>
          <c:smooth val="0"/>
          <c:extLst>
            <c:ext xmlns:c16="http://schemas.microsoft.com/office/drawing/2014/chart" uri="{C3380CC4-5D6E-409C-BE32-E72D297353CC}">
              <c16:uniqueId val="{00000002-8C78-44EA-B071-32CC77B9B08A}"/>
            </c:ext>
          </c:extLst>
        </c:ser>
        <c:ser>
          <c:idx val="3"/>
          <c:order val="3"/>
          <c:tx>
            <c:strRef>
              <c:f>PROFUNDIMETRO!$F$30</c:f>
              <c:strCache>
                <c:ptCount val="1"/>
                <c:pt idx="0">
                  <c:v>Exactitud NTC 5365 Numeral 5.2.7.1 (-) [%]</c:v>
                </c:pt>
              </c:strCache>
            </c:strRef>
          </c:tx>
          <c:val>
            <c:numRef>
              <c:f>PROFUNDIMETRO!$F$31:$F$40</c:f>
              <c:numCache>
                <c:formatCode>0.00</c:formatCode>
                <c:ptCount val="10"/>
                <c:pt idx="0">
                  <c:v>-0.04</c:v>
                </c:pt>
                <c:pt idx="1">
                  <c:v>-0.04</c:v>
                </c:pt>
                <c:pt idx="2">
                  <c:v>-0.04</c:v>
                </c:pt>
                <c:pt idx="3">
                  <c:v>-0.04</c:v>
                </c:pt>
                <c:pt idx="4">
                  <c:v>-0.04</c:v>
                </c:pt>
                <c:pt idx="5">
                  <c:v>-0.04</c:v>
                </c:pt>
                <c:pt idx="6">
                  <c:v>-0.04</c:v>
                </c:pt>
                <c:pt idx="7">
                  <c:v>-0.04</c:v>
                </c:pt>
                <c:pt idx="8">
                  <c:v>-0.04</c:v>
                </c:pt>
                <c:pt idx="9">
                  <c:v>-0.04</c:v>
                </c:pt>
              </c:numCache>
            </c:numRef>
          </c:val>
          <c:smooth val="0"/>
          <c:extLst>
            <c:ext xmlns:c16="http://schemas.microsoft.com/office/drawing/2014/chart" uri="{C3380CC4-5D6E-409C-BE32-E72D297353CC}">
              <c16:uniqueId val="{00000003-8C78-44EA-B071-32CC77B9B08A}"/>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layout/>
      <c:overlay val="0"/>
    </c:title>
    <c:autoTitleDeleted val="0"/>
    <c:plotArea>
      <c:layout/>
      <c:lineChart>
        <c:grouping val="standard"/>
        <c:varyColors val="0"/>
        <c:ser>
          <c:idx val="0"/>
          <c:order val="0"/>
          <c:tx>
            <c:strRef>
              <c:f>SONOMETRO!$C$30</c:f>
              <c:strCache>
                <c:ptCount val="1"/>
                <c:pt idx="0">
                  <c:v>ERROR + U EXPANDIDA CAL 2 [%]</c:v>
                </c:pt>
              </c:strCache>
            </c:strRef>
          </c:tx>
          <c:val>
            <c:numRef>
              <c:f>SONOMETRO!$C$31:$C$32</c:f>
              <c:numCache>
                <c:formatCode>0.000</c:formatCode>
                <c:ptCount val="2"/>
                <c:pt idx="0">
                  <c:v>0.23</c:v>
                </c:pt>
                <c:pt idx="1">
                  <c:v>0.12999999999999148</c:v>
                </c:pt>
              </c:numCache>
            </c:numRef>
          </c:val>
          <c:smooth val="0"/>
          <c:extLst>
            <c:ext xmlns:c16="http://schemas.microsoft.com/office/drawing/2014/chart" uri="{C3380CC4-5D6E-409C-BE32-E72D297353CC}">
              <c16:uniqueId val="{00000000-2355-415C-BF75-BE9E864F8441}"/>
            </c:ext>
          </c:extLst>
        </c:ser>
        <c:ser>
          <c:idx val="1"/>
          <c:order val="1"/>
          <c:tx>
            <c:strRef>
              <c:f>SONOMETRO!$D$30</c:f>
              <c:strCache>
                <c:ptCount val="1"/>
                <c:pt idx="0">
                  <c:v>ERROR - U EXPANDIDA CAL 2 [%]</c:v>
                </c:pt>
              </c:strCache>
            </c:strRef>
          </c:tx>
          <c:val>
            <c:numRef>
              <c:f>SONOMETRO!$D$31:$D$32</c:f>
              <c:numCache>
                <c:formatCode>0.000</c:formatCode>
                <c:ptCount val="2"/>
                <c:pt idx="0">
                  <c:v>-0.23</c:v>
                </c:pt>
                <c:pt idx="1">
                  <c:v>-0.33000000000000851</c:v>
                </c:pt>
              </c:numCache>
            </c:numRef>
          </c:val>
          <c:smooth val="0"/>
          <c:extLst>
            <c:ext xmlns:c16="http://schemas.microsoft.com/office/drawing/2014/chart" uri="{C3380CC4-5D6E-409C-BE32-E72D297353CC}">
              <c16:uniqueId val="{00000001-2355-415C-BF75-BE9E864F8441}"/>
            </c:ext>
          </c:extLst>
        </c:ser>
        <c:ser>
          <c:idx val="2"/>
          <c:order val="2"/>
          <c:tx>
            <c:strRef>
              <c:f>SONOMETRO!$E$30</c:f>
              <c:strCache>
                <c:ptCount val="1"/>
                <c:pt idx="0">
                  <c:v>Exactitud NTC 5365 Numeral 5.2.7.1 (+) [%]</c:v>
                </c:pt>
              </c:strCache>
            </c:strRef>
          </c:tx>
          <c:val>
            <c:numRef>
              <c:f>SONOMETRO!$E$31:$E$32</c:f>
              <c:numCache>
                <c:formatCode>0.00</c:formatCode>
                <c:ptCount val="2"/>
                <c:pt idx="0">
                  <c:v>1.5</c:v>
                </c:pt>
                <c:pt idx="1">
                  <c:v>1.5</c:v>
                </c:pt>
              </c:numCache>
            </c:numRef>
          </c:val>
          <c:smooth val="0"/>
          <c:extLst>
            <c:ext xmlns:c16="http://schemas.microsoft.com/office/drawing/2014/chart" uri="{C3380CC4-5D6E-409C-BE32-E72D297353CC}">
              <c16:uniqueId val="{00000002-2355-415C-BF75-BE9E864F8441}"/>
            </c:ext>
          </c:extLst>
        </c:ser>
        <c:ser>
          <c:idx val="3"/>
          <c:order val="3"/>
          <c:tx>
            <c:strRef>
              <c:f>SONOMETRO!$F$30</c:f>
              <c:strCache>
                <c:ptCount val="1"/>
                <c:pt idx="0">
                  <c:v>Exactitud NTC 5365 Numeral 5.2.7.1 (-) [%]</c:v>
                </c:pt>
              </c:strCache>
            </c:strRef>
          </c:tx>
          <c:val>
            <c:numRef>
              <c:f>SONOMETRO!$F$31:$F$32</c:f>
              <c:numCache>
                <c:formatCode>0.00</c:formatCode>
                <c:ptCount val="2"/>
                <c:pt idx="0">
                  <c:v>-1.5</c:v>
                </c:pt>
                <c:pt idx="1">
                  <c:v>-1.5</c:v>
                </c:pt>
              </c:numCache>
            </c:numRef>
          </c:val>
          <c:smooth val="0"/>
          <c:extLst>
            <c:ext xmlns:c16="http://schemas.microsoft.com/office/drawing/2014/chart" uri="{C3380CC4-5D6E-409C-BE32-E72D297353CC}">
              <c16:uniqueId val="{00000003-2355-415C-BF75-BE9E864F8441}"/>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layout/>
          <c:overlay val="0"/>
        </c:title>
        <c:numFmt formatCode="0.000" sourceLinked="1"/>
        <c:majorTickMark val="none"/>
        <c:minorTickMark val="none"/>
        <c:tickLblPos val="nextTo"/>
        <c:crossAx val="410182416"/>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'REVOLUCIONES POR MINUTO 2T'!$C$40</c:f>
              <c:strCache>
                <c:ptCount val="1"/>
                <c:pt idx="0">
                  <c:v>ERROR + U EXPANDIDA CAL 2 [%]</c:v>
                </c:pt>
              </c:strCache>
            </c:strRef>
          </c:tx>
          <c:val>
            <c:numRef>
              <c:f>'REVOLUCIONES POR MINUTO 2T'!$C$41:$C$48</c:f>
              <c:numCache>
                <c:formatCode>0.000</c:formatCode>
                <c:ptCount val="8"/>
                <c:pt idx="0">
                  <c:v>-0.37666666666664395</c:v>
                </c:pt>
                <c:pt idx="1">
                  <c:v>0.41999999999997728</c:v>
                </c:pt>
                <c:pt idx="2">
                  <c:v>-0.38222222222219948</c:v>
                </c:pt>
                <c:pt idx="3">
                  <c:v>-0.79388888888884346</c:v>
                </c:pt>
                <c:pt idx="4">
                  <c:v>-0.1939999999998181</c:v>
                </c:pt>
                <c:pt idx="5">
                  <c:v>4.0000000000000001E-3</c:v>
                </c:pt>
                <c:pt idx="6">
                  <c:v>-0.39625000000009097</c:v>
                </c:pt>
                <c:pt idx="7">
                  <c:v>-0.39822222222185844</c:v>
                </c:pt>
              </c:numCache>
            </c:numRef>
          </c:val>
          <c:smooth val="0"/>
          <c:extLst>
            <c:ext xmlns:c16="http://schemas.microsoft.com/office/drawing/2014/chart" uri="{C3380CC4-5D6E-409C-BE32-E72D297353CC}">
              <c16:uniqueId val="{00000000-5F48-436B-A63F-82993D2782FB}"/>
            </c:ext>
          </c:extLst>
        </c:ser>
        <c:ser>
          <c:idx val="1"/>
          <c:order val="1"/>
          <c:tx>
            <c:strRef>
              <c:f>'REVOLUCIONES POR MINUTO 2T'!$D$40</c:f>
              <c:strCache>
                <c:ptCount val="1"/>
                <c:pt idx="0">
                  <c:v>ERROR - U EXPANDIDA CAL 2 [%]</c:v>
                </c:pt>
              </c:strCache>
            </c:strRef>
          </c:tx>
          <c:val>
            <c:numRef>
              <c:f>'REVOLUCIONES POR MINUTO 2T'!$D$41:$D$48</c:f>
              <c:numCache>
                <c:formatCode>0.000</c:formatCode>
                <c:ptCount val="8"/>
                <c:pt idx="0">
                  <c:v>-8.9999999999996222E-2</c:v>
                </c:pt>
                <c:pt idx="1">
                  <c:v>2.9999999999997157E-2</c:v>
                </c:pt>
                <c:pt idx="2">
                  <c:v>-6.2222222222219695E-2</c:v>
                </c:pt>
                <c:pt idx="3">
                  <c:v>-5.0555555555553029E-2</c:v>
                </c:pt>
                <c:pt idx="4">
                  <c:v>-1.3999999999992725E-2</c:v>
                </c:pt>
                <c:pt idx="5">
                  <c:v>-4.0000000000000001E-3</c:v>
                </c:pt>
                <c:pt idx="6">
                  <c:v>-1.3750000000002274E-2</c:v>
                </c:pt>
                <c:pt idx="7">
                  <c:v>-6.2222222222181808E-3</c:v>
                </c:pt>
              </c:numCache>
            </c:numRef>
          </c:val>
          <c:smooth val="0"/>
          <c:extLst>
            <c:ext xmlns:c16="http://schemas.microsoft.com/office/drawing/2014/chart" uri="{C3380CC4-5D6E-409C-BE32-E72D297353CC}">
              <c16:uniqueId val="{00000001-5F48-436B-A63F-82993D2782FB}"/>
            </c:ext>
          </c:extLst>
        </c:ser>
        <c:ser>
          <c:idx val="2"/>
          <c:order val="2"/>
          <c:tx>
            <c:strRef>
              <c:f>'REVOLUCIONES POR MINUTO 2T'!$E$40</c:f>
              <c:strCache>
                <c:ptCount val="1"/>
                <c:pt idx="0">
                  <c:v>Exactitud NTC 5365 Numeral 5.2.7.1 (+) [%]</c:v>
                </c:pt>
              </c:strCache>
            </c:strRef>
          </c:tx>
          <c:val>
            <c:numRef>
              <c:f>'REVOLUCIONES POR MINUTO 2T'!$E$41:$E$48</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2-5F48-436B-A63F-82993D2782FB}"/>
            </c:ext>
          </c:extLst>
        </c:ser>
        <c:ser>
          <c:idx val="3"/>
          <c:order val="3"/>
          <c:tx>
            <c:strRef>
              <c:f>'REVOLUCIONES POR MINUTO 2T'!$F$40</c:f>
              <c:strCache>
                <c:ptCount val="1"/>
                <c:pt idx="0">
                  <c:v>Exactitud NTC 5365 Numeral 5.2.7.1 (-) [%]</c:v>
                </c:pt>
              </c:strCache>
            </c:strRef>
          </c:tx>
          <c:val>
            <c:numRef>
              <c:f>'REVOLUCIONES POR MINUTO 2T'!$F$41:$F$48</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3-5F48-436B-A63F-82993D2782FB}"/>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2T'!$C$31</c:f>
              <c:strCache>
                <c:ptCount val="1"/>
                <c:pt idx="0">
                  <c:v>ERROR + U EXPANDIDA CAL 2 [%]</c:v>
                </c:pt>
              </c:strCache>
            </c:strRef>
          </c:tx>
          <c:val>
            <c:numRef>
              <c:f>'TEMPERATURA (TEM) 2T'!$C$32:$C$34</c:f>
              <c:numCache>
                <c:formatCode>0.000</c:formatCode>
                <c:ptCount val="3"/>
                <c:pt idx="0">
                  <c:v>3.900000000000003</c:v>
                </c:pt>
                <c:pt idx="1">
                  <c:v>3.900000000000003</c:v>
                </c:pt>
                <c:pt idx="2">
                  <c:v>0.28000000000000003</c:v>
                </c:pt>
              </c:numCache>
            </c:numRef>
          </c:val>
          <c:smooth val="0"/>
          <c:extLst>
            <c:ext xmlns:c16="http://schemas.microsoft.com/office/drawing/2014/chart" uri="{C3380CC4-5D6E-409C-BE32-E72D297353CC}">
              <c16:uniqueId val="{00000000-7468-480A-9AFE-B1FD6F49098B}"/>
            </c:ext>
          </c:extLst>
        </c:ser>
        <c:ser>
          <c:idx val="1"/>
          <c:order val="1"/>
          <c:tx>
            <c:strRef>
              <c:f>'TEMPERATURA (TEM) 2T'!$D$31</c:f>
              <c:strCache>
                <c:ptCount val="1"/>
                <c:pt idx="0">
                  <c:v>ERROR - U EXPANDIDA CAL 2 [%]</c:v>
                </c:pt>
              </c:strCache>
            </c:strRef>
          </c:tx>
          <c:val>
            <c:numRef>
              <c:f>'TEMPERATURA (TEM) 2T'!$D$32:$D$34</c:f>
              <c:numCache>
                <c:formatCode>0.000</c:formatCode>
                <c:ptCount val="3"/>
                <c:pt idx="0">
                  <c:v>-3.4999999999999973</c:v>
                </c:pt>
                <c:pt idx="1">
                  <c:v>-2.2666666666666639</c:v>
                </c:pt>
                <c:pt idx="2">
                  <c:v>-2.2800000000000002</c:v>
                </c:pt>
              </c:numCache>
            </c:numRef>
          </c:val>
          <c:smooth val="0"/>
          <c:extLst>
            <c:ext xmlns:c16="http://schemas.microsoft.com/office/drawing/2014/chart" uri="{C3380CC4-5D6E-409C-BE32-E72D297353CC}">
              <c16:uniqueId val="{00000001-7468-480A-9AFE-B1FD6F49098B}"/>
            </c:ext>
          </c:extLst>
        </c:ser>
        <c:ser>
          <c:idx val="2"/>
          <c:order val="2"/>
          <c:tx>
            <c:strRef>
              <c:f>'TEMPERATURA (TEM) 2T'!$E$31</c:f>
              <c:strCache>
                <c:ptCount val="1"/>
                <c:pt idx="0">
                  <c:v>Exactitud NTC 5365 Numeral 5.2.7.1 (+) [%]</c:v>
                </c:pt>
              </c:strCache>
            </c:strRef>
          </c:tx>
          <c:val>
            <c:numRef>
              <c:f>'TEMPERATURA (TEM) 2T'!$E$32:$E$34</c:f>
              <c:numCache>
                <c:formatCode>0.00</c:formatCode>
                <c:ptCount val="3"/>
                <c:pt idx="0">
                  <c:v>5</c:v>
                </c:pt>
                <c:pt idx="1">
                  <c:v>5</c:v>
                </c:pt>
                <c:pt idx="2">
                  <c:v>5</c:v>
                </c:pt>
              </c:numCache>
            </c:numRef>
          </c:val>
          <c:smooth val="0"/>
          <c:extLst>
            <c:ext xmlns:c16="http://schemas.microsoft.com/office/drawing/2014/chart" uri="{C3380CC4-5D6E-409C-BE32-E72D297353CC}">
              <c16:uniqueId val="{00000002-7468-480A-9AFE-B1FD6F49098B}"/>
            </c:ext>
          </c:extLst>
        </c:ser>
        <c:ser>
          <c:idx val="3"/>
          <c:order val="3"/>
          <c:tx>
            <c:strRef>
              <c:f>'TEMPERATURA (TEM) 2T'!$F$31</c:f>
              <c:strCache>
                <c:ptCount val="1"/>
                <c:pt idx="0">
                  <c:v>Exactitud NTC 5365 Numeral 5.2.7.1 (-) [%]</c:v>
                </c:pt>
              </c:strCache>
            </c:strRef>
          </c:tx>
          <c:val>
            <c:numRef>
              <c:f>'TEMPERATURA (TEM) 2T'!$F$32:$F$34</c:f>
              <c:numCache>
                <c:formatCode>0.00</c:formatCode>
                <c:ptCount val="3"/>
                <c:pt idx="0">
                  <c:v>-5</c:v>
                </c:pt>
                <c:pt idx="1">
                  <c:v>-5</c:v>
                </c:pt>
                <c:pt idx="2">
                  <c:v>-5</c:v>
                </c:pt>
              </c:numCache>
            </c:numRef>
          </c:val>
          <c:smooth val="0"/>
          <c:extLst>
            <c:ext xmlns:c16="http://schemas.microsoft.com/office/drawing/2014/chart" uri="{C3380CC4-5D6E-409C-BE32-E72D297353CC}">
              <c16:uniqueId val="{00000003-7468-480A-9AFE-B1FD6F49098B}"/>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2T'!$C$40</c:f>
              <c:strCache>
                <c:ptCount val="1"/>
                <c:pt idx="0">
                  <c:v>ERROR + U EXPANDIDA CAL 2 [%]</c:v>
                </c:pt>
              </c:strCache>
            </c:strRef>
          </c:tx>
          <c:val>
            <c:numRef>
              <c:f>'MONOXIDO (CO) 2T'!$C$41:$C$44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A82B-4D1C-8D63-FF307A7D993C}"/>
            </c:ext>
          </c:extLst>
        </c:ser>
        <c:ser>
          <c:idx val="1"/>
          <c:order val="1"/>
          <c:tx>
            <c:strRef>
              <c:f>'MONOXIDO (CO) 2T'!$D$40</c:f>
              <c:strCache>
                <c:ptCount val="1"/>
                <c:pt idx="0">
                  <c:v>ERROR - U EXPANDIDA CAL 2 [%]</c:v>
                </c:pt>
              </c:strCache>
            </c:strRef>
          </c:tx>
          <c:val>
            <c:numRef>
              <c:f>'MONOXIDO (CO) 2T'!$D$41:$D$44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A82B-4D1C-8D63-FF307A7D993C}"/>
            </c:ext>
          </c:extLst>
        </c:ser>
        <c:ser>
          <c:idx val="3"/>
          <c:order val="2"/>
          <c:tx>
            <c:strRef>
              <c:f>'MONOXIDO (CO) 2T'!$E$40</c:f>
              <c:strCache>
                <c:ptCount val="1"/>
                <c:pt idx="0">
                  <c:v>Exactitud NTC 5365 Numeral 5.2.7.1 (+) [%]</c:v>
                </c:pt>
              </c:strCache>
            </c:strRef>
          </c:tx>
          <c:val>
            <c:numRef>
              <c:f>'MONOXIDO (CO) 2T'!$E$41:$E$44</c:f>
              <c:numCache>
                <c:formatCode>0.00</c:formatCode>
                <c:ptCount val="4"/>
                <c:pt idx="0">
                  <c:v>0.1</c:v>
                </c:pt>
                <c:pt idx="1">
                  <c:v>0.05</c:v>
                </c:pt>
                <c:pt idx="2">
                  <c:v>0.05</c:v>
                </c:pt>
                <c:pt idx="3">
                  <c:v>0.15</c:v>
                </c:pt>
              </c:numCache>
            </c:numRef>
          </c:val>
          <c:smooth val="0"/>
          <c:extLst>
            <c:ext xmlns:c16="http://schemas.microsoft.com/office/drawing/2014/chart" uri="{C3380CC4-5D6E-409C-BE32-E72D297353CC}">
              <c16:uniqueId val="{00000003-A82B-4D1C-8D63-FF307A7D993C}"/>
            </c:ext>
          </c:extLst>
        </c:ser>
        <c:ser>
          <c:idx val="4"/>
          <c:order val="3"/>
          <c:tx>
            <c:strRef>
              <c:f>'MONOXIDO (CO) 2T'!$F$40</c:f>
              <c:strCache>
                <c:ptCount val="1"/>
                <c:pt idx="0">
                  <c:v>Exactitud NTC 5365 Numeral 5.2.7.1 (-) [%]</c:v>
                </c:pt>
              </c:strCache>
            </c:strRef>
          </c:tx>
          <c:val>
            <c:numRef>
              <c:f>'MONOXIDO (CO) 2T'!$F$41:$F$44</c:f>
              <c:numCache>
                <c:formatCode>0.00</c:formatCode>
                <c:ptCount val="4"/>
                <c:pt idx="0">
                  <c:v>-0.1</c:v>
                </c:pt>
                <c:pt idx="1">
                  <c:v>-0.05</c:v>
                </c:pt>
                <c:pt idx="2">
                  <c:v>-0.05</c:v>
                </c:pt>
                <c:pt idx="3">
                  <c:v>-0.15</c:v>
                </c:pt>
              </c:numCache>
            </c:numRef>
          </c:val>
          <c:smooth val="0"/>
          <c:extLst>
            <c:ext xmlns:c16="http://schemas.microsoft.com/office/drawing/2014/chart" uri="{C3380CC4-5D6E-409C-BE32-E72D297353CC}">
              <c16:uniqueId val="{00000004-A82B-4D1C-8D63-FF307A7D993C}"/>
            </c:ext>
          </c:extLst>
        </c:ser>
        <c:dLbls>
          <c:showLegendKey val="0"/>
          <c:showVal val="0"/>
          <c:showCatName val="0"/>
          <c:showSerName val="0"/>
          <c:showPercent val="0"/>
          <c:showBubbleSize val="0"/>
        </c:dLbls>
        <c:marker val="1"/>
        <c:smooth val="0"/>
        <c:axId val="407780200"/>
        <c:axId val="407780984"/>
      </c:lineChart>
      <c:catAx>
        <c:axId val="407780200"/>
        <c:scaling>
          <c:orientation val="minMax"/>
        </c:scaling>
        <c:delete val="0"/>
        <c:axPos val="b"/>
        <c:numFmt formatCode="General" sourceLinked="1"/>
        <c:majorTickMark val="none"/>
        <c:minorTickMark val="none"/>
        <c:tickLblPos val="nextTo"/>
        <c:crossAx val="407780984"/>
        <c:crosses val="autoZero"/>
        <c:auto val="1"/>
        <c:lblAlgn val="ctr"/>
        <c:lblOffset val="100"/>
        <c:noMultiLvlLbl val="0"/>
      </c:catAx>
      <c:valAx>
        <c:axId val="407780984"/>
        <c:scaling>
          <c:orientation val="minMax"/>
        </c:scaling>
        <c:delete val="0"/>
        <c:axPos val="l"/>
        <c:majorGridlines/>
        <c:title>
          <c:overlay val="0"/>
        </c:title>
        <c:numFmt formatCode="0.000" sourceLinked="1"/>
        <c:majorTickMark val="none"/>
        <c:minorTickMark val="none"/>
        <c:tickLblPos val="nextTo"/>
        <c:crossAx val="40778020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2T'!$C$83</c:f>
              <c:strCache>
                <c:ptCount val="1"/>
                <c:pt idx="0">
                  <c:v>REPETIBILIDAD  CAL 2</c:v>
                </c:pt>
              </c:strCache>
            </c:strRef>
          </c:tx>
          <c:val>
            <c:numRef>
              <c:f>'MONOXIDO (CO) 2T'!$C$84:$C$87</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C772-4A3F-B82F-90440CD02379}"/>
            </c:ext>
          </c:extLst>
        </c:ser>
        <c:ser>
          <c:idx val="1"/>
          <c:order val="1"/>
          <c:tx>
            <c:strRef>
              <c:f>'MONOXIDO (CO) 2T'!$D$83</c:f>
              <c:strCache>
                <c:ptCount val="1"/>
                <c:pt idx="0">
                  <c:v>Repetibilidad NTC 4983 Numeral 5.2.7.1 (+) [%]</c:v>
                </c:pt>
              </c:strCache>
            </c:strRef>
          </c:tx>
          <c:val>
            <c:numRef>
              <c:f>'MONOXIDO (CO) 2T'!$D$84:$D$87</c:f>
              <c:numCache>
                <c:formatCode>0.00</c:formatCode>
                <c:ptCount val="4"/>
                <c:pt idx="0">
                  <c:v>0.04</c:v>
                </c:pt>
                <c:pt idx="1">
                  <c:v>0.02</c:v>
                </c:pt>
                <c:pt idx="2">
                  <c:v>0.02</c:v>
                </c:pt>
                <c:pt idx="3">
                  <c:v>0.16</c:v>
                </c:pt>
              </c:numCache>
            </c:numRef>
          </c:val>
          <c:smooth val="0"/>
          <c:extLst>
            <c:ext xmlns:c16="http://schemas.microsoft.com/office/drawing/2014/chart" uri="{C3380CC4-5D6E-409C-BE32-E72D297353CC}">
              <c16:uniqueId val="{00000001-C772-4A3F-B82F-90440CD0237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(CO) 4T '!$C$86</c:f>
              <c:strCache>
                <c:ptCount val="1"/>
                <c:pt idx="0">
                  <c:v>REPETIBILIDAD  CAL 2</c:v>
                </c:pt>
              </c:strCache>
            </c:strRef>
          </c:tx>
          <c:val>
            <c:numRef>
              <c:f>'MONOXIDO (CO) 4T '!$C$87:$C$94</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F0DF-4DFB-9AFC-F6577DBDEBA2}"/>
            </c:ext>
          </c:extLst>
        </c:ser>
        <c:ser>
          <c:idx val="4"/>
          <c:order val="1"/>
          <c:tx>
            <c:strRef>
              <c:f>'MONOXIDO (CO) 4T '!$D$86</c:f>
              <c:strCache>
                <c:ptCount val="1"/>
                <c:pt idx="0">
                  <c:v>Repetibilidad NTC 4983 Numeral 5.2.7.1 (+) [%]</c:v>
                </c:pt>
              </c:strCache>
            </c:strRef>
          </c:tx>
          <c:val>
            <c:numRef>
              <c:f>'MONOXIDO (CO) 4T '!$D$87:$D$94</c:f>
              <c:numCache>
                <c:formatCode>0.00</c:formatCode>
                <c:ptCount val="8"/>
                <c:pt idx="0">
                  <c:v>0.04</c:v>
                </c:pt>
                <c:pt idx="1">
                  <c:v>0.08</c:v>
                </c:pt>
                <c:pt idx="2">
                  <c:v>0.16</c:v>
                </c:pt>
                <c:pt idx="3">
                  <c:v>0.02</c:v>
                </c:pt>
                <c:pt idx="4">
                  <c:v>0.04</c:v>
                </c:pt>
                <c:pt idx="5">
                  <c:v>0.08</c:v>
                </c:pt>
                <c:pt idx="6">
                  <c:v>0.16</c:v>
                </c:pt>
                <c:pt idx="7">
                  <c:v>0.02</c:v>
                </c:pt>
              </c:numCache>
            </c:numRef>
          </c:val>
          <c:smooth val="0"/>
          <c:extLst>
            <c:ext xmlns:c16="http://schemas.microsoft.com/office/drawing/2014/chart" uri="{C3380CC4-5D6E-409C-BE32-E72D297353CC}">
              <c16:uniqueId val="{00000001-F0DF-4DFB-9AFC-F6577DBDEBA2}"/>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2T'!$C$64</c:f>
              <c:strCache>
                <c:ptCount val="1"/>
                <c:pt idx="0">
                  <c:v>RUIDO CAL 2</c:v>
                </c:pt>
              </c:strCache>
            </c:strRef>
          </c:tx>
          <c:val>
            <c:numRef>
              <c:f>'MONOXIDO (CO) 2T'!$C$65:$C$68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50CB-4B64-ADF5-471150FE04FB}"/>
            </c:ext>
          </c:extLst>
        </c:ser>
        <c:ser>
          <c:idx val="1"/>
          <c:order val="1"/>
          <c:tx>
            <c:strRef>
              <c:f>'MONOXIDO (CO) 2T'!$D$64</c:f>
              <c:strCache>
                <c:ptCount val="1"/>
                <c:pt idx="0">
                  <c:v>Ruido NTC 4983 Numeral 5.2.7.1 (+) [%]</c:v>
                </c:pt>
              </c:strCache>
            </c:strRef>
          </c:tx>
          <c:val>
            <c:numRef>
              <c:f>'MONOXIDO (CO) 2T'!$D$65:$D$68</c:f>
              <c:numCache>
                <c:formatCode>0.00</c:formatCode>
                <c:ptCount val="4"/>
                <c:pt idx="0">
                  <c:v>0.04</c:v>
                </c:pt>
                <c:pt idx="1">
                  <c:v>0.02</c:v>
                </c:pt>
                <c:pt idx="2">
                  <c:v>0.02</c:v>
                </c:pt>
                <c:pt idx="3">
                  <c:v>0.16</c:v>
                </c:pt>
              </c:numCache>
            </c:numRef>
          </c:val>
          <c:smooth val="0"/>
          <c:extLst>
            <c:ext xmlns:c16="http://schemas.microsoft.com/office/drawing/2014/chart" uri="{C3380CC4-5D6E-409C-BE32-E72D297353CC}">
              <c16:uniqueId val="{00000001-50CB-4B64-ADF5-471150FE04FB}"/>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2T'!$C$40</c:f>
              <c:strCache>
                <c:ptCount val="1"/>
                <c:pt idx="0">
                  <c:v>ERROR + U EXPANDIDA CAL 2 [%]</c:v>
                </c:pt>
              </c:strCache>
            </c:strRef>
          </c:tx>
          <c:val>
            <c:numRef>
              <c:f>'DIOXIDO (CO2) 2T'!$C$41:$C$44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53BE-43B0-A18E-12C26FC2E969}"/>
            </c:ext>
          </c:extLst>
        </c:ser>
        <c:ser>
          <c:idx val="1"/>
          <c:order val="1"/>
          <c:tx>
            <c:strRef>
              <c:f>'DIOXIDO (CO2) 2T'!$D$40</c:f>
              <c:strCache>
                <c:ptCount val="1"/>
                <c:pt idx="0">
                  <c:v>ERROR - U EXPANDIDA CAL 2 [%]</c:v>
                </c:pt>
              </c:strCache>
            </c:strRef>
          </c:tx>
          <c:val>
            <c:numRef>
              <c:f>'DIOXIDO (CO2) 2T'!$D$41:$D$44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53BE-43B0-A18E-12C26FC2E969}"/>
            </c:ext>
          </c:extLst>
        </c:ser>
        <c:ser>
          <c:idx val="2"/>
          <c:order val="2"/>
          <c:tx>
            <c:strRef>
              <c:f>'DIOXIDO (CO2) 2T'!$E$40</c:f>
              <c:strCache>
                <c:ptCount val="1"/>
                <c:pt idx="0">
                  <c:v>Exactitud NTC 5365 Numeral 5.2.7.1 (+) [%]</c:v>
                </c:pt>
              </c:strCache>
            </c:strRef>
          </c:tx>
          <c:val>
            <c:numRef>
              <c:f>'DIOXIDO (CO2) 2T'!$E$41:$E$44</c:f>
              <c:numCache>
                <c:formatCode>0.00</c:formatCode>
                <c:ptCount val="4"/>
                <c:pt idx="0">
                  <c:v>0.4</c:v>
                </c:pt>
                <c:pt idx="1">
                  <c:v>0.1</c:v>
                </c:pt>
                <c:pt idx="2">
                  <c:v>0.4</c:v>
                </c:pt>
                <c:pt idx="3">
                  <c:v>0.8</c:v>
                </c:pt>
              </c:numCache>
            </c:numRef>
          </c:val>
          <c:smooth val="0"/>
          <c:extLst>
            <c:ext xmlns:c16="http://schemas.microsoft.com/office/drawing/2014/chart" uri="{C3380CC4-5D6E-409C-BE32-E72D297353CC}">
              <c16:uniqueId val="{00000002-53BE-43B0-A18E-12C26FC2E969}"/>
            </c:ext>
          </c:extLst>
        </c:ser>
        <c:ser>
          <c:idx val="3"/>
          <c:order val="3"/>
          <c:tx>
            <c:strRef>
              <c:f>'DIOXIDO (CO2) 2T'!$F$40</c:f>
              <c:strCache>
                <c:ptCount val="1"/>
                <c:pt idx="0">
                  <c:v>Exactitud NTC 5365 Numeral 5.2.7.1 (-) [%]</c:v>
                </c:pt>
              </c:strCache>
            </c:strRef>
          </c:tx>
          <c:val>
            <c:numRef>
              <c:f>'DIOXIDO (CO2) 2T'!$F$41:$F$44</c:f>
              <c:numCache>
                <c:formatCode>0.00</c:formatCode>
                <c:ptCount val="4"/>
                <c:pt idx="0">
                  <c:v>-0.4</c:v>
                </c:pt>
                <c:pt idx="1">
                  <c:v>-0.1</c:v>
                </c:pt>
                <c:pt idx="2">
                  <c:v>-0.4</c:v>
                </c:pt>
                <c:pt idx="3">
                  <c:v>-0.8</c:v>
                </c:pt>
              </c:numCache>
            </c:numRef>
          </c:val>
          <c:smooth val="0"/>
          <c:extLst>
            <c:ext xmlns:c16="http://schemas.microsoft.com/office/drawing/2014/chart" uri="{C3380CC4-5D6E-409C-BE32-E72D297353CC}">
              <c16:uniqueId val="{00000003-53BE-43B0-A18E-12C26FC2E969}"/>
            </c:ext>
          </c:extLst>
        </c:ser>
        <c:dLbls>
          <c:showLegendKey val="0"/>
          <c:showVal val="0"/>
          <c:showCatName val="0"/>
          <c:showSerName val="0"/>
          <c:showPercent val="0"/>
          <c:showBubbleSize val="0"/>
        </c:dLbls>
        <c:marker val="1"/>
        <c:smooth val="0"/>
        <c:axId val="407781768"/>
        <c:axId val="405118520"/>
      </c:lineChart>
      <c:catAx>
        <c:axId val="407781768"/>
        <c:scaling>
          <c:orientation val="minMax"/>
        </c:scaling>
        <c:delete val="0"/>
        <c:axPos val="b"/>
        <c:numFmt formatCode="General" sourceLinked="1"/>
        <c:majorTickMark val="none"/>
        <c:minorTickMark val="none"/>
        <c:tickLblPos val="nextTo"/>
        <c:crossAx val="405118520"/>
        <c:crosses val="autoZero"/>
        <c:auto val="1"/>
        <c:lblAlgn val="ctr"/>
        <c:lblOffset val="100"/>
        <c:noMultiLvlLbl val="0"/>
      </c:catAx>
      <c:valAx>
        <c:axId val="405118520"/>
        <c:scaling>
          <c:orientation val="minMax"/>
        </c:scaling>
        <c:delete val="0"/>
        <c:axPos val="l"/>
        <c:majorGridlines/>
        <c:title>
          <c:overlay val="0"/>
        </c:title>
        <c:numFmt formatCode="0.000" sourceLinked="1"/>
        <c:majorTickMark val="none"/>
        <c:minorTickMark val="none"/>
        <c:tickLblPos val="nextTo"/>
        <c:crossAx val="407781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2T'!$D$82</c:f>
              <c:strCache>
                <c:ptCount val="1"/>
                <c:pt idx="0">
                  <c:v>REPETIBILIDAD  CAL 2</c:v>
                </c:pt>
              </c:strCache>
            </c:strRef>
          </c:tx>
          <c:val>
            <c:numRef>
              <c:f>'DIOXIDO (CO2) 2T'!$D$83:$D$86</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9B25-451D-8F8F-64613E5900EE}"/>
            </c:ext>
          </c:extLst>
        </c:ser>
        <c:ser>
          <c:idx val="4"/>
          <c:order val="1"/>
          <c:tx>
            <c:strRef>
              <c:f>'DIOXIDO (CO2) 2T'!$E$82</c:f>
              <c:strCache>
                <c:ptCount val="1"/>
                <c:pt idx="0">
                  <c:v>Ruido NTC 4983 Numeral 5.2.7.1 (+) [%]</c:v>
                </c:pt>
              </c:strCache>
            </c:strRef>
          </c:tx>
          <c:val>
            <c:numRef>
              <c:f>'DIOXIDO (CO2) 2T'!$E$83:$E$86</c:f>
              <c:numCache>
                <c:formatCode>0.00</c:formatCode>
                <c:ptCount val="4"/>
                <c:pt idx="0">
                  <c:v>0.3</c:v>
                </c:pt>
                <c:pt idx="1">
                  <c:v>0.3</c:v>
                </c:pt>
                <c:pt idx="2">
                  <c:v>0.3</c:v>
                </c:pt>
                <c:pt idx="3">
                  <c:v>0.3</c:v>
                </c:pt>
              </c:numCache>
            </c:numRef>
          </c:val>
          <c:smooth val="0"/>
          <c:extLst>
            <c:ext xmlns:c16="http://schemas.microsoft.com/office/drawing/2014/chart" uri="{C3380CC4-5D6E-409C-BE32-E72D297353CC}">
              <c16:uniqueId val="{00000001-9B25-451D-8F8F-64613E5900E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2T'!$D$64</c:f>
              <c:strCache>
                <c:ptCount val="1"/>
                <c:pt idx="0">
                  <c:v>RUIDO CAL 2</c:v>
                </c:pt>
              </c:strCache>
            </c:strRef>
          </c:tx>
          <c:val>
            <c:numRef>
              <c:f>'DIOXIDO (CO2) 2T'!$D$65:$D$68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AC5-4BEA-B7AF-BE7D0D31CC49}"/>
            </c:ext>
          </c:extLst>
        </c:ser>
        <c:ser>
          <c:idx val="4"/>
          <c:order val="1"/>
          <c:tx>
            <c:strRef>
              <c:f>'DIOXIDO (CO2) 2T'!$E$64</c:f>
              <c:strCache>
                <c:ptCount val="1"/>
                <c:pt idx="0">
                  <c:v>Ruido NTC 4983 Numeral 5.2.7.1 (+) [%]</c:v>
                </c:pt>
              </c:strCache>
            </c:strRef>
          </c:tx>
          <c:val>
            <c:numRef>
              <c:f>'DIOXIDO (CO2) 2T'!$E$65:$E$68</c:f>
              <c:numCache>
                <c:formatCode>0.00</c:formatCode>
                <c:ptCount val="4"/>
                <c:pt idx="0">
                  <c:v>0.2</c:v>
                </c:pt>
                <c:pt idx="1">
                  <c:v>0.02</c:v>
                </c:pt>
                <c:pt idx="2">
                  <c:v>0.2</c:v>
                </c:pt>
                <c:pt idx="3">
                  <c:v>0.2</c:v>
                </c:pt>
              </c:numCache>
            </c:numRef>
          </c:val>
          <c:smooth val="0"/>
          <c:extLst>
            <c:ext xmlns:c16="http://schemas.microsoft.com/office/drawing/2014/chart" uri="{C3380CC4-5D6E-409C-BE32-E72D297353CC}">
              <c16:uniqueId val="{00000001-BAC5-4BEA-B7AF-BE7D0D31CC4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2T '!$C$39</c:f>
              <c:strCache>
                <c:ptCount val="1"/>
                <c:pt idx="0">
                  <c:v>ERROR + U EXPANDIDA CAL 2 [%]</c:v>
                </c:pt>
              </c:strCache>
            </c:strRef>
          </c:tx>
          <c:val>
            <c:numRef>
              <c:f>'HIDROCARBUROS (HC) 2T '!$C$40:$C$43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5CF-45D2-B966-AB056BD16954}"/>
            </c:ext>
          </c:extLst>
        </c:ser>
        <c:ser>
          <c:idx val="1"/>
          <c:order val="1"/>
          <c:tx>
            <c:strRef>
              <c:f>'HIDROCARBUROS (HC) 2T '!$D$39</c:f>
              <c:strCache>
                <c:ptCount val="1"/>
                <c:pt idx="0">
                  <c:v>ERROR - U EXPANDIDA CAL 2 [%]</c:v>
                </c:pt>
              </c:strCache>
            </c:strRef>
          </c:tx>
          <c:val>
            <c:numRef>
              <c:f>'HIDROCARBUROS (HC) 2T '!$D$40:$D$43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B5CF-45D2-B966-AB056BD16954}"/>
            </c:ext>
          </c:extLst>
        </c:ser>
        <c:ser>
          <c:idx val="2"/>
          <c:order val="2"/>
          <c:tx>
            <c:strRef>
              <c:f>'HIDROCARBUROS (HC) 2T '!$E$39</c:f>
              <c:strCache>
                <c:ptCount val="1"/>
                <c:pt idx="0">
                  <c:v>Exactitud NTC 5365 Numeral 5.2.7.1 (+) [%]</c:v>
                </c:pt>
              </c:strCache>
            </c:strRef>
          </c:tx>
          <c:val>
            <c:numRef>
              <c:f>'HIDROCARBUROS (HC) 2T '!$E$40:$E$43</c:f>
              <c:numCache>
                <c:formatCode>0.00</c:formatCode>
                <c:ptCount val="4"/>
                <c:pt idx="0">
                  <c:v>100</c:v>
                </c:pt>
                <c:pt idx="1">
                  <c:v>100</c:v>
                </c:pt>
                <c:pt idx="2">
                  <c:v>100</c:v>
                </c:pt>
                <c:pt idx="3">
                  <c:v>200</c:v>
                </c:pt>
              </c:numCache>
            </c:numRef>
          </c:val>
          <c:smooth val="0"/>
          <c:extLst>
            <c:ext xmlns:c16="http://schemas.microsoft.com/office/drawing/2014/chart" uri="{C3380CC4-5D6E-409C-BE32-E72D297353CC}">
              <c16:uniqueId val="{00000002-B5CF-45D2-B966-AB056BD16954}"/>
            </c:ext>
          </c:extLst>
        </c:ser>
        <c:ser>
          <c:idx val="3"/>
          <c:order val="3"/>
          <c:tx>
            <c:strRef>
              <c:f>'HIDROCARBUROS (HC) 2T '!$F$39</c:f>
              <c:strCache>
                <c:ptCount val="1"/>
                <c:pt idx="0">
                  <c:v>Exactitud NTC 5365 Numeral 5.2.7.1 (-) [%]</c:v>
                </c:pt>
              </c:strCache>
            </c:strRef>
          </c:tx>
          <c:val>
            <c:numRef>
              <c:f>'HIDROCARBUROS (HC) 2T '!$F$40:$F$43</c:f>
              <c:numCache>
                <c:formatCode>0.00</c:formatCode>
                <c:ptCount val="4"/>
                <c:pt idx="0">
                  <c:v>-100</c:v>
                </c:pt>
                <c:pt idx="1">
                  <c:v>-100</c:v>
                </c:pt>
                <c:pt idx="2">
                  <c:v>-100</c:v>
                </c:pt>
                <c:pt idx="3">
                  <c:v>-200</c:v>
                </c:pt>
              </c:numCache>
            </c:numRef>
          </c:val>
          <c:smooth val="0"/>
          <c:extLst>
            <c:ext xmlns:c16="http://schemas.microsoft.com/office/drawing/2014/chart" uri="{C3380CC4-5D6E-409C-BE32-E72D297353CC}">
              <c16:uniqueId val="{00000003-B5CF-45D2-B966-AB056BD16954}"/>
            </c:ext>
          </c:extLst>
        </c:ser>
        <c:dLbls>
          <c:showLegendKey val="0"/>
          <c:showVal val="0"/>
          <c:showCatName val="0"/>
          <c:showSerName val="0"/>
          <c:showPercent val="0"/>
          <c:showBubbleSize val="0"/>
        </c:dLbls>
        <c:marker val="1"/>
        <c:smooth val="0"/>
        <c:axId val="414184712"/>
        <c:axId val="414185104"/>
      </c:lineChart>
      <c:catAx>
        <c:axId val="414184712"/>
        <c:scaling>
          <c:orientation val="minMax"/>
        </c:scaling>
        <c:delete val="0"/>
        <c:axPos val="b"/>
        <c:numFmt formatCode="General" sourceLinked="1"/>
        <c:majorTickMark val="none"/>
        <c:minorTickMark val="none"/>
        <c:tickLblPos val="nextTo"/>
        <c:crossAx val="414185104"/>
        <c:crosses val="autoZero"/>
        <c:auto val="1"/>
        <c:lblAlgn val="ctr"/>
        <c:lblOffset val="100"/>
        <c:noMultiLvlLbl val="0"/>
      </c:catAx>
      <c:valAx>
        <c:axId val="414185104"/>
        <c:scaling>
          <c:orientation val="minMax"/>
        </c:scaling>
        <c:delete val="0"/>
        <c:axPos val="l"/>
        <c:majorGridlines/>
        <c:title>
          <c:overlay val="0"/>
        </c:title>
        <c:numFmt formatCode="0.000" sourceLinked="1"/>
        <c:majorTickMark val="none"/>
        <c:minorTickMark val="none"/>
        <c:tickLblPos val="nextTo"/>
        <c:crossAx val="41418471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2T '!$D$64</c:f>
              <c:strCache>
                <c:ptCount val="1"/>
                <c:pt idx="0">
                  <c:v>RUIDO CAL 2</c:v>
                </c:pt>
              </c:strCache>
            </c:strRef>
          </c:tx>
          <c:val>
            <c:numRef>
              <c:f>'HIDROCARBUROS (HC) 2T '!$D$65:$D$68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C-2DC0-46E5-BBA2-8D7C08C03F8E}"/>
            </c:ext>
          </c:extLst>
        </c:ser>
        <c:ser>
          <c:idx val="1"/>
          <c:order val="1"/>
          <c:tx>
            <c:strRef>
              <c:f>'HIDROCARBUROS (HC) 2T '!$E$64</c:f>
              <c:strCache>
                <c:ptCount val="1"/>
                <c:pt idx="0">
                  <c:v>Ruido NTC 4983 Numeral 5.2.7.1 (+) [%]</c:v>
                </c:pt>
              </c:strCache>
            </c:strRef>
          </c:tx>
          <c:val>
            <c:numRef>
              <c:f>'HIDROCARBUROS (HC) 2T '!$E$65:$E$68</c:f>
              <c:numCache>
                <c:formatCode>0.00</c:formatCode>
                <c:ptCount val="4"/>
                <c:pt idx="0">
                  <c:v>16</c:v>
                </c:pt>
                <c:pt idx="1">
                  <c:v>16</c:v>
                </c:pt>
                <c:pt idx="2">
                  <c:v>16</c:v>
                </c:pt>
                <c:pt idx="3">
                  <c:v>24</c:v>
                </c:pt>
              </c:numCache>
            </c:numRef>
          </c:val>
          <c:smooth val="0"/>
          <c:extLst>
            <c:ext xmlns:c16="http://schemas.microsoft.com/office/drawing/2014/chart" uri="{C3380CC4-5D6E-409C-BE32-E72D297353CC}">
              <c16:uniqueId val="{0000000D-2DC0-46E5-BBA2-8D7C08C03F8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'HIDROCARBUROS (HC) 2T '!$D$81</c:f>
              <c:strCache>
                <c:ptCount val="1"/>
                <c:pt idx="0">
                  <c:v>REPETIBILIDAD  CAL 2</c:v>
                </c:pt>
              </c:strCache>
            </c:strRef>
          </c:tx>
          <c:val>
            <c:numRef>
              <c:f>'HIDROCARBUROS (HC) 2T '!$D$82:$D$85</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8D3-4336-AC7B-76FC4A4E440F}"/>
            </c:ext>
          </c:extLst>
        </c:ser>
        <c:ser>
          <c:idx val="4"/>
          <c:order val="1"/>
          <c:tx>
            <c:strRef>
              <c:f>'HIDROCARBUROS (HC) 2T '!$E$81</c:f>
              <c:strCache>
                <c:ptCount val="1"/>
                <c:pt idx="0">
                  <c:v>Ruido NTC 4983 Numeral 5.2.7.1 (+) [%]</c:v>
                </c:pt>
              </c:strCache>
            </c:strRef>
          </c:tx>
          <c:val>
            <c:numRef>
              <c:f>'HIDROCARBUROS (HC) 2T '!$E$82:$E$85</c:f>
              <c:numCache>
                <c:formatCode>0.00</c:formatCode>
                <c:ptCount val="4"/>
                <c:pt idx="0">
                  <c:v>20</c:v>
                </c:pt>
                <c:pt idx="1">
                  <c:v>20</c:v>
                </c:pt>
                <c:pt idx="2">
                  <c:v>20</c:v>
                </c:pt>
                <c:pt idx="3">
                  <c:v>40</c:v>
                </c:pt>
              </c:numCache>
            </c:numRef>
          </c:val>
          <c:smooth val="0"/>
          <c:extLst>
            <c:ext xmlns:c16="http://schemas.microsoft.com/office/drawing/2014/chart" uri="{C3380CC4-5D6E-409C-BE32-E72D297353CC}">
              <c16:uniqueId val="{00000001-B8D3-4336-AC7B-76FC4A4E440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2T'!$C$39</c:f>
              <c:strCache>
                <c:ptCount val="1"/>
                <c:pt idx="0">
                  <c:v>ERROR + U EXPANDIDA CAL 2 [%]</c:v>
                </c:pt>
              </c:strCache>
            </c:strRef>
          </c:tx>
          <c:val>
            <c:numRef>
              <c:f>'OXIGENO (O2) 2T'!$C$40:$C$43</c:f>
              <c:numCache>
                <c:formatCode>0.000</c:formatCode>
                <c:ptCount val="4"/>
                <c:pt idx="0">
                  <c:v>0</c:v>
                </c:pt>
                <c:pt idx="1">
                  <c:v>0</c:v>
                </c:pt>
                <c:pt idx="2">
                  <c:v>0</c:v>
                </c:pt>
                <c:pt idx="3">
                  <c:v>0.28000000000000003</c:v>
                </c:pt>
              </c:numCache>
            </c:numRef>
          </c:val>
          <c:smooth val="0"/>
          <c:extLst>
            <c:ext xmlns:c16="http://schemas.microsoft.com/office/drawing/2014/chart" uri="{C3380CC4-5D6E-409C-BE32-E72D297353CC}">
              <c16:uniqueId val="{00000000-064F-4CE2-ACFD-4A870A2C04E2}"/>
            </c:ext>
          </c:extLst>
        </c:ser>
        <c:ser>
          <c:idx val="1"/>
          <c:order val="1"/>
          <c:tx>
            <c:strRef>
              <c:f>'OXIGENO (O2) 2T'!$D$39</c:f>
              <c:strCache>
                <c:ptCount val="1"/>
                <c:pt idx="0">
                  <c:v>ERROR - U EXPANDIDA CAL 2 [%]</c:v>
                </c:pt>
              </c:strCache>
            </c:strRef>
          </c:tx>
          <c:val>
            <c:numRef>
              <c:f>'OXIGENO (O2) 2T'!$D$40:$D$43</c:f>
              <c:numCache>
                <c:formatCode>0.000</c:formatCode>
                <c:ptCount val="4"/>
                <c:pt idx="0">
                  <c:v>0</c:v>
                </c:pt>
                <c:pt idx="1">
                  <c:v>0</c:v>
                </c:pt>
                <c:pt idx="2">
                  <c:v>0</c:v>
                </c:pt>
                <c:pt idx="3">
                  <c:v>-0.28000000000000003</c:v>
                </c:pt>
              </c:numCache>
            </c:numRef>
          </c:val>
          <c:smooth val="0"/>
          <c:extLst>
            <c:ext xmlns:c16="http://schemas.microsoft.com/office/drawing/2014/chart" uri="{C3380CC4-5D6E-409C-BE32-E72D297353CC}">
              <c16:uniqueId val="{00000001-064F-4CE2-ACFD-4A870A2C04E2}"/>
            </c:ext>
          </c:extLst>
        </c:ser>
        <c:ser>
          <c:idx val="2"/>
          <c:order val="2"/>
          <c:tx>
            <c:strRef>
              <c:f>'OXIGENO (O2) 2T'!$E$39</c:f>
              <c:strCache>
                <c:ptCount val="1"/>
                <c:pt idx="0">
                  <c:v>Exactitud NTC 5365 Numeral 5.2.7.1 (+) [%]</c:v>
                </c:pt>
              </c:strCache>
            </c:strRef>
          </c:tx>
          <c:val>
            <c:numRef>
              <c:f>'OXIGENO (O2) 2T'!$E$40:$E$43</c:f>
              <c:numCache>
                <c:formatCode>0.00</c:formatCode>
                <c:ptCount val="4"/>
                <c:pt idx="0">
                  <c:v>0.5</c:v>
                </c:pt>
                <c:pt idx="1">
                  <c:v>0.5</c:v>
                </c:pt>
                <c:pt idx="2">
                  <c:v>0.5</c:v>
                </c:pt>
                <c:pt idx="3">
                  <c:v>1</c:v>
                </c:pt>
              </c:numCache>
            </c:numRef>
          </c:val>
          <c:smooth val="0"/>
          <c:extLst>
            <c:ext xmlns:c16="http://schemas.microsoft.com/office/drawing/2014/chart" uri="{C3380CC4-5D6E-409C-BE32-E72D297353CC}">
              <c16:uniqueId val="{00000002-064F-4CE2-ACFD-4A870A2C04E2}"/>
            </c:ext>
          </c:extLst>
        </c:ser>
        <c:ser>
          <c:idx val="3"/>
          <c:order val="3"/>
          <c:tx>
            <c:strRef>
              <c:f>'OXIGENO (O2) 2T'!$F$39</c:f>
              <c:strCache>
                <c:ptCount val="1"/>
                <c:pt idx="0">
                  <c:v>Exactitud NTC 5365 Numeral 5.2.7.1 (-) [%]</c:v>
                </c:pt>
              </c:strCache>
            </c:strRef>
          </c:tx>
          <c:val>
            <c:numRef>
              <c:f>'OXIGENO (O2) 2T'!$F$40:$F$43</c:f>
              <c:numCache>
                <c:formatCode>0.00</c:formatCode>
                <c:ptCount val="4"/>
                <c:pt idx="0">
                  <c:v>-0.5</c:v>
                </c:pt>
                <c:pt idx="1">
                  <c:v>-0.5</c:v>
                </c:pt>
                <c:pt idx="2">
                  <c:v>-0.5</c:v>
                </c:pt>
                <c:pt idx="3">
                  <c:v>-1</c:v>
                </c:pt>
              </c:numCache>
            </c:numRef>
          </c:val>
          <c:smooth val="0"/>
          <c:extLst>
            <c:ext xmlns:c16="http://schemas.microsoft.com/office/drawing/2014/chart" uri="{C3380CC4-5D6E-409C-BE32-E72D297353CC}">
              <c16:uniqueId val="{00000003-064F-4CE2-ACFD-4A870A2C04E2}"/>
            </c:ext>
          </c:extLst>
        </c:ser>
        <c:dLbls>
          <c:showLegendKey val="0"/>
          <c:showVal val="0"/>
          <c:showCatName val="0"/>
          <c:showSerName val="0"/>
          <c:showPercent val="0"/>
          <c:showBubbleSize val="0"/>
        </c:dLbls>
        <c:marker val="1"/>
        <c:smooth val="0"/>
        <c:axId val="414185888"/>
        <c:axId val="414186280"/>
      </c:lineChart>
      <c:catAx>
        <c:axId val="414185888"/>
        <c:scaling>
          <c:orientation val="minMax"/>
        </c:scaling>
        <c:delete val="0"/>
        <c:axPos val="b"/>
        <c:numFmt formatCode="General" sourceLinked="1"/>
        <c:majorTickMark val="none"/>
        <c:minorTickMark val="none"/>
        <c:tickLblPos val="nextTo"/>
        <c:crossAx val="414186280"/>
        <c:crosses val="autoZero"/>
        <c:auto val="1"/>
        <c:lblAlgn val="ctr"/>
        <c:lblOffset val="100"/>
        <c:noMultiLvlLbl val="0"/>
      </c:catAx>
      <c:valAx>
        <c:axId val="414186280"/>
        <c:scaling>
          <c:orientation val="minMax"/>
        </c:scaling>
        <c:delete val="0"/>
        <c:axPos val="l"/>
        <c:majorGridlines/>
        <c:title>
          <c:overlay val="0"/>
        </c:title>
        <c:numFmt formatCode="0.000" sourceLinked="1"/>
        <c:majorTickMark val="none"/>
        <c:minorTickMark val="none"/>
        <c:tickLblPos val="nextTo"/>
        <c:crossAx val="41418588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(O2) 2T'!$D$64</c:f>
              <c:strCache>
                <c:ptCount val="1"/>
                <c:pt idx="0">
                  <c:v>RUIDO CAL 2</c:v>
                </c:pt>
              </c:strCache>
            </c:strRef>
          </c:tx>
          <c:val>
            <c:numRef>
              <c:f>'OXIGENO (O2) 2T'!$D$65:$D$68</c:f>
              <c:numCache>
                <c:formatCode>0.000</c:formatCode>
                <c:ptCount val="4"/>
                <c:pt idx="0">
                  <c:v>0</c:v>
                </c:pt>
                <c:pt idx="1">
                  <c:v>0</c:v>
                </c:pt>
                <c:pt idx="2">
                  <c:v>0</c:v>
                </c:pt>
                <c:pt idx="3">
                  <c:v>0.02</c:v>
                </c:pt>
              </c:numCache>
            </c:numRef>
          </c:val>
          <c:smooth val="0"/>
          <c:extLst>
            <c:ext xmlns:c16="http://schemas.microsoft.com/office/drawing/2014/chart" uri="{C3380CC4-5D6E-409C-BE32-E72D297353CC}">
              <c16:uniqueId val="{0000000C-8F8B-403B-8862-EEF26DD4CE4F}"/>
            </c:ext>
          </c:extLst>
        </c:ser>
        <c:ser>
          <c:idx val="4"/>
          <c:order val="1"/>
          <c:tx>
            <c:strRef>
              <c:f>'OXIGENO (O2) 2T'!$E$64</c:f>
              <c:strCache>
                <c:ptCount val="1"/>
                <c:pt idx="0">
                  <c:v>Ruido NTC 4983 Numeral 5.2.7.1 (+) [%]</c:v>
                </c:pt>
              </c:strCache>
            </c:strRef>
          </c:tx>
          <c:val>
            <c:numRef>
              <c:f>'OXIGENO (O2) 2T'!$E$65:$E$68</c:f>
              <c:numCache>
                <c:formatCode>0.00</c:formatCode>
                <c:ptCount val="4"/>
                <c:pt idx="0">
                  <c:v>0.3</c:v>
                </c:pt>
                <c:pt idx="1">
                  <c:v>0.3</c:v>
                </c:pt>
                <c:pt idx="2">
                  <c:v>0.3</c:v>
                </c:pt>
                <c:pt idx="3">
                  <c:v>0.6</c:v>
                </c:pt>
              </c:numCache>
            </c:numRef>
          </c:val>
          <c:smooth val="0"/>
          <c:extLst>
            <c:ext xmlns:c16="http://schemas.microsoft.com/office/drawing/2014/chart" uri="{C3380CC4-5D6E-409C-BE32-E72D297353CC}">
              <c16:uniqueId val="{0000000D-8F8B-403B-8862-EEF26DD4CE4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2T'!$D$83</c:f>
              <c:strCache>
                <c:ptCount val="1"/>
                <c:pt idx="0">
                  <c:v>REPETIBILIDAD  CAL 2</c:v>
                </c:pt>
              </c:strCache>
            </c:strRef>
          </c:tx>
          <c:val>
            <c:numRef>
              <c:f>'OXIGENO (O2) 2T'!$D$84:$D$87</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2DC9-455A-B15C-EFE9E9980DC1}"/>
            </c:ext>
          </c:extLst>
        </c:ser>
        <c:ser>
          <c:idx val="1"/>
          <c:order val="1"/>
          <c:tx>
            <c:strRef>
              <c:f>'OXIGENO (O2) 2T'!$E$83</c:f>
              <c:strCache>
                <c:ptCount val="1"/>
                <c:pt idx="0">
                  <c:v>Repetibilidad NTC 4983 Numeral 5.2.7.1 (+) [%]</c:v>
                </c:pt>
              </c:strCache>
            </c:strRef>
          </c:tx>
          <c:val>
            <c:numRef>
              <c:f>'OXIGENO (O2) 2T'!$E$84:$E$87</c:f>
              <c:numCache>
                <c:formatCode>0.00</c:formatCode>
                <c:ptCount val="4"/>
                <c:pt idx="0">
                  <c:v>0.4</c:v>
                </c:pt>
                <c:pt idx="1">
                  <c:v>0.4</c:v>
                </c:pt>
                <c:pt idx="2">
                  <c:v>0.4</c:v>
                </c:pt>
                <c:pt idx="3">
                  <c:v>1</c:v>
                </c:pt>
              </c:numCache>
            </c:numRef>
          </c:val>
          <c:smooth val="0"/>
          <c:extLst>
            <c:ext xmlns:c16="http://schemas.microsoft.com/office/drawing/2014/chart" uri="{C3380CC4-5D6E-409C-BE32-E72D297353CC}">
              <c16:uniqueId val="{00000001-2DC9-455A-B15C-EFE9E9980DC1}"/>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4T '!$C$40</c:f>
              <c:strCache>
                <c:ptCount val="1"/>
                <c:pt idx="0">
                  <c:v>ERROR + U EXPANDIDA CAL 2 [%]</c:v>
                </c:pt>
              </c:strCache>
            </c:strRef>
          </c:tx>
          <c:val>
            <c:numRef>
              <c:f>'DIOXIDO (CO2) 4T '!$C$41:$C$48</c:f>
              <c:numCache>
                <c:formatCode>0.000</c:formatCode>
                <c:ptCount val="8"/>
                <c:pt idx="0">
                  <c:v>0.16999999999999982</c:v>
                </c:pt>
                <c:pt idx="1">
                  <c:v>0.29999999999999966</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0-1185-4D07-9B7E-ABA8FE648CBF}"/>
            </c:ext>
          </c:extLst>
        </c:ser>
        <c:ser>
          <c:idx val="1"/>
          <c:order val="1"/>
          <c:tx>
            <c:strRef>
              <c:f>'DIOXIDO (CO2) 4T '!$D$40</c:f>
              <c:strCache>
                <c:ptCount val="1"/>
                <c:pt idx="0">
                  <c:v>ERROR - U EXPANDIDA CAL 2 [%]</c:v>
                </c:pt>
              </c:strCache>
            </c:strRef>
          </c:tx>
          <c:val>
            <c:numRef>
              <c:f>'DIOXIDO (CO2) 4T '!$D$41:$D$48</c:f>
              <c:numCache>
                <c:formatCode>0.000</c:formatCode>
                <c:ptCount val="8"/>
                <c:pt idx="0">
                  <c:v>0.16999999999999982</c:v>
                </c:pt>
                <c:pt idx="1">
                  <c:v>0.29999999999999966</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1-1185-4D07-9B7E-ABA8FE648CBF}"/>
            </c:ext>
          </c:extLst>
        </c:ser>
        <c:ser>
          <c:idx val="2"/>
          <c:order val="2"/>
          <c:tx>
            <c:strRef>
              <c:f>'DIOXIDO (CO2) 4T '!$E$40</c:f>
              <c:strCache>
                <c:ptCount val="1"/>
                <c:pt idx="0">
                  <c:v>Exactitud NTC 5365 Numeral 5.2.7.1 (+) [%]</c:v>
                </c:pt>
              </c:strCache>
            </c:strRef>
          </c:tx>
          <c:val>
            <c:numRef>
              <c:f>'DIOXIDO (CO2) 4T '!$E$41:$E$48</c:f>
              <c:numCache>
                <c:formatCode>0.00</c:formatCode>
                <c:ptCount val="8"/>
                <c:pt idx="0">
                  <c:v>0.4</c:v>
                </c:pt>
                <c:pt idx="1">
                  <c:v>0.8</c:v>
                </c:pt>
                <c:pt idx="2">
                  <c:v>0.8</c:v>
                </c:pt>
                <c:pt idx="3">
                  <c:v>0.1</c:v>
                </c:pt>
                <c:pt idx="4">
                  <c:v>0.4</c:v>
                </c:pt>
                <c:pt idx="5">
                  <c:v>0.8</c:v>
                </c:pt>
                <c:pt idx="6">
                  <c:v>0.8</c:v>
                </c:pt>
                <c:pt idx="7">
                  <c:v>0.1</c:v>
                </c:pt>
              </c:numCache>
            </c:numRef>
          </c:val>
          <c:smooth val="0"/>
          <c:extLst>
            <c:ext xmlns:c16="http://schemas.microsoft.com/office/drawing/2014/chart" uri="{C3380CC4-5D6E-409C-BE32-E72D297353CC}">
              <c16:uniqueId val="{00000002-1185-4D07-9B7E-ABA8FE648CBF}"/>
            </c:ext>
          </c:extLst>
        </c:ser>
        <c:ser>
          <c:idx val="3"/>
          <c:order val="3"/>
          <c:tx>
            <c:strRef>
              <c:f>'DIOXIDO (CO2) 4T '!$F$40</c:f>
              <c:strCache>
                <c:ptCount val="1"/>
                <c:pt idx="0">
                  <c:v>Exactitud NTC 5365 Numeral 5.2.7.1 (-) [%]</c:v>
                </c:pt>
              </c:strCache>
            </c:strRef>
          </c:tx>
          <c:val>
            <c:numRef>
              <c:f>'DIOXIDO (CO2) 4T '!$F$41:$F$48</c:f>
              <c:numCache>
                <c:formatCode>0.00</c:formatCode>
                <c:ptCount val="8"/>
                <c:pt idx="0">
                  <c:v>-0.4</c:v>
                </c:pt>
                <c:pt idx="1">
                  <c:v>-0.8</c:v>
                </c:pt>
                <c:pt idx="2">
                  <c:v>-0.8</c:v>
                </c:pt>
                <c:pt idx="3">
                  <c:v>-0.1</c:v>
                </c:pt>
                <c:pt idx="4">
                  <c:v>-0.4</c:v>
                </c:pt>
                <c:pt idx="5">
                  <c:v>-0.8</c:v>
                </c:pt>
                <c:pt idx="6">
                  <c:v>-0.8</c:v>
                </c:pt>
                <c:pt idx="7">
                  <c:v>-0.1</c:v>
                </c:pt>
              </c:numCache>
            </c:numRef>
          </c:val>
          <c:smooth val="0"/>
          <c:extLst>
            <c:ext xmlns:c16="http://schemas.microsoft.com/office/drawing/2014/chart" uri="{C3380CC4-5D6E-409C-BE32-E72D297353CC}">
              <c16:uniqueId val="{00000003-1185-4D07-9B7E-ABA8FE648CBF}"/>
            </c:ext>
          </c:extLst>
        </c:ser>
        <c:dLbls>
          <c:showLegendKey val="0"/>
          <c:showVal val="0"/>
          <c:showCatName val="0"/>
          <c:showSerName val="0"/>
          <c:showPercent val="0"/>
          <c:showBubbleSize val="0"/>
        </c:dLbls>
        <c:marker val="1"/>
        <c:smooth val="0"/>
        <c:axId val="413401352"/>
        <c:axId val="413401744"/>
      </c:lineChart>
      <c:catAx>
        <c:axId val="413401352"/>
        <c:scaling>
          <c:orientation val="minMax"/>
        </c:scaling>
        <c:delete val="0"/>
        <c:axPos val="b"/>
        <c:numFmt formatCode="General" sourceLinked="1"/>
        <c:majorTickMark val="none"/>
        <c:minorTickMark val="none"/>
        <c:tickLblPos val="nextTo"/>
        <c:crossAx val="413401744"/>
        <c:crosses val="autoZero"/>
        <c:auto val="1"/>
        <c:lblAlgn val="ctr"/>
        <c:lblOffset val="100"/>
        <c:noMultiLvlLbl val="0"/>
      </c:catAx>
      <c:valAx>
        <c:axId val="413401744"/>
        <c:scaling>
          <c:orientation val="minMax"/>
        </c:scaling>
        <c:delete val="0"/>
        <c:axPos val="l"/>
        <c:majorGridlines/>
        <c:title>
          <c:overlay val="0"/>
        </c:title>
        <c:numFmt formatCode="0.000" sourceLinked="1"/>
        <c:majorTickMark val="none"/>
        <c:minorTickMark val="none"/>
        <c:tickLblPos val="nextTo"/>
        <c:crossAx val="41340135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4T '!$C$68</c:f>
              <c:strCache>
                <c:ptCount val="1"/>
                <c:pt idx="0">
                  <c:v>RUIDO CAL 2</c:v>
                </c:pt>
              </c:strCache>
            </c:strRef>
          </c:tx>
          <c:val>
            <c:numRef>
              <c:f>'DIOXIDO (CO2) 4T '!$C$69:$C$72</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9-E586-438F-A4DE-C83EB2D020A5}"/>
            </c:ext>
          </c:extLst>
        </c:ser>
        <c:ser>
          <c:idx val="1"/>
          <c:order val="1"/>
          <c:tx>
            <c:strRef>
              <c:f>'DIOXIDO (CO2) 4T '!$D$68</c:f>
              <c:strCache>
                <c:ptCount val="1"/>
                <c:pt idx="0">
                  <c:v>Ruido NTC 4983 Numeral 5.2.7.1 (+) [%]</c:v>
                </c:pt>
              </c:strCache>
            </c:strRef>
          </c:tx>
          <c:val>
            <c:numRef>
              <c:f>'DIOXIDO (CO2) 4T '!$D$69:$D$72</c:f>
              <c:numCache>
                <c:formatCode>0.00</c:formatCode>
                <c:ptCount val="4"/>
                <c:pt idx="0">
                  <c:v>0.2</c:v>
                </c:pt>
                <c:pt idx="1">
                  <c:v>0.2</c:v>
                </c:pt>
                <c:pt idx="2">
                  <c:v>0.2</c:v>
                </c:pt>
                <c:pt idx="3">
                  <c:v>0.2</c:v>
                </c:pt>
              </c:numCache>
            </c:numRef>
          </c:val>
          <c:smooth val="0"/>
          <c:extLst>
            <c:ext xmlns:c16="http://schemas.microsoft.com/office/drawing/2014/chart" uri="{C3380CC4-5D6E-409C-BE32-E72D297353CC}">
              <c16:uniqueId val="{0000000A-E586-438F-A4DE-C83EB2D020A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4T '!$C$84</c:f>
              <c:strCache>
                <c:ptCount val="1"/>
                <c:pt idx="0">
                  <c:v>REPETIBILIDAD  CAL 2</c:v>
                </c:pt>
              </c:strCache>
            </c:strRef>
          </c:tx>
          <c:val>
            <c:numRef>
              <c:f>'DIOXIDO (CO2) 4T '!$C$85:$C$92</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DDDC-4EFB-AC08-93BE747A6804}"/>
            </c:ext>
          </c:extLst>
        </c:ser>
        <c:ser>
          <c:idx val="4"/>
          <c:order val="1"/>
          <c:tx>
            <c:strRef>
              <c:f>'DIOXIDO (CO2) 4T '!$D$84</c:f>
              <c:strCache>
                <c:ptCount val="1"/>
                <c:pt idx="0">
                  <c:v>Repetibilidad NTC 4983 Numeral 5.2.7.1 (+) [%]</c:v>
                </c:pt>
              </c:strCache>
            </c:strRef>
          </c:tx>
          <c:val>
            <c:numRef>
              <c:f>'DIOXIDO (CO2) 4T '!$D$85:$D$92</c:f>
              <c:numCache>
                <c:formatCode>0.00</c:formatCode>
                <c:ptCount val="8"/>
                <c:pt idx="0">
                  <c:v>0.3</c:v>
                </c:pt>
                <c:pt idx="1">
                  <c:v>0.3</c:v>
                </c:pt>
                <c:pt idx="2">
                  <c:v>0.3</c:v>
                </c:pt>
                <c:pt idx="3">
                  <c:v>0.3</c:v>
                </c:pt>
                <c:pt idx="4">
                  <c:v>0.3</c:v>
                </c:pt>
                <c:pt idx="5">
                  <c:v>0.3</c:v>
                </c:pt>
                <c:pt idx="6">
                  <c:v>0.3</c:v>
                </c:pt>
                <c:pt idx="7">
                  <c:v>0.3</c:v>
                </c:pt>
              </c:numCache>
            </c:numRef>
          </c:val>
          <c:smooth val="0"/>
          <c:extLst>
            <c:ext xmlns:c16="http://schemas.microsoft.com/office/drawing/2014/chart" uri="{C3380CC4-5D6E-409C-BE32-E72D297353CC}">
              <c16:uniqueId val="{00000001-DDDC-4EFB-AC08-93BE747A680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4T '!$C$39</c:f>
              <c:strCache>
                <c:ptCount val="1"/>
                <c:pt idx="0">
                  <c:v>ERROR + U EXPANDIDA CAL 2 [%]</c:v>
                </c:pt>
              </c:strCache>
            </c:strRef>
          </c:tx>
          <c:val>
            <c:numRef>
              <c:f>'HIDROCARBUROS (HC) 4T '!$C$40:$C$47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0-7DFA-470A-A88E-46FB542D9909}"/>
            </c:ext>
          </c:extLst>
        </c:ser>
        <c:ser>
          <c:idx val="1"/>
          <c:order val="1"/>
          <c:tx>
            <c:strRef>
              <c:f>'HIDROCARBUROS (HC) 4T '!$D$39</c:f>
              <c:strCache>
                <c:ptCount val="1"/>
                <c:pt idx="0">
                  <c:v>ERROR - U EXPANDIDA CAL 2 [%]</c:v>
                </c:pt>
              </c:strCache>
            </c:strRef>
          </c:tx>
          <c:val>
            <c:numRef>
              <c:f>'HIDROCARBUROS (HC) 4T '!$D$40:$D$47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1-7DFA-470A-A88E-46FB542D9909}"/>
            </c:ext>
          </c:extLst>
        </c:ser>
        <c:ser>
          <c:idx val="2"/>
          <c:order val="2"/>
          <c:tx>
            <c:strRef>
              <c:f>'HIDROCARBUROS (HC) 4T '!$E$39</c:f>
              <c:strCache>
                <c:ptCount val="1"/>
                <c:pt idx="0">
                  <c:v>Exactitud NTC 5365 Numeral 5.2.7.1 (+) [%]</c:v>
                </c:pt>
              </c:strCache>
            </c:strRef>
          </c:tx>
          <c:val>
            <c:numRef>
              <c:f>'HIDROCARBUROS (HC) 4T '!$E$40:$E$47</c:f>
              <c:numCache>
                <c:formatCode>0.00</c:formatCode>
                <c:ptCount val="8"/>
                <c:pt idx="0">
                  <c:v>50</c:v>
                </c:pt>
                <c:pt idx="1">
                  <c:v>50</c:v>
                </c:pt>
                <c:pt idx="2">
                  <c:v>100</c:v>
                </c:pt>
                <c:pt idx="3">
                  <c:v>50</c:v>
                </c:pt>
                <c:pt idx="4">
                  <c:v>50</c:v>
                </c:pt>
                <c:pt idx="5">
                  <c:v>50</c:v>
                </c:pt>
                <c:pt idx="6">
                  <c:v>100</c:v>
                </c:pt>
                <c:pt idx="7">
                  <c:v>50</c:v>
                </c:pt>
              </c:numCache>
            </c:numRef>
          </c:val>
          <c:smooth val="0"/>
          <c:extLst>
            <c:ext xmlns:c16="http://schemas.microsoft.com/office/drawing/2014/chart" uri="{C3380CC4-5D6E-409C-BE32-E72D297353CC}">
              <c16:uniqueId val="{00000002-7DFA-470A-A88E-46FB542D9909}"/>
            </c:ext>
          </c:extLst>
        </c:ser>
        <c:ser>
          <c:idx val="3"/>
          <c:order val="3"/>
          <c:tx>
            <c:strRef>
              <c:f>'HIDROCARBUROS (HC) 4T '!$F$39</c:f>
              <c:strCache>
                <c:ptCount val="1"/>
                <c:pt idx="0">
                  <c:v>Exactitud NTC 5365 Numeral 5.2.7.1 (-) [%]</c:v>
                </c:pt>
              </c:strCache>
            </c:strRef>
          </c:tx>
          <c:val>
            <c:numRef>
              <c:f>'HIDROCARBUROS (HC) 4T '!$F$40:$F$47</c:f>
              <c:numCache>
                <c:formatCode>0.00</c:formatCode>
                <c:ptCount val="8"/>
                <c:pt idx="0">
                  <c:v>-50</c:v>
                </c:pt>
                <c:pt idx="1">
                  <c:v>-50</c:v>
                </c:pt>
                <c:pt idx="2">
                  <c:v>-100</c:v>
                </c:pt>
                <c:pt idx="3">
                  <c:v>-50</c:v>
                </c:pt>
                <c:pt idx="4">
                  <c:v>-50</c:v>
                </c:pt>
                <c:pt idx="5">
                  <c:v>-50</c:v>
                </c:pt>
                <c:pt idx="6">
                  <c:v>-100</c:v>
                </c:pt>
                <c:pt idx="7">
                  <c:v>-50</c:v>
                </c:pt>
              </c:numCache>
            </c:numRef>
          </c:val>
          <c:smooth val="0"/>
          <c:extLst>
            <c:ext xmlns:c16="http://schemas.microsoft.com/office/drawing/2014/chart" uri="{C3380CC4-5D6E-409C-BE32-E72D297353CC}">
              <c16:uniqueId val="{00000003-7DFA-470A-A88E-46FB542D9909}"/>
            </c:ext>
          </c:extLst>
        </c:ser>
        <c:dLbls>
          <c:showLegendKey val="0"/>
          <c:showVal val="0"/>
          <c:showCatName val="0"/>
          <c:showSerName val="0"/>
          <c:showPercent val="0"/>
          <c:showBubbleSize val="0"/>
        </c:dLbls>
        <c:marker val="1"/>
        <c:smooth val="0"/>
        <c:axId val="413402528"/>
        <c:axId val="413402920"/>
      </c:lineChart>
      <c:catAx>
        <c:axId val="413402528"/>
        <c:scaling>
          <c:orientation val="minMax"/>
        </c:scaling>
        <c:delete val="0"/>
        <c:axPos val="b"/>
        <c:numFmt formatCode="General" sourceLinked="1"/>
        <c:majorTickMark val="none"/>
        <c:minorTickMark val="none"/>
        <c:tickLblPos val="nextTo"/>
        <c:crossAx val="413402920"/>
        <c:crosses val="autoZero"/>
        <c:auto val="1"/>
        <c:lblAlgn val="ctr"/>
        <c:lblOffset val="100"/>
        <c:noMultiLvlLbl val="0"/>
      </c:catAx>
      <c:valAx>
        <c:axId val="413402920"/>
        <c:scaling>
          <c:orientation val="minMax"/>
        </c:scaling>
        <c:delete val="0"/>
        <c:axPos val="l"/>
        <c:majorGridlines/>
        <c:title>
          <c:overlay val="0"/>
        </c:title>
        <c:numFmt formatCode="0.000" sourceLinked="1"/>
        <c:majorTickMark val="none"/>
        <c:minorTickMark val="none"/>
        <c:tickLblPos val="nextTo"/>
        <c:crossAx val="41340252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layout>
        <c:manualLayout>
          <c:xMode val="edge"/>
          <c:yMode val="edge"/>
          <c:x val="0.30445922578476586"/>
          <c:y val="4.3333321959758017E-2"/>
        </c:manualLayout>
      </c:layout>
      <c:overlay val="0"/>
    </c:title>
    <c:autoTitleDeleted val="0"/>
    <c:plotArea>
      <c:layout/>
      <c:lineChart>
        <c:grouping val="standard"/>
        <c:varyColors val="0"/>
        <c:ser>
          <c:idx val="0"/>
          <c:order val="0"/>
          <c:tx>
            <c:strRef>
              <c:f>'HIDROCARBUROS (HC) 4T '!$C$83</c:f>
              <c:strCache>
                <c:ptCount val="1"/>
                <c:pt idx="0">
                  <c:v>REPETIBILIDAD  CAL 2</c:v>
                </c:pt>
              </c:strCache>
            </c:strRef>
          </c:tx>
          <c:val>
            <c:numRef>
              <c:f>'HIDROCARBUROS (HC) 4T '!$C$84:$C$91</c:f>
              <c:numCache>
                <c:formatCode>0.000</c:formatCode>
                <c:ptCount val="8"/>
                <c:pt idx="0">
                  <c:v>1</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0E58-4098-B638-D9B7C6D2D4A4}"/>
            </c:ext>
          </c:extLst>
        </c:ser>
        <c:ser>
          <c:idx val="1"/>
          <c:order val="1"/>
          <c:tx>
            <c:strRef>
              <c:f>'HIDROCARBUROS (HC) 4T '!$D$83</c:f>
              <c:strCache>
                <c:ptCount val="1"/>
                <c:pt idx="0">
                  <c:v>Ruido NTC 4983 Numeral 5.2.7.1 (+) [%]</c:v>
                </c:pt>
              </c:strCache>
            </c:strRef>
          </c:tx>
          <c:val>
            <c:numRef>
              <c:f>'HIDROCARBUROS (HC) 4T '!$D$84:$D$91</c:f>
              <c:numCache>
                <c:formatCode>0.00</c:formatCode>
                <c:ptCount val="8"/>
                <c:pt idx="0">
                  <c:v>10</c:v>
                </c:pt>
                <c:pt idx="1">
                  <c:v>10</c:v>
                </c:pt>
                <c:pt idx="2">
                  <c:v>20</c:v>
                </c:pt>
                <c:pt idx="3">
                  <c:v>10</c:v>
                </c:pt>
                <c:pt idx="4">
                  <c:v>10</c:v>
                </c:pt>
                <c:pt idx="5">
                  <c:v>10</c:v>
                </c:pt>
                <c:pt idx="6">
                  <c:v>20</c:v>
                </c:pt>
                <c:pt idx="7">
                  <c:v>10</c:v>
                </c:pt>
              </c:numCache>
            </c:numRef>
          </c:val>
          <c:smooth val="0"/>
          <c:extLst>
            <c:ext xmlns:c16="http://schemas.microsoft.com/office/drawing/2014/chart" uri="{C3380CC4-5D6E-409C-BE32-E72D297353CC}">
              <c16:uniqueId val="{00000001-0E58-4098-B638-D9B7C6D2D4A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'HIDROCARBUROS (HC) 4T '!$C$63</c:f>
              <c:strCache>
                <c:ptCount val="1"/>
                <c:pt idx="0">
                  <c:v>RUIDO CAL 2</c:v>
                </c:pt>
              </c:strCache>
            </c:strRef>
          </c:tx>
          <c:val>
            <c:numRef>
              <c:f>'HIDROCARBUROS (HC) 4T '!$C$64:$C$67</c:f>
              <c:numCache>
                <c:formatCode>0.000</c:formatCode>
                <c:ptCount val="4"/>
                <c:pt idx="0">
                  <c:v>0.6</c:v>
                </c:pt>
                <c:pt idx="1">
                  <c:v>0</c:v>
                </c:pt>
                <c:pt idx="2">
                  <c:v>0</c:v>
                </c:pt>
                <c:pt idx="3">
                  <c:v>0</c:v>
                </c:pt>
              </c:numCache>
            </c:numRef>
          </c:val>
          <c:smooth val="0"/>
          <c:extLst>
            <c:ext xmlns:c16="http://schemas.microsoft.com/office/drawing/2014/chart" uri="{C3380CC4-5D6E-409C-BE32-E72D297353CC}">
              <c16:uniqueId val="{00000000-3AD6-4C35-A47E-2BE5915C32D0}"/>
            </c:ext>
          </c:extLst>
        </c:ser>
        <c:ser>
          <c:idx val="4"/>
          <c:order val="1"/>
          <c:tx>
            <c:strRef>
              <c:f>'HIDROCARBUROS (HC) 4T '!$D$63</c:f>
              <c:strCache>
                <c:ptCount val="1"/>
                <c:pt idx="0">
                  <c:v>Ruido NTC 4983 Numeral 5.2.7.1 (+) [%]</c:v>
                </c:pt>
              </c:strCache>
            </c:strRef>
          </c:tx>
          <c:val>
            <c:numRef>
              <c:f>'HIDROCARBUROS (HC) 4T '!$D$64:$D$67</c:f>
              <c:numCache>
                <c:formatCode>0.00</c:formatCode>
                <c:ptCount val="4"/>
                <c:pt idx="0">
                  <c:v>8</c:v>
                </c:pt>
                <c:pt idx="1">
                  <c:v>8</c:v>
                </c:pt>
                <c:pt idx="2">
                  <c:v>16</c:v>
                </c:pt>
                <c:pt idx="3">
                  <c:v>8</c:v>
                </c:pt>
              </c:numCache>
            </c:numRef>
          </c:val>
          <c:smooth val="0"/>
          <c:extLst>
            <c:ext xmlns:c16="http://schemas.microsoft.com/office/drawing/2014/chart" uri="{C3380CC4-5D6E-409C-BE32-E72D297353CC}">
              <c16:uniqueId val="{00000001-3AD6-4C35-A47E-2BE5915C32D0}"/>
            </c:ext>
          </c:extLst>
        </c:ser>
        <c:ser>
          <c:idx val="5"/>
          <c:order val="2"/>
          <c:tx>
            <c:strRef>
              <c:f>'HIDROCARBUROS (HC) 4T '!$E$63</c:f>
              <c:strCache>
                <c:ptCount val="1"/>
                <c:pt idx="0">
                  <c:v>CONFORMIDAD DE ACUERDO A NTC 4983 Numeral 5.2.7.
</c:v>
                </c:pt>
              </c:strCache>
            </c:strRef>
          </c:tx>
          <c:val>
            <c:numRef>
              <c:f>'HIDROCARBUROS (HC) 4T '!$E$64:$E$67</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3AD6-4C35-A47E-2BE5915C32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1.xml"/><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54428</xdr:colOff>
      <xdr:row>0</xdr:row>
      <xdr:rowOff>0</xdr:rowOff>
    </xdr:from>
    <xdr:to>
      <xdr:col>45</xdr:col>
      <xdr:colOff>602116</xdr:colOff>
      <xdr:row>5</xdr:row>
      <xdr:rowOff>130968</xdr:rowOff>
    </xdr:to>
    <xdr:grpSp>
      <xdr:nvGrpSpPr>
        <xdr:cNvPr id="2" name="Grupo 1"/>
        <xdr:cNvGrpSpPr>
          <a:grpSpLocks/>
        </xdr:cNvGrpSpPr>
      </xdr:nvGrpSpPr>
      <xdr:grpSpPr bwMode="auto">
        <a:xfrm>
          <a:off x="424222" y="0"/>
          <a:ext cx="53248953" cy="1083468"/>
          <a:chOff x="0" y="0"/>
          <a:chExt cx="6142161" cy="665216"/>
        </a:xfrm>
      </xdr:grpSpPr>
      <xdr:sp macro="" textlink="">
        <xdr:nvSpPr>
          <xdr:cNvPr id="3" name="Rectángulo 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ESTIMACIÓN DE FRECUENCIA</a:t>
            </a:r>
            <a:r>
              <a:rPr lang="es-CO"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S DE CALIBRACIÓN</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4" name="Grupo 3"/>
          <xdr:cNvGrpSpPr>
            <a:grpSpLocks/>
          </xdr:cNvGrpSpPr>
        </xdr:nvGrpSpPr>
        <xdr:grpSpPr bwMode="auto">
          <a:xfrm>
            <a:off x="3614046" y="0"/>
            <a:ext cx="2528115" cy="665216"/>
            <a:chOff x="-422" y="0"/>
            <a:chExt cx="2528115" cy="665216"/>
          </a:xfrm>
        </xdr:grpSpPr>
        <xdr:sp macro="" textlink="">
          <xdr:nvSpPr>
            <xdr:cNvPr id="5" name="Rectángulo 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6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2021-02-15</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6" name="Rectángulo 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600">
                <a:latin typeface="Arial" panose="020B0604020202020204" pitchFamily="34" charset="0"/>
                <a:cs typeface="Arial" panose="020B0604020202020204" pitchFamily="34" charset="0"/>
              </a:endParaRPr>
            </a:p>
          </xdr:txBody>
        </xdr:sp>
        <xdr:pic>
          <xdr:nvPicPr>
            <xdr:cNvPr id="7" name="Imagen 6" descr="D:\CENTRO DE INSPECCIÓN TOTAL BOYACÁ\logo\CITB Entregas final_Mesa de trabajo 1 sol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9411" y="0"/>
              <a:ext cx="148793"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Rectángulo 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.02</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03</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46</xdr:row>
      <xdr:rowOff>38100</xdr:rowOff>
    </xdr:from>
    <xdr:to>
      <xdr:col>6</xdr:col>
      <xdr:colOff>742951</xdr:colOff>
      <xdr:row>63</xdr:row>
      <xdr:rowOff>85725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73</xdr:row>
      <xdr:rowOff>0</xdr:rowOff>
    </xdr:from>
    <xdr:to>
      <xdr:col>4</xdr:col>
      <xdr:colOff>1419225</xdr:colOff>
      <xdr:row>84</xdr:row>
      <xdr:rowOff>47626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4" name="Grupo 3"/>
        <xdr:cNvGrpSpPr>
          <a:grpSpLocks/>
        </xdr:cNvGrpSpPr>
      </xdr:nvGrpSpPr>
      <xdr:grpSpPr bwMode="auto">
        <a:xfrm>
          <a:off x="0" y="50939"/>
          <a:ext cx="7983537" cy="914400"/>
          <a:chOff x="0" y="0"/>
          <a:chExt cx="6142161" cy="665216"/>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14046" y="0"/>
            <a:ext cx="2528115" cy="665216"/>
            <a:chOff x="-422" y="0"/>
            <a:chExt cx="2528115" cy="665216"/>
          </a:xfrm>
        </xdr:grpSpPr>
        <xdr:sp macro="" textlink="">
          <xdr:nvSpPr>
            <xdr:cNvPr id="7" name="Rectángulo 6"/>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2" name="Grupo 11"/>
        <xdr:cNvGrpSpPr>
          <a:grpSpLocks/>
        </xdr:cNvGrpSpPr>
      </xdr:nvGrpSpPr>
      <xdr:grpSpPr bwMode="auto">
        <a:xfrm>
          <a:off x="0" y="50939"/>
          <a:ext cx="7983537" cy="914400"/>
          <a:chOff x="0" y="0"/>
          <a:chExt cx="6142161" cy="665216"/>
        </a:xfrm>
      </xdr:grpSpPr>
      <xdr:sp macro="" textlink="">
        <xdr:nvSpPr>
          <xdr:cNvPr id="13" name="Rectángulo 1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4" name="Grupo 13"/>
          <xdr:cNvGrpSpPr>
            <a:grpSpLocks/>
          </xdr:cNvGrpSpPr>
        </xdr:nvGrpSpPr>
        <xdr:grpSpPr bwMode="auto">
          <a:xfrm>
            <a:off x="3614046" y="0"/>
            <a:ext cx="2528115" cy="665216"/>
            <a:chOff x="-422" y="0"/>
            <a:chExt cx="2528115" cy="665216"/>
          </a:xfrm>
        </xdr:grpSpPr>
        <xdr:sp macro="" textlink="">
          <xdr:nvSpPr>
            <xdr:cNvPr id="15" name="Rectángulo 1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6" name="Rectángulo 1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7" name="Imagen 16"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Rectángulo 1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9" name="Rectángulo 1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93</xdr:row>
      <xdr:rowOff>38100</xdr:rowOff>
    </xdr:from>
    <xdr:to>
      <xdr:col>6</xdr:col>
      <xdr:colOff>742951</xdr:colOff>
      <xdr:row>110</xdr:row>
      <xdr:rowOff>85725</xdr:rowOff>
    </xdr:to>
    <xdr:graphicFrame macro="">
      <xdr:nvGraphicFramePr>
        <xdr:cNvPr id="2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120</xdr:row>
      <xdr:rowOff>0</xdr:rowOff>
    </xdr:from>
    <xdr:to>
      <xdr:col>4</xdr:col>
      <xdr:colOff>1419225</xdr:colOff>
      <xdr:row>131</xdr:row>
      <xdr:rowOff>47626</xdr:rowOff>
    </xdr:to>
    <xdr:graphicFrame macro="">
      <xdr:nvGraphicFramePr>
        <xdr:cNvPr id="21"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1042147</xdr:colOff>
      <xdr:row>48</xdr:row>
      <xdr:rowOff>44823</xdr:rowOff>
    </xdr:from>
    <xdr:to>
      <xdr:col>7</xdr:col>
      <xdr:colOff>22412</xdr:colOff>
      <xdr:row>64</xdr:row>
      <xdr:rowOff>49866</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253599"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253599"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57150</xdr:colOff>
      <xdr:row>53</xdr:row>
      <xdr:rowOff>47625</xdr:rowOff>
    </xdr:from>
    <xdr:to>
      <xdr:col>7</xdr:col>
      <xdr:colOff>9525</xdr:colOff>
      <xdr:row>69</xdr:row>
      <xdr:rowOff>19050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025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025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41</xdr:row>
      <xdr:rowOff>19050</xdr:rowOff>
    </xdr:from>
    <xdr:to>
      <xdr:col>6</xdr:col>
      <xdr:colOff>714375</xdr:colOff>
      <xdr:row>56</xdr:row>
      <xdr:rowOff>180975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406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33</xdr:row>
      <xdr:rowOff>19050</xdr:rowOff>
    </xdr:from>
    <xdr:to>
      <xdr:col>6</xdr:col>
      <xdr:colOff>714375</xdr:colOff>
      <xdr:row>48</xdr:row>
      <xdr:rowOff>180975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406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xdr:colOff>
      <xdr:row>48</xdr:row>
      <xdr:rowOff>175846</xdr:rowOff>
    </xdr:from>
    <xdr:to>
      <xdr:col>7</xdr:col>
      <xdr:colOff>14654</xdr:colOff>
      <xdr:row>65</xdr:row>
      <xdr:rowOff>733</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6725"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6725"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38101</xdr:colOff>
      <xdr:row>35</xdr:row>
      <xdr:rowOff>66675</xdr:rowOff>
    </xdr:from>
    <xdr:to>
      <xdr:col>6</xdr:col>
      <xdr:colOff>742951</xdr:colOff>
      <xdr:row>51</xdr:row>
      <xdr:rowOff>38100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306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3062"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28575</xdr:colOff>
      <xdr:row>44</xdr:row>
      <xdr:rowOff>142875</xdr:rowOff>
    </xdr:from>
    <xdr:to>
      <xdr:col>7</xdr:col>
      <xdr:colOff>0</xdr:colOff>
      <xdr:row>60</xdr:row>
      <xdr:rowOff>133350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88</xdr:row>
      <xdr:rowOff>0</xdr:rowOff>
    </xdr:from>
    <xdr:to>
      <xdr:col>5</xdr:col>
      <xdr:colOff>1428750</xdr:colOff>
      <xdr:row>98</xdr:row>
      <xdr:rowOff>19050</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69</xdr:row>
      <xdr:rowOff>0</xdr:rowOff>
    </xdr:from>
    <xdr:to>
      <xdr:col>5</xdr:col>
      <xdr:colOff>1066800</xdr:colOff>
      <xdr:row>80</xdr:row>
      <xdr:rowOff>9525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7" name="Grupo 6"/>
        <xdr:cNvGrpSpPr>
          <a:grpSpLocks/>
        </xdr:cNvGrpSpPr>
      </xdr:nvGrpSpPr>
      <xdr:grpSpPr bwMode="auto">
        <a:xfrm>
          <a:off x="9525" y="9526"/>
          <a:ext cx="7972426" cy="914400"/>
          <a:chOff x="0" y="0"/>
          <a:chExt cx="6142161" cy="665216"/>
        </a:xfrm>
      </xdr:grpSpPr>
      <xdr:sp macro="" textlink="">
        <xdr:nvSpPr>
          <xdr:cNvPr id="8" name="Rectángulo 7"/>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9" name="Grupo 8"/>
          <xdr:cNvGrpSpPr>
            <a:grpSpLocks/>
          </xdr:cNvGrpSpPr>
        </xdr:nvGrpSpPr>
        <xdr:grpSpPr bwMode="auto">
          <a:xfrm>
            <a:off x="3614046" y="0"/>
            <a:ext cx="2528115" cy="665216"/>
            <a:chOff x="-422" y="0"/>
            <a:chExt cx="2528115" cy="665216"/>
          </a:xfrm>
        </xdr:grpSpPr>
        <xdr:sp macro="" textlink="">
          <xdr:nvSpPr>
            <xdr:cNvPr id="10" name="Rectángulo 9"/>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2" name="Imagen 11"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ctángulo 12"/>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4" name="Rectángulo 13"/>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22412</xdr:colOff>
      <xdr:row>45</xdr:row>
      <xdr:rowOff>81803</xdr:rowOff>
    </xdr:from>
    <xdr:to>
      <xdr:col>7</xdr:col>
      <xdr:colOff>755837</xdr:colOff>
      <xdr:row>61</xdr:row>
      <xdr:rowOff>72278</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1075765</xdr:colOff>
      <xdr:row>87</xdr:row>
      <xdr:rowOff>145677</xdr:rowOff>
    </xdr:from>
    <xdr:to>
      <xdr:col>6</xdr:col>
      <xdr:colOff>674034</xdr:colOff>
      <xdr:row>98</xdr:row>
      <xdr:rowOff>100853</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829235</xdr:colOff>
      <xdr:row>69</xdr:row>
      <xdr:rowOff>56029</xdr:rowOff>
    </xdr:from>
    <xdr:to>
      <xdr:col>6</xdr:col>
      <xdr:colOff>571499</xdr:colOff>
      <xdr:row>78</xdr:row>
      <xdr:rowOff>33618</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7" name="Grupo 6"/>
        <xdr:cNvGrpSpPr>
          <a:grpSpLocks/>
        </xdr:cNvGrpSpPr>
      </xdr:nvGrpSpPr>
      <xdr:grpSpPr bwMode="auto">
        <a:xfrm>
          <a:off x="9525" y="9526"/>
          <a:ext cx="8053553" cy="914400"/>
          <a:chOff x="0" y="0"/>
          <a:chExt cx="6142161" cy="665216"/>
        </a:xfrm>
      </xdr:grpSpPr>
      <xdr:sp macro="" textlink="">
        <xdr:nvSpPr>
          <xdr:cNvPr id="8" name="Rectángulo 7"/>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9" name="Grupo 8"/>
          <xdr:cNvGrpSpPr>
            <a:grpSpLocks/>
          </xdr:cNvGrpSpPr>
        </xdr:nvGrpSpPr>
        <xdr:grpSpPr bwMode="auto">
          <a:xfrm>
            <a:off x="3614046" y="0"/>
            <a:ext cx="2528115" cy="665216"/>
            <a:chOff x="-422" y="0"/>
            <a:chExt cx="2528115" cy="665216"/>
          </a:xfrm>
        </xdr:grpSpPr>
        <xdr:sp macro="" textlink="">
          <xdr:nvSpPr>
            <xdr:cNvPr id="10" name="Rectángulo 9"/>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2" name="Imagen 11"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ctángulo 12"/>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4" name="Rectángulo 13"/>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43</xdr:row>
      <xdr:rowOff>171450</xdr:rowOff>
    </xdr:from>
    <xdr:to>
      <xdr:col>8</xdr:col>
      <xdr:colOff>733425</xdr:colOff>
      <xdr:row>59</xdr:row>
      <xdr:rowOff>161925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826312</xdr:colOff>
      <xdr:row>69</xdr:row>
      <xdr:rowOff>2923</xdr:rowOff>
    </xdr:from>
    <xdr:to>
      <xdr:col>6</xdr:col>
      <xdr:colOff>516835</xdr:colOff>
      <xdr:row>77</xdr:row>
      <xdr:rowOff>82826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902805</xdr:colOff>
      <xdr:row>86</xdr:row>
      <xdr:rowOff>74543</xdr:rowOff>
    </xdr:from>
    <xdr:to>
      <xdr:col>6</xdr:col>
      <xdr:colOff>649357</xdr:colOff>
      <xdr:row>94</xdr:row>
      <xdr:rowOff>115956</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1</xdr:colOff>
      <xdr:row>5</xdr:row>
      <xdr:rowOff>12839</xdr:rowOff>
    </xdr:to>
    <xdr:grpSp>
      <xdr:nvGrpSpPr>
        <xdr:cNvPr id="5" name="Grupo 4"/>
        <xdr:cNvGrpSpPr>
          <a:grpSpLocks/>
        </xdr:cNvGrpSpPr>
      </xdr:nvGrpSpPr>
      <xdr:grpSpPr bwMode="auto">
        <a:xfrm>
          <a:off x="0" y="50939"/>
          <a:ext cx="8036720"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49</xdr:row>
      <xdr:rowOff>19050</xdr:rowOff>
    </xdr:from>
    <xdr:to>
      <xdr:col>7</xdr:col>
      <xdr:colOff>7937</xdr:colOff>
      <xdr:row>63</xdr:row>
      <xdr:rowOff>150811</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1047750</xdr:colOff>
      <xdr:row>73</xdr:row>
      <xdr:rowOff>19050</xdr:rowOff>
    </xdr:from>
    <xdr:to>
      <xdr:col>6</xdr:col>
      <xdr:colOff>133349</xdr:colOff>
      <xdr:row>82</xdr:row>
      <xdr:rowOff>95250</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95</xdr:row>
      <xdr:rowOff>9524</xdr:rowOff>
    </xdr:from>
    <xdr:to>
      <xdr:col>6</xdr:col>
      <xdr:colOff>57148</xdr:colOff>
      <xdr:row>104</xdr:row>
      <xdr:rowOff>152399</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13" name="Grupo 12"/>
        <xdr:cNvGrpSpPr>
          <a:grpSpLocks/>
        </xdr:cNvGrpSpPr>
      </xdr:nvGrpSpPr>
      <xdr:grpSpPr bwMode="auto">
        <a:xfrm>
          <a:off x="0" y="50939"/>
          <a:ext cx="7747000" cy="914400"/>
          <a:chOff x="0" y="0"/>
          <a:chExt cx="6142161" cy="665216"/>
        </a:xfrm>
      </xdr:grpSpPr>
      <xdr:sp macro="" textlink="">
        <xdr:nvSpPr>
          <xdr:cNvPr id="14" name="Rectángulo 1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5" name="Grupo 14"/>
          <xdr:cNvGrpSpPr>
            <a:grpSpLocks/>
          </xdr:cNvGrpSpPr>
        </xdr:nvGrpSpPr>
        <xdr:grpSpPr bwMode="auto">
          <a:xfrm>
            <a:off x="3614046" y="0"/>
            <a:ext cx="2528115" cy="665216"/>
            <a:chOff x="-422" y="0"/>
            <a:chExt cx="2528115" cy="665216"/>
          </a:xfrm>
        </xdr:grpSpPr>
        <xdr:sp macro="" textlink="">
          <xdr:nvSpPr>
            <xdr:cNvPr id="16" name="Rectángulo 1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7" name="Rectángulo 1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8" name="Imagen 17"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Rectángulo 1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20" name="Rectángulo 1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43</xdr:row>
      <xdr:rowOff>171450</xdr:rowOff>
    </xdr:from>
    <xdr:to>
      <xdr:col>8</xdr:col>
      <xdr:colOff>733425</xdr:colOff>
      <xdr:row>59</xdr:row>
      <xdr:rowOff>161925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683558</xdr:colOff>
      <xdr:row>69</xdr:row>
      <xdr:rowOff>89648</xdr:rowOff>
    </xdr:from>
    <xdr:to>
      <xdr:col>6</xdr:col>
      <xdr:colOff>357466</xdr:colOff>
      <xdr:row>78</xdr:row>
      <xdr:rowOff>156883</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750795</xdr:colOff>
      <xdr:row>88</xdr:row>
      <xdr:rowOff>11206</xdr:rowOff>
    </xdr:from>
    <xdr:to>
      <xdr:col>6</xdr:col>
      <xdr:colOff>491938</xdr:colOff>
      <xdr:row>97</xdr:row>
      <xdr:rowOff>89647</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13" name="Grupo 12"/>
        <xdr:cNvGrpSpPr>
          <a:grpSpLocks/>
        </xdr:cNvGrpSpPr>
      </xdr:nvGrpSpPr>
      <xdr:grpSpPr bwMode="auto">
        <a:xfrm>
          <a:off x="9525" y="9526"/>
          <a:ext cx="8514523" cy="914400"/>
          <a:chOff x="0" y="0"/>
          <a:chExt cx="6142161" cy="665216"/>
        </a:xfrm>
      </xdr:grpSpPr>
      <xdr:sp macro="" textlink="">
        <xdr:nvSpPr>
          <xdr:cNvPr id="14" name="Rectángulo 1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5" name="Grupo 14"/>
          <xdr:cNvGrpSpPr>
            <a:grpSpLocks/>
          </xdr:cNvGrpSpPr>
        </xdr:nvGrpSpPr>
        <xdr:grpSpPr bwMode="auto">
          <a:xfrm>
            <a:off x="3614046" y="0"/>
            <a:ext cx="2528115" cy="665216"/>
            <a:chOff x="-422" y="0"/>
            <a:chExt cx="2528115" cy="665216"/>
          </a:xfrm>
        </xdr:grpSpPr>
        <xdr:sp macro="" textlink="">
          <xdr:nvSpPr>
            <xdr:cNvPr id="16" name="Rectángulo 1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7" name="Rectángulo 1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8" name="Imagen 17"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Rectángulo 1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20" name="Rectángulo 1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9526</xdr:colOff>
      <xdr:row>49</xdr:row>
      <xdr:rowOff>66675</xdr:rowOff>
    </xdr:from>
    <xdr:to>
      <xdr:col>7</xdr:col>
      <xdr:colOff>66676</xdr:colOff>
      <xdr:row>65</xdr:row>
      <xdr:rowOff>57150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72</xdr:row>
      <xdr:rowOff>161925</xdr:rowOff>
    </xdr:from>
    <xdr:to>
      <xdr:col>5</xdr:col>
      <xdr:colOff>257176</xdr:colOff>
      <xdr:row>80</xdr:row>
      <xdr:rowOff>152400</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94</xdr:row>
      <xdr:rowOff>9525</xdr:rowOff>
    </xdr:from>
    <xdr:to>
      <xdr:col>5</xdr:col>
      <xdr:colOff>495300</xdr:colOff>
      <xdr:row>103</xdr:row>
      <xdr:rowOff>114301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2638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342167</xdr:colOff>
      <xdr:row>47</xdr:row>
      <xdr:rowOff>90853</xdr:rowOff>
    </xdr:from>
    <xdr:to>
      <xdr:col>6</xdr:col>
      <xdr:colOff>723167</xdr:colOff>
      <xdr:row>59</xdr:row>
      <xdr:rowOff>131884</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272562</xdr:colOff>
      <xdr:row>92</xdr:row>
      <xdr:rowOff>117231</xdr:rowOff>
    </xdr:from>
    <xdr:to>
      <xdr:col>5</xdr:col>
      <xdr:colOff>701918</xdr:colOff>
      <xdr:row>101</xdr:row>
      <xdr:rowOff>161193</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337038</xdr:colOff>
      <xdr:row>69</xdr:row>
      <xdr:rowOff>36634</xdr:rowOff>
    </xdr:from>
    <xdr:to>
      <xdr:col>6</xdr:col>
      <xdr:colOff>99644</xdr:colOff>
      <xdr:row>78</xdr:row>
      <xdr:rowOff>135547</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6" name="Grupo 5"/>
        <xdr:cNvGrpSpPr>
          <a:grpSpLocks/>
        </xdr:cNvGrpSpPr>
      </xdr:nvGrpSpPr>
      <xdr:grpSpPr bwMode="auto">
        <a:xfrm>
          <a:off x="0" y="50939"/>
          <a:ext cx="8018706" cy="914400"/>
          <a:chOff x="0" y="0"/>
          <a:chExt cx="6142161" cy="665216"/>
        </a:xfrm>
      </xdr:grpSpPr>
      <xdr:sp macro="" textlink="">
        <xdr:nvSpPr>
          <xdr:cNvPr id="7" name="Rectángulo 6"/>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8" name="Grupo 7"/>
          <xdr:cNvGrpSpPr>
            <a:grpSpLocks/>
          </xdr:cNvGrpSpPr>
        </xdr:nvGrpSpPr>
        <xdr:grpSpPr bwMode="auto">
          <a:xfrm>
            <a:off x="3614046" y="0"/>
            <a:ext cx="2528115" cy="665216"/>
            <a:chOff x="-422" y="0"/>
            <a:chExt cx="2528115" cy="665216"/>
          </a:xfrm>
        </xdr:grpSpPr>
        <xdr:sp macro="" textlink="">
          <xdr:nvSpPr>
            <xdr:cNvPr id="9" name="Rectángulo 8"/>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1" name="Imagen 10"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 name="Rectángulo 11"/>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3" name="Rectángulo 12"/>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190501</xdr:colOff>
      <xdr:row>48</xdr:row>
      <xdr:rowOff>19050</xdr:rowOff>
    </xdr:from>
    <xdr:to>
      <xdr:col>6</xdr:col>
      <xdr:colOff>695326</xdr:colOff>
      <xdr:row>64</xdr:row>
      <xdr:rowOff>47625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72</xdr:row>
      <xdr:rowOff>180975</xdr:rowOff>
    </xdr:from>
    <xdr:to>
      <xdr:col>6</xdr:col>
      <xdr:colOff>123825</xdr:colOff>
      <xdr:row>84</xdr:row>
      <xdr:rowOff>38101</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247650</xdr:colOff>
      <xdr:row>97</xdr:row>
      <xdr:rowOff>38100</xdr:rowOff>
    </xdr:from>
    <xdr:to>
      <xdr:col>5</xdr:col>
      <xdr:colOff>733425</xdr:colOff>
      <xdr:row>108</xdr:row>
      <xdr:rowOff>95251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0733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66675</xdr:colOff>
      <xdr:row>42</xdr:row>
      <xdr:rowOff>152400</xdr:rowOff>
    </xdr:from>
    <xdr:to>
      <xdr:col>7</xdr:col>
      <xdr:colOff>9525</xdr:colOff>
      <xdr:row>58</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xdr:colOff>
      <xdr:row>49</xdr:row>
      <xdr:rowOff>38100</xdr:rowOff>
    </xdr:from>
    <xdr:to>
      <xdr:col>6</xdr:col>
      <xdr:colOff>752475</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77</xdr:row>
      <xdr:rowOff>9525</xdr:rowOff>
    </xdr:from>
    <xdr:to>
      <xdr:col>6</xdr:col>
      <xdr:colOff>104775</xdr:colOff>
      <xdr:row>88</xdr:row>
      <xdr:rowOff>57151</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41414</xdr:rowOff>
    </xdr:from>
    <xdr:to>
      <xdr:col>7</xdr:col>
      <xdr:colOff>230187</xdr:colOff>
      <xdr:row>5</xdr:row>
      <xdr:rowOff>12839</xdr:rowOff>
    </xdr:to>
    <xdr:grpSp>
      <xdr:nvGrpSpPr>
        <xdr:cNvPr id="4" name="Grupo 3"/>
        <xdr:cNvGrpSpPr>
          <a:grpSpLocks/>
        </xdr:cNvGrpSpPr>
      </xdr:nvGrpSpPr>
      <xdr:grpSpPr bwMode="auto">
        <a:xfrm>
          <a:off x="0" y="41414"/>
          <a:ext cx="8107362" cy="923925"/>
          <a:chOff x="0" y="-6929"/>
          <a:chExt cx="6142161" cy="672145"/>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08084" y="-6929"/>
            <a:ext cx="2534077" cy="672145"/>
            <a:chOff x="-6384" y="-6929"/>
            <a:chExt cx="2534077" cy="672145"/>
          </a:xfrm>
        </xdr:grpSpPr>
        <xdr:sp macro="" textlink="">
          <xdr:nvSpPr>
            <xdr:cNvPr id="7" name="Rectángulo 6"/>
            <xdr:cNvSpPr/>
          </xdr:nvSpPr>
          <xdr:spPr>
            <a:xfrm>
              <a:off x="-6384" y="-6929"/>
              <a:ext cx="1830342"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D177"/>
  <sheetViews>
    <sheetView tabSelected="1" zoomScale="85" zoomScaleNormal="85" workbookViewId="0">
      <pane xSplit="3" ySplit="9" topLeftCell="AD154" activePane="bottomRight" state="frozen"/>
      <selection pane="topRight" activeCell="D1" sqref="D1"/>
      <selection pane="bottomLeft" activeCell="A6" sqref="A6"/>
      <selection pane="bottomRight" activeCell="AH158" sqref="AH158:AH160"/>
    </sheetView>
  </sheetViews>
  <sheetFormatPr baseColWidth="10" defaultRowHeight="15" x14ac:dyDescent="0.25"/>
  <cols>
    <col min="1" max="1" width="5.5703125" style="363" customWidth="1"/>
    <col min="2" max="2" width="22" customWidth="1"/>
    <col min="3" max="3" width="28.7109375" customWidth="1"/>
    <col min="4" max="4" width="18" customWidth="1"/>
    <col min="5" max="5" width="21.5703125" customWidth="1"/>
    <col min="6" max="6" width="20.85546875" customWidth="1"/>
    <col min="7" max="7" width="12.85546875" customWidth="1"/>
    <col min="8" max="8" width="13.7109375" customWidth="1"/>
    <col min="9" max="9" width="10.7109375" customWidth="1"/>
    <col min="10" max="10" width="9.85546875" customWidth="1"/>
    <col min="11" max="11" width="13.5703125" customWidth="1"/>
    <col min="12" max="16" width="11.28515625" customWidth="1"/>
    <col min="17" max="18" width="10" customWidth="1"/>
    <col min="19" max="19" width="13.85546875" customWidth="1"/>
    <col min="20" max="29" width="20.42578125" customWidth="1"/>
    <col min="30" max="31" width="21.42578125" customWidth="1"/>
    <col min="32" max="34" width="18" customWidth="1"/>
    <col min="35" max="41" width="20" customWidth="1"/>
    <col min="42" max="45" width="21.42578125" customWidth="1"/>
    <col min="46" max="46" width="17.140625" customWidth="1"/>
    <col min="47" max="47" width="11.28515625" customWidth="1"/>
    <col min="48" max="48" width="14.28515625" customWidth="1"/>
    <col min="49" max="49" width="13" customWidth="1"/>
    <col min="50" max="50" width="19.85546875" customWidth="1"/>
    <col min="51" max="51" width="14.28515625" customWidth="1"/>
    <col min="52" max="52" width="21.85546875" customWidth="1"/>
    <col min="53" max="53" width="20.42578125" customWidth="1"/>
    <col min="54" max="54" width="15.5703125" customWidth="1"/>
    <col min="55" max="55" width="16.42578125" customWidth="1"/>
    <col min="56" max="56" width="24" customWidth="1"/>
  </cols>
  <sheetData>
    <row r="2" spans="2:56" ht="15" customHeight="1" x14ac:dyDescent="0.25">
      <c r="AP2" s="644"/>
      <c r="AQ2" s="644"/>
      <c r="AR2" s="644"/>
      <c r="AS2" s="644"/>
      <c r="AT2" s="644"/>
      <c r="AU2" s="644"/>
      <c r="AV2" s="644"/>
    </row>
    <row r="3" spans="2:56" ht="15" customHeight="1" x14ac:dyDescent="0.25">
      <c r="AP3" s="644"/>
      <c r="AQ3" s="644"/>
      <c r="AR3" s="644"/>
      <c r="AS3" s="644"/>
      <c r="AT3" s="644"/>
      <c r="AU3" s="644"/>
      <c r="AV3" s="644"/>
    </row>
    <row r="4" spans="2:56" ht="15" customHeight="1" x14ac:dyDescent="0.25">
      <c r="AP4" s="644"/>
      <c r="AQ4" s="644"/>
      <c r="AR4" s="644"/>
      <c r="AS4" s="644"/>
      <c r="AT4" s="644"/>
      <c r="AU4" s="644"/>
      <c r="AV4" s="644"/>
    </row>
    <row r="5" spans="2:56" ht="15" customHeight="1" x14ac:dyDescent="0.25">
      <c r="AP5" s="644"/>
      <c r="AQ5" s="644"/>
      <c r="AR5" s="644"/>
      <c r="AS5" s="644"/>
      <c r="AT5" s="644"/>
      <c r="AU5" s="644"/>
      <c r="AV5" s="644"/>
    </row>
    <row r="6" spans="2:56" ht="15" customHeight="1" x14ac:dyDescent="0.25">
      <c r="AP6" s="644"/>
      <c r="AQ6" s="644"/>
      <c r="AR6" s="644"/>
      <c r="AS6" s="644"/>
      <c r="AT6" s="644"/>
      <c r="AU6" s="644"/>
      <c r="AV6" s="644"/>
    </row>
    <row r="7" spans="2:56" ht="15.75" thickBot="1" x14ac:dyDescent="0.3">
      <c r="AP7" s="198"/>
      <c r="AQ7" s="198"/>
      <c r="AR7" s="198"/>
      <c r="AS7" s="198"/>
      <c r="AT7" s="198"/>
      <c r="AU7" s="198"/>
      <c r="AV7" s="198"/>
    </row>
    <row r="8" spans="2:56" ht="15.75" thickBot="1" x14ac:dyDescent="0.3">
      <c r="B8" s="616" t="s">
        <v>32</v>
      </c>
      <c r="C8" s="617"/>
      <c r="D8" s="617"/>
      <c r="E8" s="617"/>
      <c r="F8" s="617"/>
      <c r="G8" s="617"/>
      <c r="H8" s="617"/>
      <c r="I8" s="617"/>
      <c r="J8" s="617"/>
      <c r="K8" s="617"/>
      <c r="L8" s="617"/>
      <c r="M8" s="617"/>
      <c r="N8" s="617"/>
      <c r="O8" s="617"/>
      <c r="P8" s="617"/>
      <c r="Q8" s="617"/>
      <c r="R8" s="618"/>
      <c r="S8" s="631" t="s">
        <v>117</v>
      </c>
      <c r="T8" s="632"/>
      <c r="U8" s="632"/>
      <c r="V8" s="632"/>
      <c r="W8" s="632"/>
      <c r="X8" s="632"/>
      <c r="Y8" s="632"/>
      <c r="Z8" s="632"/>
      <c r="AA8" s="632"/>
      <c r="AB8" s="632"/>
      <c r="AC8" s="632"/>
      <c r="AD8" s="632"/>
      <c r="AE8" s="632"/>
      <c r="AF8" s="633"/>
      <c r="AG8" s="592" t="s">
        <v>116</v>
      </c>
      <c r="AH8" s="593"/>
      <c r="AI8" s="593"/>
      <c r="AJ8" s="593"/>
      <c r="AK8" s="593"/>
      <c r="AL8" s="593"/>
      <c r="AM8" s="593"/>
      <c r="AN8" s="593"/>
      <c r="AO8" s="593"/>
      <c r="AP8" s="593"/>
      <c r="AQ8" s="593"/>
      <c r="AR8" s="593"/>
      <c r="AS8" s="593"/>
      <c r="AT8" s="594"/>
      <c r="AU8" s="561" t="s">
        <v>43</v>
      </c>
      <c r="AV8" s="562"/>
      <c r="AW8" s="562"/>
      <c r="AX8" s="562"/>
      <c r="AY8" s="562"/>
      <c r="AZ8" s="563"/>
      <c r="BA8" s="562" t="s">
        <v>44</v>
      </c>
      <c r="BB8" s="562"/>
      <c r="BC8" s="562"/>
      <c r="BD8" s="563"/>
    </row>
    <row r="9" spans="2:56" ht="79.5" customHeight="1" thickBot="1" x14ac:dyDescent="0.3">
      <c r="B9" s="361" t="s">
        <v>3</v>
      </c>
      <c r="C9" s="17" t="s">
        <v>2</v>
      </c>
      <c r="D9" s="17" t="s">
        <v>0</v>
      </c>
      <c r="E9" s="17" t="s">
        <v>1</v>
      </c>
      <c r="F9" s="18" t="s">
        <v>4</v>
      </c>
      <c r="G9" s="197" t="s">
        <v>5</v>
      </c>
      <c r="H9" s="19" t="s">
        <v>29</v>
      </c>
      <c r="I9" s="624" t="s">
        <v>21</v>
      </c>
      <c r="J9" s="625"/>
      <c r="K9" s="586" t="s">
        <v>73</v>
      </c>
      <c r="L9" s="587"/>
      <c r="M9" s="614" t="s">
        <v>74</v>
      </c>
      <c r="N9" s="615"/>
      <c r="O9" s="595" t="s">
        <v>75</v>
      </c>
      <c r="P9" s="596"/>
      <c r="Q9" s="584" t="s">
        <v>122</v>
      </c>
      <c r="R9" s="585"/>
      <c r="S9" s="25" t="s">
        <v>27</v>
      </c>
      <c r="T9" s="26" t="s">
        <v>77</v>
      </c>
      <c r="U9" s="25" t="s">
        <v>78</v>
      </c>
      <c r="V9" s="25" t="s">
        <v>79</v>
      </c>
      <c r="W9" s="25" t="s">
        <v>80</v>
      </c>
      <c r="X9" s="34" t="s">
        <v>81</v>
      </c>
      <c r="Y9" s="34" t="s">
        <v>82</v>
      </c>
      <c r="Z9" s="35" t="s">
        <v>83</v>
      </c>
      <c r="AA9" s="36" t="s">
        <v>84</v>
      </c>
      <c r="AB9" s="25" t="s">
        <v>85</v>
      </c>
      <c r="AC9" s="25" t="s">
        <v>86</v>
      </c>
      <c r="AD9" s="25" t="s">
        <v>30</v>
      </c>
      <c r="AE9" s="25" t="s">
        <v>31</v>
      </c>
      <c r="AF9" s="28" t="s">
        <v>38</v>
      </c>
      <c r="AG9" s="16" t="s">
        <v>57</v>
      </c>
      <c r="AH9" s="27" t="s">
        <v>87</v>
      </c>
      <c r="AI9" s="16" t="s">
        <v>88</v>
      </c>
      <c r="AJ9" s="16" t="s">
        <v>79</v>
      </c>
      <c r="AK9" s="16" t="s">
        <v>80</v>
      </c>
      <c r="AL9" s="34" t="s">
        <v>81</v>
      </c>
      <c r="AM9" s="34" t="s">
        <v>82</v>
      </c>
      <c r="AN9" s="35" t="s">
        <v>83</v>
      </c>
      <c r="AO9" s="36" t="s">
        <v>84</v>
      </c>
      <c r="AP9" s="16" t="s">
        <v>85</v>
      </c>
      <c r="AQ9" s="16" t="s">
        <v>86</v>
      </c>
      <c r="AR9" s="16" t="s">
        <v>30</v>
      </c>
      <c r="AS9" s="16" t="s">
        <v>31</v>
      </c>
      <c r="AT9" s="29" t="s">
        <v>38</v>
      </c>
      <c r="AU9" s="31" t="s">
        <v>26</v>
      </c>
      <c r="AV9" s="31" t="s">
        <v>59</v>
      </c>
      <c r="AW9" s="31" t="s">
        <v>28</v>
      </c>
      <c r="AX9" s="31" t="s">
        <v>45</v>
      </c>
      <c r="AY9" s="31" t="s">
        <v>39</v>
      </c>
      <c r="AZ9" s="9" t="s">
        <v>3</v>
      </c>
      <c r="BA9" s="15" t="s">
        <v>34</v>
      </c>
      <c r="BB9" s="15" t="s">
        <v>35</v>
      </c>
      <c r="BC9" s="15" t="s">
        <v>42</v>
      </c>
      <c r="BD9" s="15" t="s">
        <v>64</v>
      </c>
    </row>
    <row r="10" spans="2:56" ht="15" customHeight="1" x14ac:dyDescent="0.25">
      <c r="B10" s="412" t="s">
        <v>182</v>
      </c>
      <c r="C10" s="629" t="s">
        <v>131</v>
      </c>
      <c r="D10" s="417" t="s">
        <v>128</v>
      </c>
      <c r="E10" s="417" t="s">
        <v>130</v>
      </c>
      <c r="F10" s="417" t="s">
        <v>129</v>
      </c>
      <c r="G10" s="552">
        <v>1E-4</v>
      </c>
      <c r="H10" s="626" t="s">
        <v>51</v>
      </c>
      <c r="I10" s="78">
        <v>0.1</v>
      </c>
      <c r="J10" s="79" t="s">
        <v>46</v>
      </c>
      <c r="K10" s="297" t="s">
        <v>76</v>
      </c>
      <c r="L10" s="312" t="s">
        <v>76</v>
      </c>
      <c r="M10" s="80">
        <v>0.04</v>
      </c>
      <c r="N10" s="81" t="s">
        <v>46</v>
      </c>
      <c r="O10" s="82">
        <v>0.04</v>
      </c>
      <c r="P10" s="83" t="s">
        <v>46</v>
      </c>
      <c r="Q10" s="84">
        <v>1.01</v>
      </c>
      <c r="R10" s="84" t="s">
        <v>23</v>
      </c>
      <c r="S10" s="60">
        <v>44063</v>
      </c>
      <c r="T10" s="436" t="s">
        <v>183</v>
      </c>
      <c r="U10" s="85">
        <v>0.98499999999999999</v>
      </c>
      <c r="V10" s="85">
        <f t="shared" ref="V10:V17" si="0">U10-Q10</f>
        <v>-2.5000000000000022E-2</v>
      </c>
      <c r="W10" s="85" t="s">
        <v>76</v>
      </c>
      <c r="X10" s="85" t="s">
        <v>76</v>
      </c>
      <c r="Y10" s="85" t="s">
        <v>76</v>
      </c>
      <c r="Z10" s="85">
        <v>0.01</v>
      </c>
      <c r="AA10" s="85">
        <v>0.01</v>
      </c>
      <c r="AB10" s="85">
        <v>1.2E-2</v>
      </c>
      <c r="AC10" s="85" t="s">
        <v>76</v>
      </c>
      <c r="AD10" s="61">
        <f>(V10+AB10)</f>
        <v>-1.3000000000000022E-2</v>
      </c>
      <c r="AE10" s="61">
        <f>(V10-AB10)</f>
        <v>-3.7000000000000019E-2</v>
      </c>
      <c r="AF10" s="61">
        <f>MAX(AD10:AE10)</f>
        <v>-1.3000000000000022E-2</v>
      </c>
      <c r="AG10" s="62"/>
      <c r="AH10" s="580"/>
      <c r="AI10" s="86"/>
      <c r="AJ10" s="86"/>
      <c r="AK10" s="86"/>
      <c r="AL10" s="86"/>
      <c r="AM10" s="86"/>
      <c r="AN10" s="86"/>
      <c r="AO10" s="86"/>
      <c r="AP10" s="86"/>
      <c r="AQ10" s="86"/>
      <c r="AR10" s="61">
        <f>(AK10+AP10)</f>
        <v>0</v>
      </c>
      <c r="AS10" s="61">
        <f>(AK10-AP10)</f>
        <v>0</v>
      </c>
      <c r="AT10" s="61">
        <f>MAX(AR10:AS10)</f>
        <v>0</v>
      </c>
      <c r="AU10" s="64">
        <f>YEARFRAC(S10,AG10)</f>
        <v>120.63888888888889</v>
      </c>
      <c r="AV10" s="65">
        <f>ABS(AT10-AF10)</f>
        <v>1.3000000000000022E-2</v>
      </c>
      <c r="AW10" s="87">
        <f>(AV10/AU10)</f>
        <v>1.0775961317061957E-4</v>
      </c>
      <c r="AX10" s="67">
        <f>(I10/AW10)</f>
        <v>927.99145299145152</v>
      </c>
      <c r="AY10" s="88" t="str">
        <f>IF(AX10&lt;=1,"UN AÑO",IF(AX10&gt;=1,"DOS AÑOS"))</f>
        <v>DOS AÑOS</v>
      </c>
      <c r="AZ10" s="564" t="s">
        <v>9</v>
      </c>
      <c r="BA10" s="567" t="s">
        <v>37</v>
      </c>
      <c r="BB10" s="570" t="s">
        <v>36</v>
      </c>
      <c r="BC10" s="576">
        <f>MIN(AX10:AX22)</f>
        <v>1.1000000000000001</v>
      </c>
      <c r="BD10" s="573" t="e">
        <f>BC163</f>
        <v>#DIV/0!</v>
      </c>
    </row>
    <row r="11" spans="2:56" ht="15" customHeight="1" x14ac:dyDescent="0.25">
      <c r="B11" s="413"/>
      <c r="C11" s="630"/>
      <c r="D11" s="418"/>
      <c r="E11" s="418"/>
      <c r="F11" s="418"/>
      <c r="G11" s="553"/>
      <c r="H11" s="627"/>
      <c r="I11" s="262">
        <v>0.2</v>
      </c>
      <c r="J11" s="90" t="s">
        <v>46</v>
      </c>
      <c r="K11" s="298" t="s">
        <v>76</v>
      </c>
      <c r="L11" s="299" t="s">
        <v>76</v>
      </c>
      <c r="M11" s="263">
        <v>0.08</v>
      </c>
      <c r="N11" s="92" t="s">
        <v>46</v>
      </c>
      <c r="O11" s="264">
        <v>0.08</v>
      </c>
      <c r="P11" s="94" t="s">
        <v>46</v>
      </c>
      <c r="Q11" s="266">
        <v>4</v>
      </c>
      <c r="R11" s="266" t="s">
        <v>23</v>
      </c>
      <c r="S11" s="267">
        <v>44063</v>
      </c>
      <c r="T11" s="437"/>
      <c r="U11" s="268">
        <v>3.9</v>
      </c>
      <c r="V11" s="96">
        <f t="shared" si="0"/>
        <v>-0.10000000000000009</v>
      </c>
      <c r="W11" s="268" t="s">
        <v>76</v>
      </c>
      <c r="X11" s="268" t="s">
        <v>76</v>
      </c>
      <c r="Y11" s="268" t="s">
        <v>76</v>
      </c>
      <c r="Z11" s="268">
        <v>0</v>
      </c>
      <c r="AA11" s="268">
        <v>0</v>
      </c>
      <c r="AB11" s="268">
        <v>4.1000000000000002E-2</v>
      </c>
      <c r="AC11" s="268"/>
      <c r="AD11" s="40">
        <f t="shared" ref="AD11" si="1">(V11+AB11)</f>
        <v>-5.9000000000000087E-2</v>
      </c>
      <c r="AE11" s="40">
        <f t="shared" ref="AE11" si="2">(V11-AB11)</f>
        <v>-0.1410000000000001</v>
      </c>
      <c r="AF11" s="40">
        <f t="shared" ref="AF11" si="3">MAX(AD11:AE11)</f>
        <v>-5.9000000000000087E-2</v>
      </c>
      <c r="AG11" s="270"/>
      <c r="AH11" s="581"/>
      <c r="AI11" s="271"/>
      <c r="AJ11" s="271"/>
      <c r="AK11" s="271"/>
      <c r="AL11" s="271"/>
      <c r="AM11" s="271"/>
      <c r="AN11" s="271"/>
      <c r="AO11" s="271"/>
      <c r="AP11" s="271"/>
      <c r="AQ11" s="271"/>
      <c r="AR11" s="269"/>
      <c r="AS11" s="269"/>
      <c r="AT11" s="269"/>
      <c r="AU11" s="272"/>
      <c r="AV11" s="273"/>
      <c r="AW11" s="274"/>
      <c r="AX11" s="275"/>
      <c r="AY11" s="276"/>
      <c r="AZ11" s="565"/>
      <c r="BA11" s="568"/>
      <c r="BB11" s="571"/>
      <c r="BC11" s="577"/>
      <c r="BD11" s="574"/>
    </row>
    <row r="12" spans="2:56" ht="15" customHeight="1" x14ac:dyDescent="0.25">
      <c r="B12" s="413"/>
      <c r="C12" s="630"/>
      <c r="D12" s="418"/>
      <c r="E12" s="418"/>
      <c r="F12" s="418"/>
      <c r="G12" s="553"/>
      <c r="H12" s="627"/>
      <c r="I12" s="262">
        <v>0.5</v>
      </c>
      <c r="J12" s="90" t="s">
        <v>46</v>
      </c>
      <c r="K12" s="298" t="s">
        <v>76</v>
      </c>
      <c r="L12" s="299" t="s">
        <v>76</v>
      </c>
      <c r="M12" s="263">
        <v>0.16</v>
      </c>
      <c r="N12" s="92" t="s">
        <v>46</v>
      </c>
      <c r="O12" s="264">
        <v>0.16</v>
      </c>
      <c r="P12" s="94" t="s">
        <v>46</v>
      </c>
      <c r="Q12" s="266">
        <v>8</v>
      </c>
      <c r="R12" s="266" t="s">
        <v>23</v>
      </c>
      <c r="S12" s="267">
        <v>44063</v>
      </c>
      <c r="T12" s="437"/>
      <c r="U12" s="268">
        <v>8.0299999999999994</v>
      </c>
      <c r="V12" s="96">
        <f t="shared" si="0"/>
        <v>2.9999999999999361E-2</v>
      </c>
      <c r="W12" s="268" t="s">
        <v>76</v>
      </c>
      <c r="X12" s="268" t="s">
        <v>76</v>
      </c>
      <c r="Y12" s="268" t="s">
        <v>76</v>
      </c>
      <c r="Z12" s="268">
        <v>0.05</v>
      </c>
      <c r="AA12" s="268">
        <v>0.1</v>
      </c>
      <c r="AB12" s="268">
        <v>0.11</v>
      </c>
      <c r="AC12" s="268"/>
      <c r="AD12" s="40">
        <f t="shared" ref="AD12" si="4">(V12+AB12)</f>
        <v>0.13999999999999935</v>
      </c>
      <c r="AE12" s="40">
        <f t="shared" ref="AE12" si="5">(V12-AB12)</f>
        <v>-8.000000000000064E-2</v>
      </c>
      <c r="AF12" s="40">
        <f t="shared" ref="AF12" si="6">MAX(AD12:AE12)</f>
        <v>0.13999999999999935</v>
      </c>
      <c r="AG12" s="270"/>
      <c r="AH12" s="581"/>
      <c r="AI12" s="271"/>
      <c r="AJ12" s="271"/>
      <c r="AK12" s="271"/>
      <c r="AL12" s="271"/>
      <c r="AM12" s="271"/>
      <c r="AN12" s="271"/>
      <c r="AO12" s="271"/>
      <c r="AP12" s="271"/>
      <c r="AQ12" s="271"/>
      <c r="AR12" s="269"/>
      <c r="AS12" s="269"/>
      <c r="AT12" s="269"/>
      <c r="AU12" s="272"/>
      <c r="AV12" s="273"/>
      <c r="AW12" s="274"/>
      <c r="AX12" s="275"/>
      <c r="AY12" s="276"/>
      <c r="AZ12" s="565"/>
      <c r="BA12" s="568"/>
      <c r="BB12" s="571"/>
      <c r="BC12" s="577"/>
      <c r="BD12" s="574"/>
    </row>
    <row r="13" spans="2:56" x14ac:dyDescent="0.25">
      <c r="B13" s="414"/>
      <c r="C13" s="560"/>
      <c r="D13" s="419"/>
      <c r="E13" s="419"/>
      <c r="F13" s="419"/>
      <c r="G13" s="481"/>
      <c r="H13" s="628"/>
      <c r="I13" s="89">
        <v>0.05</v>
      </c>
      <c r="J13" s="90" t="s">
        <v>46</v>
      </c>
      <c r="K13" s="300" t="s">
        <v>76</v>
      </c>
      <c r="L13" s="313" t="s">
        <v>76</v>
      </c>
      <c r="M13" s="91">
        <v>0.02</v>
      </c>
      <c r="N13" s="92" t="s">
        <v>46</v>
      </c>
      <c r="O13" s="93">
        <v>0.02</v>
      </c>
      <c r="P13" s="94" t="s">
        <v>46</v>
      </c>
      <c r="Q13" s="95">
        <v>0</v>
      </c>
      <c r="R13" s="95" t="s">
        <v>23</v>
      </c>
      <c r="S13" s="38">
        <v>44063</v>
      </c>
      <c r="T13" s="438"/>
      <c r="U13" s="96">
        <v>0</v>
      </c>
      <c r="V13" s="96">
        <f t="shared" si="0"/>
        <v>0</v>
      </c>
      <c r="W13" s="96" t="s">
        <v>76</v>
      </c>
      <c r="X13" s="96" t="s">
        <v>76</v>
      </c>
      <c r="Y13" s="96" t="s">
        <v>76</v>
      </c>
      <c r="Z13" s="96">
        <v>0</v>
      </c>
      <c r="AA13" s="96">
        <v>0</v>
      </c>
      <c r="AB13" s="96">
        <v>6.0000000000000001E-3</v>
      </c>
      <c r="AC13" s="96" t="s">
        <v>76</v>
      </c>
      <c r="AD13" s="40">
        <f t="shared" ref="AD13:AD24" si="7">(V13+AB13)</f>
        <v>6.0000000000000001E-3</v>
      </c>
      <c r="AE13" s="40">
        <f t="shared" ref="AE13:AE24" si="8">(V13-AB13)</f>
        <v>-6.0000000000000001E-3</v>
      </c>
      <c r="AF13" s="40">
        <f t="shared" ref="AF13:AF132" si="9">MAX(AD13:AE13)</f>
        <v>6.0000000000000001E-3</v>
      </c>
      <c r="AG13" s="41"/>
      <c r="AH13" s="582"/>
      <c r="AI13" s="97"/>
      <c r="AJ13" s="97"/>
      <c r="AK13" s="97"/>
      <c r="AL13" s="97"/>
      <c r="AM13" s="97"/>
      <c r="AN13" s="97"/>
      <c r="AO13" s="97"/>
      <c r="AP13" s="97"/>
      <c r="AQ13" s="97"/>
      <c r="AR13" s="40">
        <f t="shared" ref="AR13:AR41" si="10">(AK13+AP13)</f>
        <v>0</v>
      </c>
      <c r="AS13" s="40">
        <f t="shared" ref="AS13:AS41" si="11">(AK13-AP13)</f>
        <v>0</v>
      </c>
      <c r="AT13" s="40">
        <f t="shared" ref="AT13:AT17" si="12">MAX(AR13:AS13)</f>
        <v>0</v>
      </c>
      <c r="AU13" s="43">
        <f t="shared" ref="AU13:AU144" si="13">YEARFRAC(S13,AG13)</f>
        <v>120.63888888888889</v>
      </c>
      <c r="AV13" s="44">
        <f>ABS(AT13+AF13)</f>
        <v>6.0000000000000001E-3</v>
      </c>
      <c r="AW13" s="98">
        <f t="shared" ref="AW13:AW157" si="14">(AV13/AU13)</f>
        <v>4.9735206078747414E-5</v>
      </c>
      <c r="AX13" s="46">
        <v>1.1000000000000001</v>
      </c>
      <c r="AY13" s="47" t="str">
        <f t="shared" ref="AY13:AY144" si="15">IF(AX13&lt;=1,"UN AÑO",IF(AX13&gt;=1,"DOS AÑOS"))</f>
        <v>DOS AÑOS</v>
      </c>
      <c r="AZ13" s="565"/>
      <c r="BA13" s="568"/>
      <c r="BB13" s="571"/>
      <c r="BC13" s="577"/>
      <c r="BD13" s="574"/>
    </row>
    <row r="14" spans="2:56" x14ac:dyDescent="0.25">
      <c r="B14" s="414"/>
      <c r="C14" s="560" t="s">
        <v>132</v>
      </c>
      <c r="D14" s="419"/>
      <c r="E14" s="419"/>
      <c r="F14" s="419"/>
      <c r="G14" s="482">
        <v>1E-3</v>
      </c>
      <c r="H14" s="628" t="s">
        <v>52</v>
      </c>
      <c r="I14" s="89">
        <v>0.4</v>
      </c>
      <c r="J14" s="90" t="s">
        <v>46</v>
      </c>
      <c r="K14" s="300" t="s">
        <v>76</v>
      </c>
      <c r="L14" s="313" t="s">
        <v>76</v>
      </c>
      <c r="M14" s="91">
        <v>0.2</v>
      </c>
      <c r="N14" s="92" t="s">
        <v>46</v>
      </c>
      <c r="O14" s="93">
        <v>0.3</v>
      </c>
      <c r="P14" s="94" t="s">
        <v>46</v>
      </c>
      <c r="Q14" s="95">
        <v>6</v>
      </c>
      <c r="R14" s="95" t="s">
        <v>23</v>
      </c>
      <c r="S14" s="38">
        <v>44063</v>
      </c>
      <c r="T14" s="438"/>
      <c r="U14" s="99">
        <v>5.85</v>
      </c>
      <c r="V14" s="96">
        <f t="shared" si="0"/>
        <v>-0.15000000000000036</v>
      </c>
      <c r="W14" s="99" t="s">
        <v>76</v>
      </c>
      <c r="X14" s="99" t="s">
        <v>76</v>
      </c>
      <c r="Y14" s="99" t="s">
        <v>76</v>
      </c>
      <c r="Z14" s="99">
        <v>0.05</v>
      </c>
      <c r="AA14" s="99">
        <v>0.1</v>
      </c>
      <c r="AB14" s="99">
        <v>0.1</v>
      </c>
      <c r="AC14" s="99" t="s">
        <v>76</v>
      </c>
      <c r="AD14" s="40">
        <f t="shared" si="7"/>
        <v>-5.000000000000035E-2</v>
      </c>
      <c r="AE14" s="40">
        <f t="shared" si="8"/>
        <v>-0.25000000000000033</v>
      </c>
      <c r="AF14" s="40">
        <f t="shared" si="9"/>
        <v>-5.000000000000035E-2</v>
      </c>
      <c r="AG14" s="41"/>
      <c r="AH14" s="582"/>
      <c r="AI14" s="97"/>
      <c r="AJ14" s="97"/>
      <c r="AK14" s="97"/>
      <c r="AL14" s="97"/>
      <c r="AM14" s="97"/>
      <c r="AN14" s="97"/>
      <c r="AO14" s="97"/>
      <c r="AP14" s="97"/>
      <c r="AQ14" s="97"/>
      <c r="AR14" s="40">
        <f t="shared" si="10"/>
        <v>0</v>
      </c>
      <c r="AS14" s="40">
        <f t="shared" si="11"/>
        <v>0</v>
      </c>
      <c r="AT14" s="40">
        <f t="shared" si="12"/>
        <v>0</v>
      </c>
      <c r="AU14" s="43">
        <f t="shared" si="13"/>
        <v>120.63888888888889</v>
      </c>
      <c r="AV14" s="44">
        <f t="shared" ref="AV14:AV76" si="16">ABS(AT14-AF14)</f>
        <v>5.000000000000035E-2</v>
      </c>
      <c r="AW14" s="98">
        <f t="shared" si="14"/>
        <v>4.1446005065623134E-4</v>
      </c>
      <c r="AX14" s="46">
        <v>1.2</v>
      </c>
      <c r="AY14" s="47" t="str">
        <f t="shared" si="15"/>
        <v>DOS AÑOS</v>
      </c>
      <c r="AZ14" s="565"/>
      <c r="BA14" s="568"/>
      <c r="BB14" s="571"/>
      <c r="BC14" s="577"/>
      <c r="BD14" s="574"/>
    </row>
    <row r="15" spans="2:56" x14ac:dyDescent="0.25">
      <c r="B15" s="414"/>
      <c r="C15" s="560"/>
      <c r="D15" s="419"/>
      <c r="E15" s="419"/>
      <c r="F15" s="419"/>
      <c r="G15" s="482"/>
      <c r="H15" s="628"/>
      <c r="I15" s="89">
        <v>0.8</v>
      </c>
      <c r="J15" s="90" t="s">
        <v>46</v>
      </c>
      <c r="K15" s="300" t="s">
        <v>76</v>
      </c>
      <c r="L15" s="301" t="s">
        <v>76</v>
      </c>
      <c r="M15" s="91">
        <v>0.2</v>
      </c>
      <c r="N15" s="92" t="s">
        <v>46</v>
      </c>
      <c r="O15" s="93">
        <v>0.3</v>
      </c>
      <c r="P15" s="94" t="s">
        <v>46</v>
      </c>
      <c r="Q15" s="95">
        <v>12</v>
      </c>
      <c r="R15" s="95" t="s">
        <v>23</v>
      </c>
      <c r="S15" s="38">
        <v>44063</v>
      </c>
      <c r="T15" s="438"/>
      <c r="U15" s="99">
        <v>12.15</v>
      </c>
      <c r="V15" s="96">
        <f t="shared" si="0"/>
        <v>0.15000000000000036</v>
      </c>
      <c r="W15" s="99"/>
      <c r="X15" s="99"/>
      <c r="Y15" s="99"/>
      <c r="Z15" s="99">
        <v>0.05</v>
      </c>
      <c r="AA15" s="99">
        <v>0.1</v>
      </c>
      <c r="AB15" s="99">
        <v>0.12</v>
      </c>
      <c r="AC15" s="99"/>
      <c r="AD15" s="40">
        <f t="shared" si="7"/>
        <v>0.27000000000000035</v>
      </c>
      <c r="AE15" s="40">
        <f t="shared" si="8"/>
        <v>3.000000000000036E-2</v>
      </c>
      <c r="AF15" s="40">
        <f t="shared" si="9"/>
        <v>0.27000000000000035</v>
      </c>
      <c r="AG15" s="41"/>
      <c r="AH15" s="582"/>
      <c r="AI15" s="97"/>
      <c r="AJ15" s="97"/>
      <c r="AK15" s="97"/>
      <c r="AL15" s="97"/>
      <c r="AM15" s="97"/>
      <c r="AN15" s="97"/>
      <c r="AO15" s="97"/>
      <c r="AP15" s="97"/>
      <c r="AQ15" s="97"/>
      <c r="AR15" s="40"/>
      <c r="AS15" s="40"/>
      <c r="AT15" s="40"/>
      <c r="AU15" s="43"/>
      <c r="AV15" s="44"/>
      <c r="AW15" s="98"/>
      <c r="AX15" s="46"/>
      <c r="AY15" s="47"/>
      <c r="AZ15" s="565"/>
      <c r="BA15" s="568"/>
      <c r="BB15" s="571"/>
      <c r="BC15" s="577"/>
      <c r="BD15" s="574"/>
    </row>
    <row r="16" spans="2:56" x14ac:dyDescent="0.25">
      <c r="B16" s="414"/>
      <c r="C16" s="560"/>
      <c r="D16" s="419"/>
      <c r="E16" s="419"/>
      <c r="F16" s="419"/>
      <c r="G16" s="482"/>
      <c r="H16" s="628"/>
      <c r="I16" s="89">
        <v>0.8</v>
      </c>
      <c r="J16" s="90" t="s">
        <v>46</v>
      </c>
      <c r="K16" s="300" t="s">
        <v>76</v>
      </c>
      <c r="L16" s="301" t="s">
        <v>76</v>
      </c>
      <c r="M16" s="91">
        <v>0.2</v>
      </c>
      <c r="N16" s="92" t="s">
        <v>46</v>
      </c>
      <c r="O16" s="93">
        <v>0.3</v>
      </c>
      <c r="P16" s="94" t="s">
        <v>46</v>
      </c>
      <c r="Q16" s="95">
        <v>14</v>
      </c>
      <c r="R16" s="95" t="s">
        <v>23</v>
      </c>
      <c r="S16" s="38">
        <v>44063</v>
      </c>
      <c r="T16" s="438"/>
      <c r="U16" s="99">
        <v>14.15</v>
      </c>
      <c r="V16" s="96">
        <f t="shared" si="0"/>
        <v>0.15000000000000036</v>
      </c>
      <c r="W16" s="99"/>
      <c r="X16" s="99"/>
      <c r="Y16" s="99"/>
      <c r="Z16" s="99">
        <v>0.05</v>
      </c>
      <c r="AA16" s="99">
        <v>0.1</v>
      </c>
      <c r="AB16" s="99">
        <v>0.12</v>
      </c>
      <c r="AC16" s="99"/>
      <c r="AD16" s="40">
        <f t="shared" si="7"/>
        <v>0.27000000000000035</v>
      </c>
      <c r="AE16" s="40">
        <f t="shared" si="8"/>
        <v>3.000000000000036E-2</v>
      </c>
      <c r="AF16" s="40">
        <f t="shared" si="9"/>
        <v>0.27000000000000035</v>
      </c>
      <c r="AG16" s="41"/>
      <c r="AH16" s="582"/>
      <c r="AI16" s="97"/>
      <c r="AJ16" s="97"/>
      <c r="AK16" s="97"/>
      <c r="AL16" s="97"/>
      <c r="AM16" s="97"/>
      <c r="AN16" s="97"/>
      <c r="AO16" s="97"/>
      <c r="AP16" s="97"/>
      <c r="AQ16" s="97"/>
      <c r="AR16" s="40"/>
      <c r="AS16" s="40"/>
      <c r="AT16" s="40"/>
      <c r="AU16" s="43"/>
      <c r="AV16" s="44"/>
      <c r="AW16" s="98"/>
      <c r="AX16" s="46"/>
      <c r="AY16" s="47"/>
      <c r="AZ16" s="565"/>
      <c r="BA16" s="568"/>
      <c r="BB16" s="571"/>
      <c r="BC16" s="577"/>
      <c r="BD16" s="574"/>
    </row>
    <row r="17" spans="2:56" x14ac:dyDescent="0.25">
      <c r="B17" s="414"/>
      <c r="C17" s="560"/>
      <c r="D17" s="419"/>
      <c r="E17" s="419"/>
      <c r="F17" s="419"/>
      <c r="G17" s="482"/>
      <c r="H17" s="628"/>
      <c r="I17" s="89">
        <v>0.1</v>
      </c>
      <c r="J17" s="90" t="s">
        <v>46</v>
      </c>
      <c r="K17" s="300" t="s">
        <v>76</v>
      </c>
      <c r="L17" s="313" t="s">
        <v>76</v>
      </c>
      <c r="M17" s="91">
        <v>0.02</v>
      </c>
      <c r="N17" s="92" t="s">
        <v>46</v>
      </c>
      <c r="O17" s="93">
        <v>0.3</v>
      </c>
      <c r="P17" s="94" t="s">
        <v>46</v>
      </c>
      <c r="Q17" s="95">
        <v>0</v>
      </c>
      <c r="R17" s="95" t="s">
        <v>23</v>
      </c>
      <c r="S17" s="38">
        <v>44063</v>
      </c>
      <c r="T17" s="438"/>
      <c r="U17" s="99">
        <v>0</v>
      </c>
      <c r="V17" s="96">
        <f t="shared" si="0"/>
        <v>0</v>
      </c>
      <c r="W17" s="99" t="s">
        <v>76</v>
      </c>
      <c r="X17" s="99" t="s">
        <v>76</v>
      </c>
      <c r="Y17" s="99" t="s">
        <v>76</v>
      </c>
      <c r="Z17" s="99">
        <v>0</v>
      </c>
      <c r="AA17" s="99">
        <v>0</v>
      </c>
      <c r="AB17" s="99">
        <v>5.8000000000000003E-2</v>
      </c>
      <c r="AC17" s="99" t="s">
        <v>76</v>
      </c>
      <c r="AD17" s="40">
        <f t="shared" si="7"/>
        <v>5.8000000000000003E-2</v>
      </c>
      <c r="AE17" s="40">
        <f t="shared" si="8"/>
        <v>-5.8000000000000003E-2</v>
      </c>
      <c r="AF17" s="40">
        <f t="shared" si="9"/>
        <v>5.8000000000000003E-2</v>
      </c>
      <c r="AG17" s="41"/>
      <c r="AH17" s="582"/>
      <c r="AI17" s="97"/>
      <c r="AJ17" s="97"/>
      <c r="AK17" s="97"/>
      <c r="AL17" s="97"/>
      <c r="AM17" s="97"/>
      <c r="AN17" s="97"/>
      <c r="AO17" s="97"/>
      <c r="AP17" s="97"/>
      <c r="AQ17" s="97"/>
      <c r="AR17" s="40">
        <f t="shared" si="10"/>
        <v>0</v>
      </c>
      <c r="AS17" s="40">
        <f t="shared" si="11"/>
        <v>0</v>
      </c>
      <c r="AT17" s="40">
        <f t="shared" si="12"/>
        <v>0</v>
      </c>
      <c r="AU17" s="43">
        <f t="shared" si="13"/>
        <v>120.63888888888889</v>
      </c>
      <c r="AV17" s="44">
        <f t="shared" si="16"/>
        <v>5.8000000000000003E-2</v>
      </c>
      <c r="AW17" s="98">
        <f t="shared" si="14"/>
        <v>4.8077365876122497E-4</v>
      </c>
      <c r="AX17" s="46">
        <f t="shared" ref="AX17:AX146" si="17">(I17/AW17)</f>
        <v>207.99808429118775</v>
      </c>
      <c r="AY17" s="47" t="str">
        <f t="shared" si="15"/>
        <v>DOS AÑOS</v>
      </c>
      <c r="AZ17" s="565"/>
      <c r="BA17" s="568"/>
      <c r="BB17" s="571"/>
      <c r="BC17" s="577"/>
      <c r="BD17" s="574"/>
    </row>
    <row r="18" spans="2:56" x14ac:dyDescent="0.25">
      <c r="B18" s="414"/>
      <c r="C18" s="557" t="s">
        <v>7</v>
      </c>
      <c r="D18" s="419"/>
      <c r="E18" s="419"/>
      <c r="F18" s="419"/>
      <c r="G18" s="473" t="s">
        <v>14</v>
      </c>
      <c r="H18" s="628" t="s">
        <v>55</v>
      </c>
      <c r="I18" s="100">
        <v>100</v>
      </c>
      <c r="J18" s="101" t="s">
        <v>53</v>
      </c>
      <c r="K18" s="302" t="s">
        <v>76</v>
      </c>
      <c r="L18" s="305" t="s">
        <v>76</v>
      </c>
      <c r="M18" s="102">
        <v>16</v>
      </c>
      <c r="N18" s="103" t="s">
        <v>53</v>
      </c>
      <c r="O18" s="104">
        <v>20</v>
      </c>
      <c r="P18" s="105" t="s">
        <v>53</v>
      </c>
      <c r="Q18" s="37">
        <v>159.5</v>
      </c>
      <c r="R18" s="37" t="s">
        <v>24</v>
      </c>
      <c r="S18" s="38">
        <v>44063</v>
      </c>
      <c r="T18" s="438"/>
      <c r="U18" s="99">
        <v>164</v>
      </c>
      <c r="V18" s="96">
        <f t="shared" ref="V18:V24" si="18">U18-Q18</f>
        <v>4.5</v>
      </c>
      <c r="W18" s="99" t="s">
        <v>76</v>
      </c>
      <c r="X18" s="99" t="s">
        <v>76</v>
      </c>
      <c r="Y18" s="99" t="s">
        <v>76</v>
      </c>
      <c r="Z18" s="99">
        <v>1.1000000000000001</v>
      </c>
      <c r="AA18" s="99">
        <v>3</v>
      </c>
      <c r="AB18" s="99">
        <v>2.4</v>
      </c>
      <c r="AC18" s="99" t="s">
        <v>76</v>
      </c>
      <c r="AD18" s="40">
        <f t="shared" si="7"/>
        <v>6.9</v>
      </c>
      <c r="AE18" s="40">
        <f t="shared" si="8"/>
        <v>2.1</v>
      </c>
      <c r="AF18" s="40">
        <f t="shared" si="9"/>
        <v>6.9</v>
      </c>
      <c r="AG18" s="41"/>
      <c r="AH18" s="582"/>
      <c r="AI18" s="97"/>
      <c r="AJ18" s="97"/>
      <c r="AK18" s="97"/>
      <c r="AL18" s="97"/>
      <c r="AM18" s="97"/>
      <c r="AN18" s="97"/>
      <c r="AO18" s="97"/>
      <c r="AP18" s="97"/>
      <c r="AQ18" s="97"/>
      <c r="AR18" s="40">
        <f t="shared" si="10"/>
        <v>0</v>
      </c>
      <c r="AS18" s="40">
        <f t="shared" si="11"/>
        <v>0</v>
      </c>
      <c r="AT18" s="40">
        <f t="shared" ref="AT18:AT121" si="19">MAX(AR18:AS18)</f>
        <v>0</v>
      </c>
      <c r="AU18" s="43">
        <f t="shared" si="13"/>
        <v>120.63888888888889</v>
      </c>
      <c r="AV18" s="44">
        <f t="shared" si="16"/>
        <v>6.9</v>
      </c>
      <c r="AW18" s="98">
        <f t="shared" si="14"/>
        <v>5.7195486990559527E-2</v>
      </c>
      <c r="AX18" s="46">
        <f t="shared" si="17"/>
        <v>1748.3896940418679</v>
      </c>
      <c r="AY18" s="47" t="str">
        <f t="shared" si="15"/>
        <v>DOS AÑOS</v>
      </c>
      <c r="AZ18" s="565"/>
      <c r="BA18" s="568"/>
      <c r="BB18" s="571"/>
      <c r="BC18" s="577"/>
      <c r="BD18" s="574"/>
    </row>
    <row r="19" spans="2:56" x14ac:dyDescent="0.25">
      <c r="B19" s="414"/>
      <c r="C19" s="557"/>
      <c r="D19" s="419"/>
      <c r="E19" s="419"/>
      <c r="F19" s="419"/>
      <c r="G19" s="473"/>
      <c r="H19" s="628"/>
      <c r="I19" s="100">
        <v>100</v>
      </c>
      <c r="J19" s="101" t="s">
        <v>53</v>
      </c>
      <c r="K19" s="302" t="s">
        <v>76</v>
      </c>
      <c r="L19" s="303" t="s">
        <v>76</v>
      </c>
      <c r="M19" s="102">
        <v>16</v>
      </c>
      <c r="N19" s="108" t="s">
        <v>19</v>
      </c>
      <c r="O19" s="104">
        <v>20</v>
      </c>
      <c r="P19" s="105" t="s">
        <v>53</v>
      </c>
      <c r="Q19" s="37">
        <v>635</v>
      </c>
      <c r="R19" s="37" t="s">
        <v>24</v>
      </c>
      <c r="S19" s="38">
        <v>44063</v>
      </c>
      <c r="T19" s="438"/>
      <c r="U19" s="99">
        <v>645</v>
      </c>
      <c r="V19" s="96">
        <f t="shared" si="18"/>
        <v>10</v>
      </c>
      <c r="W19" s="99"/>
      <c r="X19" s="99"/>
      <c r="Y19" s="99"/>
      <c r="Z19" s="99">
        <v>1.41</v>
      </c>
      <c r="AA19" s="99">
        <v>4</v>
      </c>
      <c r="AB19" s="99">
        <v>6</v>
      </c>
      <c r="AC19" s="99"/>
      <c r="AD19" s="40">
        <f t="shared" si="7"/>
        <v>16</v>
      </c>
      <c r="AE19" s="40">
        <f t="shared" si="8"/>
        <v>4</v>
      </c>
      <c r="AF19" s="40">
        <f t="shared" si="9"/>
        <v>16</v>
      </c>
      <c r="AG19" s="41"/>
      <c r="AH19" s="582"/>
      <c r="AI19" s="97"/>
      <c r="AJ19" s="97"/>
      <c r="AK19" s="97"/>
      <c r="AL19" s="97"/>
      <c r="AM19" s="97"/>
      <c r="AN19" s="97"/>
      <c r="AO19" s="97"/>
      <c r="AP19" s="97"/>
      <c r="AQ19" s="97"/>
      <c r="AR19" s="40"/>
      <c r="AS19" s="40"/>
      <c r="AT19" s="40"/>
      <c r="AU19" s="43"/>
      <c r="AV19" s="44"/>
      <c r="AW19" s="98"/>
      <c r="AX19" s="46"/>
      <c r="AY19" s="47"/>
      <c r="AZ19" s="565"/>
      <c r="BA19" s="568"/>
      <c r="BB19" s="571"/>
      <c r="BC19" s="577"/>
      <c r="BD19" s="574"/>
    </row>
    <row r="20" spans="2:56" x14ac:dyDescent="0.25">
      <c r="B20" s="414"/>
      <c r="C20" s="557"/>
      <c r="D20" s="419"/>
      <c r="E20" s="419"/>
      <c r="F20" s="419"/>
      <c r="G20" s="473"/>
      <c r="H20" s="628"/>
      <c r="I20" s="100">
        <v>100</v>
      </c>
      <c r="J20" s="101" t="s">
        <v>53</v>
      </c>
      <c r="K20" s="302" t="s">
        <v>76</v>
      </c>
      <c r="L20" s="303" t="s">
        <v>76</v>
      </c>
      <c r="M20" s="102">
        <v>16</v>
      </c>
      <c r="N20" s="108" t="s">
        <v>19</v>
      </c>
      <c r="O20" s="104">
        <v>20</v>
      </c>
      <c r="P20" s="105" t="s">
        <v>53</v>
      </c>
      <c r="Q20" s="37">
        <v>1691</v>
      </c>
      <c r="R20" s="37" t="s">
        <v>24</v>
      </c>
      <c r="S20" s="38">
        <v>44063</v>
      </c>
      <c r="T20" s="438"/>
      <c r="U20" s="99">
        <v>1705</v>
      </c>
      <c r="V20" s="96">
        <f t="shared" si="18"/>
        <v>14</v>
      </c>
      <c r="W20" s="99"/>
      <c r="X20" s="99"/>
      <c r="Y20" s="99"/>
      <c r="Z20" s="99">
        <v>1.9</v>
      </c>
      <c r="AA20" s="99">
        <v>5</v>
      </c>
      <c r="AB20" s="99">
        <v>16</v>
      </c>
      <c r="AC20" s="99"/>
      <c r="AD20" s="40">
        <f t="shared" si="7"/>
        <v>30</v>
      </c>
      <c r="AE20" s="40">
        <f t="shared" si="8"/>
        <v>-2</v>
      </c>
      <c r="AF20" s="40">
        <f t="shared" si="9"/>
        <v>30</v>
      </c>
      <c r="AG20" s="41"/>
      <c r="AH20" s="582"/>
      <c r="AI20" s="97"/>
      <c r="AJ20" s="97"/>
      <c r="AK20" s="97"/>
      <c r="AL20" s="97"/>
      <c r="AM20" s="97"/>
      <c r="AN20" s="97"/>
      <c r="AO20" s="97"/>
      <c r="AP20" s="97"/>
      <c r="AQ20" s="97"/>
      <c r="AR20" s="40"/>
      <c r="AS20" s="40"/>
      <c r="AT20" s="40"/>
      <c r="AU20" s="43"/>
      <c r="AV20" s="44"/>
      <c r="AW20" s="98"/>
      <c r="AX20" s="46"/>
      <c r="AY20" s="47"/>
      <c r="AZ20" s="565"/>
      <c r="BA20" s="568"/>
      <c r="BB20" s="571"/>
      <c r="BC20" s="577"/>
      <c r="BD20" s="574"/>
    </row>
    <row r="21" spans="2:56" x14ac:dyDescent="0.25">
      <c r="B21" s="414"/>
      <c r="C21" s="557"/>
      <c r="D21" s="419"/>
      <c r="E21" s="419"/>
      <c r="F21" s="419"/>
      <c r="G21" s="473"/>
      <c r="H21" s="628"/>
      <c r="I21" s="71">
        <v>100</v>
      </c>
      <c r="J21" s="106" t="s">
        <v>19</v>
      </c>
      <c r="K21" s="304" t="s">
        <v>76</v>
      </c>
      <c r="L21" s="305" t="s">
        <v>76</v>
      </c>
      <c r="M21" s="107">
        <v>16</v>
      </c>
      <c r="N21" s="108" t="s">
        <v>19</v>
      </c>
      <c r="O21" s="109">
        <v>20</v>
      </c>
      <c r="P21" s="110" t="s">
        <v>19</v>
      </c>
      <c r="Q21" s="37">
        <v>0</v>
      </c>
      <c r="R21" s="37" t="s">
        <v>24</v>
      </c>
      <c r="S21" s="38">
        <v>44063</v>
      </c>
      <c r="T21" s="438"/>
      <c r="U21" s="99">
        <v>0</v>
      </c>
      <c r="V21" s="96">
        <f t="shared" si="18"/>
        <v>0</v>
      </c>
      <c r="W21" s="99" t="s">
        <v>76</v>
      </c>
      <c r="X21" s="99" t="s">
        <v>76</v>
      </c>
      <c r="Y21" s="99" t="s">
        <v>76</v>
      </c>
      <c r="Z21" s="99">
        <v>0</v>
      </c>
      <c r="AA21" s="99">
        <v>0</v>
      </c>
      <c r="AB21" s="99">
        <v>1.2</v>
      </c>
      <c r="AC21" s="99" t="s">
        <v>76</v>
      </c>
      <c r="AD21" s="40">
        <f t="shared" si="7"/>
        <v>1.2</v>
      </c>
      <c r="AE21" s="40">
        <f t="shared" si="8"/>
        <v>-1.2</v>
      </c>
      <c r="AF21" s="40">
        <f t="shared" si="9"/>
        <v>1.2</v>
      </c>
      <c r="AG21" s="41"/>
      <c r="AH21" s="582"/>
      <c r="AI21" s="97"/>
      <c r="AJ21" s="97"/>
      <c r="AK21" s="97"/>
      <c r="AL21" s="97"/>
      <c r="AM21" s="97"/>
      <c r="AN21" s="97"/>
      <c r="AO21" s="97"/>
      <c r="AP21" s="97"/>
      <c r="AQ21" s="97"/>
      <c r="AR21" s="40">
        <f t="shared" si="10"/>
        <v>0</v>
      </c>
      <c r="AS21" s="40">
        <f t="shared" si="11"/>
        <v>0</v>
      </c>
      <c r="AT21" s="40">
        <f t="shared" si="19"/>
        <v>0</v>
      </c>
      <c r="AU21" s="43">
        <f t="shared" si="13"/>
        <v>120.63888888888889</v>
      </c>
      <c r="AV21" s="44">
        <f t="shared" si="16"/>
        <v>1.2</v>
      </c>
      <c r="AW21" s="98">
        <f t="shared" si="14"/>
        <v>9.947041215749481E-3</v>
      </c>
      <c r="AX21" s="46">
        <f t="shared" si="17"/>
        <v>10053.240740740741</v>
      </c>
      <c r="AY21" s="47" t="str">
        <f t="shared" si="15"/>
        <v>DOS AÑOS</v>
      </c>
      <c r="AZ21" s="565"/>
      <c r="BA21" s="568"/>
      <c r="BB21" s="571"/>
      <c r="BC21" s="577"/>
      <c r="BD21" s="574"/>
    </row>
    <row r="22" spans="2:56" x14ac:dyDescent="0.25">
      <c r="B22" s="414"/>
      <c r="C22" s="557" t="s">
        <v>8</v>
      </c>
      <c r="D22" s="419"/>
      <c r="E22" s="419"/>
      <c r="F22" s="419"/>
      <c r="G22" s="549">
        <v>1E-3</v>
      </c>
      <c r="H22" s="628" t="s">
        <v>54</v>
      </c>
      <c r="I22" s="71">
        <v>0.5</v>
      </c>
      <c r="J22" s="106" t="s">
        <v>20</v>
      </c>
      <c r="K22" s="304" t="s">
        <v>76</v>
      </c>
      <c r="L22" s="305" t="s">
        <v>76</v>
      </c>
      <c r="M22" s="107">
        <v>0.3</v>
      </c>
      <c r="N22" s="108" t="s">
        <v>20</v>
      </c>
      <c r="O22" s="109">
        <v>0.4</v>
      </c>
      <c r="P22" s="110" t="s">
        <v>20</v>
      </c>
      <c r="Q22" s="37">
        <v>0</v>
      </c>
      <c r="R22" s="95" t="s">
        <v>23</v>
      </c>
      <c r="S22" s="38">
        <v>44063</v>
      </c>
      <c r="T22" s="438"/>
      <c r="U22" s="99">
        <v>0.15</v>
      </c>
      <c r="V22" s="96">
        <f t="shared" si="18"/>
        <v>0.15</v>
      </c>
      <c r="W22" s="99" t="s">
        <v>76</v>
      </c>
      <c r="X22" s="99" t="s">
        <v>76</v>
      </c>
      <c r="Y22" s="99" t="s">
        <v>76</v>
      </c>
      <c r="Z22" s="99">
        <v>0.05</v>
      </c>
      <c r="AA22" s="99">
        <v>0.1</v>
      </c>
      <c r="AB22" s="99">
        <v>5.7000000000000002E-2</v>
      </c>
      <c r="AC22" s="99" t="s">
        <v>76</v>
      </c>
      <c r="AD22" s="40">
        <f t="shared" si="7"/>
        <v>0.20699999999999999</v>
      </c>
      <c r="AE22" s="40">
        <f t="shared" si="8"/>
        <v>9.2999999999999999E-2</v>
      </c>
      <c r="AF22" s="40">
        <f t="shared" si="9"/>
        <v>0.20699999999999999</v>
      </c>
      <c r="AG22" s="41"/>
      <c r="AH22" s="582"/>
      <c r="AI22" s="97"/>
      <c r="AJ22" s="97"/>
      <c r="AK22" s="97"/>
      <c r="AL22" s="97"/>
      <c r="AM22" s="97"/>
      <c r="AN22" s="97"/>
      <c r="AO22" s="97"/>
      <c r="AP22" s="97"/>
      <c r="AQ22" s="97"/>
      <c r="AR22" s="40">
        <f t="shared" si="10"/>
        <v>0</v>
      </c>
      <c r="AS22" s="40">
        <f t="shared" si="11"/>
        <v>0</v>
      </c>
      <c r="AT22" s="40">
        <f>MAX(AR22:AS22)</f>
        <v>0</v>
      </c>
      <c r="AU22" s="43">
        <f t="shared" si="13"/>
        <v>120.63888888888889</v>
      </c>
      <c r="AV22" s="44">
        <f t="shared" si="16"/>
        <v>0.20699999999999999</v>
      </c>
      <c r="AW22" s="98">
        <f t="shared" si="14"/>
        <v>1.7158646097167856E-3</v>
      </c>
      <c r="AX22" s="46">
        <f t="shared" si="17"/>
        <v>291.39828234031131</v>
      </c>
      <c r="AY22" s="47" t="str">
        <f t="shared" si="15"/>
        <v>DOS AÑOS</v>
      </c>
      <c r="AZ22" s="565"/>
      <c r="BA22" s="568"/>
      <c r="BB22" s="571"/>
      <c r="BC22" s="577"/>
      <c r="BD22" s="574"/>
    </row>
    <row r="23" spans="2:56" x14ac:dyDescent="0.25">
      <c r="B23" s="414"/>
      <c r="C23" s="557"/>
      <c r="D23" s="419"/>
      <c r="E23" s="419"/>
      <c r="F23" s="419"/>
      <c r="G23" s="643"/>
      <c r="H23" s="628"/>
      <c r="I23" s="255">
        <v>0.5</v>
      </c>
      <c r="J23" s="106" t="s">
        <v>20</v>
      </c>
      <c r="K23" s="304" t="s">
        <v>76</v>
      </c>
      <c r="L23" s="305" t="s">
        <v>76</v>
      </c>
      <c r="M23" s="107">
        <v>0.3</v>
      </c>
      <c r="N23" s="108" t="s">
        <v>20</v>
      </c>
      <c r="O23" s="109">
        <v>0.4</v>
      </c>
      <c r="P23" s="110" t="s">
        <v>20</v>
      </c>
      <c r="Q23" s="37">
        <v>0</v>
      </c>
      <c r="R23" s="95" t="s">
        <v>23</v>
      </c>
      <c r="S23" s="38">
        <v>44063</v>
      </c>
      <c r="T23" s="438"/>
      <c r="U23" s="99">
        <v>0.15</v>
      </c>
      <c r="V23" s="96">
        <f t="shared" si="18"/>
        <v>0.15</v>
      </c>
      <c r="W23" s="99"/>
      <c r="X23" s="99"/>
      <c r="Y23" s="99"/>
      <c r="Z23" s="99">
        <v>0.05</v>
      </c>
      <c r="AA23" s="99">
        <v>0.1</v>
      </c>
      <c r="AB23" s="99">
        <v>5.7000000000000002E-2</v>
      </c>
      <c r="AC23" s="99"/>
      <c r="AD23" s="40">
        <f t="shared" si="7"/>
        <v>0.20699999999999999</v>
      </c>
      <c r="AE23" s="40">
        <f t="shared" si="8"/>
        <v>9.2999999999999999E-2</v>
      </c>
      <c r="AF23" s="40">
        <f t="shared" si="9"/>
        <v>0.20699999999999999</v>
      </c>
      <c r="AG23" s="41"/>
      <c r="AH23" s="582"/>
      <c r="AI23" s="97"/>
      <c r="AJ23" s="97"/>
      <c r="AK23" s="97"/>
      <c r="AL23" s="97"/>
      <c r="AM23" s="97"/>
      <c r="AN23" s="97"/>
      <c r="AO23" s="97"/>
      <c r="AP23" s="97"/>
      <c r="AQ23" s="97"/>
      <c r="AR23" s="40"/>
      <c r="AS23" s="40"/>
      <c r="AT23" s="40"/>
      <c r="AU23" s="43"/>
      <c r="AV23" s="44"/>
      <c r="AW23" s="98"/>
      <c r="AX23" s="46"/>
      <c r="AY23" s="47"/>
      <c r="AZ23" s="565"/>
      <c r="BA23" s="568"/>
      <c r="BB23" s="571"/>
      <c r="BC23" s="577"/>
      <c r="BD23" s="574"/>
    </row>
    <row r="24" spans="2:56" x14ac:dyDescent="0.25">
      <c r="B24" s="414"/>
      <c r="C24" s="557"/>
      <c r="D24" s="419"/>
      <c r="E24" s="419"/>
      <c r="F24" s="419"/>
      <c r="G24" s="643"/>
      <c r="H24" s="628"/>
      <c r="I24" s="255">
        <v>0.5</v>
      </c>
      <c r="J24" s="106" t="s">
        <v>20</v>
      </c>
      <c r="K24" s="304" t="s">
        <v>76</v>
      </c>
      <c r="L24" s="305" t="s">
        <v>76</v>
      </c>
      <c r="M24" s="107">
        <v>0.3</v>
      </c>
      <c r="N24" s="108" t="s">
        <v>20</v>
      </c>
      <c r="O24" s="109">
        <v>0.4</v>
      </c>
      <c r="P24" s="110" t="s">
        <v>20</v>
      </c>
      <c r="Q24" s="37">
        <v>0</v>
      </c>
      <c r="R24" s="95" t="s">
        <v>23</v>
      </c>
      <c r="S24" s="38">
        <v>44063</v>
      </c>
      <c r="T24" s="438"/>
      <c r="U24" s="99">
        <v>0.16700000000000001</v>
      </c>
      <c r="V24" s="96">
        <f t="shared" si="18"/>
        <v>0.16700000000000001</v>
      </c>
      <c r="W24" s="99"/>
      <c r="X24" s="99"/>
      <c r="Y24" s="99"/>
      <c r="Z24" s="99">
        <v>0.05</v>
      </c>
      <c r="AA24" s="99">
        <v>0.1</v>
      </c>
      <c r="AB24" s="99">
        <v>5.7000000000000002E-2</v>
      </c>
      <c r="AC24" s="99"/>
      <c r="AD24" s="40">
        <f t="shared" si="7"/>
        <v>0.224</v>
      </c>
      <c r="AE24" s="40">
        <f t="shared" si="8"/>
        <v>0.11000000000000001</v>
      </c>
      <c r="AF24" s="40">
        <f t="shared" si="9"/>
        <v>0.224</v>
      </c>
      <c r="AG24" s="41"/>
      <c r="AH24" s="582"/>
      <c r="AI24" s="97"/>
      <c r="AJ24" s="97"/>
      <c r="AK24" s="97"/>
      <c r="AL24" s="97"/>
      <c r="AM24" s="97"/>
      <c r="AN24" s="97"/>
      <c r="AO24" s="97"/>
      <c r="AP24" s="97"/>
      <c r="AQ24" s="97"/>
      <c r="AR24" s="40"/>
      <c r="AS24" s="40"/>
      <c r="AT24" s="40"/>
      <c r="AU24" s="43"/>
      <c r="AV24" s="44"/>
      <c r="AW24" s="98"/>
      <c r="AX24" s="46"/>
      <c r="AY24" s="47"/>
      <c r="AZ24" s="565"/>
      <c r="BA24" s="568"/>
      <c r="BB24" s="571"/>
      <c r="BC24" s="577"/>
      <c r="BD24" s="574"/>
    </row>
    <row r="25" spans="2:56" x14ac:dyDescent="0.25">
      <c r="B25" s="414"/>
      <c r="C25" s="557"/>
      <c r="D25" s="419"/>
      <c r="E25" s="419"/>
      <c r="F25" s="419"/>
      <c r="G25" s="553"/>
      <c r="H25" s="628"/>
      <c r="I25" s="71">
        <v>0.5</v>
      </c>
      <c r="J25" s="106" t="s">
        <v>20</v>
      </c>
      <c r="K25" s="304" t="s">
        <v>76</v>
      </c>
      <c r="L25" s="305" t="s">
        <v>76</v>
      </c>
      <c r="M25" s="107">
        <v>0.3</v>
      </c>
      <c r="N25" s="108" t="s">
        <v>20</v>
      </c>
      <c r="O25" s="109">
        <v>0.4</v>
      </c>
      <c r="P25" s="110" t="s">
        <v>20</v>
      </c>
      <c r="Q25" s="37" t="s">
        <v>76</v>
      </c>
      <c r="R25" s="95" t="s">
        <v>23</v>
      </c>
      <c r="S25" s="38">
        <v>44063</v>
      </c>
      <c r="T25" s="438"/>
      <c r="U25" s="99" t="s">
        <v>76</v>
      </c>
      <c r="V25" s="96" t="s">
        <v>76</v>
      </c>
      <c r="W25" s="99"/>
      <c r="X25" s="99"/>
      <c r="Y25" s="99"/>
      <c r="Z25" s="99" t="s">
        <v>76</v>
      </c>
      <c r="AA25" s="99" t="s">
        <v>76</v>
      </c>
      <c r="AB25" s="99" t="s">
        <v>76</v>
      </c>
      <c r="AC25" s="99"/>
      <c r="AD25" s="40"/>
      <c r="AE25" s="40"/>
      <c r="AF25" s="40"/>
      <c r="AG25" s="41"/>
      <c r="AH25" s="582"/>
      <c r="AI25" s="97"/>
      <c r="AJ25" s="97"/>
      <c r="AK25" s="97"/>
      <c r="AL25" s="97"/>
      <c r="AM25" s="97"/>
      <c r="AN25" s="97"/>
      <c r="AO25" s="97"/>
      <c r="AP25" s="97"/>
      <c r="AQ25" s="97"/>
      <c r="AR25" s="40">
        <f t="shared" si="10"/>
        <v>0</v>
      </c>
      <c r="AS25" s="40">
        <f t="shared" si="11"/>
        <v>0</v>
      </c>
      <c r="AT25" s="40">
        <f t="shared" ref="AT25:AT41" si="20">MAX(AR25:AS25)</f>
        <v>0</v>
      </c>
      <c r="AU25" s="43"/>
      <c r="AV25" s="44">
        <f t="shared" ref="AV25:AV41" si="21">ABS(AT25-AF25)</f>
        <v>0</v>
      </c>
      <c r="AW25" s="98" t="e">
        <f t="shared" si="14"/>
        <v>#DIV/0!</v>
      </c>
      <c r="AX25" s="46" t="e">
        <f t="shared" ref="AX25:AX41" si="22">(I25/AW25)</f>
        <v>#DIV/0!</v>
      </c>
      <c r="AY25" s="47" t="e">
        <f t="shared" ref="AY25:AY41" si="23">IF(AX25&lt;=1,"UN AÑO",IF(AX25&gt;=1,"DOS AÑOS"))</f>
        <v>#DIV/0!</v>
      </c>
      <c r="AZ25" s="565"/>
      <c r="BA25" s="568"/>
      <c r="BB25" s="571"/>
      <c r="BC25" s="577"/>
      <c r="BD25" s="574"/>
    </row>
    <row r="26" spans="2:56" x14ac:dyDescent="0.25">
      <c r="B26" s="414"/>
      <c r="C26" s="560" t="s">
        <v>131</v>
      </c>
      <c r="D26" s="419"/>
      <c r="E26" s="419"/>
      <c r="F26" s="419"/>
      <c r="G26" s="481">
        <v>1E-4</v>
      </c>
      <c r="H26" s="628" t="s">
        <v>51</v>
      </c>
      <c r="I26" s="89">
        <v>0.05</v>
      </c>
      <c r="J26" s="90" t="s">
        <v>46</v>
      </c>
      <c r="K26" s="300" t="s">
        <v>76</v>
      </c>
      <c r="L26" s="313" t="s">
        <v>76</v>
      </c>
      <c r="M26" s="91">
        <v>0.02</v>
      </c>
      <c r="N26" s="92" t="s">
        <v>46</v>
      </c>
      <c r="O26" s="93">
        <v>0.02</v>
      </c>
      <c r="P26" s="94" t="s">
        <v>46</v>
      </c>
      <c r="Q26" s="37">
        <v>1</v>
      </c>
      <c r="R26" s="95" t="s">
        <v>23</v>
      </c>
      <c r="S26" s="38"/>
      <c r="T26" s="438"/>
      <c r="U26" s="99"/>
      <c r="V26" s="96"/>
      <c r="W26" s="99"/>
      <c r="X26" s="99"/>
      <c r="Y26" s="99"/>
      <c r="Z26" s="99"/>
      <c r="AA26" s="99"/>
      <c r="AB26" s="99"/>
      <c r="AC26" s="99"/>
      <c r="AD26" s="40"/>
      <c r="AE26" s="40"/>
      <c r="AF26" s="40"/>
      <c r="AG26" s="41"/>
      <c r="AH26" s="582"/>
      <c r="AI26" s="97"/>
      <c r="AJ26" s="97"/>
      <c r="AK26" s="97"/>
      <c r="AL26" s="97"/>
      <c r="AM26" s="97"/>
      <c r="AN26" s="97"/>
      <c r="AO26" s="97"/>
      <c r="AP26" s="97"/>
      <c r="AQ26" s="97"/>
      <c r="AR26" s="40">
        <f t="shared" si="10"/>
        <v>0</v>
      </c>
      <c r="AS26" s="40">
        <f t="shared" si="11"/>
        <v>0</v>
      </c>
      <c r="AT26" s="40">
        <f t="shared" si="20"/>
        <v>0</v>
      </c>
      <c r="AU26" s="43">
        <f t="shared" si="13"/>
        <v>0</v>
      </c>
      <c r="AV26" s="44">
        <f>ABS(AT26-AF26)</f>
        <v>0</v>
      </c>
      <c r="AW26" s="98" t="e">
        <f t="shared" si="14"/>
        <v>#DIV/0!</v>
      </c>
      <c r="AX26" s="46" t="e">
        <f>(I26/AW26)</f>
        <v>#DIV/0!</v>
      </c>
      <c r="AY26" s="47" t="e">
        <f t="shared" si="23"/>
        <v>#DIV/0!</v>
      </c>
      <c r="AZ26" s="565"/>
      <c r="BA26" s="568"/>
      <c r="BB26" s="571"/>
      <c r="BC26" s="577"/>
      <c r="BD26" s="574"/>
    </row>
    <row r="27" spans="2:56" x14ac:dyDescent="0.25">
      <c r="B27" s="414"/>
      <c r="C27" s="560"/>
      <c r="D27" s="419"/>
      <c r="E27" s="419"/>
      <c r="F27" s="419"/>
      <c r="G27" s="481"/>
      <c r="H27" s="628"/>
      <c r="I27" s="89"/>
      <c r="J27" s="90"/>
      <c r="K27" s="300" t="s">
        <v>76</v>
      </c>
      <c r="L27" s="301" t="s">
        <v>76</v>
      </c>
      <c r="M27" s="91"/>
      <c r="N27" s="92"/>
      <c r="O27" s="93"/>
      <c r="P27" s="94"/>
      <c r="Q27" s="37"/>
      <c r="R27" s="95"/>
      <c r="S27" s="38"/>
      <c r="T27" s="438"/>
      <c r="U27" s="99"/>
      <c r="V27" s="96"/>
      <c r="W27" s="99"/>
      <c r="X27" s="99"/>
      <c r="Y27" s="99"/>
      <c r="Z27" s="99"/>
      <c r="AA27" s="99"/>
      <c r="AB27" s="99"/>
      <c r="AC27" s="99"/>
      <c r="AD27" s="40"/>
      <c r="AE27" s="40"/>
      <c r="AF27" s="40"/>
      <c r="AG27" s="41"/>
      <c r="AH27" s="582"/>
      <c r="AI27" s="97"/>
      <c r="AJ27" s="97"/>
      <c r="AK27" s="97"/>
      <c r="AL27" s="97"/>
      <c r="AM27" s="97"/>
      <c r="AN27" s="97"/>
      <c r="AO27" s="97"/>
      <c r="AP27" s="97"/>
      <c r="AQ27" s="97"/>
      <c r="AR27" s="40"/>
      <c r="AS27" s="40"/>
      <c r="AT27" s="40"/>
      <c r="AU27" s="43"/>
      <c r="AV27" s="44"/>
      <c r="AW27" s="98"/>
      <c r="AX27" s="46"/>
      <c r="AY27" s="47"/>
      <c r="AZ27" s="565"/>
      <c r="BA27" s="568"/>
      <c r="BB27" s="571"/>
      <c r="BC27" s="577"/>
      <c r="BD27" s="574"/>
    </row>
    <row r="28" spans="2:56" x14ac:dyDescent="0.25">
      <c r="B28" s="414"/>
      <c r="C28" s="560"/>
      <c r="D28" s="419"/>
      <c r="E28" s="419"/>
      <c r="F28" s="419"/>
      <c r="G28" s="481"/>
      <c r="H28" s="628"/>
      <c r="I28" s="89"/>
      <c r="J28" s="90"/>
      <c r="K28" s="300" t="s">
        <v>76</v>
      </c>
      <c r="L28" s="301" t="s">
        <v>76</v>
      </c>
      <c r="M28" s="91"/>
      <c r="N28" s="92"/>
      <c r="O28" s="93"/>
      <c r="P28" s="94"/>
      <c r="Q28" s="37"/>
      <c r="R28" s="95"/>
      <c r="S28" s="38"/>
      <c r="T28" s="438"/>
      <c r="U28" s="99"/>
      <c r="V28" s="96"/>
      <c r="W28" s="99"/>
      <c r="X28" s="99"/>
      <c r="Y28" s="99"/>
      <c r="Z28" s="99"/>
      <c r="AA28" s="99"/>
      <c r="AB28" s="99"/>
      <c r="AC28" s="99"/>
      <c r="AD28" s="40"/>
      <c r="AE28" s="40"/>
      <c r="AF28" s="40"/>
      <c r="AG28" s="41"/>
      <c r="AH28" s="582"/>
      <c r="AI28" s="97"/>
      <c r="AJ28" s="97"/>
      <c r="AK28" s="97"/>
      <c r="AL28" s="97"/>
      <c r="AM28" s="97"/>
      <c r="AN28" s="97"/>
      <c r="AO28" s="97"/>
      <c r="AP28" s="97"/>
      <c r="AQ28" s="97"/>
      <c r="AR28" s="40"/>
      <c r="AS28" s="40"/>
      <c r="AT28" s="40"/>
      <c r="AU28" s="43"/>
      <c r="AV28" s="44"/>
      <c r="AW28" s="98"/>
      <c r="AX28" s="46"/>
      <c r="AY28" s="47"/>
      <c r="AZ28" s="565"/>
      <c r="BA28" s="568"/>
      <c r="BB28" s="571"/>
      <c r="BC28" s="577"/>
      <c r="BD28" s="574"/>
    </row>
    <row r="29" spans="2:56" x14ac:dyDescent="0.25">
      <c r="B29" s="414"/>
      <c r="C29" s="560"/>
      <c r="D29" s="419"/>
      <c r="E29" s="419"/>
      <c r="F29" s="419"/>
      <c r="G29" s="481"/>
      <c r="H29" s="628"/>
      <c r="I29" s="89">
        <v>0.15</v>
      </c>
      <c r="J29" s="90" t="s">
        <v>46</v>
      </c>
      <c r="K29" s="300" t="s">
        <v>76</v>
      </c>
      <c r="L29" s="313" t="s">
        <v>76</v>
      </c>
      <c r="M29" s="91">
        <v>0.16</v>
      </c>
      <c r="N29" s="92" t="s">
        <v>46</v>
      </c>
      <c r="O29" s="93">
        <v>0.16</v>
      </c>
      <c r="P29" s="94" t="s">
        <v>46</v>
      </c>
      <c r="Q29" s="37">
        <v>8</v>
      </c>
      <c r="R29" s="95" t="s">
        <v>23</v>
      </c>
      <c r="S29" s="38"/>
      <c r="T29" s="438"/>
      <c r="U29" s="99"/>
      <c r="V29" s="96"/>
      <c r="W29" s="99"/>
      <c r="X29" s="99"/>
      <c r="Y29" s="99"/>
      <c r="Z29" s="99"/>
      <c r="AA29" s="99"/>
      <c r="AB29" s="99"/>
      <c r="AC29" s="99"/>
      <c r="AD29" s="40"/>
      <c r="AE29" s="40"/>
      <c r="AF29" s="40"/>
      <c r="AG29" s="41"/>
      <c r="AH29" s="582"/>
      <c r="AI29" s="97"/>
      <c r="AJ29" s="97"/>
      <c r="AK29" s="97"/>
      <c r="AL29" s="97"/>
      <c r="AM29" s="97"/>
      <c r="AN29" s="97"/>
      <c r="AO29" s="97"/>
      <c r="AP29" s="97"/>
      <c r="AQ29" s="97"/>
      <c r="AR29" s="40">
        <f t="shared" si="10"/>
        <v>0</v>
      </c>
      <c r="AS29" s="40">
        <f t="shared" si="11"/>
        <v>0</v>
      </c>
      <c r="AT29" s="40">
        <f t="shared" si="20"/>
        <v>0</v>
      </c>
      <c r="AU29" s="43">
        <f t="shared" si="13"/>
        <v>0</v>
      </c>
      <c r="AV29" s="44">
        <f t="shared" si="21"/>
        <v>0</v>
      </c>
      <c r="AW29" s="98" t="e">
        <f t="shared" si="14"/>
        <v>#DIV/0!</v>
      </c>
      <c r="AX29" s="46" t="e">
        <f t="shared" si="22"/>
        <v>#DIV/0!</v>
      </c>
      <c r="AY29" s="47" t="e">
        <f t="shared" si="23"/>
        <v>#DIV/0!</v>
      </c>
      <c r="AZ29" s="565"/>
      <c r="BA29" s="568"/>
      <c r="BB29" s="571"/>
      <c r="BC29" s="577"/>
      <c r="BD29" s="574"/>
    </row>
    <row r="30" spans="2:56" x14ac:dyDescent="0.25">
      <c r="B30" s="414"/>
      <c r="C30" s="560" t="s">
        <v>132</v>
      </c>
      <c r="D30" s="419"/>
      <c r="E30" s="419"/>
      <c r="F30" s="419"/>
      <c r="G30" s="482">
        <v>1E-3</v>
      </c>
      <c r="H30" s="628" t="s">
        <v>52</v>
      </c>
      <c r="I30" s="89">
        <v>0.4</v>
      </c>
      <c r="J30" s="90" t="s">
        <v>46</v>
      </c>
      <c r="K30" s="300" t="s">
        <v>76</v>
      </c>
      <c r="L30" s="313" t="s">
        <v>76</v>
      </c>
      <c r="M30" s="91">
        <v>0.2</v>
      </c>
      <c r="N30" s="92" t="s">
        <v>46</v>
      </c>
      <c r="O30" s="93">
        <v>0.3</v>
      </c>
      <c r="P30" s="94" t="s">
        <v>46</v>
      </c>
      <c r="Q30" s="37">
        <v>6</v>
      </c>
      <c r="R30" s="95" t="s">
        <v>23</v>
      </c>
      <c r="S30" s="38"/>
      <c r="T30" s="438"/>
      <c r="U30" s="99"/>
      <c r="V30" s="96"/>
      <c r="W30" s="99"/>
      <c r="X30" s="99"/>
      <c r="Y30" s="99"/>
      <c r="Z30" s="99"/>
      <c r="AA30" s="99"/>
      <c r="AB30" s="99"/>
      <c r="AC30" s="99"/>
      <c r="AD30" s="40"/>
      <c r="AE30" s="40"/>
      <c r="AF30" s="40"/>
      <c r="AG30" s="41"/>
      <c r="AH30" s="582"/>
      <c r="AI30" s="97"/>
      <c r="AJ30" s="97"/>
      <c r="AK30" s="97"/>
      <c r="AL30" s="97"/>
      <c r="AM30" s="97"/>
      <c r="AN30" s="97"/>
      <c r="AO30" s="97"/>
      <c r="AP30" s="97"/>
      <c r="AQ30" s="97"/>
      <c r="AR30" s="40">
        <f t="shared" si="10"/>
        <v>0</v>
      </c>
      <c r="AS30" s="40">
        <f t="shared" si="11"/>
        <v>0</v>
      </c>
      <c r="AT30" s="40">
        <f t="shared" si="20"/>
        <v>0</v>
      </c>
      <c r="AU30" s="43">
        <f t="shared" si="13"/>
        <v>0</v>
      </c>
      <c r="AV30" s="44">
        <f t="shared" si="21"/>
        <v>0</v>
      </c>
      <c r="AW30" s="98" t="e">
        <f t="shared" si="14"/>
        <v>#DIV/0!</v>
      </c>
      <c r="AX30" s="46" t="e">
        <f t="shared" si="22"/>
        <v>#DIV/0!</v>
      </c>
      <c r="AY30" s="47" t="e">
        <f t="shared" si="23"/>
        <v>#DIV/0!</v>
      </c>
      <c r="AZ30" s="565"/>
      <c r="BA30" s="568"/>
      <c r="BB30" s="571"/>
      <c r="BC30" s="577"/>
      <c r="BD30" s="574"/>
    </row>
    <row r="31" spans="2:56" x14ac:dyDescent="0.25">
      <c r="B31" s="414"/>
      <c r="C31" s="560"/>
      <c r="D31" s="419"/>
      <c r="E31" s="419"/>
      <c r="F31" s="419"/>
      <c r="G31" s="482"/>
      <c r="H31" s="628"/>
      <c r="I31" s="89"/>
      <c r="J31" s="90"/>
      <c r="K31" s="300" t="s">
        <v>76</v>
      </c>
      <c r="L31" s="301" t="s">
        <v>76</v>
      </c>
      <c r="M31" s="91"/>
      <c r="N31" s="92"/>
      <c r="O31" s="93"/>
      <c r="P31" s="94"/>
      <c r="Q31" s="37"/>
      <c r="R31" s="95"/>
      <c r="S31" s="38"/>
      <c r="T31" s="438"/>
      <c r="U31" s="99"/>
      <c r="V31" s="96"/>
      <c r="W31" s="99"/>
      <c r="X31" s="99"/>
      <c r="Y31" s="99"/>
      <c r="Z31" s="99"/>
      <c r="AA31" s="99"/>
      <c r="AB31" s="99"/>
      <c r="AC31" s="99"/>
      <c r="AD31" s="40"/>
      <c r="AE31" s="40"/>
      <c r="AF31" s="40"/>
      <c r="AG31" s="41"/>
      <c r="AH31" s="582"/>
      <c r="AI31" s="97"/>
      <c r="AJ31" s="97"/>
      <c r="AK31" s="97"/>
      <c r="AL31" s="97"/>
      <c r="AM31" s="97"/>
      <c r="AN31" s="97"/>
      <c r="AO31" s="97"/>
      <c r="AP31" s="97"/>
      <c r="AQ31" s="97"/>
      <c r="AR31" s="40"/>
      <c r="AS31" s="40"/>
      <c r="AT31" s="40"/>
      <c r="AU31" s="43"/>
      <c r="AV31" s="44"/>
      <c r="AW31" s="98"/>
      <c r="AX31" s="46"/>
      <c r="AY31" s="47"/>
      <c r="AZ31" s="565"/>
      <c r="BA31" s="568"/>
      <c r="BB31" s="571"/>
      <c r="BC31" s="577"/>
      <c r="BD31" s="574"/>
    </row>
    <row r="32" spans="2:56" x14ac:dyDescent="0.25">
      <c r="B32" s="414"/>
      <c r="C32" s="560"/>
      <c r="D32" s="419"/>
      <c r="E32" s="419"/>
      <c r="F32" s="419"/>
      <c r="G32" s="482"/>
      <c r="H32" s="628"/>
      <c r="I32" s="89"/>
      <c r="J32" s="90"/>
      <c r="K32" s="300" t="s">
        <v>76</v>
      </c>
      <c r="L32" s="301" t="s">
        <v>76</v>
      </c>
      <c r="M32" s="91"/>
      <c r="N32" s="92"/>
      <c r="O32" s="93"/>
      <c r="P32" s="94"/>
      <c r="Q32" s="37"/>
      <c r="R32" s="95"/>
      <c r="S32" s="38"/>
      <c r="T32" s="438"/>
      <c r="U32" s="99"/>
      <c r="V32" s="96"/>
      <c r="W32" s="99"/>
      <c r="X32" s="99"/>
      <c r="Y32" s="99"/>
      <c r="Z32" s="99"/>
      <c r="AA32" s="99"/>
      <c r="AB32" s="99"/>
      <c r="AC32" s="99"/>
      <c r="AD32" s="40"/>
      <c r="AE32" s="40"/>
      <c r="AF32" s="40"/>
      <c r="AG32" s="41"/>
      <c r="AH32" s="582"/>
      <c r="AI32" s="97"/>
      <c r="AJ32" s="97"/>
      <c r="AK32" s="97"/>
      <c r="AL32" s="97"/>
      <c r="AM32" s="97"/>
      <c r="AN32" s="97"/>
      <c r="AO32" s="97"/>
      <c r="AP32" s="97"/>
      <c r="AQ32" s="97"/>
      <c r="AR32" s="40"/>
      <c r="AS32" s="40"/>
      <c r="AT32" s="40"/>
      <c r="AU32" s="43"/>
      <c r="AV32" s="44"/>
      <c r="AW32" s="98"/>
      <c r="AX32" s="46"/>
      <c r="AY32" s="47"/>
      <c r="AZ32" s="565"/>
      <c r="BA32" s="568"/>
      <c r="BB32" s="571"/>
      <c r="BC32" s="577"/>
      <c r="BD32" s="574"/>
    </row>
    <row r="33" spans="2:56" x14ac:dyDescent="0.25">
      <c r="B33" s="414"/>
      <c r="C33" s="560"/>
      <c r="D33" s="419"/>
      <c r="E33" s="419"/>
      <c r="F33" s="419"/>
      <c r="G33" s="482"/>
      <c r="H33" s="628"/>
      <c r="I33" s="89">
        <v>0.8</v>
      </c>
      <c r="J33" s="90" t="s">
        <v>46</v>
      </c>
      <c r="K33" s="300" t="s">
        <v>76</v>
      </c>
      <c r="L33" s="313" t="s">
        <v>76</v>
      </c>
      <c r="M33" s="91">
        <v>0.2</v>
      </c>
      <c r="N33" s="92" t="s">
        <v>46</v>
      </c>
      <c r="O33" s="93">
        <v>0.3</v>
      </c>
      <c r="P33" s="94" t="s">
        <v>46</v>
      </c>
      <c r="Q33" s="37">
        <v>12</v>
      </c>
      <c r="R33" s="95" t="s">
        <v>23</v>
      </c>
      <c r="S33" s="38"/>
      <c r="T33" s="438"/>
      <c r="U33" s="99"/>
      <c r="V33" s="96"/>
      <c r="W33" s="99"/>
      <c r="X33" s="99"/>
      <c r="Y33" s="99"/>
      <c r="Z33" s="99"/>
      <c r="AA33" s="99"/>
      <c r="AB33" s="99"/>
      <c r="AC33" s="99"/>
      <c r="AD33" s="40"/>
      <c r="AE33" s="40"/>
      <c r="AF33" s="40"/>
      <c r="AG33" s="41"/>
      <c r="AH33" s="582"/>
      <c r="AI33" s="97"/>
      <c r="AJ33" s="97"/>
      <c r="AK33" s="97"/>
      <c r="AL33" s="97"/>
      <c r="AM33" s="97"/>
      <c r="AN33" s="97"/>
      <c r="AO33" s="97"/>
      <c r="AP33" s="97"/>
      <c r="AQ33" s="97"/>
      <c r="AR33" s="40">
        <f t="shared" si="10"/>
        <v>0</v>
      </c>
      <c r="AS33" s="40">
        <f t="shared" si="11"/>
        <v>0</v>
      </c>
      <c r="AT33" s="40">
        <f t="shared" si="20"/>
        <v>0</v>
      </c>
      <c r="AU33" s="43">
        <f t="shared" si="13"/>
        <v>0</v>
      </c>
      <c r="AV33" s="44">
        <f t="shared" si="21"/>
        <v>0</v>
      </c>
      <c r="AW33" s="98" t="e">
        <f t="shared" si="14"/>
        <v>#DIV/0!</v>
      </c>
      <c r="AX33" s="46" t="e">
        <f t="shared" si="22"/>
        <v>#DIV/0!</v>
      </c>
      <c r="AY33" s="47" t="e">
        <f t="shared" si="23"/>
        <v>#DIV/0!</v>
      </c>
      <c r="AZ33" s="565"/>
      <c r="BA33" s="568"/>
      <c r="BB33" s="571"/>
      <c r="BC33" s="577"/>
      <c r="BD33" s="574"/>
    </row>
    <row r="34" spans="2:56" x14ac:dyDescent="0.25">
      <c r="B34" s="414"/>
      <c r="C34" s="557" t="s">
        <v>7</v>
      </c>
      <c r="D34" s="419"/>
      <c r="E34" s="419"/>
      <c r="F34" s="419"/>
      <c r="G34" s="473" t="s">
        <v>14</v>
      </c>
      <c r="H34" s="473" t="s">
        <v>55</v>
      </c>
      <c r="I34" s="100">
        <v>100</v>
      </c>
      <c r="J34" s="101" t="s">
        <v>53</v>
      </c>
      <c r="K34" s="302" t="s">
        <v>76</v>
      </c>
      <c r="L34" s="305" t="s">
        <v>76</v>
      </c>
      <c r="M34" s="102">
        <v>16</v>
      </c>
      <c r="N34" s="103" t="s">
        <v>53</v>
      </c>
      <c r="O34" s="104">
        <v>20</v>
      </c>
      <c r="P34" s="105" t="s">
        <v>53</v>
      </c>
      <c r="Q34" s="37">
        <v>299</v>
      </c>
      <c r="R34" s="37" t="s">
        <v>24</v>
      </c>
      <c r="S34" s="38"/>
      <c r="T34" s="438"/>
      <c r="U34" s="99"/>
      <c r="V34" s="96"/>
      <c r="W34" s="99"/>
      <c r="X34" s="99"/>
      <c r="Y34" s="99"/>
      <c r="Z34" s="99"/>
      <c r="AA34" s="99"/>
      <c r="AB34" s="99"/>
      <c r="AC34" s="99"/>
      <c r="AD34" s="40"/>
      <c r="AE34" s="40"/>
      <c r="AF34" s="40"/>
      <c r="AG34" s="41"/>
      <c r="AH34" s="582"/>
      <c r="AI34" s="97"/>
      <c r="AJ34" s="97"/>
      <c r="AK34" s="97"/>
      <c r="AL34" s="97"/>
      <c r="AM34" s="97"/>
      <c r="AN34" s="97"/>
      <c r="AO34" s="97"/>
      <c r="AP34" s="97"/>
      <c r="AQ34" s="97"/>
      <c r="AR34" s="40">
        <f t="shared" si="10"/>
        <v>0</v>
      </c>
      <c r="AS34" s="40">
        <f t="shared" si="11"/>
        <v>0</v>
      </c>
      <c r="AT34" s="40">
        <f t="shared" si="20"/>
        <v>0</v>
      </c>
      <c r="AU34" s="43">
        <f t="shared" si="13"/>
        <v>0</v>
      </c>
      <c r="AV34" s="44">
        <f t="shared" si="21"/>
        <v>0</v>
      </c>
      <c r="AW34" s="98" t="e">
        <f t="shared" si="14"/>
        <v>#DIV/0!</v>
      </c>
      <c r="AX34" s="46" t="e">
        <f t="shared" si="22"/>
        <v>#DIV/0!</v>
      </c>
      <c r="AY34" s="47" t="e">
        <f t="shared" si="23"/>
        <v>#DIV/0!</v>
      </c>
      <c r="AZ34" s="565"/>
      <c r="BA34" s="568"/>
      <c r="BB34" s="571"/>
      <c r="BC34" s="577"/>
      <c r="BD34" s="574"/>
    </row>
    <row r="35" spans="2:56" x14ac:dyDescent="0.25">
      <c r="B35" s="414"/>
      <c r="C35" s="557"/>
      <c r="D35" s="419"/>
      <c r="E35" s="419"/>
      <c r="F35" s="419"/>
      <c r="G35" s="473"/>
      <c r="H35" s="473"/>
      <c r="I35" s="100"/>
      <c r="J35" s="101"/>
      <c r="K35" s="302" t="s">
        <v>76</v>
      </c>
      <c r="L35" s="303" t="s">
        <v>76</v>
      </c>
      <c r="M35" s="102"/>
      <c r="N35" s="103"/>
      <c r="O35" s="104"/>
      <c r="P35" s="105"/>
      <c r="Q35" s="37"/>
      <c r="R35" s="37"/>
      <c r="S35" s="38"/>
      <c r="T35" s="438"/>
      <c r="U35" s="99"/>
      <c r="V35" s="96"/>
      <c r="W35" s="99"/>
      <c r="X35" s="99"/>
      <c r="Y35" s="99"/>
      <c r="Z35" s="99"/>
      <c r="AA35" s="99"/>
      <c r="AB35" s="99"/>
      <c r="AC35" s="99"/>
      <c r="AD35" s="40"/>
      <c r="AE35" s="40"/>
      <c r="AF35" s="40"/>
      <c r="AG35" s="41"/>
      <c r="AH35" s="582"/>
      <c r="AI35" s="97"/>
      <c r="AJ35" s="97"/>
      <c r="AK35" s="97"/>
      <c r="AL35" s="97"/>
      <c r="AM35" s="97"/>
      <c r="AN35" s="97"/>
      <c r="AO35" s="97"/>
      <c r="AP35" s="97"/>
      <c r="AQ35" s="97"/>
      <c r="AR35" s="40"/>
      <c r="AS35" s="40"/>
      <c r="AT35" s="40"/>
      <c r="AU35" s="43"/>
      <c r="AV35" s="44"/>
      <c r="AW35" s="98"/>
      <c r="AX35" s="46"/>
      <c r="AY35" s="47"/>
      <c r="AZ35" s="565"/>
      <c r="BA35" s="568"/>
      <c r="BB35" s="571"/>
      <c r="BC35" s="577"/>
      <c r="BD35" s="574"/>
    </row>
    <row r="36" spans="2:56" x14ac:dyDescent="0.25">
      <c r="B36" s="414"/>
      <c r="C36" s="557"/>
      <c r="D36" s="419"/>
      <c r="E36" s="419"/>
      <c r="F36" s="419"/>
      <c r="G36" s="473"/>
      <c r="H36" s="473"/>
      <c r="I36" s="100"/>
      <c r="J36" s="101"/>
      <c r="K36" s="302" t="s">
        <v>76</v>
      </c>
      <c r="L36" s="303" t="s">
        <v>76</v>
      </c>
      <c r="M36" s="102"/>
      <c r="N36" s="103"/>
      <c r="O36" s="104"/>
      <c r="P36" s="105"/>
      <c r="Q36" s="37"/>
      <c r="R36" s="37"/>
      <c r="S36" s="38"/>
      <c r="T36" s="438"/>
      <c r="U36" s="99"/>
      <c r="V36" s="96"/>
      <c r="W36" s="99"/>
      <c r="X36" s="99"/>
      <c r="Y36" s="99"/>
      <c r="Z36" s="99"/>
      <c r="AA36" s="99"/>
      <c r="AB36" s="99"/>
      <c r="AC36" s="99"/>
      <c r="AD36" s="40"/>
      <c r="AE36" s="40"/>
      <c r="AF36" s="40"/>
      <c r="AG36" s="41"/>
      <c r="AH36" s="582"/>
      <c r="AI36" s="97"/>
      <c r="AJ36" s="97"/>
      <c r="AK36" s="97"/>
      <c r="AL36" s="97"/>
      <c r="AM36" s="97"/>
      <c r="AN36" s="97"/>
      <c r="AO36" s="97"/>
      <c r="AP36" s="97"/>
      <c r="AQ36" s="97"/>
      <c r="AR36" s="40"/>
      <c r="AS36" s="40"/>
      <c r="AT36" s="40"/>
      <c r="AU36" s="43"/>
      <c r="AV36" s="44"/>
      <c r="AW36" s="98"/>
      <c r="AX36" s="46"/>
      <c r="AY36" s="47"/>
      <c r="AZ36" s="565"/>
      <c r="BA36" s="568"/>
      <c r="BB36" s="571"/>
      <c r="BC36" s="577"/>
      <c r="BD36" s="574"/>
    </row>
    <row r="37" spans="2:56" x14ac:dyDescent="0.25">
      <c r="B37" s="414"/>
      <c r="C37" s="557"/>
      <c r="D37" s="419"/>
      <c r="E37" s="419"/>
      <c r="F37" s="419"/>
      <c r="G37" s="473"/>
      <c r="H37" s="473"/>
      <c r="I37" s="71">
        <v>200</v>
      </c>
      <c r="J37" s="106" t="s">
        <v>19</v>
      </c>
      <c r="K37" s="304" t="s">
        <v>76</v>
      </c>
      <c r="L37" s="305" t="s">
        <v>76</v>
      </c>
      <c r="M37" s="107">
        <v>24</v>
      </c>
      <c r="N37" s="108" t="s">
        <v>19</v>
      </c>
      <c r="O37" s="109">
        <v>40</v>
      </c>
      <c r="P37" s="110" t="s">
        <v>19</v>
      </c>
      <c r="Q37" s="37">
        <v>3201</v>
      </c>
      <c r="R37" s="37" t="s">
        <v>24</v>
      </c>
      <c r="S37" s="38"/>
      <c r="T37" s="438"/>
      <c r="U37" s="99"/>
      <c r="V37" s="96"/>
      <c r="W37" s="99"/>
      <c r="X37" s="99"/>
      <c r="Y37" s="99"/>
      <c r="Z37" s="99"/>
      <c r="AA37" s="99"/>
      <c r="AB37" s="99"/>
      <c r="AC37" s="99"/>
      <c r="AD37" s="40"/>
      <c r="AE37" s="40"/>
      <c r="AF37" s="40"/>
      <c r="AG37" s="41"/>
      <c r="AH37" s="582"/>
      <c r="AI37" s="97"/>
      <c r="AJ37" s="97"/>
      <c r="AK37" s="97"/>
      <c r="AL37" s="97"/>
      <c r="AM37" s="97"/>
      <c r="AN37" s="97"/>
      <c r="AO37" s="97"/>
      <c r="AP37" s="97"/>
      <c r="AQ37" s="97"/>
      <c r="AR37" s="40">
        <f t="shared" si="10"/>
        <v>0</v>
      </c>
      <c r="AS37" s="40">
        <f t="shared" si="11"/>
        <v>0</v>
      </c>
      <c r="AT37" s="40">
        <f t="shared" si="20"/>
        <v>0</v>
      </c>
      <c r="AU37" s="43">
        <f t="shared" si="13"/>
        <v>0</v>
      </c>
      <c r="AV37" s="44">
        <f t="shared" si="21"/>
        <v>0</v>
      </c>
      <c r="AW37" s="98" t="e">
        <f t="shared" si="14"/>
        <v>#DIV/0!</v>
      </c>
      <c r="AX37" s="46" t="e">
        <f t="shared" si="22"/>
        <v>#DIV/0!</v>
      </c>
      <c r="AY37" s="47" t="e">
        <f t="shared" si="23"/>
        <v>#DIV/0!</v>
      </c>
      <c r="AZ37" s="565"/>
      <c r="BA37" s="568"/>
      <c r="BB37" s="571"/>
      <c r="BC37" s="577"/>
      <c r="BD37" s="574"/>
    </row>
    <row r="38" spans="2:56" x14ac:dyDescent="0.25">
      <c r="B38" s="414"/>
      <c r="C38" s="557" t="s">
        <v>8</v>
      </c>
      <c r="D38" s="419"/>
      <c r="E38" s="419"/>
      <c r="F38" s="419"/>
      <c r="G38" s="481">
        <v>1E-3</v>
      </c>
      <c r="H38" s="473" t="s">
        <v>54</v>
      </c>
      <c r="I38" s="71">
        <v>0.5</v>
      </c>
      <c r="J38" s="106" t="s">
        <v>20</v>
      </c>
      <c r="K38" s="304" t="s">
        <v>76</v>
      </c>
      <c r="L38" s="305" t="s">
        <v>76</v>
      </c>
      <c r="M38" s="107">
        <v>0.3</v>
      </c>
      <c r="N38" s="108" t="s">
        <v>20</v>
      </c>
      <c r="O38" s="109">
        <v>0.4</v>
      </c>
      <c r="P38" s="110" t="s">
        <v>20</v>
      </c>
      <c r="Q38" s="37">
        <v>0.03</v>
      </c>
      <c r="R38" s="95" t="s">
        <v>23</v>
      </c>
      <c r="S38" s="38"/>
      <c r="T38" s="438"/>
      <c r="U38" s="99"/>
      <c r="V38" s="96"/>
      <c r="W38" s="99"/>
      <c r="X38" s="99"/>
      <c r="Y38" s="99"/>
      <c r="Z38" s="99"/>
      <c r="AA38" s="99"/>
      <c r="AB38" s="99"/>
      <c r="AC38" s="99"/>
      <c r="AD38" s="40"/>
      <c r="AE38" s="40"/>
      <c r="AF38" s="40"/>
      <c r="AG38" s="41"/>
      <c r="AH38" s="582"/>
      <c r="AI38" s="97"/>
      <c r="AJ38" s="97"/>
      <c r="AK38" s="97"/>
      <c r="AL38" s="97"/>
      <c r="AM38" s="97"/>
      <c r="AN38" s="97"/>
      <c r="AO38" s="97"/>
      <c r="AP38" s="97"/>
      <c r="AQ38" s="97"/>
      <c r="AR38" s="40">
        <f t="shared" si="10"/>
        <v>0</v>
      </c>
      <c r="AS38" s="40">
        <f t="shared" si="11"/>
        <v>0</v>
      </c>
      <c r="AT38" s="40">
        <f t="shared" si="20"/>
        <v>0</v>
      </c>
      <c r="AU38" s="43">
        <f t="shared" si="13"/>
        <v>0</v>
      </c>
      <c r="AV38" s="44">
        <f t="shared" si="21"/>
        <v>0</v>
      </c>
      <c r="AW38" s="98" t="e">
        <f t="shared" si="14"/>
        <v>#DIV/0!</v>
      </c>
      <c r="AX38" s="46" t="e">
        <f t="shared" si="22"/>
        <v>#DIV/0!</v>
      </c>
      <c r="AY38" s="47" t="e">
        <f t="shared" si="23"/>
        <v>#DIV/0!</v>
      </c>
      <c r="AZ38" s="565"/>
      <c r="BA38" s="568"/>
      <c r="BB38" s="571"/>
      <c r="BC38" s="577"/>
      <c r="BD38" s="574"/>
    </row>
    <row r="39" spans="2:56" x14ac:dyDescent="0.25">
      <c r="B39" s="415"/>
      <c r="C39" s="558"/>
      <c r="D39" s="420"/>
      <c r="E39" s="420"/>
      <c r="F39" s="420"/>
      <c r="G39" s="549"/>
      <c r="H39" s="551"/>
      <c r="I39" s="277"/>
      <c r="J39" s="278"/>
      <c r="K39" s="306" t="s">
        <v>76</v>
      </c>
      <c r="L39" s="307" t="s">
        <v>76</v>
      </c>
      <c r="M39" s="279"/>
      <c r="N39" s="280"/>
      <c r="O39" s="281"/>
      <c r="P39" s="282"/>
      <c r="Q39" s="283"/>
      <c r="R39" s="284"/>
      <c r="S39" s="285"/>
      <c r="T39" s="439"/>
      <c r="U39" s="286"/>
      <c r="V39" s="287"/>
      <c r="W39" s="286"/>
      <c r="X39" s="286"/>
      <c r="Y39" s="286"/>
      <c r="Z39" s="286"/>
      <c r="AA39" s="286"/>
      <c r="AB39" s="286"/>
      <c r="AC39" s="286"/>
      <c r="AD39" s="288"/>
      <c r="AE39" s="288"/>
      <c r="AF39" s="288"/>
      <c r="AG39" s="289"/>
      <c r="AH39" s="290"/>
      <c r="AI39" s="291"/>
      <c r="AJ39" s="291"/>
      <c r="AK39" s="291"/>
      <c r="AL39" s="291"/>
      <c r="AM39" s="291"/>
      <c r="AN39" s="291"/>
      <c r="AO39" s="291"/>
      <c r="AP39" s="291"/>
      <c r="AQ39" s="291"/>
      <c r="AR39" s="288"/>
      <c r="AS39" s="288"/>
      <c r="AT39" s="288"/>
      <c r="AU39" s="292"/>
      <c r="AV39" s="293"/>
      <c r="AW39" s="294"/>
      <c r="AX39" s="295"/>
      <c r="AY39" s="296"/>
      <c r="AZ39" s="565"/>
      <c r="BA39" s="568"/>
      <c r="BB39" s="571"/>
      <c r="BC39" s="577"/>
      <c r="BD39" s="574"/>
    </row>
    <row r="40" spans="2:56" x14ac:dyDescent="0.25">
      <c r="B40" s="415"/>
      <c r="C40" s="558"/>
      <c r="D40" s="420"/>
      <c r="E40" s="420"/>
      <c r="F40" s="420"/>
      <c r="G40" s="549"/>
      <c r="H40" s="551"/>
      <c r="I40" s="277"/>
      <c r="J40" s="278"/>
      <c r="K40" s="306" t="s">
        <v>76</v>
      </c>
      <c r="L40" s="307" t="s">
        <v>76</v>
      </c>
      <c r="M40" s="279"/>
      <c r="N40" s="280"/>
      <c r="O40" s="281"/>
      <c r="P40" s="282"/>
      <c r="Q40" s="283"/>
      <c r="R40" s="284"/>
      <c r="S40" s="285"/>
      <c r="T40" s="439"/>
      <c r="U40" s="286"/>
      <c r="V40" s="287"/>
      <c r="W40" s="286"/>
      <c r="X40" s="286"/>
      <c r="Y40" s="286"/>
      <c r="Z40" s="286"/>
      <c r="AA40" s="286"/>
      <c r="AB40" s="286"/>
      <c r="AC40" s="286"/>
      <c r="AD40" s="288"/>
      <c r="AE40" s="288"/>
      <c r="AF40" s="288"/>
      <c r="AG40" s="289"/>
      <c r="AH40" s="290"/>
      <c r="AI40" s="291"/>
      <c r="AJ40" s="291"/>
      <c r="AK40" s="291"/>
      <c r="AL40" s="291"/>
      <c r="AM40" s="291"/>
      <c r="AN40" s="291"/>
      <c r="AO40" s="291"/>
      <c r="AP40" s="291"/>
      <c r="AQ40" s="291"/>
      <c r="AR40" s="288"/>
      <c r="AS40" s="288"/>
      <c r="AT40" s="288"/>
      <c r="AU40" s="292"/>
      <c r="AV40" s="293"/>
      <c r="AW40" s="294"/>
      <c r="AX40" s="295"/>
      <c r="AY40" s="296"/>
      <c r="AZ40" s="565"/>
      <c r="BA40" s="568"/>
      <c r="BB40" s="571"/>
      <c r="BC40" s="577"/>
      <c r="BD40" s="574"/>
    </row>
    <row r="41" spans="2:56" ht="15.75" thickBot="1" x14ac:dyDescent="0.3">
      <c r="B41" s="416"/>
      <c r="C41" s="559"/>
      <c r="D41" s="421"/>
      <c r="E41" s="421"/>
      <c r="F41" s="421"/>
      <c r="G41" s="550"/>
      <c r="H41" s="474"/>
      <c r="I41" s="111">
        <v>1</v>
      </c>
      <c r="J41" s="112" t="s">
        <v>20</v>
      </c>
      <c r="K41" s="308" t="s">
        <v>76</v>
      </c>
      <c r="L41" s="309" t="s">
        <v>76</v>
      </c>
      <c r="M41" s="114">
        <v>0.6</v>
      </c>
      <c r="N41" s="115" t="s">
        <v>20</v>
      </c>
      <c r="O41" s="116">
        <v>1</v>
      </c>
      <c r="P41" s="117" t="s">
        <v>20</v>
      </c>
      <c r="Q41" s="48">
        <v>20.9</v>
      </c>
      <c r="R41" s="118" t="s">
        <v>23</v>
      </c>
      <c r="S41" s="119"/>
      <c r="T41" s="440"/>
      <c r="U41" s="120"/>
      <c r="V41" s="121"/>
      <c r="W41" s="120"/>
      <c r="X41" s="120"/>
      <c r="Y41" s="120"/>
      <c r="Z41" s="120"/>
      <c r="AA41" s="120"/>
      <c r="AB41" s="120"/>
      <c r="AC41" s="120"/>
      <c r="AD41" s="50"/>
      <c r="AE41" s="50"/>
      <c r="AF41" s="50"/>
      <c r="AG41" s="122"/>
      <c r="AH41" s="123"/>
      <c r="AI41" s="124">
        <v>20.86</v>
      </c>
      <c r="AJ41" s="124">
        <f t="shared" ref="AJ41" si="24">AI41-Q41</f>
        <v>-3.9999999999999147E-2</v>
      </c>
      <c r="AK41" s="124"/>
      <c r="AL41" s="124"/>
      <c r="AM41" s="124"/>
      <c r="AN41" s="124">
        <v>0.02</v>
      </c>
      <c r="AO41" s="124">
        <v>0</v>
      </c>
      <c r="AP41" s="124">
        <v>0.28000000000000003</v>
      </c>
      <c r="AQ41" s="124"/>
      <c r="AR41" s="50">
        <f t="shared" si="10"/>
        <v>0.28000000000000003</v>
      </c>
      <c r="AS41" s="50">
        <f t="shared" si="11"/>
        <v>-0.28000000000000003</v>
      </c>
      <c r="AT41" s="50">
        <f t="shared" si="20"/>
        <v>0.28000000000000003</v>
      </c>
      <c r="AU41" s="52">
        <f t="shared" si="13"/>
        <v>0</v>
      </c>
      <c r="AV41" s="53">
        <f t="shared" si="21"/>
        <v>0.28000000000000003</v>
      </c>
      <c r="AW41" s="125" t="e">
        <f t="shared" si="14"/>
        <v>#DIV/0!</v>
      </c>
      <c r="AX41" s="54" t="e">
        <f t="shared" si="22"/>
        <v>#DIV/0!</v>
      </c>
      <c r="AY41" s="55" t="e">
        <f t="shared" si="23"/>
        <v>#DIV/0!</v>
      </c>
      <c r="AZ41" s="566"/>
      <c r="BA41" s="569"/>
      <c r="BB41" s="572"/>
      <c r="BC41" s="578"/>
      <c r="BD41" s="575"/>
    </row>
    <row r="42" spans="2:56" ht="15.75" customHeight="1" x14ac:dyDescent="0.25">
      <c r="B42" s="412" t="s">
        <v>47</v>
      </c>
      <c r="C42" s="456" t="s">
        <v>184</v>
      </c>
      <c r="D42" s="417" t="s">
        <v>128</v>
      </c>
      <c r="E42" s="417" t="s">
        <v>130</v>
      </c>
      <c r="F42" s="422" t="s">
        <v>134</v>
      </c>
      <c r="G42" s="552">
        <v>1E-4</v>
      </c>
      <c r="H42" s="626" t="s">
        <v>51</v>
      </c>
      <c r="I42" s="78">
        <v>0.1</v>
      </c>
      <c r="J42" s="79" t="s">
        <v>46</v>
      </c>
      <c r="K42" s="297" t="s">
        <v>76</v>
      </c>
      <c r="L42" s="312" t="s">
        <v>76</v>
      </c>
      <c r="M42" s="80">
        <v>0.04</v>
      </c>
      <c r="N42" s="81" t="s">
        <v>46</v>
      </c>
      <c r="O42" s="82">
        <v>0.04</v>
      </c>
      <c r="P42" s="83" t="s">
        <v>46</v>
      </c>
      <c r="Q42" s="84">
        <v>1.01</v>
      </c>
      <c r="R42" s="84">
        <v>0.99399999999999999</v>
      </c>
      <c r="S42" s="60">
        <v>44063</v>
      </c>
      <c r="T42" s="436" t="s">
        <v>183</v>
      </c>
      <c r="U42" s="85">
        <v>0.98499999999999999</v>
      </c>
      <c r="V42" s="85">
        <f t="shared" ref="V42:V49" si="25">U42-Q42</f>
        <v>-2.5000000000000022E-2</v>
      </c>
      <c r="W42" s="85" t="s">
        <v>76</v>
      </c>
      <c r="X42" s="85" t="s">
        <v>76</v>
      </c>
      <c r="Y42" s="85" t="s">
        <v>76</v>
      </c>
      <c r="Z42" s="85">
        <v>0.01</v>
      </c>
      <c r="AA42" s="85">
        <v>0.01</v>
      </c>
      <c r="AB42" s="85">
        <v>1.2E-2</v>
      </c>
      <c r="AC42" s="85" t="s">
        <v>76</v>
      </c>
      <c r="AD42" s="61">
        <f>(V42+AB42)</f>
        <v>-1.3000000000000022E-2</v>
      </c>
      <c r="AE42" s="61">
        <f>(V42-AB42)</f>
        <v>-3.7000000000000019E-2</v>
      </c>
      <c r="AF42" s="61">
        <f>MAX(AD42:AE42)</f>
        <v>-1.3000000000000022E-2</v>
      </c>
      <c r="AG42" s="62">
        <v>44421</v>
      </c>
      <c r="AH42" s="580">
        <v>66155</v>
      </c>
      <c r="AI42" s="86">
        <v>0.99</v>
      </c>
      <c r="AJ42" s="86">
        <f>AI42-R42</f>
        <v>-4.0000000000000036E-3</v>
      </c>
      <c r="AK42" s="86"/>
      <c r="AL42" s="86" t="s">
        <v>76</v>
      </c>
      <c r="AM42" s="86" t="s">
        <v>76</v>
      </c>
      <c r="AN42" s="86">
        <v>0</v>
      </c>
      <c r="AO42" s="86">
        <v>0</v>
      </c>
      <c r="AP42" s="86">
        <v>2.1000000000000001E-2</v>
      </c>
      <c r="AQ42" s="86"/>
      <c r="AR42" s="61">
        <f t="shared" ref="AR42:AR47" si="26">(AJ42+AP42)</f>
        <v>1.6999999999999998E-2</v>
      </c>
      <c r="AS42" s="61">
        <f t="shared" ref="AS42:AS47" si="27">(AJ42-AP42)</f>
        <v>-2.5000000000000005E-2</v>
      </c>
      <c r="AT42" s="61">
        <f t="shared" ref="AT42:AT48" si="28">MAX(AR42:AS42)</f>
        <v>1.6999999999999998E-2</v>
      </c>
      <c r="AU42" s="64">
        <f t="shared" si="13"/>
        <v>0.98055555555555551</v>
      </c>
      <c r="AV42" s="65">
        <f t="shared" si="16"/>
        <v>3.000000000000002E-2</v>
      </c>
      <c r="AW42" s="87">
        <f>(AV42/AU42)</f>
        <v>3.0594900849858379E-2</v>
      </c>
      <c r="AX42" s="67">
        <f t="shared" si="17"/>
        <v>3.2685185185185164</v>
      </c>
      <c r="AY42" s="68" t="str">
        <f t="shared" si="15"/>
        <v>DOS AÑOS</v>
      </c>
      <c r="AZ42" s="491" t="s">
        <v>9</v>
      </c>
      <c r="BA42" s="409" t="s">
        <v>37</v>
      </c>
      <c r="BB42" s="512" t="s">
        <v>36</v>
      </c>
      <c r="BC42" s="509" t="e">
        <f>MIN(AX42:AX57)</f>
        <v>#DIV/0!</v>
      </c>
      <c r="BD42" s="506" t="e">
        <f>BD10</f>
        <v>#DIV/0!</v>
      </c>
    </row>
    <row r="43" spans="2:56" ht="15.75" customHeight="1" x14ac:dyDescent="0.25">
      <c r="B43" s="413"/>
      <c r="C43" s="457"/>
      <c r="D43" s="418"/>
      <c r="E43" s="418"/>
      <c r="F43" s="423"/>
      <c r="G43" s="553"/>
      <c r="H43" s="627"/>
      <c r="I43" s="262">
        <v>0.2</v>
      </c>
      <c r="J43" s="90" t="s">
        <v>46</v>
      </c>
      <c r="K43" s="298" t="s">
        <v>76</v>
      </c>
      <c r="L43" s="299" t="s">
        <v>76</v>
      </c>
      <c r="M43" s="263">
        <v>0.08</v>
      </c>
      <c r="N43" s="92" t="s">
        <v>46</v>
      </c>
      <c r="O43" s="264">
        <v>0.08</v>
      </c>
      <c r="P43" s="94" t="s">
        <v>46</v>
      </c>
      <c r="Q43" s="266">
        <v>4</v>
      </c>
      <c r="R43" s="266">
        <v>4.01</v>
      </c>
      <c r="S43" s="267">
        <v>44063</v>
      </c>
      <c r="T43" s="437"/>
      <c r="U43" s="268">
        <v>4</v>
      </c>
      <c r="V43" s="96">
        <f t="shared" si="25"/>
        <v>0</v>
      </c>
      <c r="W43" s="268" t="s">
        <v>76</v>
      </c>
      <c r="X43" s="268" t="s">
        <v>76</v>
      </c>
      <c r="Y43" s="268" t="s">
        <v>76</v>
      </c>
      <c r="Z43" s="268">
        <v>0</v>
      </c>
      <c r="AA43" s="268">
        <v>0</v>
      </c>
      <c r="AB43" s="268">
        <v>4.1000000000000002E-2</v>
      </c>
      <c r="AC43" s="268"/>
      <c r="AD43" s="40">
        <f t="shared" ref="AD43:AD56" si="29">(V43+AB43)</f>
        <v>4.1000000000000002E-2</v>
      </c>
      <c r="AE43" s="40">
        <f t="shared" ref="AE43:AE56" si="30">(V43-AB43)</f>
        <v>-4.1000000000000002E-2</v>
      </c>
      <c r="AF43" s="40">
        <f t="shared" ref="AF43:AF56" si="31">MAX(AD43:AE43)</f>
        <v>4.1000000000000002E-2</v>
      </c>
      <c r="AG43" s="270">
        <v>44421</v>
      </c>
      <c r="AH43" s="581"/>
      <c r="AI43" s="271">
        <v>4.05</v>
      </c>
      <c r="AJ43" s="97">
        <f>AI43-R43</f>
        <v>4.0000000000000036E-2</v>
      </c>
      <c r="AK43" s="271"/>
      <c r="AL43" s="271"/>
      <c r="AM43" s="271"/>
      <c r="AN43" s="271">
        <v>0</v>
      </c>
      <c r="AO43" s="271">
        <v>0</v>
      </c>
      <c r="AP43" s="271">
        <v>0.09</v>
      </c>
      <c r="AQ43" s="271"/>
      <c r="AR43" s="40">
        <f t="shared" si="26"/>
        <v>0.13000000000000003</v>
      </c>
      <c r="AS43" s="40">
        <f t="shared" si="27"/>
        <v>-4.9999999999999961E-2</v>
      </c>
      <c r="AT43" s="40">
        <f t="shared" si="28"/>
        <v>0.13000000000000003</v>
      </c>
      <c r="AU43" s="43">
        <f t="shared" ref="AU43:AU50" si="32">YEARFRAC(S43,AG43)</f>
        <v>0.98055555555555551</v>
      </c>
      <c r="AV43" s="44">
        <f t="shared" ref="AV43:AV50" si="33">ABS(AT43-AF43)</f>
        <v>8.9000000000000024E-2</v>
      </c>
      <c r="AW43" s="98">
        <f t="shared" ref="AW43:AW45" si="34">(AV43/AU43)</f>
        <v>9.0764872521246487E-2</v>
      </c>
      <c r="AX43" s="46">
        <f t="shared" ref="AX43:AX45" si="35">(I43/AW43)</f>
        <v>2.203495630461922</v>
      </c>
      <c r="AY43" s="74" t="str">
        <f t="shared" ref="AY43:AY53" si="36">IF(AX43&lt;=1,"UN AÑO",IF(AX43&gt;=1,"DOS AÑOS"))</f>
        <v>DOS AÑOS</v>
      </c>
      <c r="AZ43" s="516"/>
      <c r="BA43" s="410"/>
      <c r="BB43" s="513"/>
      <c r="BC43" s="510"/>
      <c r="BD43" s="507"/>
    </row>
    <row r="44" spans="2:56" ht="15.75" customHeight="1" x14ac:dyDescent="0.25">
      <c r="B44" s="413"/>
      <c r="C44" s="457"/>
      <c r="D44" s="418"/>
      <c r="E44" s="418"/>
      <c r="F44" s="423"/>
      <c r="G44" s="553"/>
      <c r="H44" s="627"/>
      <c r="I44" s="262">
        <v>0.5</v>
      </c>
      <c r="J44" s="90" t="s">
        <v>46</v>
      </c>
      <c r="K44" s="298" t="s">
        <v>76</v>
      </c>
      <c r="L44" s="299" t="s">
        <v>76</v>
      </c>
      <c r="M44" s="263">
        <v>0.16</v>
      </c>
      <c r="N44" s="92" t="s">
        <v>46</v>
      </c>
      <c r="O44" s="264">
        <v>0.16</v>
      </c>
      <c r="P44" s="94" t="s">
        <v>46</v>
      </c>
      <c r="Q44" s="266">
        <v>8</v>
      </c>
      <c r="R44" s="266">
        <v>7.97</v>
      </c>
      <c r="S44" s="267">
        <v>44063</v>
      </c>
      <c r="T44" s="437"/>
      <c r="U44" s="268">
        <v>7.95</v>
      </c>
      <c r="V44" s="96">
        <f t="shared" si="25"/>
        <v>-4.9999999999999822E-2</v>
      </c>
      <c r="W44" s="268" t="s">
        <v>76</v>
      </c>
      <c r="X44" s="268" t="s">
        <v>76</v>
      </c>
      <c r="Y44" s="268" t="s">
        <v>76</v>
      </c>
      <c r="Z44" s="268">
        <v>0.05</v>
      </c>
      <c r="AA44" s="268">
        <v>0.1</v>
      </c>
      <c r="AB44" s="268">
        <v>0.11</v>
      </c>
      <c r="AC44" s="268"/>
      <c r="AD44" s="40">
        <f t="shared" si="29"/>
        <v>6.0000000000000178E-2</v>
      </c>
      <c r="AE44" s="40">
        <f t="shared" si="30"/>
        <v>-0.15999999999999981</v>
      </c>
      <c r="AF44" s="40">
        <f t="shared" si="31"/>
        <v>6.0000000000000178E-2</v>
      </c>
      <c r="AG44" s="270">
        <v>44421</v>
      </c>
      <c r="AH44" s="581"/>
      <c r="AI44" s="271">
        <v>7.99</v>
      </c>
      <c r="AJ44" s="97">
        <f t="shared" ref="AJ44:AJ69" si="37">AI44-R44</f>
        <v>2.0000000000000462E-2</v>
      </c>
      <c r="AK44" s="271"/>
      <c r="AL44" s="271"/>
      <c r="AM44" s="271"/>
      <c r="AN44" s="271">
        <v>3.0000000000000001E-3</v>
      </c>
      <c r="AO44" s="271">
        <v>0</v>
      </c>
      <c r="AP44" s="271">
        <v>0.17</v>
      </c>
      <c r="AQ44" s="271"/>
      <c r="AR44" s="40">
        <f t="shared" si="26"/>
        <v>0.19000000000000047</v>
      </c>
      <c r="AS44" s="40">
        <f t="shared" si="27"/>
        <v>-0.14999999999999955</v>
      </c>
      <c r="AT44" s="40">
        <f t="shared" si="28"/>
        <v>0.19000000000000047</v>
      </c>
      <c r="AU44" s="43">
        <f t="shared" si="32"/>
        <v>0.98055555555555551</v>
      </c>
      <c r="AV44" s="44">
        <f t="shared" si="33"/>
        <v>0.13000000000000028</v>
      </c>
      <c r="AW44" s="98">
        <f t="shared" si="34"/>
        <v>0.13257790368271985</v>
      </c>
      <c r="AX44" s="46">
        <f t="shared" si="35"/>
        <v>3.7713675213675129</v>
      </c>
      <c r="AY44" s="74" t="str">
        <f t="shared" si="36"/>
        <v>DOS AÑOS</v>
      </c>
      <c r="AZ44" s="516"/>
      <c r="BA44" s="410"/>
      <c r="BB44" s="513"/>
      <c r="BC44" s="510"/>
      <c r="BD44" s="507"/>
    </row>
    <row r="45" spans="2:56" x14ac:dyDescent="0.25">
      <c r="B45" s="414"/>
      <c r="C45" s="458"/>
      <c r="D45" s="419"/>
      <c r="E45" s="419"/>
      <c r="F45" s="424"/>
      <c r="G45" s="481"/>
      <c r="H45" s="628"/>
      <c r="I45" s="89">
        <v>0.05</v>
      </c>
      <c r="J45" s="90" t="s">
        <v>46</v>
      </c>
      <c r="K45" s="300" t="s">
        <v>76</v>
      </c>
      <c r="L45" s="313" t="s">
        <v>76</v>
      </c>
      <c r="M45" s="91">
        <v>0.02</v>
      </c>
      <c r="N45" s="92" t="s">
        <v>46</v>
      </c>
      <c r="O45" s="93">
        <v>0.02</v>
      </c>
      <c r="P45" s="94" t="s">
        <v>46</v>
      </c>
      <c r="Q45" s="95">
        <v>0</v>
      </c>
      <c r="R45" s="95">
        <v>0</v>
      </c>
      <c r="S45" s="38">
        <v>44063</v>
      </c>
      <c r="T45" s="438"/>
      <c r="U45" s="96">
        <v>0</v>
      </c>
      <c r="V45" s="96">
        <f t="shared" si="25"/>
        <v>0</v>
      </c>
      <c r="W45" s="96" t="s">
        <v>76</v>
      </c>
      <c r="X45" s="96" t="s">
        <v>76</v>
      </c>
      <c r="Y45" s="96" t="s">
        <v>76</v>
      </c>
      <c r="Z45" s="96">
        <v>0.02</v>
      </c>
      <c r="AA45" s="96">
        <v>0.04</v>
      </c>
      <c r="AB45" s="96">
        <v>6.0000000000000001E-3</v>
      </c>
      <c r="AC45" s="96" t="s">
        <v>76</v>
      </c>
      <c r="AD45" s="40">
        <f t="shared" si="29"/>
        <v>6.0000000000000001E-3</v>
      </c>
      <c r="AE45" s="40">
        <f t="shared" si="30"/>
        <v>-6.0000000000000001E-3</v>
      </c>
      <c r="AF45" s="40">
        <f t="shared" si="31"/>
        <v>6.0000000000000001E-3</v>
      </c>
      <c r="AG45" s="41">
        <v>44421</v>
      </c>
      <c r="AH45" s="582"/>
      <c r="AI45" s="97">
        <v>0</v>
      </c>
      <c r="AJ45" s="97">
        <f t="shared" si="37"/>
        <v>0</v>
      </c>
      <c r="AK45" s="97"/>
      <c r="AL45" s="97" t="s">
        <v>76</v>
      </c>
      <c r="AM45" s="97" t="s">
        <v>76</v>
      </c>
      <c r="AN45" s="97">
        <v>0</v>
      </c>
      <c r="AO45" s="97">
        <v>0</v>
      </c>
      <c r="AP45" s="97">
        <v>6.0000000000000001E-3</v>
      </c>
      <c r="AQ45" s="97"/>
      <c r="AR45" s="40">
        <f t="shared" si="26"/>
        <v>6.0000000000000001E-3</v>
      </c>
      <c r="AS45" s="40">
        <f t="shared" si="27"/>
        <v>-6.0000000000000001E-3</v>
      </c>
      <c r="AT45" s="40">
        <f t="shared" si="28"/>
        <v>6.0000000000000001E-3</v>
      </c>
      <c r="AU45" s="43">
        <f t="shared" si="32"/>
        <v>0.98055555555555551</v>
      </c>
      <c r="AV45" s="44">
        <f t="shared" si="33"/>
        <v>0</v>
      </c>
      <c r="AW45" s="98">
        <f t="shared" si="34"/>
        <v>0</v>
      </c>
      <c r="AX45" s="46" t="e">
        <f t="shared" si="35"/>
        <v>#DIV/0!</v>
      </c>
      <c r="AY45" s="74" t="e">
        <f t="shared" si="36"/>
        <v>#DIV/0!</v>
      </c>
      <c r="AZ45" s="492"/>
      <c r="BA45" s="410"/>
      <c r="BB45" s="513"/>
      <c r="BC45" s="510"/>
      <c r="BD45" s="507"/>
    </row>
    <row r="46" spans="2:56" x14ac:dyDescent="0.25">
      <c r="B46" s="414"/>
      <c r="C46" s="636" t="s">
        <v>6</v>
      </c>
      <c r="D46" s="419"/>
      <c r="E46" s="419"/>
      <c r="F46" s="424"/>
      <c r="G46" s="639">
        <v>1E-3</v>
      </c>
      <c r="H46" s="551" t="s">
        <v>52</v>
      </c>
      <c r="I46" s="89">
        <v>0.4</v>
      </c>
      <c r="J46" s="90" t="s">
        <v>46</v>
      </c>
      <c r="K46" s="300" t="s">
        <v>76</v>
      </c>
      <c r="L46" s="313" t="s">
        <v>76</v>
      </c>
      <c r="M46" s="91">
        <v>0.2</v>
      </c>
      <c r="N46" s="92" t="s">
        <v>46</v>
      </c>
      <c r="O46" s="93">
        <v>0.3</v>
      </c>
      <c r="P46" s="94" t="s">
        <v>46</v>
      </c>
      <c r="Q46" s="95">
        <v>6</v>
      </c>
      <c r="R46" s="95">
        <v>5.98</v>
      </c>
      <c r="S46" s="38">
        <v>44063</v>
      </c>
      <c r="T46" s="438"/>
      <c r="U46" s="99">
        <v>5.95</v>
      </c>
      <c r="V46" s="96">
        <f t="shared" si="25"/>
        <v>-4.9999999999999822E-2</v>
      </c>
      <c r="W46" s="99" t="s">
        <v>76</v>
      </c>
      <c r="X46" s="99" t="s">
        <v>76</v>
      </c>
      <c r="Y46" s="99" t="s">
        <v>76</v>
      </c>
      <c r="Z46" s="99">
        <v>0.05</v>
      </c>
      <c r="AA46" s="99">
        <v>0.1</v>
      </c>
      <c r="AB46" s="99">
        <v>0.05</v>
      </c>
      <c r="AC46" s="99" t="s">
        <v>76</v>
      </c>
      <c r="AD46" s="40">
        <f t="shared" si="29"/>
        <v>1.8041124150158794E-16</v>
      </c>
      <c r="AE46" s="40">
        <f t="shared" si="30"/>
        <v>-9.9999999999999825E-2</v>
      </c>
      <c r="AF46" s="40">
        <f t="shared" si="31"/>
        <v>1.8041124150158794E-16</v>
      </c>
      <c r="AG46" s="41">
        <v>44421</v>
      </c>
      <c r="AH46" s="582"/>
      <c r="AI46" s="97">
        <v>6.03</v>
      </c>
      <c r="AJ46" s="97">
        <f t="shared" si="37"/>
        <v>4.9999999999999822E-2</v>
      </c>
      <c r="AK46" s="97"/>
      <c r="AL46" s="97"/>
      <c r="AM46" s="97"/>
      <c r="AN46" s="97">
        <v>0</v>
      </c>
      <c r="AO46" s="97">
        <v>0</v>
      </c>
      <c r="AP46" s="97">
        <v>0.12</v>
      </c>
      <c r="AQ46" s="97"/>
      <c r="AR46" s="40">
        <f t="shared" si="26"/>
        <v>0.16999999999999982</v>
      </c>
      <c r="AS46" s="40">
        <f t="shared" si="27"/>
        <v>-7.0000000000000173E-2</v>
      </c>
      <c r="AT46" s="40">
        <f t="shared" si="28"/>
        <v>0.16999999999999982</v>
      </c>
      <c r="AU46" s="43">
        <f t="shared" si="32"/>
        <v>0.98055555555555551</v>
      </c>
      <c r="AV46" s="44">
        <f t="shared" si="33"/>
        <v>0.16999999999999965</v>
      </c>
      <c r="AW46" s="98">
        <f t="shared" ref="AW46:AW54" si="38">(AV46/AU46)</f>
        <v>0.17337110481586368</v>
      </c>
      <c r="AX46" s="46">
        <f t="shared" ref="AX46:AX54" si="39">(I46/AW46)</f>
        <v>2.3071895424836648</v>
      </c>
      <c r="AY46" s="74" t="str">
        <f t="shared" si="36"/>
        <v>DOS AÑOS</v>
      </c>
      <c r="AZ46" s="492"/>
      <c r="BA46" s="410"/>
      <c r="BB46" s="513"/>
      <c r="BC46" s="510"/>
      <c r="BD46" s="507"/>
    </row>
    <row r="47" spans="2:56" x14ac:dyDescent="0.25">
      <c r="B47" s="414"/>
      <c r="C47" s="637"/>
      <c r="D47" s="419"/>
      <c r="E47" s="419"/>
      <c r="F47" s="424"/>
      <c r="G47" s="640"/>
      <c r="H47" s="642"/>
      <c r="I47" s="89">
        <v>0.8</v>
      </c>
      <c r="J47" s="90" t="s">
        <v>46</v>
      </c>
      <c r="K47" s="300" t="s">
        <v>76</v>
      </c>
      <c r="L47" s="301" t="s">
        <v>76</v>
      </c>
      <c r="M47" s="91">
        <v>0.2</v>
      </c>
      <c r="N47" s="92" t="s">
        <v>46</v>
      </c>
      <c r="O47" s="93">
        <v>0.3</v>
      </c>
      <c r="P47" s="94" t="s">
        <v>46</v>
      </c>
      <c r="Q47" s="95">
        <v>12</v>
      </c>
      <c r="R47" s="95">
        <v>10.5</v>
      </c>
      <c r="S47" s="38">
        <v>44063</v>
      </c>
      <c r="T47" s="438"/>
      <c r="U47" s="99">
        <v>12.05</v>
      </c>
      <c r="V47" s="96">
        <f t="shared" si="25"/>
        <v>5.0000000000000711E-2</v>
      </c>
      <c r="W47" s="99"/>
      <c r="X47" s="99"/>
      <c r="Y47" s="99"/>
      <c r="Z47" s="99">
        <v>0.05</v>
      </c>
      <c r="AA47" s="99">
        <v>0.1</v>
      </c>
      <c r="AB47" s="99">
        <v>0.12</v>
      </c>
      <c r="AC47" s="99"/>
      <c r="AD47" s="40">
        <f t="shared" si="29"/>
        <v>0.17000000000000071</v>
      </c>
      <c r="AE47" s="40">
        <f t="shared" si="30"/>
        <v>-6.9999999999999285E-2</v>
      </c>
      <c r="AF47" s="40">
        <f t="shared" si="31"/>
        <v>0.17000000000000071</v>
      </c>
      <c r="AG47" s="41">
        <v>44421</v>
      </c>
      <c r="AH47" s="582"/>
      <c r="AI47" s="97">
        <v>10.6</v>
      </c>
      <c r="AJ47" s="97">
        <f t="shared" si="37"/>
        <v>9.9999999999999645E-2</v>
      </c>
      <c r="AK47" s="97"/>
      <c r="AL47" s="97"/>
      <c r="AM47" s="97"/>
      <c r="AN47" s="97">
        <v>0</v>
      </c>
      <c r="AO47" s="97">
        <v>0</v>
      </c>
      <c r="AP47" s="97">
        <v>0.2</v>
      </c>
      <c r="AQ47" s="97"/>
      <c r="AR47" s="40">
        <f t="shared" si="26"/>
        <v>0.29999999999999966</v>
      </c>
      <c r="AS47" s="40">
        <f t="shared" si="27"/>
        <v>-0.10000000000000037</v>
      </c>
      <c r="AT47" s="40">
        <f t="shared" si="28"/>
        <v>0.29999999999999966</v>
      </c>
      <c r="AU47" s="43">
        <f t="shared" si="32"/>
        <v>0.98055555555555551</v>
      </c>
      <c r="AV47" s="44">
        <f t="shared" si="33"/>
        <v>0.12999999999999895</v>
      </c>
      <c r="AW47" s="98">
        <f t="shared" si="38"/>
        <v>0.13257790368271849</v>
      </c>
      <c r="AX47" s="46">
        <f t="shared" si="39"/>
        <v>6.0341880341880829</v>
      </c>
      <c r="AY47" s="74" t="str">
        <f t="shared" si="36"/>
        <v>DOS AÑOS</v>
      </c>
      <c r="AZ47" s="492"/>
      <c r="BA47" s="410"/>
      <c r="BB47" s="513"/>
      <c r="BC47" s="510"/>
      <c r="BD47" s="507"/>
    </row>
    <row r="48" spans="2:56" x14ac:dyDescent="0.25">
      <c r="B48" s="414"/>
      <c r="C48" s="637"/>
      <c r="D48" s="419"/>
      <c r="E48" s="419"/>
      <c r="F48" s="424"/>
      <c r="G48" s="640"/>
      <c r="H48" s="642"/>
      <c r="I48" s="89">
        <v>0.8</v>
      </c>
      <c r="J48" s="90" t="s">
        <v>46</v>
      </c>
      <c r="K48" s="300" t="s">
        <v>76</v>
      </c>
      <c r="L48" s="301" t="s">
        <v>76</v>
      </c>
      <c r="M48" s="91">
        <v>0.2</v>
      </c>
      <c r="N48" s="92" t="s">
        <v>46</v>
      </c>
      <c r="O48" s="93">
        <v>0.3</v>
      </c>
      <c r="P48" s="94" t="s">
        <v>46</v>
      </c>
      <c r="Q48" s="95">
        <v>14</v>
      </c>
      <c r="R48" s="95">
        <v>13.02</v>
      </c>
      <c r="S48" s="38">
        <v>44063</v>
      </c>
      <c r="T48" s="438"/>
      <c r="U48" s="99">
        <v>14.05</v>
      </c>
      <c r="V48" s="96">
        <f t="shared" si="25"/>
        <v>5.0000000000000711E-2</v>
      </c>
      <c r="W48" s="99"/>
      <c r="X48" s="99"/>
      <c r="Y48" s="99"/>
      <c r="Z48" s="99">
        <v>0.05</v>
      </c>
      <c r="AA48" s="99">
        <v>0.1</v>
      </c>
      <c r="AB48" s="99">
        <v>0.12</v>
      </c>
      <c r="AC48" s="99"/>
      <c r="AD48" s="40">
        <f t="shared" si="29"/>
        <v>0.17000000000000071</v>
      </c>
      <c r="AE48" s="40">
        <f t="shared" si="30"/>
        <v>-6.9999999999999285E-2</v>
      </c>
      <c r="AF48" s="40">
        <f t="shared" si="31"/>
        <v>0.17000000000000071</v>
      </c>
      <c r="AG48" s="41">
        <v>44421</v>
      </c>
      <c r="AH48" s="582"/>
      <c r="AI48" s="97">
        <v>13.1</v>
      </c>
      <c r="AJ48" s="97">
        <f t="shared" si="37"/>
        <v>8.0000000000000071E-2</v>
      </c>
      <c r="AK48" s="97"/>
      <c r="AL48" s="97" t="s">
        <v>76</v>
      </c>
      <c r="AM48" s="97" t="s">
        <v>76</v>
      </c>
      <c r="AN48" s="97">
        <v>0</v>
      </c>
      <c r="AO48" s="97">
        <v>0</v>
      </c>
      <c r="AP48" s="97">
        <v>0.15</v>
      </c>
      <c r="AQ48" s="97"/>
      <c r="AR48" s="40">
        <f t="shared" ref="AR48:AR50" si="40">(AK48+AP48)</f>
        <v>0.15</v>
      </c>
      <c r="AS48" s="40">
        <f t="shared" ref="AS48:AS50" si="41">(AK48-AP48)</f>
        <v>-0.15</v>
      </c>
      <c r="AT48" s="40">
        <f t="shared" si="28"/>
        <v>0.15</v>
      </c>
      <c r="AU48" s="43">
        <f t="shared" si="32"/>
        <v>0.98055555555555551</v>
      </c>
      <c r="AV48" s="44">
        <f t="shared" si="33"/>
        <v>2.0000000000000712E-2</v>
      </c>
      <c r="AW48" s="98">
        <f t="shared" si="38"/>
        <v>2.0396600566572963E-2</v>
      </c>
      <c r="AX48" s="46">
        <f t="shared" si="39"/>
        <v>39.222222222220829</v>
      </c>
      <c r="AY48" s="74" t="str">
        <f t="shared" si="36"/>
        <v>DOS AÑOS</v>
      </c>
      <c r="AZ48" s="492"/>
      <c r="BA48" s="410"/>
      <c r="BB48" s="513"/>
      <c r="BC48" s="510"/>
      <c r="BD48" s="507"/>
    </row>
    <row r="49" spans="2:56" x14ac:dyDescent="0.25">
      <c r="B49" s="414"/>
      <c r="C49" s="457"/>
      <c r="D49" s="419"/>
      <c r="E49" s="419"/>
      <c r="F49" s="424"/>
      <c r="G49" s="641"/>
      <c r="H49" s="483"/>
      <c r="I49" s="89">
        <v>0.1</v>
      </c>
      <c r="J49" s="90" t="s">
        <v>46</v>
      </c>
      <c r="K49" s="300" t="s">
        <v>76</v>
      </c>
      <c r="L49" s="313" t="s">
        <v>76</v>
      </c>
      <c r="M49" s="91">
        <v>0.2</v>
      </c>
      <c r="N49" s="92" t="s">
        <v>46</v>
      </c>
      <c r="O49" s="93">
        <v>0.3</v>
      </c>
      <c r="P49" s="94" t="s">
        <v>46</v>
      </c>
      <c r="Q49" s="95">
        <v>0</v>
      </c>
      <c r="R49" s="95">
        <v>0</v>
      </c>
      <c r="S49" s="38">
        <v>44063</v>
      </c>
      <c r="T49" s="438"/>
      <c r="U49" s="99">
        <v>0</v>
      </c>
      <c r="V49" s="96">
        <f t="shared" si="25"/>
        <v>0</v>
      </c>
      <c r="W49" s="99" t="s">
        <v>76</v>
      </c>
      <c r="X49" s="99" t="s">
        <v>76</v>
      </c>
      <c r="Y49" s="99" t="s">
        <v>76</v>
      </c>
      <c r="Z49" s="99">
        <v>0</v>
      </c>
      <c r="AA49" s="99">
        <v>0</v>
      </c>
      <c r="AB49" s="99">
        <v>5.8000000000000003E-2</v>
      </c>
      <c r="AC49" s="99" t="s">
        <v>76</v>
      </c>
      <c r="AD49" s="40">
        <f t="shared" si="29"/>
        <v>5.8000000000000003E-2</v>
      </c>
      <c r="AE49" s="40">
        <f t="shared" si="30"/>
        <v>-5.8000000000000003E-2</v>
      </c>
      <c r="AF49" s="40">
        <f t="shared" si="31"/>
        <v>5.8000000000000003E-2</v>
      </c>
      <c r="AG49" s="41">
        <v>44421</v>
      </c>
      <c r="AH49" s="582"/>
      <c r="AI49" s="97">
        <v>0</v>
      </c>
      <c r="AJ49" s="97">
        <f t="shared" si="37"/>
        <v>0</v>
      </c>
      <c r="AK49" s="97"/>
      <c r="AL49" s="97" t="s">
        <v>76</v>
      </c>
      <c r="AM49" s="97" t="s">
        <v>76</v>
      </c>
      <c r="AN49" s="97">
        <v>0</v>
      </c>
      <c r="AO49" s="97">
        <v>0</v>
      </c>
      <c r="AP49" s="97">
        <v>5.8000000000000003E-2</v>
      </c>
      <c r="AQ49" s="97"/>
      <c r="AR49" s="40">
        <f t="shared" si="40"/>
        <v>5.8000000000000003E-2</v>
      </c>
      <c r="AS49" s="40">
        <f t="shared" si="41"/>
        <v>-5.8000000000000003E-2</v>
      </c>
      <c r="AT49" s="40">
        <f t="shared" ref="AT49" si="42">MAX(AR49:AS49)</f>
        <v>5.8000000000000003E-2</v>
      </c>
      <c r="AU49" s="43">
        <f t="shared" si="32"/>
        <v>0.98055555555555551</v>
      </c>
      <c r="AV49" s="44">
        <f t="shared" si="33"/>
        <v>0</v>
      </c>
      <c r="AW49" s="98">
        <f t="shared" si="38"/>
        <v>0</v>
      </c>
      <c r="AX49" s="46" t="e">
        <f>(I49/AW49)</f>
        <v>#DIV/0!</v>
      </c>
      <c r="AY49" s="74" t="e">
        <f t="shared" si="36"/>
        <v>#DIV/0!</v>
      </c>
      <c r="AZ49" s="492"/>
      <c r="BA49" s="410"/>
      <c r="BB49" s="513"/>
      <c r="BC49" s="510"/>
      <c r="BD49" s="507"/>
    </row>
    <row r="50" spans="2:56" x14ac:dyDescent="0.25">
      <c r="B50" s="414"/>
      <c r="C50" s="458" t="s">
        <v>7</v>
      </c>
      <c r="D50" s="419"/>
      <c r="E50" s="419"/>
      <c r="F50" s="424"/>
      <c r="G50" s="473" t="s">
        <v>14</v>
      </c>
      <c r="H50" s="473" t="s">
        <v>55</v>
      </c>
      <c r="I50" s="100">
        <v>50</v>
      </c>
      <c r="J50" s="101" t="s">
        <v>53</v>
      </c>
      <c r="K50" s="302" t="s">
        <v>76</v>
      </c>
      <c r="L50" s="311" t="s">
        <v>76</v>
      </c>
      <c r="M50" s="102">
        <v>8</v>
      </c>
      <c r="N50" s="103" t="s">
        <v>53</v>
      </c>
      <c r="O50" s="104">
        <v>10</v>
      </c>
      <c r="P50" s="105" t="s">
        <v>53</v>
      </c>
      <c r="Q50" s="37">
        <v>159.5</v>
      </c>
      <c r="R50" s="37">
        <v>158.5</v>
      </c>
      <c r="S50" s="38">
        <v>44063</v>
      </c>
      <c r="T50" s="438"/>
      <c r="U50" s="99">
        <v>157.5</v>
      </c>
      <c r="V50" s="96">
        <f t="shared" ref="V50:V56" si="43">U50-Q50</f>
        <v>-2</v>
      </c>
      <c r="W50" s="99" t="s">
        <v>76</v>
      </c>
      <c r="X50" s="99" t="s">
        <v>76</v>
      </c>
      <c r="Y50" s="99" t="s">
        <v>76</v>
      </c>
      <c r="Z50" s="99">
        <v>1.52</v>
      </c>
      <c r="AA50" s="99">
        <v>4</v>
      </c>
      <c r="AB50" s="99">
        <v>2.6</v>
      </c>
      <c r="AC50" s="99" t="s">
        <v>76</v>
      </c>
      <c r="AD50" s="40">
        <f t="shared" si="29"/>
        <v>0.60000000000000009</v>
      </c>
      <c r="AE50" s="40">
        <f t="shared" si="30"/>
        <v>-4.5999999999999996</v>
      </c>
      <c r="AF50" s="40">
        <f t="shared" si="31"/>
        <v>0.60000000000000009</v>
      </c>
      <c r="AG50" s="41">
        <v>44421</v>
      </c>
      <c r="AH50" s="582"/>
      <c r="AI50" s="97">
        <v>152.30000000000001</v>
      </c>
      <c r="AJ50" s="97">
        <f t="shared" si="37"/>
        <v>-6.1999999999999886</v>
      </c>
      <c r="AK50" s="97"/>
      <c r="AL50" s="97" t="s">
        <v>76</v>
      </c>
      <c r="AM50" s="97" t="s">
        <v>76</v>
      </c>
      <c r="AN50" s="97">
        <v>0.6</v>
      </c>
      <c r="AO50" s="97">
        <v>1</v>
      </c>
      <c r="AP50" s="97">
        <v>3.3</v>
      </c>
      <c r="AQ50" s="97"/>
      <c r="AR50" s="40">
        <f t="shared" si="40"/>
        <v>3.3</v>
      </c>
      <c r="AS50" s="40">
        <f t="shared" si="41"/>
        <v>-3.3</v>
      </c>
      <c r="AT50" s="40">
        <f t="shared" ref="AT50:AT78" si="44">MAX(AR50:AS50)</f>
        <v>3.3</v>
      </c>
      <c r="AU50" s="43">
        <f t="shared" si="32"/>
        <v>0.98055555555555551</v>
      </c>
      <c r="AV50" s="44">
        <f t="shared" si="33"/>
        <v>2.6999999999999997</v>
      </c>
      <c r="AW50" s="98">
        <f t="shared" si="38"/>
        <v>2.7535410764872519</v>
      </c>
      <c r="AX50" s="46">
        <f t="shared" si="39"/>
        <v>18.15843621399177</v>
      </c>
      <c r="AY50" s="74" t="str">
        <f t="shared" si="36"/>
        <v>DOS AÑOS</v>
      </c>
      <c r="AZ50" s="492"/>
      <c r="BA50" s="410"/>
      <c r="BB50" s="513"/>
      <c r="BC50" s="510"/>
      <c r="BD50" s="507"/>
    </row>
    <row r="51" spans="2:56" x14ac:dyDescent="0.25">
      <c r="B51" s="414"/>
      <c r="C51" s="458"/>
      <c r="D51" s="419"/>
      <c r="E51" s="419"/>
      <c r="F51" s="424"/>
      <c r="G51" s="473"/>
      <c r="H51" s="473"/>
      <c r="I51" s="100">
        <v>50</v>
      </c>
      <c r="J51" s="101" t="s">
        <v>53</v>
      </c>
      <c r="K51" s="302" t="s">
        <v>76</v>
      </c>
      <c r="L51" s="303" t="s">
        <v>76</v>
      </c>
      <c r="M51" s="102">
        <v>8</v>
      </c>
      <c r="N51" s="108" t="s">
        <v>19</v>
      </c>
      <c r="O51" s="104">
        <v>10</v>
      </c>
      <c r="P51" s="105" t="s">
        <v>53</v>
      </c>
      <c r="Q51" s="37">
        <v>635</v>
      </c>
      <c r="R51" s="37">
        <v>640</v>
      </c>
      <c r="S51" s="38">
        <v>44063</v>
      </c>
      <c r="T51" s="438"/>
      <c r="U51" s="99">
        <v>634</v>
      </c>
      <c r="V51" s="96">
        <f t="shared" si="43"/>
        <v>-1</v>
      </c>
      <c r="W51" s="99"/>
      <c r="X51" s="99"/>
      <c r="Y51" s="99"/>
      <c r="Z51" s="99">
        <v>1.21</v>
      </c>
      <c r="AA51" s="99">
        <v>3</v>
      </c>
      <c r="AB51" s="99">
        <v>6</v>
      </c>
      <c r="AC51" s="99"/>
      <c r="AD51" s="40">
        <f t="shared" si="29"/>
        <v>5</v>
      </c>
      <c r="AE51" s="40">
        <f t="shared" si="30"/>
        <v>-7</v>
      </c>
      <c r="AF51" s="40">
        <f t="shared" si="31"/>
        <v>5</v>
      </c>
      <c r="AG51" s="41">
        <v>44421</v>
      </c>
      <c r="AH51" s="582"/>
      <c r="AI51" s="97">
        <v>639</v>
      </c>
      <c r="AJ51" s="97">
        <f t="shared" si="37"/>
        <v>-1</v>
      </c>
      <c r="AK51" s="97"/>
      <c r="AL51" s="97"/>
      <c r="AM51" s="97"/>
      <c r="AN51" s="97">
        <v>0</v>
      </c>
      <c r="AO51" s="97">
        <v>0</v>
      </c>
      <c r="AP51" s="97">
        <v>13</v>
      </c>
      <c r="AQ51" s="97"/>
      <c r="AR51" s="40">
        <f t="shared" ref="AR51:AR53" si="45">(AK51+AP51)</f>
        <v>13</v>
      </c>
      <c r="AS51" s="40">
        <f t="shared" ref="AS51:AS53" si="46">(AK51-AP51)</f>
        <v>-13</v>
      </c>
      <c r="AT51" s="40">
        <f t="shared" si="44"/>
        <v>13</v>
      </c>
      <c r="AU51" s="43">
        <f t="shared" ref="AU51:AU53" si="47">YEARFRAC(S51,AG51)</f>
        <v>0.98055555555555551</v>
      </c>
      <c r="AV51" s="44">
        <f t="shared" ref="AV51:AV53" si="48">ABS(AT51-AF51)</f>
        <v>8</v>
      </c>
      <c r="AW51" s="98">
        <f t="shared" si="38"/>
        <v>8.1586402266288953</v>
      </c>
      <c r="AX51" s="46">
        <f t="shared" si="39"/>
        <v>6.1284722222222223</v>
      </c>
      <c r="AY51" s="74" t="str">
        <f t="shared" si="36"/>
        <v>DOS AÑOS</v>
      </c>
      <c r="AZ51" s="492"/>
      <c r="BA51" s="410"/>
      <c r="BB51" s="513"/>
      <c r="BC51" s="510"/>
      <c r="BD51" s="507"/>
    </row>
    <row r="52" spans="2:56" x14ac:dyDescent="0.25">
      <c r="B52" s="414"/>
      <c r="C52" s="458"/>
      <c r="D52" s="419"/>
      <c r="E52" s="419"/>
      <c r="F52" s="424"/>
      <c r="G52" s="473"/>
      <c r="H52" s="473"/>
      <c r="I52" s="100">
        <v>100</v>
      </c>
      <c r="J52" s="101" t="s">
        <v>53</v>
      </c>
      <c r="K52" s="302" t="s">
        <v>76</v>
      </c>
      <c r="L52" s="303" t="s">
        <v>76</v>
      </c>
      <c r="M52" s="102">
        <v>16</v>
      </c>
      <c r="N52" s="108" t="s">
        <v>19</v>
      </c>
      <c r="O52" s="104">
        <v>20</v>
      </c>
      <c r="P52" s="105" t="s">
        <v>53</v>
      </c>
      <c r="Q52" s="37">
        <v>1691</v>
      </c>
      <c r="R52" s="37">
        <v>1708</v>
      </c>
      <c r="S52" s="38">
        <v>44063</v>
      </c>
      <c r="T52" s="438"/>
      <c r="U52" s="99">
        <v>1721</v>
      </c>
      <c r="V52" s="96">
        <f t="shared" si="43"/>
        <v>30</v>
      </c>
      <c r="W52" s="99"/>
      <c r="X52" s="99"/>
      <c r="Y52" s="99"/>
      <c r="Z52" s="99">
        <v>0.41</v>
      </c>
      <c r="AA52" s="99">
        <v>1</v>
      </c>
      <c r="AB52" s="99">
        <v>16</v>
      </c>
      <c r="AC52" s="99"/>
      <c r="AD52" s="40">
        <f t="shared" si="29"/>
        <v>46</v>
      </c>
      <c r="AE52" s="40">
        <f t="shared" si="30"/>
        <v>14</v>
      </c>
      <c r="AF52" s="40">
        <f t="shared" si="31"/>
        <v>46</v>
      </c>
      <c r="AG52" s="41">
        <v>44421</v>
      </c>
      <c r="AH52" s="582"/>
      <c r="AI52" s="97">
        <v>1712</v>
      </c>
      <c r="AJ52" s="97">
        <f t="shared" si="37"/>
        <v>4</v>
      </c>
      <c r="AK52" s="97"/>
      <c r="AL52" s="97"/>
      <c r="AM52" s="97"/>
      <c r="AN52" s="97">
        <v>0</v>
      </c>
      <c r="AO52" s="97">
        <v>0</v>
      </c>
      <c r="AP52" s="97">
        <v>35</v>
      </c>
      <c r="AQ52" s="97"/>
      <c r="AR52" s="40">
        <f t="shared" si="45"/>
        <v>35</v>
      </c>
      <c r="AS52" s="40">
        <f t="shared" si="46"/>
        <v>-35</v>
      </c>
      <c r="AT52" s="40">
        <f t="shared" ref="AT52:AT57" si="49">MAX(AR52:AS52)</f>
        <v>35</v>
      </c>
      <c r="AU52" s="43">
        <f t="shared" si="47"/>
        <v>0.98055555555555551</v>
      </c>
      <c r="AV52" s="44">
        <f t="shared" si="48"/>
        <v>11</v>
      </c>
      <c r="AW52" s="98">
        <f t="shared" si="38"/>
        <v>11.218130311614731</v>
      </c>
      <c r="AX52" s="46">
        <f t="shared" si="39"/>
        <v>8.9141414141414135</v>
      </c>
      <c r="AY52" s="74" t="str">
        <f t="shared" si="36"/>
        <v>DOS AÑOS</v>
      </c>
      <c r="AZ52" s="492"/>
      <c r="BA52" s="410"/>
      <c r="BB52" s="513"/>
      <c r="BC52" s="510"/>
      <c r="BD52" s="507"/>
    </row>
    <row r="53" spans="2:56" x14ac:dyDescent="0.25">
      <c r="B53" s="414"/>
      <c r="C53" s="458"/>
      <c r="D53" s="419"/>
      <c r="E53" s="419"/>
      <c r="F53" s="424"/>
      <c r="G53" s="473"/>
      <c r="H53" s="473"/>
      <c r="I53" s="257">
        <v>50</v>
      </c>
      <c r="J53" s="106" t="s">
        <v>19</v>
      </c>
      <c r="K53" s="304" t="s">
        <v>76</v>
      </c>
      <c r="L53" s="311" t="s">
        <v>76</v>
      </c>
      <c r="M53" s="107">
        <v>8</v>
      </c>
      <c r="N53" s="108" t="s">
        <v>19</v>
      </c>
      <c r="O53" s="109">
        <v>10</v>
      </c>
      <c r="P53" s="110" t="s">
        <v>19</v>
      </c>
      <c r="Q53" s="37">
        <v>0</v>
      </c>
      <c r="R53" s="37">
        <v>0</v>
      </c>
      <c r="S53" s="38">
        <v>44063</v>
      </c>
      <c r="T53" s="438"/>
      <c r="U53" s="99">
        <v>0</v>
      </c>
      <c r="V53" s="96">
        <f t="shared" si="43"/>
        <v>0</v>
      </c>
      <c r="W53" s="99" t="s">
        <v>76</v>
      </c>
      <c r="X53" s="99" t="s">
        <v>76</v>
      </c>
      <c r="Y53" s="99" t="s">
        <v>76</v>
      </c>
      <c r="Z53" s="99">
        <v>0</v>
      </c>
      <c r="AA53" s="99">
        <v>0</v>
      </c>
      <c r="AB53" s="99">
        <v>1.2</v>
      </c>
      <c r="AC53" s="99" t="s">
        <v>76</v>
      </c>
      <c r="AD53" s="40">
        <f t="shared" si="29"/>
        <v>1.2</v>
      </c>
      <c r="AE53" s="40">
        <f t="shared" si="30"/>
        <v>-1.2</v>
      </c>
      <c r="AF53" s="40">
        <f t="shared" si="31"/>
        <v>1.2</v>
      </c>
      <c r="AG53" s="41">
        <v>44421</v>
      </c>
      <c r="AH53" s="582"/>
      <c r="AI53" s="97">
        <v>0</v>
      </c>
      <c r="AJ53" s="97">
        <f t="shared" si="37"/>
        <v>0</v>
      </c>
      <c r="AK53" s="97"/>
      <c r="AL53" s="97" t="s">
        <v>76</v>
      </c>
      <c r="AM53" s="97" t="s">
        <v>76</v>
      </c>
      <c r="AN53" s="97">
        <v>0</v>
      </c>
      <c r="AO53" s="97">
        <v>0</v>
      </c>
      <c r="AP53" s="97">
        <v>0.57999999999999996</v>
      </c>
      <c r="AQ53" s="97"/>
      <c r="AR53" s="40">
        <f t="shared" si="45"/>
        <v>0.57999999999999996</v>
      </c>
      <c r="AS53" s="40">
        <f t="shared" si="46"/>
        <v>-0.57999999999999996</v>
      </c>
      <c r="AT53" s="40">
        <f t="shared" si="49"/>
        <v>0.57999999999999996</v>
      </c>
      <c r="AU53" s="43">
        <f t="shared" si="47"/>
        <v>0.98055555555555551</v>
      </c>
      <c r="AV53" s="44">
        <f t="shared" si="48"/>
        <v>0.62</v>
      </c>
      <c r="AW53" s="98">
        <f t="shared" si="38"/>
        <v>0.63229461756373939</v>
      </c>
      <c r="AX53" s="46">
        <f t="shared" si="39"/>
        <v>79.077060931899638</v>
      </c>
      <c r="AY53" s="74" t="str">
        <f t="shared" si="36"/>
        <v>DOS AÑOS</v>
      </c>
      <c r="AZ53" s="492"/>
      <c r="BA53" s="410"/>
      <c r="BB53" s="513"/>
      <c r="BC53" s="510"/>
      <c r="BD53" s="507"/>
    </row>
    <row r="54" spans="2:56" x14ac:dyDescent="0.25">
      <c r="B54" s="414"/>
      <c r="C54" s="458" t="s">
        <v>8</v>
      </c>
      <c r="D54" s="419"/>
      <c r="E54" s="419"/>
      <c r="F54" s="424"/>
      <c r="G54" s="481">
        <v>1E-3</v>
      </c>
      <c r="H54" s="473" t="s">
        <v>54</v>
      </c>
      <c r="I54" s="257">
        <v>0.5</v>
      </c>
      <c r="J54" s="106" t="s">
        <v>20</v>
      </c>
      <c r="K54" s="304" t="s">
        <v>76</v>
      </c>
      <c r="L54" s="311" t="s">
        <v>76</v>
      </c>
      <c r="M54" s="107">
        <v>0.3</v>
      </c>
      <c r="N54" s="108" t="s">
        <v>20</v>
      </c>
      <c r="O54" s="109">
        <v>0.4</v>
      </c>
      <c r="P54" s="110" t="s">
        <v>20</v>
      </c>
      <c r="Q54" s="37">
        <v>0</v>
      </c>
      <c r="R54" s="95">
        <v>0</v>
      </c>
      <c r="S54" s="38">
        <v>44063</v>
      </c>
      <c r="T54" s="438"/>
      <c r="U54" s="99">
        <v>0.15</v>
      </c>
      <c r="V54" s="96">
        <f t="shared" si="43"/>
        <v>0.15</v>
      </c>
      <c r="W54" s="99" t="s">
        <v>76</v>
      </c>
      <c r="X54" s="99" t="s">
        <v>76</v>
      </c>
      <c r="Y54" s="99" t="s">
        <v>76</v>
      </c>
      <c r="Z54" s="99">
        <v>0.05</v>
      </c>
      <c r="AA54" s="99">
        <v>0.1</v>
      </c>
      <c r="AB54" s="99">
        <v>5.7000000000000002E-2</v>
      </c>
      <c r="AC54" s="99" t="s">
        <v>76</v>
      </c>
      <c r="AD54" s="40">
        <f t="shared" si="29"/>
        <v>0.20699999999999999</v>
      </c>
      <c r="AE54" s="40">
        <f t="shared" si="30"/>
        <v>9.2999999999999999E-2</v>
      </c>
      <c r="AF54" s="40">
        <f t="shared" si="31"/>
        <v>0.20699999999999999</v>
      </c>
      <c r="AG54" s="41">
        <v>44421</v>
      </c>
      <c r="AH54" s="582"/>
      <c r="AI54" s="97">
        <v>0.01</v>
      </c>
      <c r="AJ54" s="97">
        <f t="shared" si="37"/>
        <v>0.01</v>
      </c>
      <c r="AK54" s="97"/>
      <c r="AL54" s="97"/>
      <c r="AM54" s="97"/>
      <c r="AN54" s="97">
        <v>0</v>
      </c>
      <c r="AO54" s="97">
        <v>0</v>
      </c>
      <c r="AP54" s="97">
        <v>5.8000000000000003E-2</v>
      </c>
      <c r="AQ54" s="97"/>
      <c r="AR54" s="40">
        <f t="shared" ref="AR54:AR64" si="50">(AK54+AP54)</f>
        <v>5.8000000000000003E-2</v>
      </c>
      <c r="AS54" s="40">
        <f t="shared" ref="AS54:AS64" si="51">(AK54-AP54)</f>
        <v>-5.8000000000000003E-2</v>
      </c>
      <c r="AT54" s="40">
        <f t="shared" si="49"/>
        <v>5.8000000000000003E-2</v>
      </c>
      <c r="AU54" s="43">
        <f t="shared" ref="AU54:AU55" si="52">YEARFRAC(S54,AG54)</f>
        <v>0.98055555555555551</v>
      </c>
      <c r="AV54" s="44">
        <f t="shared" ref="AV54:AV55" si="53">ABS(AT54-AF54)</f>
        <v>0.14899999999999999</v>
      </c>
      <c r="AW54" s="98">
        <f t="shared" si="38"/>
        <v>0.15195467422096318</v>
      </c>
      <c r="AX54" s="46">
        <f t="shared" si="39"/>
        <v>3.2904548844146158</v>
      </c>
      <c r="AY54" s="74" t="str">
        <f t="shared" ref="AY54:AY55" si="54">IF(AX54&lt;=1,"UN AÑO",IF(AX54&gt;=1,"DOS AÑOS"))</f>
        <v>DOS AÑOS</v>
      </c>
      <c r="AZ54" s="492"/>
      <c r="BA54" s="410"/>
      <c r="BB54" s="513"/>
      <c r="BC54" s="510"/>
      <c r="BD54" s="507"/>
    </row>
    <row r="55" spans="2:56" x14ac:dyDescent="0.25">
      <c r="B55" s="414"/>
      <c r="C55" s="458"/>
      <c r="D55" s="419"/>
      <c r="E55" s="419"/>
      <c r="F55" s="424"/>
      <c r="G55" s="481"/>
      <c r="H55" s="473"/>
      <c r="I55" s="257">
        <v>0.5</v>
      </c>
      <c r="J55" s="106" t="s">
        <v>20</v>
      </c>
      <c r="K55" s="304" t="s">
        <v>76</v>
      </c>
      <c r="L55" s="311" t="s">
        <v>76</v>
      </c>
      <c r="M55" s="107">
        <v>0.3</v>
      </c>
      <c r="N55" s="108" t="s">
        <v>20</v>
      </c>
      <c r="O55" s="109">
        <v>0.4</v>
      </c>
      <c r="P55" s="110" t="s">
        <v>20</v>
      </c>
      <c r="Q55" s="37">
        <v>0</v>
      </c>
      <c r="R55" s="95">
        <v>0</v>
      </c>
      <c r="S55" s="38">
        <v>44063</v>
      </c>
      <c r="T55" s="438"/>
      <c r="U55" s="99">
        <v>0.15</v>
      </c>
      <c r="V55" s="96">
        <f t="shared" si="43"/>
        <v>0.15</v>
      </c>
      <c r="W55" s="99"/>
      <c r="X55" s="99"/>
      <c r="Y55" s="99"/>
      <c r="Z55" s="99">
        <v>0.05</v>
      </c>
      <c r="AA55" s="99">
        <v>0.1</v>
      </c>
      <c r="AB55" s="99">
        <v>5.7000000000000002E-2</v>
      </c>
      <c r="AC55" s="99"/>
      <c r="AD55" s="40">
        <f t="shared" si="29"/>
        <v>0.20699999999999999</v>
      </c>
      <c r="AE55" s="40">
        <f t="shared" si="30"/>
        <v>9.2999999999999999E-2</v>
      </c>
      <c r="AF55" s="40">
        <f t="shared" si="31"/>
        <v>0.20699999999999999</v>
      </c>
      <c r="AG55" s="41">
        <v>44421</v>
      </c>
      <c r="AH55" s="582"/>
      <c r="AI55" s="97">
        <v>-0.02</v>
      </c>
      <c r="AJ55" s="97">
        <f t="shared" si="37"/>
        <v>-0.02</v>
      </c>
      <c r="AK55" s="97"/>
      <c r="AL55" s="97"/>
      <c r="AM55" s="97"/>
      <c r="AN55" s="97">
        <v>0</v>
      </c>
      <c r="AO55" s="97">
        <v>0</v>
      </c>
      <c r="AP55" s="97">
        <v>5.8000000000000003E-2</v>
      </c>
      <c r="AQ55" s="97"/>
      <c r="AR55" s="40">
        <f t="shared" si="50"/>
        <v>5.8000000000000003E-2</v>
      </c>
      <c r="AS55" s="40">
        <f t="shared" si="51"/>
        <v>-5.8000000000000003E-2</v>
      </c>
      <c r="AT55" s="40">
        <f t="shared" si="49"/>
        <v>5.8000000000000003E-2</v>
      </c>
      <c r="AU55" s="43">
        <f t="shared" si="52"/>
        <v>0.98055555555555551</v>
      </c>
      <c r="AV55" s="44">
        <f t="shared" si="53"/>
        <v>0.14899999999999999</v>
      </c>
      <c r="AW55" s="98">
        <f t="shared" ref="AW55:AW56" si="55">(AV55/AU55)</f>
        <v>0.15195467422096318</v>
      </c>
      <c r="AX55" s="46">
        <f t="shared" ref="AX55:AX56" si="56">(I55/AW55)</f>
        <v>3.2904548844146158</v>
      </c>
      <c r="AY55" s="74" t="str">
        <f t="shared" si="54"/>
        <v>DOS AÑOS</v>
      </c>
      <c r="AZ55" s="492"/>
      <c r="BA55" s="410"/>
      <c r="BB55" s="513"/>
      <c r="BC55" s="510"/>
      <c r="BD55" s="507"/>
    </row>
    <row r="56" spans="2:56" x14ac:dyDescent="0.25">
      <c r="B56" s="414"/>
      <c r="C56" s="458"/>
      <c r="D56" s="419"/>
      <c r="E56" s="419"/>
      <c r="F56" s="424"/>
      <c r="G56" s="481"/>
      <c r="H56" s="473"/>
      <c r="I56" s="257">
        <v>0.5</v>
      </c>
      <c r="J56" s="106" t="s">
        <v>20</v>
      </c>
      <c r="K56" s="304" t="s">
        <v>76</v>
      </c>
      <c r="L56" s="311" t="s">
        <v>76</v>
      </c>
      <c r="M56" s="107">
        <v>0.3</v>
      </c>
      <c r="N56" s="108" t="s">
        <v>20</v>
      </c>
      <c r="O56" s="109">
        <v>0.4</v>
      </c>
      <c r="P56" s="110" t="s">
        <v>20</v>
      </c>
      <c r="Q56" s="37">
        <v>0</v>
      </c>
      <c r="R56" s="95">
        <v>0</v>
      </c>
      <c r="S56" s="38">
        <v>44063</v>
      </c>
      <c r="T56" s="438"/>
      <c r="U56" s="99">
        <v>0.15</v>
      </c>
      <c r="V56" s="96">
        <f t="shared" si="43"/>
        <v>0.15</v>
      </c>
      <c r="W56" s="99"/>
      <c r="X56" s="99"/>
      <c r="Y56" s="99"/>
      <c r="Z56" s="99">
        <v>0.05</v>
      </c>
      <c r="AA56" s="99">
        <v>0.1</v>
      </c>
      <c r="AB56" s="99">
        <v>5.7000000000000002E-2</v>
      </c>
      <c r="AC56" s="99"/>
      <c r="AD56" s="40">
        <f t="shared" si="29"/>
        <v>0.20699999999999999</v>
      </c>
      <c r="AE56" s="40">
        <f t="shared" si="30"/>
        <v>9.2999999999999999E-2</v>
      </c>
      <c r="AF56" s="40">
        <f t="shared" si="31"/>
        <v>0.20699999999999999</v>
      </c>
      <c r="AG56" s="41">
        <v>44421</v>
      </c>
      <c r="AH56" s="582"/>
      <c r="AI56" s="97">
        <v>-0.02</v>
      </c>
      <c r="AJ56" s="97">
        <f t="shared" si="37"/>
        <v>-0.02</v>
      </c>
      <c r="AK56" s="97"/>
      <c r="AL56" s="97"/>
      <c r="AM56" s="97"/>
      <c r="AN56" s="97">
        <v>4.0000000000000001E-3</v>
      </c>
      <c r="AO56" s="97">
        <v>0</v>
      </c>
      <c r="AP56" s="97">
        <v>5.8000000000000003E-2</v>
      </c>
      <c r="AQ56" s="97"/>
      <c r="AR56" s="40">
        <f t="shared" si="50"/>
        <v>5.8000000000000003E-2</v>
      </c>
      <c r="AS56" s="40">
        <f t="shared" si="51"/>
        <v>-5.8000000000000003E-2</v>
      </c>
      <c r="AT56" s="40">
        <f t="shared" si="49"/>
        <v>5.8000000000000003E-2</v>
      </c>
      <c r="AU56" s="43">
        <f t="shared" ref="AU56:AU57" si="57">YEARFRAC(S56,AG56)</f>
        <v>0.98055555555555551</v>
      </c>
      <c r="AV56" s="44">
        <f t="shared" ref="AV56:AV57" si="58">ABS(AT56-AF56)</f>
        <v>0.14899999999999999</v>
      </c>
      <c r="AW56" s="98">
        <f t="shared" si="55"/>
        <v>0.15195467422096318</v>
      </c>
      <c r="AX56" s="46">
        <f t="shared" si="56"/>
        <v>3.2904548844146158</v>
      </c>
      <c r="AY56" s="74" t="str">
        <f t="shared" ref="AY56:AY57" si="59">IF(AX56&lt;=1,"UN AÑO",IF(AX56&gt;=1,"DOS AÑOS"))</f>
        <v>DOS AÑOS</v>
      </c>
      <c r="AZ56" s="492"/>
      <c r="BA56" s="410"/>
      <c r="BB56" s="513"/>
      <c r="BC56" s="510"/>
      <c r="BD56" s="507"/>
    </row>
    <row r="57" spans="2:56" ht="15.75" thickBot="1" x14ac:dyDescent="0.3">
      <c r="B57" s="414"/>
      <c r="C57" s="458"/>
      <c r="D57" s="419"/>
      <c r="E57" s="419"/>
      <c r="F57" s="424"/>
      <c r="G57" s="481"/>
      <c r="H57" s="473"/>
      <c r="I57" s="257">
        <v>0.5</v>
      </c>
      <c r="J57" s="106" t="s">
        <v>20</v>
      </c>
      <c r="K57" s="304" t="s">
        <v>76</v>
      </c>
      <c r="L57" s="311" t="s">
        <v>76</v>
      </c>
      <c r="M57" s="107">
        <v>0.3</v>
      </c>
      <c r="N57" s="108" t="s">
        <v>20</v>
      </c>
      <c r="O57" s="109">
        <v>0.4</v>
      </c>
      <c r="P57" s="110" t="s">
        <v>20</v>
      </c>
      <c r="Q57" s="37" t="s">
        <v>76</v>
      </c>
      <c r="R57" s="95">
        <v>0</v>
      </c>
      <c r="S57" s="38">
        <v>44063</v>
      </c>
      <c r="T57" s="438"/>
      <c r="U57" s="99"/>
      <c r="V57" s="96"/>
      <c r="W57" s="99"/>
      <c r="X57" s="99" t="s">
        <v>76</v>
      </c>
      <c r="Y57" s="99" t="s">
        <v>76</v>
      </c>
      <c r="Z57" s="99"/>
      <c r="AA57" s="99"/>
      <c r="AB57" s="99" t="s">
        <v>76</v>
      </c>
      <c r="AC57" s="99"/>
      <c r="AD57" s="40"/>
      <c r="AE57" s="40"/>
      <c r="AF57" s="40"/>
      <c r="AG57" s="41">
        <v>44421</v>
      </c>
      <c r="AH57" s="582"/>
      <c r="AI57" s="97">
        <v>-0.1</v>
      </c>
      <c r="AJ57" s="97">
        <f t="shared" si="37"/>
        <v>-0.1</v>
      </c>
      <c r="AK57" s="97"/>
      <c r="AL57" s="97" t="s">
        <v>76</v>
      </c>
      <c r="AM57" s="97" t="s">
        <v>76</v>
      </c>
      <c r="AN57" s="97">
        <v>0</v>
      </c>
      <c r="AO57" s="97">
        <v>0</v>
      </c>
      <c r="AP57" s="97">
        <v>5.8000000000000003E-2</v>
      </c>
      <c r="AQ57" s="97"/>
      <c r="AR57" s="40">
        <f t="shared" si="50"/>
        <v>5.8000000000000003E-2</v>
      </c>
      <c r="AS57" s="40">
        <f t="shared" si="51"/>
        <v>-5.8000000000000003E-2</v>
      </c>
      <c r="AT57" s="40">
        <f t="shared" si="49"/>
        <v>5.8000000000000003E-2</v>
      </c>
      <c r="AU57" s="43">
        <f t="shared" si="57"/>
        <v>0.98055555555555551</v>
      </c>
      <c r="AV57" s="44">
        <f t="shared" si="58"/>
        <v>5.8000000000000003E-2</v>
      </c>
      <c r="AW57" s="98">
        <f t="shared" ref="AW57:AW73" si="60">(AV57/AU57)</f>
        <v>5.9150141643059498E-2</v>
      </c>
      <c r="AX57" s="46">
        <f t="shared" ref="AX57:AX73" si="61">(I57/AW57)</f>
        <v>8.4530651340996155</v>
      </c>
      <c r="AY57" s="74" t="str">
        <f t="shared" si="59"/>
        <v>DOS AÑOS</v>
      </c>
      <c r="AZ57" s="492"/>
      <c r="BA57" s="410"/>
      <c r="BB57" s="513"/>
      <c r="BC57" s="510"/>
      <c r="BD57" s="507"/>
    </row>
    <row r="58" spans="2:56" ht="15.75" customHeight="1" x14ac:dyDescent="0.25">
      <c r="B58" s="414"/>
      <c r="C58" s="458" t="s">
        <v>184</v>
      </c>
      <c r="D58" s="419"/>
      <c r="E58" s="419"/>
      <c r="F58" s="424"/>
      <c r="G58" s="481">
        <v>1E-4</v>
      </c>
      <c r="H58" s="473" t="s">
        <v>51</v>
      </c>
      <c r="I58" s="78">
        <v>0.1</v>
      </c>
      <c r="J58" s="79" t="s">
        <v>46</v>
      </c>
      <c r="K58" s="297" t="s">
        <v>76</v>
      </c>
      <c r="L58" s="312" t="s">
        <v>76</v>
      </c>
      <c r="M58" s="80">
        <v>0.04</v>
      </c>
      <c r="N58" s="81" t="s">
        <v>46</v>
      </c>
      <c r="O58" s="82">
        <v>0.04</v>
      </c>
      <c r="P58" s="83" t="s">
        <v>46</v>
      </c>
      <c r="Q58" s="84"/>
      <c r="R58" s="84">
        <v>0.99399999999999999</v>
      </c>
      <c r="S58" s="38"/>
      <c r="T58" s="438"/>
      <c r="U58" s="96"/>
      <c r="V58" s="96"/>
      <c r="W58" s="96"/>
      <c r="X58" s="96"/>
      <c r="Y58" s="96"/>
      <c r="Z58" s="96"/>
      <c r="AA58" s="96"/>
      <c r="AB58" s="96"/>
      <c r="AC58" s="96"/>
      <c r="AD58" s="40"/>
      <c r="AE58" s="40"/>
      <c r="AF58" s="40"/>
      <c r="AG58" s="41">
        <v>44421</v>
      </c>
      <c r="AH58" s="582"/>
      <c r="AI58" s="97">
        <v>0.99</v>
      </c>
      <c r="AJ58" s="97">
        <f t="shared" si="37"/>
        <v>-4.0000000000000036E-3</v>
      </c>
      <c r="AK58" s="97"/>
      <c r="AL58" s="97" t="s">
        <v>76</v>
      </c>
      <c r="AM58" s="97" t="s">
        <v>76</v>
      </c>
      <c r="AN58" s="97" t="s">
        <v>76</v>
      </c>
      <c r="AO58" s="97">
        <v>0</v>
      </c>
      <c r="AP58" s="97">
        <v>2.1000000000000001E-2</v>
      </c>
      <c r="AQ58" s="97"/>
      <c r="AR58" s="40">
        <f t="shared" si="50"/>
        <v>2.1000000000000001E-2</v>
      </c>
      <c r="AS58" s="40">
        <f t="shared" si="51"/>
        <v>-2.1000000000000001E-2</v>
      </c>
      <c r="AT58" s="40">
        <f t="shared" si="44"/>
        <v>2.1000000000000001E-2</v>
      </c>
      <c r="AU58" s="43">
        <f t="shared" ref="AU58:AU73" si="62">YEARFRAC(S58,AG58)</f>
        <v>121.61944444444444</v>
      </c>
      <c r="AV58" s="44">
        <f t="shared" ref="AV58:AV73" si="63">ABS(AT58-AF58)</f>
        <v>2.1000000000000001E-2</v>
      </c>
      <c r="AW58" s="98">
        <f t="shared" si="60"/>
        <v>1.726697576685015E-4</v>
      </c>
      <c r="AX58" s="46">
        <f t="shared" si="61"/>
        <v>579.14021164021153</v>
      </c>
      <c r="AY58" s="74" t="str">
        <f t="shared" ref="AY58:AY73" si="64">IF(AX58&lt;=1,"UN AÑO",IF(AX58&gt;=1,"DOS AÑOS"))</f>
        <v>DOS AÑOS</v>
      </c>
      <c r="AZ58" s="492" t="s">
        <v>9</v>
      </c>
      <c r="BA58" s="410"/>
      <c r="BB58" s="513"/>
      <c r="BC58" s="510"/>
      <c r="BD58" s="507"/>
    </row>
    <row r="59" spans="2:56" ht="15.75" customHeight="1" x14ac:dyDescent="0.25">
      <c r="B59" s="414"/>
      <c r="C59" s="458"/>
      <c r="D59" s="419"/>
      <c r="E59" s="419"/>
      <c r="F59" s="424"/>
      <c r="G59" s="481"/>
      <c r="H59" s="473"/>
      <c r="I59" s="262">
        <v>0.2</v>
      </c>
      <c r="J59" s="90" t="s">
        <v>46</v>
      </c>
      <c r="K59" s="298" t="s">
        <v>76</v>
      </c>
      <c r="L59" s="299" t="s">
        <v>76</v>
      </c>
      <c r="M59" s="263">
        <v>0.08</v>
      </c>
      <c r="N59" s="92" t="s">
        <v>46</v>
      </c>
      <c r="O59" s="264">
        <v>0.08</v>
      </c>
      <c r="P59" s="94" t="s">
        <v>46</v>
      </c>
      <c r="Q59" s="266"/>
      <c r="R59" s="266">
        <v>4.01</v>
      </c>
      <c r="S59" s="38"/>
      <c r="T59" s="438"/>
      <c r="U59" s="96"/>
      <c r="V59" s="96"/>
      <c r="W59" s="96"/>
      <c r="X59" s="96"/>
      <c r="Y59" s="96"/>
      <c r="Z59" s="96"/>
      <c r="AA59" s="96"/>
      <c r="AB59" s="96"/>
      <c r="AC59" s="96"/>
      <c r="AD59" s="40"/>
      <c r="AE59" s="40"/>
      <c r="AF59" s="40"/>
      <c r="AG59" s="41">
        <v>44421</v>
      </c>
      <c r="AH59" s="582"/>
      <c r="AI59" s="97">
        <v>4.05</v>
      </c>
      <c r="AJ59" s="97">
        <f t="shared" si="37"/>
        <v>4.0000000000000036E-2</v>
      </c>
      <c r="AK59" s="97"/>
      <c r="AL59" s="97"/>
      <c r="AM59" s="97"/>
      <c r="AN59" s="97" t="s">
        <v>76</v>
      </c>
      <c r="AO59" s="97">
        <v>0</v>
      </c>
      <c r="AP59" s="97">
        <v>0.09</v>
      </c>
      <c r="AQ59" s="97"/>
      <c r="AR59" s="40">
        <f t="shared" si="50"/>
        <v>0.09</v>
      </c>
      <c r="AS59" s="40">
        <f t="shared" si="51"/>
        <v>-0.09</v>
      </c>
      <c r="AT59" s="40">
        <f t="shared" si="44"/>
        <v>0.09</v>
      </c>
      <c r="AU59" s="43">
        <f t="shared" si="62"/>
        <v>121.61944444444444</v>
      </c>
      <c r="AV59" s="44">
        <f t="shared" si="63"/>
        <v>0.09</v>
      </c>
      <c r="AW59" s="98">
        <f t="shared" si="60"/>
        <v>7.4001324715072055E-4</v>
      </c>
      <c r="AX59" s="46">
        <f t="shared" si="61"/>
        <v>270.26543209876547</v>
      </c>
      <c r="AY59" s="74" t="str">
        <f t="shared" si="64"/>
        <v>DOS AÑOS</v>
      </c>
      <c r="AZ59" s="492"/>
      <c r="BA59" s="410"/>
      <c r="BB59" s="513"/>
      <c r="BC59" s="510"/>
      <c r="BD59" s="507"/>
    </row>
    <row r="60" spans="2:56" ht="15.75" customHeight="1" x14ac:dyDescent="0.25">
      <c r="B60" s="414"/>
      <c r="C60" s="458"/>
      <c r="D60" s="419"/>
      <c r="E60" s="419"/>
      <c r="F60" s="424"/>
      <c r="G60" s="481"/>
      <c r="H60" s="473"/>
      <c r="I60" s="262">
        <v>0.5</v>
      </c>
      <c r="J60" s="90" t="s">
        <v>46</v>
      </c>
      <c r="K60" s="298" t="s">
        <v>76</v>
      </c>
      <c r="L60" s="299" t="s">
        <v>76</v>
      </c>
      <c r="M60" s="263">
        <v>0.16</v>
      </c>
      <c r="N60" s="92" t="s">
        <v>46</v>
      </c>
      <c r="O60" s="264">
        <v>0.16</v>
      </c>
      <c r="P60" s="94" t="s">
        <v>46</v>
      </c>
      <c r="Q60" s="266"/>
      <c r="R60" s="266">
        <v>7.97</v>
      </c>
      <c r="S60" s="38"/>
      <c r="T60" s="438"/>
      <c r="U60" s="96"/>
      <c r="V60" s="96"/>
      <c r="W60" s="96"/>
      <c r="X60" s="96"/>
      <c r="Y60" s="96"/>
      <c r="Z60" s="96"/>
      <c r="AA60" s="96"/>
      <c r="AB60" s="96"/>
      <c r="AC60" s="96"/>
      <c r="AD60" s="40"/>
      <c r="AE60" s="40"/>
      <c r="AF60" s="40"/>
      <c r="AG60" s="41">
        <v>44421</v>
      </c>
      <c r="AH60" s="582"/>
      <c r="AI60" s="97">
        <v>7.97</v>
      </c>
      <c r="AJ60" s="97">
        <f t="shared" si="37"/>
        <v>0</v>
      </c>
      <c r="AK60" s="97"/>
      <c r="AL60" s="97"/>
      <c r="AM60" s="97"/>
      <c r="AN60" s="97" t="s">
        <v>76</v>
      </c>
      <c r="AO60" s="97">
        <v>0</v>
      </c>
      <c r="AP60" s="97">
        <v>0.17</v>
      </c>
      <c r="AQ60" s="97"/>
      <c r="AR60" s="40">
        <f t="shared" si="50"/>
        <v>0.17</v>
      </c>
      <c r="AS60" s="40">
        <f t="shared" si="51"/>
        <v>-0.17</v>
      </c>
      <c r="AT60" s="40">
        <f t="shared" si="44"/>
        <v>0.17</v>
      </c>
      <c r="AU60" s="43">
        <f t="shared" si="62"/>
        <v>121.61944444444444</v>
      </c>
      <c r="AV60" s="44">
        <f t="shared" si="63"/>
        <v>0.17</v>
      </c>
      <c r="AW60" s="98">
        <f t="shared" si="60"/>
        <v>1.3978028001735835E-3</v>
      </c>
      <c r="AX60" s="46">
        <f t="shared" si="61"/>
        <v>357.70424836601302</v>
      </c>
      <c r="AY60" s="74" t="str">
        <f t="shared" si="64"/>
        <v>DOS AÑOS</v>
      </c>
      <c r="AZ60" s="492"/>
      <c r="BA60" s="410"/>
      <c r="BB60" s="513"/>
      <c r="BC60" s="510"/>
      <c r="BD60" s="507"/>
    </row>
    <row r="61" spans="2:56" x14ac:dyDescent="0.25">
      <c r="B61" s="414"/>
      <c r="C61" s="458"/>
      <c r="D61" s="419"/>
      <c r="E61" s="419"/>
      <c r="F61" s="424"/>
      <c r="G61" s="481"/>
      <c r="H61" s="473"/>
      <c r="I61" s="89">
        <v>0.05</v>
      </c>
      <c r="J61" s="90" t="s">
        <v>46</v>
      </c>
      <c r="K61" s="300" t="s">
        <v>76</v>
      </c>
      <c r="L61" s="313" t="s">
        <v>76</v>
      </c>
      <c r="M61" s="91">
        <v>0.02</v>
      </c>
      <c r="N61" s="92" t="s">
        <v>46</v>
      </c>
      <c r="O61" s="93">
        <v>0.02</v>
      </c>
      <c r="P61" s="94" t="s">
        <v>46</v>
      </c>
      <c r="Q61" s="95"/>
      <c r="R61" s="95">
        <v>0</v>
      </c>
      <c r="S61" s="38"/>
      <c r="T61" s="438"/>
      <c r="U61" s="96"/>
      <c r="V61" s="96"/>
      <c r="W61" s="96"/>
      <c r="X61" s="96"/>
      <c r="Y61" s="96"/>
      <c r="Z61" s="96"/>
      <c r="AA61" s="96"/>
      <c r="AB61" s="96"/>
      <c r="AC61" s="96"/>
      <c r="AD61" s="40"/>
      <c r="AE61" s="40"/>
      <c r="AF61" s="40"/>
      <c r="AG61" s="41">
        <v>44421</v>
      </c>
      <c r="AH61" s="582"/>
      <c r="AI61" s="97">
        <v>0</v>
      </c>
      <c r="AJ61" s="97">
        <f t="shared" si="37"/>
        <v>0</v>
      </c>
      <c r="AK61" s="97"/>
      <c r="AL61" s="97" t="s">
        <v>76</v>
      </c>
      <c r="AM61" s="97" t="s">
        <v>76</v>
      </c>
      <c r="AN61" s="97" t="s">
        <v>76</v>
      </c>
      <c r="AO61" s="97">
        <v>0</v>
      </c>
      <c r="AP61" s="97">
        <v>6.0000000000000001E-3</v>
      </c>
      <c r="AQ61" s="97"/>
      <c r="AR61" s="40">
        <f t="shared" si="50"/>
        <v>6.0000000000000001E-3</v>
      </c>
      <c r="AS61" s="40">
        <f t="shared" si="51"/>
        <v>-6.0000000000000001E-3</v>
      </c>
      <c r="AT61" s="40">
        <f t="shared" si="44"/>
        <v>6.0000000000000001E-3</v>
      </c>
      <c r="AU61" s="43">
        <f t="shared" si="62"/>
        <v>121.61944444444444</v>
      </c>
      <c r="AV61" s="44">
        <f t="shared" si="63"/>
        <v>6.0000000000000001E-3</v>
      </c>
      <c r="AW61" s="98">
        <f t="shared" si="60"/>
        <v>4.9334216476714706E-5</v>
      </c>
      <c r="AX61" s="46">
        <f t="shared" si="61"/>
        <v>1013.4953703703704</v>
      </c>
      <c r="AY61" s="74" t="str">
        <f t="shared" si="64"/>
        <v>DOS AÑOS</v>
      </c>
      <c r="AZ61" s="492"/>
      <c r="BA61" s="410"/>
      <c r="BB61" s="513"/>
      <c r="BC61" s="510"/>
      <c r="BD61" s="507"/>
    </row>
    <row r="62" spans="2:56" x14ac:dyDescent="0.25">
      <c r="B62" s="414"/>
      <c r="C62" s="458" t="s">
        <v>6</v>
      </c>
      <c r="D62" s="419"/>
      <c r="E62" s="419"/>
      <c r="F62" s="424"/>
      <c r="G62" s="482">
        <v>1E-3</v>
      </c>
      <c r="H62" s="473" t="s">
        <v>52</v>
      </c>
      <c r="I62" s="89">
        <v>0.4</v>
      </c>
      <c r="J62" s="90" t="s">
        <v>46</v>
      </c>
      <c r="K62" s="300" t="s">
        <v>76</v>
      </c>
      <c r="L62" s="313" t="s">
        <v>76</v>
      </c>
      <c r="M62" s="91">
        <v>0.2</v>
      </c>
      <c r="N62" s="92" t="s">
        <v>46</v>
      </c>
      <c r="O62" s="93">
        <v>0.3</v>
      </c>
      <c r="P62" s="94" t="s">
        <v>46</v>
      </c>
      <c r="Q62" s="95"/>
      <c r="R62" s="95">
        <v>5.98</v>
      </c>
      <c r="S62" s="38"/>
      <c r="T62" s="438"/>
      <c r="U62" s="99"/>
      <c r="V62" s="96"/>
      <c r="W62" s="99"/>
      <c r="X62" s="99"/>
      <c r="Y62" s="99"/>
      <c r="Z62" s="99"/>
      <c r="AA62" s="99"/>
      <c r="AB62" s="99"/>
      <c r="AC62" s="99"/>
      <c r="AD62" s="40"/>
      <c r="AE62" s="40"/>
      <c r="AF62" s="40"/>
      <c r="AG62" s="41">
        <v>44421</v>
      </c>
      <c r="AH62" s="582"/>
      <c r="AI62" s="97">
        <v>6.03</v>
      </c>
      <c r="AJ62" s="97">
        <f t="shared" si="37"/>
        <v>4.9999999999999822E-2</v>
      </c>
      <c r="AK62" s="97"/>
      <c r="AL62" s="97" t="s">
        <v>76</v>
      </c>
      <c r="AM62" s="97" t="s">
        <v>76</v>
      </c>
      <c r="AN62" s="97" t="s">
        <v>76</v>
      </c>
      <c r="AO62" s="97">
        <v>0</v>
      </c>
      <c r="AP62" s="97">
        <v>0.12</v>
      </c>
      <c r="AQ62" s="97"/>
      <c r="AR62" s="40">
        <f t="shared" si="50"/>
        <v>0.12</v>
      </c>
      <c r="AS62" s="40">
        <f t="shared" si="51"/>
        <v>-0.12</v>
      </c>
      <c r="AT62" s="40">
        <f t="shared" si="44"/>
        <v>0.12</v>
      </c>
      <c r="AU62" s="43">
        <f t="shared" si="62"/>
        <v>121.61944444444444</v>
      </c>
      <c r="AV62" s="44">
        <f t="shared" si="63"/>
        <v>0.12</v>
      </c>
      <c r="AW62" s="98">
        <f t="shared" si="60"/>
        <v>9.8668432953429421E-4</v>
      </c>
      <c r="AX62" s="46">
        <f t="shared" si="61"/>
        <v>405.39814814814815</v>
      </c>
      <c r="AY62" s="74" t="str">
        <f t="shared" si="64"/>
        <v>DOS AÑOS</v>
      </c>
      <c r="AZ62" s="492"/>
      <c r="BA62" s="410"/>
      <c r="BB62" s="513"/>
      <c r="BC62" s="510"/>
      <c r="BD62" s="507"/>
    </row>
    <row r="63" spans="2:56" x14ac:dyDescent="0.25">
      <c r="B63" s="414"/>
      <c r="C63" s="458"/>
      <c r="D63" s="419"/>
      <c r="E63" s="419"/>
      <c r="F63" s="424"/>
      <c r="G63" s="482"/>
      <c r="H63" s="473"/>
      <c r="I63" s="89">
        <v>0.8</v>
      </c>
      <c r="J63" s="90" t="s">
        <v>46</v>
      </c>
      <c r="K63" s="300" t="s">
        <v>76</v>
      </c>
      <c r="L63" s="301" t="s">
        <v>76</v>
      </c>
      <c r="M63" s="91">
        <v>0.2</v>
      </c>
      <c r="N63" s="92" t="s">
        <v>46</v>
      </c>
      <c r="O63" s="93">
        <v>0.3</v>
      </c>
      <c r="P63" s="94" t="s">
        <v>46</v>
      </c>
      <c r="Q63" s="95"/>
      <c r="R63" s="95">
        <v>10.5</v>
      </c>
      <c r="S63" s="38"/>
      <c r="T63" s="438"/>
      <c r="U63" s="99"/>
      <c r="V63" s="96"/>
      <c r="W63" s="99"/>
      <c r="X63" s="99"/>
      <c r="Y63" s="99"/>
      <c r="Z63" s="99"/>
      <c r="AA63" s="99"/>
      <c r="AB63" s="99"/>
      <c r="AC63" s="99"/>
      <c r="AD63" s="40"/>
      <c r="AE63" s="40"/>
      <c r="AF63" s="40"/>
      <c r="AG63" s="41">
        <v>44421</v>
      </c>
      <c r="AH63" s="582"/>
      <c r="AI63" s="97">
        <v>10.6</v>
      </c>
      <c r="AJ63" s="97">
        <f t="shared" si="37"/>
        <v>9.9999999999999645E-2</v>
      </c>
      <c r="AK63" s="97"/>
      <c r="AL63" s="97"/>
      <c r="AM63" s="97"/>
      <c r="AN63" s="97" t="s">
        <v>76</v>
      </c>
      <c r="AO63" s="97">
        <v>0</v>
      </c>
      <c r="AP63" s="97">
        <v>0.2</v>
      </c>
      <c r="AQ63" s="97"/>
      <c r="AR63" s="40">
        <f t="shared" si="50"/>
        <v>0.2</v>
      </c>
      <c r="AS63" s="40">
        <f t="shared" si="51"/>
        <v>-0.2</v>
      </c>
      <c r="AT63" s="40">
        <f t="shared" si="44"/>
        <v>0.2</v>
      </c>
      <c r="AU63" s="43">
        <f t="shared" si="62"/>
        <v>121.61944444444444</v>
      </c>
      <c r="AV63" s="44">
        <f t="shared" si="63"/>
        <v>0.2</v>
      </c>
      <c r="AW63" s="98">
        <f t="shared" si="60"/>
        <v>1.6444738825571569E-3</v>
      </c>
      <c r="AX63" s="46">
        <f t="shared" si="61"/>
        <v>486.47777777777782</v>
      </c>
      <c r="AY63" s="74" t="str">
        <f t="shared" si="64"/>
        <v>DOS AÑOS</v>
      </c>
      <c r="AZ63" s="492"/>
      <c r="BA63" s="410"/>
      <c r="BB63" s="513"/>
      <c r="BC63" s="510"/>
      <c r="BD63" s="507"/>
    </row>
    <row r="64" spans="2:56" x14ac:dyDescent="0.25">
      <c r="B64" s="414"/>
      <c r="C64" s="458"/>
      <c r="D64" s="419"/>
      <c r="E64" s="419"/>
      <c r="F64" s="424"/>
      <c r="G64" s="482"/>
      <c r="H64" s="473"/>
      <c r="I64" s="89">
        <v>0.8</v>
      </c>
      <c r="J64" s="90" t="s">
        <v>46</v>
      </c>
      <c r="K64" s="300" t="s">
        <v>76</v>
      </c>
      <c r="L64" s="301" t="s">
        <v>76</v>
      </c>
      <c r="M64" s="91">
        <v>0.2</v>
      </c>
      <c r="N64" s="92" t="s">
        <v>46</v>
      </c>
      <c r="O64" s="93">
        <v>0.3</v>
      </c>
      <c r="P64" s="94" t="s">
        <v>46</v>
      </c>
      <c r="Q64" s="95"/>
      <c r="R64" s="95">
        <v>13.02</v>
      </c>
      <c r="S64" s="38"/>
      <c r="T64" s="438"/>
      <c r="U64" s="99"/>
      <c r="V64" s="96"/>
      <c r="W64" s="99"/>
      <c r="X64" s="99"/>
      <c r="Y64" s="99"/>
      <c r="Z64" s="99"/>
      <c r="AA64" s="99"/>
      <c r="AB64" s="99"/>
      <c r="AC64" s="99"/>
      <c r="AD64" s="40"/>
      <c r="AE64" s="40"/>
      <c r="AF64" s="40"/>
      <c r="AG64" s="41">
        <v>44421</v>
      </c>
      <c r="AH64" s="582"/>
      <c r="AI64" s="97">
        <v>13</v>
      </c>
      <c r="AJ64" s="97">
        <f t="shared" si="37"/>
        <v>-1.9999999999999574E-2</v>
      </c>
      <c r="AK64" s="97"/>
      <c r="AL64" s="97"/>
      <c r="AM64" s="97"/>
      <c r="AN64" s="97" t="s">
        <v>76</v>
      </c>
      <c r="AO64" s="97">
        <v>0</v>
      </c>
      <c r="AP64" s="97">
        <v>0.15</v>
      </c>
      <c r="AQ64" s="97"/>
      <c r="AR64" s="40">
        <f t="shared" si="50"/>
        <v>0.15</v>
      </c>
      <c r="AS64" s="40">
        <f t="shared" si="51"/>
        <v>-0.15</v>
      </c>
      <c r="AT64" s="40">
        <f t="shared" si="44"/>
        <v>0.15</v>
      </c>
      <c r="AU64" s="43">
        <f t="shared" si="62"/>
        <v>121.61944444444444</v>
      </c>
      <c r="AV64" s="44">
        <f t="shared" si="63"/>
        <v>0.15</v>
      </c>
      <c r="AW64" s="98">
        <f t="shared" si="60"/>
        <v>1.2333554119178677E-3</v>
      </c>
      <c r="AX64" s="46">
        <f t="shared" si="61"/>
        <v>648.63703703703709</v>
      </c>
      <c r="AY64" s="74" t="str">
        <f t="shared" si="64"/>
        <v>DOS AÑOS</v>
      </c>
      <c r="AZ64" s="492"/>
      <c r="BA64" s="410"/>
      <c r="BB64" s="513"/>
      <c r="BC64" s="510"/>
      <c r="BD64" s="507"/>
    </row>
    <row r="65" spans="1:56" x14ac:dyDescent="0.25">
      <c r="B65" s="414"/>
      <c r="C65" s="458"/>
      <c r="D65" s="419"/>
      <c r="E65" s="419"/>
      <c r="F65" s="424"/>
      <c r="G65" s="482"/>
      <c r="H65" s="473"/>
      <c r="I65" s="89">
        <v>0.1</v>
      </c>
      <c r="J65" s="90" t="s">
        <v>46</v>
      </c>
      <c r="K65" s="300" t="s">
        <v>76</v>
      </c>
      <c r="L65" s="313" t="s">
        <v>76</v>
      </c>
      <c r="M65" s="91">
        <v>0.2</v>
      </c>
      <c r="N65" s="92" t="s">
        <v>46</v>
      </c>
      <c r="O65" s="93">
        <v>0.3</v>
      </c>
      <c r="P65" s="94" t="s">
        <v>46</v>
      </c>
      <c r="Q65" s="95"/>
      <c r="R65" s="95">
        <v>0</v>
      </c>
      <c r="S65" s="38"/>
      <c r="T65" s="438"/>
      <c r="U65" s="99"/>
      <c r="V65" s="96"/>
      <c r="W65" s="99"/>
      <c r="X65" s="99"/>
      <c r="Y65" s="99"/>
      <c r="Z65" s="99"/>
      <c r="AA65" s="99"/>
      <c r="AB65" s="99"/>
      <c r="AC65" s="99"/>
      <c r="AD65" s="40"/>
      <c r="AE65" s="40"/>
      <c r="AF65" s="40"/>
      <c r="AG65" s="41">
        <v>44421</v>
      </c>
      <c r="AH65" s="582"/>
      <c r="AI65" s="97">
        <v>0</v>
      </c>
      <c r="AJ65" s="97">
        <f t="shared" si="37"/>
        <v>0</v>
      </c>
      <c r="AK65" s="97"/>
      <c r="AL65" s="97" t="s">
        <v>76</v>
      </c>
      <c r="AM65" s="97" t="s">
        <v>76</v>
      </c>
      <c r="AN65" s="97" t="s">
        <v>76</v>
      </c>
      <c r="AO65" s="97">
        <v>0</v>
      </c>
      <c r="AP65" s="97">
        <v>5.8000000000000003E-2</v>
      </c>
      <c r="AQ65" s="97"/>
      <c r="AR65" s="40">
        <f t="shared" ref="AR65:AR73" si="65">(AK65+AP65)</f>
        <v>5.8000000000000003E-2</v>
      </c>
      <c r="AS65" s="40">
        <f t="shared" ref="AS65:AS73" si="66">(AK65-AP65)</f>
        <v>-5.8000000000000003E-2</v>
      </c>
      <c r="AT65" s="40">
        <f t="shared" si="44"/>
        <v>5.8000000000000003E-2</v>
      </c>
      <c r="AU65" s="43">
        <f t="shared" si="62"/>
        <v>121.61944444444444</v>
      </c>
      <c r="AV65" s="44">
        <f t="shared" si="63"/>
        <v>5.8000000000000003E-2</v>
      </c>
      <c r="AW65" s="98">
        <f t="shared" si="60"/>
        <v>4.7689742594157552E-4</v>
      </c>
      <c r="AX65" s="46">
        <f t="shared" si="61"/>
        <v>209.68869731800766</v>
      </c>
      <c r="AY65" s="74" t="str">
        <f t="shared" si="64"/>
        <v>DOS AÑOS</v>
      </c>
      <c r="AZ65" s="492"/>
      <c r="BA65" s="410"/>
      <c r="BB65" s="513"/>
      <c r="BC65" s="510"/>
      <c r="BD65" s="507"/>
    </row>
    <row r="66" spans="1:56" x14ac:dyDescent="0.25">
      <c r="B66" s="414"/>
      <c r="C66" s="458" t="s">
        <v>7</v>
      </c>
      <c r="D66" s="419"/>
      <c r="E66" s="419"/>
      <c r="F66" s="424"/>
      <c r="G66" s="473" t="s">
        <v>14</v>
      </c>
      <c r="H66" s="473" t="s">
        <v>55</v>
      </c>
      <c r="I66" s="100">
        <v>50</v>
      </c>
      <c r="J66" s="101" t="s">
        <v>53</v>
      </c>
      <c r="K66" s="302" t="s">
        <v>76</v>
      </c>
      <c r="L66" s="311" t="s">
        <v>76</v>
      </c>
      <c r="M66" s="102">
        <v>8</v>
      </c>
      <c r="N66" s="103" t="s">
        <v>53</v>
      </c>
      <c r="O66" s="104">
        <v>10</v>
      </c>
      <c r="P66" s="105" t="s">
        <v>53</v>
      </c>
      <c r="Q66" s="37"/>
      <c r="R66" s="37">
        <v>158.5</v>
      </c>
      <c r="S66" s="38"/>
      <c r="T66" s="438"/>
      <c r="U66" s="99"/>
      <c r="V66" s="96"/>
      <c r="W66" s="99"/>
      <c r="X66" s="99"/>
      <c r="Y66" s="99"/>
      <c r="Z66" s="99"/>
      <c r="AA66" s="99"/>
      <c r="AB66" s="99"/>
      <c r="AC66" s="99"/>
      <c r="AD66" s="40"/>
      <c r="AE66" s="40"/>
      <c r="AF66" s="40"/>
      <c r="AG66" s="41">
        <v>44421</v>
      </c>
      <c r="AH66" s="582"/>
      <c r="AI66" s="97">
        <v>155</v>
      </c>
      <c r="AJ66" s="97">
        <f t="shared" si="37"/>
        <v>-3.5</v>
      </c>
      <c r="AK66" s="97"/>
      <c r="AL66" s="97" t="s">
        <v>76</v>
      </c>
      <c r="AM66" s="97" t="s">
        <v>76</v>
      </c>
      <c r="AN66" s="97" t="s">
        <v>76</v>
      </c>
      <c r="AO66" s="97">
        <v>0</v>
      </c>
      <c r="AP66" s="97">
        <v>3.3</v>
      </c>
      <c r="AQ66" s="97"/>
      <c r="AR66" s="40">
        <f t="shared" si="65"/>
        <v>3.3</v>
      </c>
      <c r="AS66" s="40">
        <f t="shared" si="66"/>
        <v>-3.3</v>
      </c>
      <c r="AT66" s="40">
        <f t="shared" ref="AT66:AT73" si="67">MAX(AR66:AS66)</f>
        <v>3.3</v>
      </c>
      <c r="AU66" s="43">
        <f t="shared" si="62"/>
        <v>121.61944444444444</v>
      </c>
      <c r="AV66" s="44">
        <f t="shared" si="63"/>
        <v>3.3</v>
      </c>
      <c r="AW66" s="98">
        <f t="shared" si="60"/>
        <v>2.7133819062193087E-2</v>
      </c>
      <c r="AX66" s="46">
        <f t="shared" si="61"/>
        <v>1842.7188552188552</v>
      </c>
      <c r="AY66" s="74" t="str">
        <f t="shared" si="64"/>
        <v>DOS AÑOS</v>
      </c>
      <c r="AZ66" s="492"/>
      <c r="BA66" s="410"/>
      <c r="BB66" s="513"/>
      <c r="BC66" s="510"/>
      <c r="BD66" s="507"/>
    </row>
    <row r="67" spans="1:56" x14ac:dyDescent="0.25">
      <c r="B67" s="414"/>
      <c r="C67" s="458"/>
      <c r="D67" s="419"/>
      <c r="E67" s="419"/>
      <c r="F67" s="424"/>
      <c r="G67" s="473"/>
      <c r="H67" s="473"/>
      <c r="I67" s="100">
        <v>50</v>
      </c>
      <c r="J67" s="101" t="s">
        <v>53</v>
      </c>
      <c r="K67" s="302" t="s">
        <v>76</v>
      </c>
      <c r="L67" s="303" t="s">
        <v>76</v>
      </c>
      <c r="M67" s="102">
        <v>8</v>
      </c>
      <c r="N67" s="108" t="s">
        <v>19</v>
      </c>
      <c r="O67" s="104">
        <v>10</v>
      </c>
      <c r="P67" s="105" t="s">
        <v>53</v>
      </c>
      <c r="Q67" s="37"/>
      <c r="R67" s="37">
        <v>640</v>
      </c>
      <c r="S67" s="38"/>
      <c r="T67" s="438"/>
      <c r="U67" s="99"/>
      <c r="V67" s="96"/>
      <c r="W67" s="99"/>
      <c r="X67" s="99"/>
      <c r="Y67" s="99"/>
      <c r="Z67" s="99"/>
      <c r="AA67" s="99"/>
      <c r="AB67" s="99"/>
      <c r="AC67" s="99"/>
      <c r="AD67" s="40"/>
      <c r="AE67" s="40"/>
      <c r="AF67" s="40"/>
      <c r="AG67" s="41">
        <v>44421</v>
      </c>
      <c r="AH67" s="582"/>
      <c r="AI67" s="97">
        <v>641</v>
      </c>
      <c r="AJ67" s="97">
        <f t="shared" si="37"/>
        <v>1</v>
      </c>
      <c r="AK67" s="97"/>
      <c r="AL67" s="97"/>
      <c r="AM67" s="97"/>
      <c r="AN67" s="97" t="s">
        <v>76</v>
      </c>
      <c r="AO67" s="97">
        <v>0</v>
      </c>
      <c r="AP67" s="97">
        <v>13</v>
      </c>
      <c r="AQ67" s="97"/>
      <c r="AR67" s="40">
        <f t="shared" si="65"/>
        <v>13</v>
      </c>
      <c r="AS67" s="40">
        <f t="shared" si="66"/>
        <v>-13</v>
      </c>
      <c r="AT67" s="40">
        <f t="shared" si="67"/>
        <v>13</v>
      </c>
      <c r="AU67" s="43">
        <f t="shared" si="62"/>
        <v>121.61944444444444</v>
      </c>
      <c r="AV67" s="44">
        <f t="shared" si="63"/>
        <v>13</v>
      </c>
      <c r="AW67" s="98">
        <f t="shared" si="60"/>
        <v>0.1068908023662152</v>
      </c>
      <c r="AX67" s="46">
        <f t="shared" si="61"/>
        <v>467.767094017094</v>
      </c>
      <c r="AY67" s="74" t="str">
        <f t="shared" si="64"/>
        <v>DOS AÑOS</v>
      </c>
      <c r="AZ67" s="492"/>
      <c r="BA67" s="410"/>
      <c r="BB67" s="513"/>
      <c r="BC67" s="510"/>
      <c r="BD67" s="507"/>
    </row>
    <row r="68" spans="1:56" x14ac:dyDescent="0.25">
      <c r="B68" s="414"/>
      <c r="C68" s="458"/>
      <c r="D68" s="419"/>
      <c r="E68" s="419"/>
      <c r="F68" s="424"/>
      <c r="G68" s="473"/>
      <c r="H68" s="473"/>
      <c r="I68" s="100">
        <v>100</v>
      </c>
      <c r="J68" s="101" t="s">
        <v>53</v>
      </c>
      <c r="K68" s="302" t="s">
        <v>76</v>
      </c>
      <c r="L68" s="303" t="s">
        <v>76</v>
      </c>
      <c r="M68" s="102">
        <v>16</v>
      </c>
      <c r="N68" s="108" t="s">
        <v>19</v>
      </c>
      <c r="O68" s="104">
        <v>20</v>
      </c>
      <c r="P68" s="105" t="s">
        <v>53</v>
      </c>
      <c r="Q68" s="37"/>
      <c r="R68" s="37">
        <v>1708</v>
      </c>
      <c r="S68" s="38"/>
      <c r="T68" s="438"/>
      <c r="U68" s="99"/>
      <c r="V68" s="96"/>
      <c r="W68" s="99"/>
      <c r="X68" s="99"/>
      <c r="Y68" s="99"/>
      <c r="Z68" s="99"/>
      <c r="AA68" s="99"/>
      <c r="AB68" s="99"/>
      <c r="AC68" s="99"/>
      <c r="AD68" s="40"/>
      <c r="AE68" s="40"/>
      <c r="AF68" s="40"/>
      <c r="AG68" s="41">
        <v>44421</v>
      </c>
      <c r="AH68" s="582"/>
      <c r="AI68" s="97">
        <v>1708</v>
      </c>
      <c r="AJ68" s="97">
        <f t="shared" si="37"/>
        <v>0</v>
      </c>
      <c r="AK68" s="97"/>
      <c r="AL68" s="97"/>
      <c r="AM68" s="97"/>
      <c r="AN68" s="97" t="s">
        <v>76</v>
      </c>
      <c r="AO68" s="97">
        <v>0</v>
      </c>
      <c r="AP68" s="97">
        <v>35</v>
      </c>
      <c r="AQ68" s="97"/>
      <c r="AR68" s="40">
        <f t="shared" si="65"/>
        <v>35</v>
      </c>
      <c r="AS68" s="40">
        <f t="shared" si="66"/>
        <v>-35</v>
      </c>
      <c r="AT68" s="40">
        <f t="shared" si="67"/>
        <v>35</v>
      </c>
      <c r="AU68" s="43">
        <f t="shared" si="62"/>
        <v>121.61944444444444</v>
      </c>
      <c r="AV68" s="44">
        <f t="shared" si="63"/>
        <v>35</v>
      </c>
      <c r="AW68" s="98">
        <f t="shared" si="60"/>
        <v>0.28778292944750244</v>
      </c>
      <c r="AX68" s="46">
        <f t="shared" si="61"/>
        <v>347.48412698412699</v>
      </c>
      <c r="AY68" s="74" t="str">
        <f t="shared" si="64"/>
        <v>DOS AÑOS</v>
      </c>
      <c r="AZ68" s="492"/>
      <c r="BA68" s="410"/>
      <c r="BB68" s="513"/>
      <c r="BC68" s="510"/>
      <c r="BD68" s="507"/>
    </row>
    <row r="69" spans="1:56" x14ac:dyDescent="0.25">
      <c r="B69" s="414"/>
      <c r="C69" s="458"/>
      <c r="D69" s="419"/>
      <c r="E69" s="419"/>
      <c r="F69" s="424"/>
      <c r="G69" s="473"/>
      <c r="H69" s="473"/>
      <c r="I69" s="257">
        <v>50</v>
      </c>
      <c r="J69" s="106" t="s">
        <v>19</v>
      </c>
      <c r="K69" s="304" t="s">
        <v>76</v>
      </c>
      <c r="L69" s="311" t="s">
        <v>76</v>
      </c>
      <c r="M69" s="107">
        <v>8</v>
      </c>
      <c r="N69" s="108" t="s">
        <v>19</v>
      </c>
      <c r="O69" s="109">
        <v>10</v>
      </c>
      <c r="P69" s="110" t="s">
        <v>19</v>
      </c>
      <c r="Q69" s="37"/>
      <c r="R69" s="37">
        <v>0</v>
      </c>
      <c r="S69" s="38"/>
      <c r="T69" s="438"/>
      <c r="U69" s="99"/>
      <c r="V69" s="96"/>
      <c r="W69" s="99"/>
      <c r="X69" s="99"/>
      <c r="Y69" s="99"/>
      <c r="Z69" s="99"/>
      <c r="AA69" s="99"/>
      <c r="AB69" s="99"/>
      <c r="AC69" s="99"/>
      <c r="AD69" s="40"/>
      <c r="AE69" s="40"/>
      <c r="AF69" s="40"/>
      <c r="AG69" s="41">
        <v>44421</v>
      </c>
      <c r="AH69" s="582"/>
      <c r="AI69" s="97">
        <v>0</v>
      </c>
      <c r="AJ69" s="97">
        <f t="shared" si="37"/>
        <v>0</v>
      </c>
      <c r="AK69" s="97"/>
      <c r="AL69" s="97" t="s">
        <v>76</v>
      </c>
      <c r="AM69" s="97" t="s">
        <v>76</v>
      </c>
      <c r="AN69" s="97" t="s">
        <v>76</v>
      </c>
      <c r="AO69" s="97">
        <v>0</v>
      </c>
      <c r="AP69" s="97">
        <v>0.57999999999999996</v>
      </c>
      <c r="AQ69" s="97"/>
      <c r="AR69" s="40">
        <f t="shared" si="65"/>
        <v>0.57999999999999996</v>
      </c>
      <c r="AS69" s="40">
        <f t="shared" si="66"/>
        <v>-0.57999999999999996</v>
      </c>
      <c r="AT69" s="40">
        <f t="shared" si="67"/>
        <v>0.57999999999999996</v>
      </c>
      <c r="AU69" s="43">
        <f t="shared" si="62"/>
        <v>121.61944444444444</v>
      </c>
      <c r="AV69" s="44">
        <f t="shared" si="63"/>
        <v>0.57999999999999996</v>
      </c>
      <c r="AW69" s="98">
        <f t="shared" si="60"/>
        <v>4.768974259415755E-3</v>
      </c>
      <c r="AX69" s="46">
        <f t="shared" si="61"/>
        <v>10484.434865900383</v>
      </c>
      <c r="AY69" s="74" t="str">
        <f t="shared" si="64"/>
        <v>DOS AÑOS</v>
      </c>
      <c r="AZ69" s="492"/>
      <c r="BA69" s="410"/>
      <c r="BB69" s="513"/>
      <c r="BC69" s="510"/>
      <c r="BD69" s="507"/>
    </row>
    <row r="70" spans="1:56" x14ac:dyDescent="0.25">
      <c r="B70" s="414"/>
      <c r="C70" s="636" t="s">
        <v>8</v>
      </c>
      <c r="D70" s="419"/>
      <c r="E70" s="419"/>
      <c r="F70" s="424"/>
      <c r="G70" s="256"/>
      <c r="H70" s="256"/>
      <c r="I70" s="257">
        <v>0.5</v>
      </c>
      <c r="J70" s="106" t="s">
        <v>20</v>
      </c>
      <c r="K70" s="304" t="s">
        <v>76</v>
      </c>
      <c r="L70" s="311" t="s">
        <v>76</v>
      </c>
      <c r="M70" s="107">
        <v>0.3</v>
      </c>
      <c r="N70" s="108" t="s">
        <v>20</v>
      </c>
      <c r="O70" s="109">
        <v>0.4</v>
      </c>
      <c r="P70" s="110" t="s">
        <v>20</v>
      </c>
      <c r="Q70" s="37"/>
      <c r="R70" s="95">
        <v>0</v>
      </c>
      <c r="S70" s="38"/>
      <c r="T70" s="438"/>
      <c r="U70" s="99"/>
      <c r="V70" s="96"/>
      <c r="W70" s="99"/>
      <c r="X70" s="99"/>
      <c r="Y70" s="99"/>
      <c r="Z70" s="99"/>
      <c r="AA70" s="99"/>
      <c r="AB70" s="99"/>
      <c r="AC70" s="99"/>
      <c r="AD70" s="40"/>
      <c r="AE70" s="40"/>
      <c r="AF70" s="40"/>
      <c r="AG70" s="41">
        <v>44421</v>
      </c>
      <c r="AH70" s="582"/>
      <c r="AI70" s="97">
        <v>0</v>
      </c>
      <c r="AJ70" s="97">
        <v>0.01</v>
      </c>
      <c r="AK70" s="97"/>
      <c r="AL70" s="97"/>
      <c r="AM70" s="97"/>
      <c r="AN70" s="97" t="s">
        <v>76</v>
      </c>
      <c r="AO70" s="97">
        <v>0</v>
      </c>
      <c r="AP70" s="97">
        <v>5.8000000000000003E-2</v>
      </c>
      <c r="AQ70" s="97"/>
      <c r="AR70" s="40">
        <f t="shared" si="65"/>
        <v>5.8000000000000003E-2</v>
      </c>
      <c r="AS70" s="40">
        <f t="shared" si="66"/>
        <v>-5.8000000000000003E-2</v>
      </c>
      <c r="AT70" s="40">
        <f t="shared" si="67"/>
        <v>5.8000000000000003E-2</v>
      </c>
      <c r="AU70" s="43">
        <f t="shared" si="62"/>
        <v>121.61944444444444</v>
      </c>
      <c r="AV70" s="44">
        <f t="shared" si="63"/>
        <v>5.8000000000000003E-2</v>
      </c>
      <c r="AW70" s="98">
        <f t="shared" si="60"/>
        <v>4.7689742594157552E-4</v>
      </c>
      <c r="AX70" s="46">
        <f t="shared" si="61"/>
        <v>1048.4434865900382</v>
      </c>
      <c r="AY70" s="74" t="str">
        <f t="shared" si="64"/>
        <v>DOS AÑOS</v>
      </c>
      <c r="AZ70" s="492"/>
      <c r="BA70" s="410"/>
      <c r="BB70" s="513"/>
      <c r="BC70" s="510"/>
      <c r="BD70" s="507"/>
    </row>
    <row r="71" spans="1:56" x14ac:dyDescent="0.25">
      <c r="B71" s="414"/>
      <c r="C71" s="637"/>
      <c r="D71" s="419"/>
      <c r="E71" s="419"/>
      <c r="F71" s="424"/>
      <c r="G71" s="481">
        <v>1E-3</v>
      </c>
      <c r="H71" s="473" t="s">
        <v>54</v>
      </c>
      <c r="I71" s="257">
        <v>0.5</v>
      </c>
      <c r="J71" s="106" t="s">
        <v>20</v>
      </c>
      <c r="K71" s="304" t="s">
        <v>76</v>
      </c>
      <c r="L71" s="311" t="s">
        <v>76</v>
      </c>
      <c r="M71" s="107">
        <v>0.3</v>
      </c>
      <c r="N71" s="108" t="s">
        <v>20</v>
      </c>
      <c r="O71" s="109">
        <v>0.4</v>
      </c>
      <c r="P71" s="110" t="s">
        <v>20</v>
      </c>
      <c r="Q71" s="37"/>
      <c r="R71" s="95">
        <v>0</v>
      </c>
      <c r="S71" s="38"/>
      <c r="T71" s="438"/>
      <c r="U71" s="99"/>
      <c r="V71" s="96"/>
      <c r="W71" s="99"/>
      <c r="X71" s="99"/>
      <c r="Y71" s="99"/>
      <c r="Z71" s="99"/>
      <c r="AA71" s="99"/>
      <c r="AB71" s="99"/>
      <c r="AC71" s="99"/>
      <c r="AD71" s="40"/>
      <c r="AE71" s="40"/>
      <c r="AF71" s="40"/>
      <c r="AG71" s="41">
        <v>44421</v>
      </c>
      <c r="AH71" s="582"/>
      <c r="AI71" s="97">
        <v>0</v>
      </c>
      <c r="AJ71" s="97">
        <v>-0.03</v>
      </c>
      <c r="AK71" s="97"/>
      <c r="AL71" s="97"/>
      <c r="AM71" s="97"/>
      <c r="AN71" s="97" t="s">
        <v>76</v>
      </c>
      <c r="AO71" s="97">
        <v>0</v>
      </c>
      <c r="AP71" s="97">
        <v>5.8000000000000003E-2</v>
      </c>
      <c r="AQ71" s="97"/>
      <c r="AR71" s="40">
        <f t="shared" si="65"/>
        <v>5.8000000000000003E-2</v>
      </c>
      <c r="AS71" s="40">
        <f t="shared" si="66"/>
        <v>-5.8000000000000003E-2</v>
      </c>
      <c r="AT71" s="40">
        <f t="shared" si="67"/>
        <v>5.8000000000000003E-2</v>
      </c>
      <c r="AU71" s="43">
        <f t="shared" si="62"/>
        <v>121.61944444444444</v>
      </c>
      <c r="AV71" s="44">
        <f t="shared" si="63"/>
        <v>5.8000000000000003E-2</v>
      </c>
      <c r="AW71" s="98">
        <f t="shared" si="60"/>
        <v>4.7689742594157552E-4</v>
      </c>
      <c r="AX71" s="46">
        <f t="shared" si="61"/>
        <v>1048.4434865900382</v>
      </c>
      <c r="AY71" s="74" t="str">
        <f t="shared" si="64"/>
        <v>DOS AÑOS</v>
      </c>
      <c r="AZ71" s="492"/>
      <c r="BA71" s="410"/>
      <c r="BB71" s="513"/>
      <c r="BC71" s="510"/>
      <c r="BD71" s="507"/>
    </row>
    <row r="72" spans="1:56" x14ac:dyDescent="0.25">
      <c r="B72" s="415"/>
      <c r="C72" s="637"/>
      <c r="D72" s="420"/>
      <c r="E72" s="420"/>
      <c r="F72" s="425"/>
      <c r="G72" s="549"/>
      <c r="H72" s="551"/>
      <c r="I72" s="257">
        <v>0.5</v>
      </c>
      <c r="J72" s="106" t="s">
        <v>20</v>
      </c>
      <c r="K72" s="304" t="s">
        <v>76</v>
      </c>
      <c r="L72" s="311" t="s">
        <v>76</v>
      </c>
      <c r="M72" s="107">
        <v>0.3</v>
      </c>
      <c r="N72" s="108" t="s">
        <v>20</v>
      </c>
      <c r="O72" s="109">
        <v>0.4</v>
      </c>
      <c r="P72" s="110" t="s">
        <v>20</v>
      </c>
      <c r="Q72" s="37"/>
      <c r="R72" s="95">
        <v>0</v>
      </c>
      <c r="S72" s="285"/>
      <c r="T72" s="439"/>
      <c r="U72" s="286"/>
      <c r="V72" s="287"/>
      <c r="W72" s="286"/>
      <c r="X72" s="286"/>
      <c r="Y72" s="286"/>
      <c r="Z72" s="286"/>
      <c r="AA72" s="286"/>
      <c r="AB72" s="286"/>
      <c r="AC72" s="286"/>
      <c r="AD72" s="288"/>
      <c r="AE72" s="288"/>
      <c r="AF72" s="288"/>
      <c r="AG72" s="289">
        <v>44421</v>
      </c>
      <c r="AH72" s="619"/>
      <c r="AI72" s="291">
        <v>0</v>
      </c>
      <c r="AJ72" s="97">
        <v>0.05</v>
      </c>
      <c r="AK72" s="291"/>
      <c r="AL72" s="291"/>
      <c r="AM72" s="291"/>
      <c r="AN72" s="291" t="s">
        <v>76</v>
      </c>
      <c r="AO72" s="291">
        <v>0</v>
      </c>
      <c r="AP72" s="291">
        <v>5.8000000000000003E-2</v>
      </c>
      <c r="AQ72" s="291"/>
      <c r="AR72" s="288">
        <f t="shared" si="65"/>
        <v>5.8000000000000003E-2</v>
      </c>
      <c r="AS72" s="288">
        <f t="shared" si="66"/>
        <v>-5.8000000000000003E-2</v>
      </c>
      <c r="AT72" s="288">
        <f t="shared" si="67"/>
        <v>5.8000000000000003E-2</v>
      </c>
      <c r="AU72" s="43">
        <f t="shared" si="62"/>
        <v>121.61944444444444</v>
      </c>
      <c r="AV72" s="44">
        <f t="shared" si="63"/>
        <v>5.8000000000000003E-2</v>
      </c>
      <c r="AW72" s="98">
        <f t="shared" si="60"/>
        <v>4.7689742594157552E-4</v>
      </c>
      <c r="AX72" s="46">
        <f t="shared" si="61"/>
        <v>1048.4434865900382</v>
      </c>
      <c r="AY72" s="74" t="str">
        <f t="shared" si="64"/>
        <v>DOS AÑOS</v>
      </c>
      <c r="AZ72" s="591"/>
      <c r="BA72" s="410"/>
      <c r="BB72" s="513"/>
      <c r="BC72" s="510"/>
      <c r="BD72" s="507"/>
    </row>
    <row r="73" spans="1:56" ht="15.75" thickBot="1" x14ac:dyDescent="0.3">
      <c r="B73" s="416"/>
      <c r="C73" s="638"/>
      <c r="D73" s="421"/>
      <c r="E73" s="421"/>
      <c r="F73" s="426"/>
      <c r="G73" s="550"/>
      <c r="H73" s="474"/>
      <c r="I73" s="257">
        <v>0.5</v>
      </c>
      <c r="J73" s="106" t="s">
        <v>20</v>
      </c>
      <c r="K73" s="304" t="s">
        <v>76</v>
      </c>
      <c r="L73" s="311" t="s">
        <v>76</v>
      </c>
      <c r="M73" s="107">
        <v>0.3</v>
      </c>
      <c r="N73" s="108" t="s">
        <v>20</v>
      </c>
      <c r="O73" s="109">
        <v>0.4</v>
      </c>
      <c r="P73" s="110" t="s">
        <v>20</v>
      </c>
      <c r="Q73" s="37"/>
      <c r="R73" s="95">
        <v>0</v>
      </c>
      <c r="S73" s="119"/>
      <c r="T73" s="440"/>
      <c r="U73" s="120"/>
      <c r="V73" s="121"/>
      <c r="W73" s="120"/>
      <c r="X73" s="120"/>
      <c r="Y73" s="120"/>
      <c r="Z73" s="120"/>
      <c r="AA73" s="120"/>
      <c r="AB73" s="120"/>
      <c r="AC73" s="120"/>
      <c r="AD73" s="50"/>
      <c r="AE73" s="50"/>
      <c r="AF73" s="50"/>
      <c r="AG73" s="122">
        <v>44421</v>
      </c>
      <c r="AH73" s="583"/>
      <c r="AI73" s="124">
        <v>0</v>
      </c>
      <c r="AJ73" s="97">
        <v>-1.6E-2</v>
      </c>
      <c r="AK73" s="124"/>
      <c r="AL73" s="124" t="s">
        <v>76</v>
      </c>
      <c r="AM73" s="124" t="s">
        <v>76</v>
      </c>
      <c r="AN73" s="124" t="s">
        <v>76</v>
      </c>
      <c r="AO73" s="124">
        <v>0.01</v>
      </c>
      <c r="AP73" s="124">
        <v>5.8000000000000003E-2</v>
      </c>
      <c r="AQ73" s="124"/>
      <c r="AR73" s="50">
        <f t="shared" si="65"/>
        <v>5.8000000000000003E-2</v>
      </c>
      <c r="AS73" s="50">
        <f t="shared" si="66"/>
        <v>-5.8000000000000003E-2</v>
      </c>
      <c r="AT73" s="50">
        <f t="shared" si="67"/>
        <v>5.8000000000000003E-2</v>
      </c>
      <c r="AU73" s="43">
        <f t="shared" si="62"/>
        <v>121.61944444444444</v>
      </c>
      <c r="AV73" s="44">
        <f t="shared" si="63"/>
        <v>5.8000000000000003E-2</v>
      </c>
      <c r="AW73" s="98">
        <f t="shared" si="60"/>
        <v>4.7689742594157552E-4</v>
      </c>
      <c r="AX73" s="46">
        <f t="shared" si="61"/>
        <v>1048.4434865900382</v>
      </c>
      <c r="AY73" s="74" t="str">
        <f t="shared" si="64"/>
        <v>DOS AÑOS</v>
      </c>
      <c r="AZ73" s="493"/>
      <c r="BA73" s="411"/>
      <c r="BB73" s="514"/>
      <c r="BC73" s="511"/>
      <c r="BD73" s="508"/>
    </row>
    <row r="74" spans="1:56" x14ac:dyDescent="0.25">
      <c r="B74" s="531" t="s">
        <v>65</v>
      </c>
      <c r="C74" s="534" t="s">
        <v>66</v>
      </c>
      <c r="D74" s="537" t="s">
        <v>56</v>
      </c>
      <c r="E74" s="537" t="s">
        <v>61</v>
      </c>
      <c r="F74" s="540">
        <v>170228000012</v>
      </c>
      <c r="G74" s="488" t="s">
        <v>67</v>
      </c>
      <c r="H74" s="488" t="s">
        <v>68</v>
      </c>
      <c r="I74" s="150">
        <v>5</v>
      </c>
      <c r="J74" s="427" t="s">
        <v>20</v>
      </c>
      <c r="K74" s="310" t="s">
        <v>76</v>
      </c>
      <c r="L74" s="441" t="s">
        <v>20</v>
      </c>
      <c r="M74" s="151" t="s">
        <v>76</v>
      </c>
      <c r="N74" s="597" t="s">
        <v>20</v>
      </c>
      <c r="O74" s="151" t="s">
        <v>76</v>
      </c>
      <c r="P74" s="597" t="s">
        <v>20</v>
      </c>
      <c r="Q74" s="152">
        <v>40.89</v>
      </c>
      <c r="R74" s="153">
        <v>39.76</v>
      </c>
      <c r="S74" s="154">
        <v>44428</v>
      </c>
      <c r="T74" s="430" t="s">
        <v>185</v>
      </c>
      <c r="U74" s="155">
        <v>41</v>
      </c>
      <c r="V74" s="155">
        <f>Q74-U74</f>
        <v>-0.10999999999999943</v>
      </c>
      <c r="W74" s="155">
        <f>V74*100/Q74</f>
        <v>-0.26901442895573352</v>
      </c>
      <c r="X74" s="155" t="s">
        <v>76</v>
      </c>
      <c r="Y74" s="155" t="s">
        <v>76</v>
      </c>
      <c r="Z74" s="155" t="s">
        <v>76</v>
      </c>
      <c r="AA74" s="155" t="s">
        <v>76</v>
      </c>
      <c r="AB74" s="155">
        <v>0.59</v>
      </c>
      <c r="AC74" s="155">
        <f>AB74*100/Q74</f>
        <v>1.4428955734898508</v>
      </c>
      <c r="AD74" s="156">
        <f>(V74+AC74)</f>
        <v>1.3328955734898513</v>
      </c>
      <c r="AE74" s="156">
        <f>(V74-AC74)</f>
        <v>-1.5528955734898502</v>
      </c>
      <c r="AF74" s="156">
        <f t="shared" ref="AF74:AF76" si="68">MAX(AD74:AE74)</f>
        <v>1.3328955734898513</v>
      </c>
      <c r="AG74" s="157">
        <v>44207</v>
      </c>
      <c r="AH74" s="645">
        <v>66152</v>
      </c>
      <c r="AI74" s="144">
        <v>40</v>
      </c>
      <c r="AJ74" s="144">
        <f>Q74-AI74</f>
        <v>0.89000000000000057</v>
      </c>
      <c r="AK74" s="144">
        <f>AJ74*100/Q74</f>
        <v>2.1765712888236748</v>
      </c>
      <c r="AL74" s="144" t="s">
        <v>76</v>
      </c>
      <c r="AM74" s="144" t="s">
        <v>76</v>
      </c>
      <c r="AN74" s="144" t="s">
        <v>76</v>
      </c>
      <c r="AO74" s="144" t="s">
        <v>76</v>
      </c>
      <c r="AP74" s="144">
        <v>0.89</v>
      </c>
      <c r="AQ74" s="144">
        <f>AP74*100/Q74</f>
        <v>2.1765712888236735</v>
      </c>
      <c r="AR74" s="156">
        <f>(AJ74+AQ74)</f>
        <v>3.066571288823674</v>
      </c>
      <c r="AS74" s="156">
        <f>(AJ74-AQ74)</f>
        <v>-1.2865712888236729</v>
      </c>
      <c r="AT74" s="156">
        <f t="shared" ref="AT74:AT76" si="69">MAX(AR74:AS74)</f>
        <v>3.066571288823674</v>
      </c>
      <c r="AU74" s="158">
        <f t="shared" si="13"/>
        <v>0.60833333333333328</v>
      </c>
      <c r="AV74" s="159">
        <f t="shared" si="16"/>
        <v>1.7336757153338227</v>
      </c>
      <c r="AW74" s="160">
        <f t="shared" ref="AW74:AW76" si="70">(AV74/AU74)</f>
        <v>2.8498778882199827</v>
      </c>
      <c r="AX74" s="161">
        <f t="shared" si="17"/>
        <v>1.7544611369727743</v>
      </c>
      <c r="AY74" s="162" t="str">
        <f t="shared" ref="AY74:AY76" si="71">IF(AX74&lt;=1,"UN AÑO",IF(AX74&gt;=1,"DOS AÑOS"))</f>
        <v>DOS AÑOS</v>
      </c>
      <c r="AZ74" s="522" t="s">
        <v>66</v>
      </c>
      <c r="BA74" s="525" t="s">
        <v>62</v>
      </c>
      <c r="BB74" s="554" t="s">
        <v>36</v>
      </c>
      <c r="BC74" s="163"/>
      <c r="BD74" s="588" t="e">
        <f>BC163</f>
        <v>#DIV/0!</v>
      </c>
    </row>
    <row r="75" spans="1:56" x14ac:dyDescent="0.25">
      <c r="B75" s="532"/>
      <c r="C75" s="535"/>
      <c r="D75" s="538"/>
      <c r="E75" s="538"/>
      <c r="F75" s="541"/>
      <c r="G75" s="489"/>
      <c r="H75" s="489"/>
      <c r="I75" s="164">
        <v>5</v>
      </c>
      <c r="J75" s="428"/>
      <c r="K75" s="305" t="s">
        <v>76</v>
      </c>
      <c r="L75" s="442"/>
      <c r="M75" s="165" t="s">
        <v>76</v>
      </c>
      <c r="N75" s="598"/>
      <c r="O75" s="165" t="s">
        <v>76</v>
      </c>
      <c r="P75" s="598"/>
      <c r="Q75" s="166">
        <v>59.84</v>
      </c>
      <c r="R75" s="167">
        <v>59.71</v>
      </c>
      <c r="S75" s="168">
        <v>44428</v>
      </c>
      <c r="T75" s="431"/>
      <c r="U75" s="169">
        <v>60</v>
      </c>
      <c r="V75" s="169">
        <f t="shared" ref="V75:V76" si="72">Q75-U75</f>
        <v>-0.15999999999999659</v>
      </c>
      <c r="W75" s="169">
        <f t="shared" ref="W75:W76" si="73">V75*100/Q75</f>
        <v>-0.26737967914437932</v>
      </c>
      <c r="X75" s="169" t="s">
        <v>76</v>
      </c>
      <c r="Y75" s="169" t="s">
        <v>76</v>
      </c>
      <c r="Z75" s="169" t="s">
        <v>76</v>
      </c>
      <c r="AA75" s="169" t="s">
        <v>76</v>
      </c>
      <c r="AB75" s="169">
        <v>0.6</v>
      </c>
      <c r="AC75" s="169">
        <f t="shared" ref="AC75:AC76" si="74">AB75*100/Q75</f>
        <v>1.0026737967914439</v>
      </c>
      <c r="AD75" s="170">
        <f t="shared" ref="AD75:AD76" si="75">(V75+AC75)</f>
        <v>0.84267379679144727</v>
      </c>
      <c r="AE75" s="170">
        <f t="shared" ref="AE75:AE76" si="76">(V75-AC75)</f>
        <v>-1.1626737967914405</v>
      </c>
      <c r="AF75" s="170">
        <f t="shared" si="68"/>
        <v>0.84267379679144727</v>
      </c>
      <c r="AG75" s="171">
        <v>44207</v>
      </c>
      <c r="AH75" s="646"/>
      <c r="AI75" s="145">
        <v>60</v>
      </c>
      <c r="AJ75" s="145">
        <f t="shared" ref="AJ75:AJ76" si="77">Q75-AI75</f>
        <v>-0.15999999999999659</v>
      </c>
      <c r="AK75" s="145">
        <f t="shared" ref="AK75:AK76" si="78">AJ75*100/Q75</f>
        <v>-0.26737967914437932</v>
      </c>
      <c r="AL75" s="145" t="s">
        <v>76</v>
      </c>
      <c r="AM75" s="145" t="s">
        <v>76</v>
      </c>
      <c r="AN75" s="145" t="s">
        <v>76</v>
      </c>
      <c r="AO75" s="145" t="s">
        <v>76</v>
      </c>
      <c r="AP75" s="145">
        <v>0.95</v>
      </c>
      <c r="AQ75" s="145">
        <f t="shared" ref="AQ75:AQ76" si="79">AP75*100/Q75</f>
        <v>1.5875668449197859</v>
      </c>
      <c r="AR75" s="170">
        <f t="shared" ref="AR75:AR146" si="80">(AJ75+AQ75)</f>
        <v>1.4275668449197894</v>
      </c>
      <c r="AS75" s="170">
        <f t="shared" ref="AS75:AS76" si="81">(AJ75-AQ75)</f>
        <v>-1.7475668449197825</v>
      </c>
      <c r="AT75" s="170">
        <f t="shared" si="69"/>
        <v>1.4275668449197894</v>
      </c>
      <c r="AU75" s="172">
        <f t="shared" si="13"/>
        <v>0.60833333333333328</v>
      </c>
      <c r="AV75" s="173">
        <f t="shared" si="16"/>
        <v>0.58489304812834209</v>
      </c>
      <c r="AW75" s="174">
        <f t="shared" si="70"/>
        <v>0.96146802432056244</v>
      </c>
      <c r="AX75" s="175">
        <f t="shared" si="17"/>
        <v>5.2003809523809528</v>
      </c>
      <c r="AY75" s="176" t="str">
        <f t="shared" si="71"/>
        <v>DOS AÑOS</v>
      </c>
      <c r="AZ75" s="523"/>
      <c r="BA75" s="526"/>
      <c r="BB75" s="555"/>
      <c r="BC75" s="177" t="e">
        <f>MIN(AX48:AX88)</f>
        <v>#DIV/0!</v>
      </c>
      <c r="BD75" s="589"/>
    </row>
    <row r="76" spans="1:56" ht="15.75" thickBot="1" x14ac:dyDescent="0.3">
      <c r="B76" s="533"/>
      <c r="C76" s="536"/>
      <c r="D76" s="539"/>
      <c r="E76" s="539"/>
      <c r="F76" s="542"/>
      <c r="G76" s="490"/>
      <c r="H76" s="490"/>
      <c r="I76" s="325">
        <v>5</v>
      </c>
      <c r="J76" s="429"/>
      <c r="K76" s="307" t="s">
        <v>76</v>
      </c>
      <c r="L76" s="443"/>
      <c r="M76" s="326" t="s">
        <v>76</v>
      </c>
      <c r="N76" s="599"/>
      <c r="O76" s="326" t="s">
        <v>76</v>
      </c>
      <c r="P76" s="599"/>
      <c r="Q76" s="327">
        <v>99.79</v>
      </c>
      <c r="R76" s="328">
        <v>99.5</v>
      </c>
      <c r="S76" s="329">
        <v>44428</v>
      </c>
      <c r="T76" s="432"/>
      <c r="U76" s="330">
        <v>99</v>
      </c>
      <c r="V76" s="330">
        <f t="shared" si="72"/>
        <v>0.79000000000000625</v>
      </c>
      <c r="W76" s="330">
        <f t="shared" si="73"/>
        <v>0.7916624912315926</v>
      </c>
      <c r="X76" s="330" t="s">
        <v>76</v>
      </c>
      <c r="Y76" s="330" t="s">
        <v>76</v>
      </c>
      <c r="Z76" s="330" t="s">
        <v>76</v>
      </c>
      <c r="AA76" s="330" t="s">
        <v>76</v>
      </c>
      <c r="AB76" s="330">
        <v>0.59</v>
      </c>
      <c r="AC76" s="330">
        <f t="shared" si="74"/>
        <v>0.59124160737548848</v>
      </c>
      <c r="AD76" s="331">
        <f t="shared" si="75"/>
        <v>1.3812416073754947</v>
      </c>
      <c r="AE76" s="331">
        <f t="shared" si="76"/>
        <v>0.19875839262451778</v>
      </c>
      <c r="AF76" s="331">
        <f t="shared" si="68"/>
        <v>1.3812416073754947</v>
      </c>
      <c r="AG76" s="332">
        <v>44207</v>
      </c>
      <c r="AH76" s="647"/>
      <c r="AI76" s="333">
        <v>100</v>
      </c>
      <c r="AJ76" s="333">
        <f t="shared" si="77"/>
        <v>-0.20999999999999375</v>
      </c>
      <c r="AK76" s="333">
        <f t="shared" si="78"/>
        <v>-0.21044192804889642</v>
      </c>
      <c r="AL76" s="333" t="s">
        <v>76</v>
      </c>
      <c r="AM76" s="333" t="s">
        <v>76</v>
      </c>
      <c r="AN76" s="333" t="s">
        <v>76</v>
      </c>
      <c r="AO76" s="333" t="s">
        <v>76</v>
      </c>
      <c r="AP76" s="333">
        <v>1.3</v>
      </c>
      <c r="AQ76" s="333">
        <f t="shared" si="79"/>
        <v>1.3027357450646357</v>
      </c>
      <c r="AR76" s="331">
        <f t="shared" si="80"/>
        <v>1.092735745064642</v>
      </c>
      <c r="AS76" s="331">
        <f t="shared" si="81"/>
        <v>-1.5127357450646295</v>
      </c>
      <c r="AT76" s="331">
        <f t="shared" si="69"/>
        <v>1.092735745064642</v>
      </c>
      <c r="AU76" s="334">
        <f t="shared" si="13"/>
        <v>0.60833333333333328</v>
      </c>
      <c r="AV76" s="335">
        <f t="shared" si="16"/>
        <v>0.28850586231085273</v>
      </c>
      <c r="AW76" s="336">
        <f t="shared" si="70"/>
        <v>0.47425621201784013</v>
      </c>
      <c r="AX76" s="337">
        <f t="shared" si="17"/>
        <v>10.542824476091237</v>
      </c>
      <c r="AY76" s="338" t="str">
        <f t="shared" si="71"/>
        <v>DOS AÑOS</v>
      </c>
      <c r="AZ76" s="524"/>
      <c r="BA76" s="527"/>
      <c r="BB76" s="556"/>
      <c r="BC76" s="339"/>
      <c r="BD76" s="590"/>
    </row>
    <row r="77" spans="1:56" s="70" customFormat="1" x14ac:dyDescent="0.25">
      <c r="A77" s="363"/>
      <c r="B77" s="452" t="s">
        <v>48</v>
      </c>
      <c r="C77" s="456" t="s">
        <v>10</v>
      </c>
      <c r="D77" s="460" t="s">
        <v>56</v>
      </c>
      <c r="E77" s="460" t="s">
        <v>61</v>
      </c>
      <c r="F77" s="484">
        <v>170228000012</v>
      </c>
      <c r="G77" s="472" t="s">
        <v>15</v>
      </c>
      <c r="H77" s="472" t="s">
        <v>22</v>
      </c>
      <c r="I77" s="358">
        <v>2</v>
      </c>
      <c r="J77" s="468" t="s">
        <v>20</v>
      </c>
      <c r="K77" s="348" t="s">
        <v>76</v>
      </c>
      <c r="L77" s="444" t="s">
        <v>20</v>
      </c>
      <c r="M77" s="259" t="s">
        <v>76</v>
      </c>
      <c r="N77" s="433" t="s">
        <v>20</v>
      </c>
      <c r="O77" s="259" t="s">
        <v>76</v>
      </c>
      <c r="P77" s="433" t="s">
        <v>20</v>
      </c>
      <c r="Q77" s="59">
        <v>0</v>
      </c>
      <c r="R77" s="59">
        <v>399.4</v>
      </c>
      <c r="S77" s="60">
        <v>44063</v>
      </c>
      <c r="T77" s="436" t="s">
        <v>186</v>
      </c>
      <c r="U77" s="143"/>
      <c r="V77" s="143"/>
      <c r="W77" s="143"/>
      <c r="X77" s="143" t="s">
        <v>76</v>
      </c>
      <c r="Y77" s="143" t="s">
        <v>76</v>
      </c>
      <c r="Z77" s="143" t="s">
        <v>76</v>
      </c>
      <c r="AA77" s="143" t="s">
        <v>76</v>
      </c>
      <c r="AB77" s="143"/>
      <c r="AC77" s="143"/>
      <c r="AD77" s="61"/>
      <c r="AE77" s="61"/>
      <c r="AF77" s="61"/>
      <c r="AG77" s="62">
        <v>44422</v>
      </c>
      <c r="AH77" s="580">
        <v>66154</v>
      </c>
      <c r="AI77" s="86">
        <v>400</v>
      </c>
      <c r="AJ77" s="145">
        <f>AI77-R77</f>
        <v>0.60000000000002274</v>
      </c>
      <c r="AK77" s="86">
        <f>(AJ77*100)/R77</f>
        <v>0.15022533800701621</v>
      </c>
      <c r="AL77" s="86" t="s">
        <v>76</v>
      </c>
      <c r="AM77" s="86" t="s">
        <v>76</v>
      </c>
      <c r="AN77" s="86" t="s">
        <v>76</v>
      </c>
      <c r="AO77" s="86" t="s">
        <v>76</v>
      </c>
      <c r="AP77" s="144">
        <v>5.9</v>
      </c>
      <c r="AQ77" s="144">
        <f>(AP77*100)/R77</f>
        <v>1.4772158237356035</v>
      </c>
      <c r="AR77" s="61">
        <f>(AK77+AQ77)</f>
        <v>1.6274411617426197</v>
      </c>
      <c r="AS77" s="61">
        <f>(AK77-AQ77)</f>
        <v>-1.3269904857285872</v>
      </c>
      <c r="AT77" s="61">
        <f t="shared" si="44"/>
        <v>1.6274411617426197</v>
      </c>
      <c r="AU77" s="64">
        <f t="shared" si="13"/>
        <v>0.98333333333333328</v>
      </c>
      <c r="AV77" s="65">
        <f>ABS(AT77+AF77)</f>
        <v>1.6274411617426197</v>
      </c>
      <c r="AW77" s="87">
        <f t="shared" ref="AW77:AW89" si="82">(AV77/AU77)</f>
        <v>1.655024910246732</v>
      </c>
      <c r="AX77" s="67">
        <f t="shared" si="17"/>
        <v>1.2084410256410212</v>
      </c>
      <c r="AY77" s="68" t="str">
        <f t="shared" si="15"/>
        <v>DOS AÑOS</v>
      </c>
      <c r="AZ77" s="491" t="s">
        <v>10</v>
      </c>
      <c r="BA77" s="464" t="s">
        <v>62</v>
      </c>
      <c r="BB77" s="494" t="s">
        <v>36</v>
      </c>
      <c r="BC77" s="133"/>
      <c r="BD77" s="518" t="e">
        <f>BD10</f>
        <v>#DIV/0!</v>
      </c>
    </row>
    <row r="78" spans="1:56" s="340" customFormat="1" x14ac:dyDescent="0.25">
      <c r="A78" s="363"/>
      <c r="B78" s="453"/>
      <c r="C78" s="457"/>
      <c r="D78" s="461"/>
      <c r="E78" s="461"/>
      <c r="F78" s="485"/>
      <c r="G78" s="483"/>
      <c r="H78" s="483"/>
      <c r="I78" s="359">
        <v>2.4</v>
      </c>
      <c r="J78" s="469"/>
      <c r="K78" s="355"/>
      <c r="L78" s="445"/>
      <c r="M78" s="343"/>
      <c r="N78" s="579"/>
      <c r="O78" s="343"/>
      <c r="P78" s="579"/>
      <c r="Q78" s="265">
        <v>500</v>
      </c>
      <c r="R78" s="37">
        <v>498.8</v>
      </c>
      <c r="S78" s="267">
        <v>44063</v>
      </c>
      <c r="T78" s="437"/>
      <c r="U78" s="356">
        <v>500</v>
      </c>
      <c r="V78" s="356">
        <f>U78-Q78</f>
        <v>0</v>
      </c>
      <c r="W78" s="356">
        <f>V78*100/Q78</f>
        <v>0</v>
      </c>
      <c r="X78" s="356"/>
      <c r="Y78" s="356"/>
      <c r="Z78" s="356"/>
      <c r="AA78" s="356"/>
      <c r="AB78" s="356">
        <v>5.8</v>
      </c>
      <c r="AC78" s="356">
        <f>AB78*100/Q78</f>
        <v>1.1599999999999999</v>
      </c>
      <c r="AD78" s="269">
        <f>(W78+AC78)</f>
        <v>1.1599999999999999</v>
      </c>
      <c r="AE78" s="269">
        <f>(W78-AC78)</f>
        <v>-1.1599999999999999</v>
      </c>
      <c r="AF78" s="269">
        <f t="shared" ref="AF78" si="83">MAX(AD78:AE78)</f>
        <v>1.1599999999999999</v>
      </c>
      <c r="AG78" s="41">
        <v>44422</v>
      </c>
      <c r="AH78" s="581"/>
      <c r="AI78" s="97">
        <v>500</v>
      </c>
      <c r="AJ78" s="145">
        <f t="shared" ref="AJ78" si="84">AI78-R78</f>
        <v>1.1999999999999886</v>
      </c>
      <c r="AK78" s="97">
        <f>(AJ78*100)/R78</f>
        <v>0.2405773857257395</v>
      </c>
      <c r="AL78" s="271"/>
      <c r="AM78" s="271"/>
      <c r="AN78" s="271"/>
      <c r="AO78" s="271"/>
      <c r="AP78" s="145">
        <v>6</v>
      </c>
      <c r="AQ78" s="145">
        <f t="shared" ref="AQ78" si="85">(AP78*100)/R78</f>
        <v>1.2028869286287089</v>
      </c>
      <c r="AR78" s="40">
        <f t="shared" ref="AR78" si="86">(AK78+AQ78)</f>
        <v>1.4434643143544483</v>
      </c>
      <c r="AS78" s="40">
        <f t="shared" ref="AS78" si="87">(AK78-AQ78)</f>
        <v>-0.96230954290296944</v>
      </c>
      <c r="AT78" s="40">
        <f t="shared" si="44"/>
        <v>1.4434643143544483</v>
      </c>
      <c r="AU78" s="272">
        <f t="shared" si="13"/>
        <v>0.98333333333333328</v>
      </c>
      <c r="AV78" s="273">
        <f>ABS(AT78+AF78)</f>
        <v>2.603464314354448</v>
      </c>
      <c r="AW78" s="274">
        <f t="shared" ref="AW78" si="88">(AV78/AU78)</f>
        <v>2.6475908281570661</v>
      </c>
      <c r="AX78" s="360">
        <f>(I78/AW78)</f>
        <v>0.90648448184517649</v>
      </c>
      <c r="AY78" s="324" t="str">
        <f t="shared" si="15"/>
        <v>UN AÑO</v>
      </c>
      <c r="AZ78" s="516"/>
      <c r="BA78" s="465"/>
      <c r="BB78" s="517"/>
      <c r="BC78" s="357"/>
      <c r="BD78" s="519"/>
    </row>
    <row r="79" spans="1:56" s="75" customFormat="1" x14ac:dyDescent="0.25">
      <c r="A79" s="363"/>
      <c r="B79" s="454"/>
      <c r="C79" s="458"/>
      <c r="D79" s="462"/>
      <c r="E79" s="462"/>
      <c r="F79" s="486"/>
      <c r="G79" s="473"/>
      <c r="H79" s="473"/>
      <c r="I79" s="257">
        <v>2</v>
      </c>
      <c r="J79" s="470"/>
      <c r="K79" s="304" t="s">
        <v>76</v>
      </c>
      <c r="L79" s="446"/>
      <c r="M79" s="260"/>
      <c r="N79" s="434"/>
      <c r="O79" s="260"/>
      <c r="P79" s="434"/>
      <c r="Q79" s="37">
        <v>700</v>
      </c>
      <c r="R79" s="37"/>
      <c r="S79" s="38">
        <v>44063</v>
      </c>
      <c r="T79" s="438"/>
      <c r="U79" s="99">
        <v>700</v>
      </c>
      <c r="V79" s="99">
        <f>U79-Q79</f>
        <v>0</v>
      </c>
      <c r="W79" s="99">
        <f>V79*100/Q79</f>
        <v>0</v>
      </c>
      <c r="X79" s="99"/>
      <c r="Y79" s="99"/>
      <c r="Z79" s="99"/>
      <c r="AA79" s="99"/>
      <c r="AB79" s="99">
        <v>5.8</v>
      </c>
      <c r="AC79" s="99">
        <f>AB79*100/Q79</f>
        <v>0.82857142857142863</v>
      </c>
      <c r="AD79" s="40">
        <f t="shared" ref="AD79:AD87" si="89">(W79+AC79)</f>
        <v>0.82857142857142863</v>
      </c>
      <c r="AE79" s="40">
        <f t="shared" ref="AE79:AE87" si="90">(W79-AC79)</f>
        <v>-0.82857142857142863</v>
      </c>
      <c r="AF79" s="40">
        <f t="shared" ref="AF79:AF87" si="91">MAX(AD79:AE79)</f>
        <v>0.82857142857142863</v>
      </c>
      <c r="AG79" s="41">
        <v>44422</v>
      </c>
      <c r="AH79" s="582"/>
      <c r="AI79" s="97"/>
      <c r="AJ79" s="145"/>
      <c r="AK79" s="97"/>
      <c r="AL79" s="97"/>
      <c r="AM79" s="97"/>
      <c r="AN79" s="97"/>
      <c r="AO79" s="97"/>
      <c r="AP79" s="145"/>
      <c r="AQ79" s="145"/>
      <c r="AR79" s="40"/>
      <c r="AS79" s="40"/>
      <c r="AT79" s="40"/>
      <c r="AU79" s="43">
        <f t="shared" ref="AU79:AU86" si="92">YEARFRAC(S79,AG79)</f>
        <v>0.98333333333333328</v>
      </c>
      <c r="AV79" s="44">
        <f t="shared" ref="AV79:AV86" si="93">ABS(AT79+AF79)</f>
        <v>0.82857142857142863</v>
      </c>
      <c r="AW79" s="98">
        <f t="shared" ref="AW79:AW86" si="94">(AV79/AU79)</f>
        <v>0.84261501210653766</v>
      </c>
      <c r="AX79" s="46">
        <f t="shared" ref="AX79:AX86" si="95">(I79/AW79)</f>
        <v>2.3735632183908044</v>
      </c>
      <c r="AY79" s="74" t="str">
        <f t="shared" ref="AY79:AY86" si="96">IF(AX79&lt;=1,"UN AÑO",IF(AX79&gt;=1,"DOS AÑOS"))</f>
        <v>DOS AÑOS</v>
      </c>
      <c r="AZ79" s="492"/>
      <c r="BA79" s="466"/>
      <c r="BB79" s="495"/>
      <c r="BC79" s="128"/>
      <c r="BD79" s="520"/>
    </row>
    <row r="80" spans="1:56" s="75" customFormat="1" x14ac:dyDescent="0.25">
      <c r="A80" s="363"/>
      <c r="B80" s="454"/>
      <c r="C80" s="458"/>
      <c r="D80" s="462"/>
      <c r="E80" s="462"/>
      <c r="F80" s="486"/>
      <c r="G80" s="473"/>
      <c r="H80" s="473"/>
      <c r="I80" s="257">
        <v>2</v>
      </c>
      <c r="J80" s="470"/>
      <c r="K80" s="304" t="s">
        <v>76</v>
      </c>
      <c r="L80" s="446"/>
      <c r="M80" s="260"/>
      <c r="N80" s="434"/>
      <c r="O80" s="260"/>
      <c r="P80" s="434"/>
      <c r="Q80" s="37">
        <v>900.1</v>
      </c>
      <c r="R80" s="37">
        <v>800.7</v>
      </c>
      <c r="S80" s="38">
        <v>44063</v>
      </c>
      <c r="T80" s="438"/>
      <c r="U80" s="99">
        <v>900</v>
      </c>
      <c r="V80" s="99">
        <f t="shared" ref="V80:V89" si="97">U80-Q80</f>
        <v>-0.10000000000002274</v>
      </c>
      <c r="W80" s="99">
        <f t="shared" ref="W80:W89" si="98">V80*100/Q80</f>
        <v>-1.1109876680371373E-2</v>
      </c>
      <c r="X80" s="99"/>
      <c r="Y80" s="99"/>
      <c r="Z80" s="99"/>
      <c r="AA80" s="99"/>
      <c r="AB80" s="99">
        <v>5.8</v>
      </c>
      <c r="AC80" s="99">
        <f t="shared" ref="AC80:AC89" si="99">AB80*100/Q80</f>
        <v>0.64437284746139312</v>
      </c>
      <c r="AD80" s="40">
        <f t="shared" si="89"/>
        <v>0.63326297078102178</v>
      </c>
      <c r="AE80" s="40">
        <f t="shared" si="90"/>
        <v>-0.65548272414176445</v>
      </c>
      <c r="AF80" s="40">
        <f t="shared" si="91"/>
        <v>0.63326297078102178</v>
      </c>
      <c r="AG80" s="41">
        <v>44422</v>
      </c>
      <c r="AH80" s="582"/>
      <c r="AI80" s="97">
        <v>800</v>
      </c>
      <c r="AJ80" s="145">
        <f t="shared" ref="AJ80:AJ88" si="100">AI80-R80</f>
        <v>-0.70000000000004547</v>
      </c>
      <c r="AK80" s="97">
        <f t="shared" ref="AK80:AK88" si="101">(AJ80*100)/R80</f>
        <v>-8.7423504433626259E-2</v>
      </c>
      <c r="AL80" s="97"/>
      <c r="AM80" s="97"/>
      <c r="AN80" s="97"/>
      <c r="AO80" s="97"/>
      <c r="AP80" s="145">
        <v>6.5</v>
      </c>
      <c r="AQ80" s="145">
        <f t="shared" ref="AQ80:AQ88" si="102">(AP80*100)/R80</f>
        <v>0.81178968402647678</v>
      </c>
      <c r="AR80" s="269">
        <f t="shared" ref="AR80:AR86" si="103">(AK80+AQ80)</f>
        <v>0.72436617959285055</v>
      </c>
      <c r="AS80" s="269">
        <f t="shared" ref="AS80:AS86" si="104">(AK80-AQ80)</f>
        <v>-0.89921318846010301</v>
      </c>
      <c r="AT80" s="269">
        <f t="shared" ref="AT80:AT86" si="105">MAX(AR80:AS80)</f>
        <v>0.72436617959285055</v>
      </c>
      <c r="AU80" s="272">
        <f t="shared" si="92"/>
        <v>0.98333333333333328</v>
      </c>
      <c r="AV80" s="273">
        <f t="shared" si="93"/>
        <v>1.3576291503738722</v>
      </c>
      <c r="AW80" s="274">
        <f t="shared" si="94"/>
        <v>1.3806398139395311</v>
      </c>
      <c r="AX80" s="275">
        <f t="shared" si="95"/>
        <v>1.4486037414010107</v>
      </c>
      <c r="AY80" s="324" t="str">
        <f t="shared" si="96"/>
        <v>DOS AÑOS</v>
      </c>
      <c r="AZ80" s="492"/>
      <c r="BA80" s="466"/>
      <c r="BB80" s="495"/>
      <c r="BC80" s="128"/>
      <c r="BD80" s="520"/>
    </row>
    <row r="81" spans="1:56" s="75" customFormat="1" x14ac:dyDescent="0.25">
      <c r="A81" s="363"/>
      <c r="B81" s="454"/>
      <c r="C81" s="458"/>
      <c r="D81" s="462"/>
      <c r="E81" s="462"/>
      <c r="F81" s="486"/>
      <c r="G81" s="473"/>
      <c r="H81" s="473"/>
      <c r="I81" s="257">
        <v>2</v>
      </c>
      <c r="J81" s="470"/>
      <c r="K81" s="304" t="s">
        <v>76</v>
      </c>
      <c r="L81" s="446"/>
      <c r="M81" s="260"/>
      <c r="N81" s="434"/>
      <c r="O81" s="260"/>
      <c r="P81" s="434"/>
      <c r="Q81" s="37">
        <v>1799.7</v>
      </c>
      <c r="R81" s="37">
        <v>997.5</v>
      </c>
      <c r="S81" s="38">
        <v>44063</v>
      </c>
      <c r="T81" s="438"/>
      <c r="U81" s="99">
        <v>1800</v>
      </c>
      <c r="V81" s="99">
        <f t="shared" si="97"/>
        <v>0.29999999999995453</v>
      </c>
      <c r="W81" s="99">
        <f t="shared" si="98"/>
        <v>1.6669444907482053E-2</v>
      </c>
      <c r="X81" s="99"/>
      <c r="Y81" s="99"/>
      <c r="Z81" s="99"/>
      <c r="AA81" s="99"/>
      <c r="AB81" s="99">
        <v>5.8</v>
      </c>
      <c r="AC81" s="99">
        <f t="shared" si="99"/>
        <v>0.32227593487803524</v>
      </c>
      <c r="AD81" s="40">
        <f t="shared" si="89"/>
        <v>0.33894537978551731</v>
      </c>
      <c r="AE81" s="40">
        <f t="shared" si="90"/>
        <v>-0.30560648997055317</v>
      </c>
      <c r="AF81" s="40">
        <f t="shared" si="91"/>
        <v>0.33894537978551731</v>
      </c>
      <c r="AG81" s="41">
        <v>44422</v>
      </c>
      <c r="AH81" s="582"/>
      <c r="AI81" s="97">
        <v>1000</v>
      </c>
      <c r="AJ81" s="145">
        <f t="shared" si="100"/>
        <v>2.5</v>
      </c>
      <c r="AK81" s="97">
        <f t="shared" si="101"/>
        <v>0.25062656641604009</v>
      </c>
      <c r="AL81" s="97"/>
      <c r="AM81" s="97"/>
      <c r="AN81" s="97"/>
      <c r="AO81" s="97"/>
      <c r="AP81" s="145">
        <v>7</v>
      </c>
      <c r="AQ81" s="145">
        <f t="shared" si="102"/>
        <v>0.70175438596491224</v>
      </c>
      <c r="AR81" s="40">
        <f t="shared" si="103"/>
        <v>0.95238095238095233</v>
      </c>
      <c r="AS81" s="40">
        <f t="shared" si="104"/>
        <v>-0.45112781954887216</v>
      </c>
      <c r="AT81" s="40">
        <f t="shared" si="105"/>
        <v>0.95238095238095233</v>
      </c>
      <c r="AU81" s="43">
        <f t="shared" si="92"/>
        <v>0.98333333333333328</v>
      </c>
      <c r="AV81" s="44">
        <f t="shared" si="93"/>
        <v>1.2913263321664696</v>
      </c>
      <c r="AW81" s="98">
        <f t="shared" si="94"/>
        <v>1.313213219152342</v>
      </c>
      <c r="AX81" s="46">
        <f t="shared" si="95"/>
        <v>1.5229819277108463</v>
      </c>
      <c r="AY81" s="74" t="str">
        <f t="shared" si="96"/>
        <v>DOS AÑOS</v>
      </c>
      <c r="AZ81" s="492"/>
      <c r="BA81" s="466"/>
      <c r="BB81" s="495"/>
      <c r="BC81" s="128"/>
      <c r="BD81" s="520"/>
    </row>
    <row r="82" spans="1:56" s="75" customFormat="1" x14ac:dyDescent="0.25">
      <c r="A82" s="363"/>
      <c r="B82" s="454"/>
      <c r="C82" s="458"/>
      <c r="D82" s="462"/>
      <c r="E82" s="462"/>
      <c r="F82" s="486"/>
      <c r="G82" s="473"/>
      <c r="H82" s="473"/>
      <c r="I82" s="257">
        <v>2</v>
      </c>
      <c r="J82" s="470"/>
      <c r="K82" s="304" t="s">
        <v>76</v>
      </c>
      <c r="L82" s="446"/>
      <c r="M82" s="260"/>
      <c r="N82" s="434"/>
      <c r="O82" s="260"/>
      <c r="P82" s="434"/>
      <c r="Q82" s="37">
        <v>2801.2</v>
      </c>
      <c r="R82" s="37">
        <v>1800</v>
      </c>
      <c r="S82" s="38">
        <v>44063</v>
      </c>
      <c r="T82" s="438"/>
      <c r="U82" s="99">
        <v>2800</v>
      </c>
      <c r="V82" s="99">
        <f t="shared" si="97"/>
        <v>-1.1999999999998181</v>
      </c>
      <c r="W82" s="99">
        <f t="shared" si="98"/>
        <v>-4.2838783378545561E-2</v>
      </c>
      <c r="X82" s="99"/>
      <c r="Y82" s="99"/>
      <c r="Z82" s="99"/>
      <c r="AA82" s="99"/>
      <c r="AB82" s="99">
        <v>5.8</v>
      </c>
      <c r="AC82" s="99">
        <f t="shared" si="99"/>
        <v>0.20705411966300158</v>
      </c>
      <c r="AD82" s="40">
        <f t="shared" si="89"/>
        <v>0.164215336284456</v>
      </c>
      <c r="AE82" s="40">
        <f t="shared" si="90"/>
        <v>-0.24989290304154715</v>
      </c>
      <c r="AF82" s="40">
        <f t="shared" si="91"/>
        <v>0.164215336284456</v>
      </c>
      <c r="AG82" s="41">
        <v>44422</v>
      </c>
      <c r="AH82" s="582"/>
      <c r="AI82" s="97">
        <v>1800</v>
      </c>
      <c r="AJ82" s="145">
        <f t="shared" si="100"/>
        <v>0</v>
      </c>
      <c r="AK82" s="97">
        <f t="shared" si="101"/>
        <v>0</v>
      </c>
      <c r="AL82" s="97"/>
      <c r="AM82" s="97"/>
      <c r="AN82" s="97"/>
      <c r="AO82" s="97"/>
      <c r="AP82" s="145">
        <v>9.1999999999999993</v>
      </c>
      <c r="AQ82" s="145">
        <f t="shared" si="102"/>
        <v>0.51111111111111107</v>
      </c>
      <c r="AR82" s="40">
        <f t="shared" si="103"/>
        <v>0.51111111111111107</v>
      </c>
      <c r="AS82" s="40">
        <f t="shared" si="104"/>
        <v>-0.51111111111111107</v>
      </c>
      <c r="AT82" s="40">
        <f t="shared" si="105"/>
        <v>0.51111111111111107</v>
      </c>
      <c r="AU82" s="43">
        <f t="shared" si="92"/>
        <v>0.98333333333333328</v>
      </c>
      <c r="AV82" s="44">
        <f t="shared" si="93"/>
        <v>0.67532644739556713</v>
      </c>
      <c r="AW82" s="98">
        <f t="shared" si="94"/>
        <v>0.68677265836837342</v>
      </c>
      <c r="AX82" s="46">
        <f t="shared" si="95"/>
        <v>2.9121718455588739</v>
      </c>
      <c r="AY82" s="74" t="str">
        <f t="shared" si="96"/>
        <v>DOS AÑOS</v>
      </c>
      <c r="AZ82" s="492"/>
      <c r="BA82" s="466"/>
      <c r="BB82" s="495"/>
      <c r="BC82" s="128"/>
      <c r="BD82" s="520"/>
    </row>
    <row r="83" spans="1:56" s="75" customFormat="1" x14ac:dyDescent="0.25">
      <c r="A83" s="363"/>
      <c r="B83" s="454"/>
      <c r="C83" s="458"/>
      <c r="D83" s="462"/>
      <c r="E83" s="462"/>
      <c r="F83" s="486"/>
      <c r="G83" s="473"/>
      <c r="H83" s="473"/>
      <c r="I83" s="257">
        <v>2</v>
      </c>
      <c r="J83" s="470"/>
      <c r="K83" s="304" t="s">
        <v>76</v>
      </c>
      <c r="L83" s="446"/>
      <c r="M83" s="260"/>
      <c r="N83" s="434"/>
      <c r="O83" s="260"/>
      <c r="P83" s="434"/>
      <c r="Q83" s="37">
        <v>3802.3</v>
      </c>
      <c r="R83" s="37">
        <v>2499</v>
      </c>
      <c r="S83" s="38">
        <v>44063</v>
      </c>
      <c r="T83" s="438"/>
      <c r="U83" s="99">
        <v>3800</v>
      </c>
      <c r="V83" s="99">
        <f t="shared" si="97"/>
        <v>-2.3000000000001819</v>
      </c>
      <c r="W83" s="99">
        <f t="shared" si="98"/>
        <v>-6.0489703600457141E-2</v>
      </c>
      <c r="X83" s="99"/>
      <c r="Y83" s="99"/>
      <c r="Z83" s="99"/>
      <c r="AA83" s="99"/>
      <c r="AB83" s="99">
        <v>5.8</v>
      </c>
      <c r="AC83" s="99">
        <f t="shared" si="99"/>
        <v>0.15253925255766246</v>
      </c>
      <c r="AD83" s="40">
        <f t="shared" si="89"/>
        <v>9.2049548957205324E-2</v>
      </c>
      <c r="AE83" s="40">
        <f t="shared" si="90"/>
        <v>-0.21302895615811959</v>
      </c>
      <c r="AF83" s="40">
        <f t="shared" si="91"/>
        <v>9.2049548957205324E-2</v>
      </c>
      <c r="AG83" s="41">
        <v>44422</v>
      </c>
      <c r="AH83" s="582"/>
      <c r="AI83" s="97">
        <v>2500</v>
      </c>
      <c r="AJ83" s="145">
        <f t="shared" si="100"/>
        <v>1</v>
      </c>
      <c r="AK83" s="97">
        <f t="shared" si="101"/>
        <v>4.0016006402561026E-2</v>
      </c>
      <c r="AL83" s="97"/>
      <c r="AM83" s="97"/>
      <c r="AN83" s="97"/>
      <c r="AO83" s="97"/>
      <c r="AP83" s="145">
        <v>12</v>
      </c>
      <c r="AQ83" s="145">
        <f t="shared" si="102"/>
        <v>0.48019207683073228</v>
      </c>
      <c r="AR83" s="40">
        <f t="shared" si="103"/>
        <v>0.52020808323329326</v>
      </c>
      <c r="AS83" s="40">
        <f t="shared" si="104"/>
        <v>-0.44017607042817125</v>
      </c>
      <c r="AT83" s="40">
        <f t="shared" si="105"/>
        <v>0.52020808323329326</v>
      </c>
      <c r="AU83" s="43">
        <f t="shared" si="92"/>
        <v>0.98333333333333328</v>
      </c>
      <c r="AV83" s="44">
        <f t="shared" si="93"/>
        <v>0.61225763219049856</v>
      </c>
      <c r="AW83" s="98">
        <f t="shared" si="94"/>
        <v>0.62263488019372737</v>
      </c>
      <c r="AX83" s="46">
        <f t="shared" si="95"/>
        <v>3.212155411816501</v>
      </c>
      <c r="AY83" s="74" t="str">
        <f t="shared" si="96"/>
        <v>DOS AÑOS</v>
      </c>
      <c r="AZ83" s="492"/>
      <c r="BA83" s="466"/>
      <c r="BB83" s="495"/>
      <c r="BC83" s="128"/>
      <c r="BD83" s="520"/>
    </row>
    <row r="84" spans="1:56" s="75" customFormat="1" x14ac:dyDescent="0.25">
      <c r="A84" s="363"/>
      <c r="B84" s="454"/>
      <c r="C84" s="458"/>
      <c r="D84" s="462"/>
      <c r="E84" s="462"/>
      <c r="F84" s="486"/>
      <c r="G84" s="473"/>
      <c r="H84" s="473"/>
      <c r="I84" s="257">
        <v>2</v>
      </c>
      <c r="J84" s="470"/>
      <c r="K84" s="304" t="s">
        <v>76</v>
      </c>
      <c r="L84" s="446"/>
      <c r="M84" s="260"/>
      <c r="N84" s="434"/>
      <c r="O84" s="260"/>
      <c r="P84" s="434"/>
      <c r="Q84" s="37">
        <v>4800.1000000000004</v>
      </c>
      <c r="R84" s="37">
        <v>3000</v>
      </c>
      <c r="S84" s="38">
        <v>44063</v>
      </c>
      <c r="T84" s="438"/>
      <c r="U84" s="99">
        <v>4800</v>
      </c>
      <c r="V84" s="99">
        <f t="shared" si="97"/>
        <v>-0.1000000000003638</v>
      </c>
      <c r="W84" s="99">
        <f t="shared" si="98"/>
        <v>-2.0832899314673402E-3</v>
      </c>
      <c r="X84" s="99"/>
      <c r="Y84" s="99"/>
      <c r="Z84" s="99"/>
      <c r="AA84" s="99"/>
      <c r="AB84" s="99">
        <v>5.8</v>
      </c>
      <c r="AC84" s="99">
        <f t="shared" si="99"/>
        <v>0.12083081602466614</v>
      </c>
      <c r="AD84" s="40">
        <f t="shared" si="89"/>
        <v>0.1187475260931988</v>
      </c>
      <c r="AE84" s="40">
        <f t="shared" si="90"/>
        <v>-0.12291410595613347</v>
      </c>
      <c r="AF84" s="40">
        <f t="shared" si="91"/>
        <v>0.1187475260931988</v>
      </c>
      <c r="AG84" s="41">
        <v>44412</v>
      </c>
      <c r="AH84" s="582"/>
      <c r="AI84" s="97">
        <v>3000</v>
      </c>
      <c r="AJ84" s="145">
        <f t="shared" si="100"/>
        <v>0</v>
      </c>
      <c r="AK84" s="97">
        <f t="shared" si="101"/>
        <v>0</v>
      </c>
      <c r="AL84" s="97"/>
      <c r="AM84" s="97"/>
      <c r="AN84" s="97"/>
      <c r="AO84" s="97"/>
      <c r="AP84" s="145">
        <v>13</v>
      </c>
      <c r="AQ84" s="145">
        <f t="shared" si="102"/>
        <v>0.43333333333333335</v>
      </c>
      <c r="AR84" s="40">
        <f t="shared" si="103"/>
        <v>0.43333333333333335</v>
      </c>
      <c r="AS84" s="40">
        <f t="shared" si="104"/>
        <v>-0.43333333333333335</v>
      </c>
      <c r="AT84" s="40">
        <f t="shared" si="105"/>
        <v>0.43333333333333335</v>
      </c>
      <c r="AU84" s="43">
        <f t="shared" si="92"/>
        <v>0.9555555555555556</v>
      </c>
      <c r="AV84" s="44">
        <f t="shared" si="93"/>
        <v>0.55208085942653218</v>
      </c>
      <c r="AW84" s="98">
        <f t="shared" si="94"/>
        <v>0.5777590389347429</v>
      </c>
      <c r="AX84" s="46">
        <f t="shared" si="95"/>
        <v>3.4616507319168006</v>
      </c>
      <c r="AY84" s="74" t="str">
        <f t="shared" si="96"/>
        <v>DOS AÑOS</v>
      </c>
      <c r="AZ84" s="492"/>
      <c r="BA84" s="466"/>
      <c r="BB84" s="495"/>
      <c r="BC84" s="128"/>
      <c r="BD84" s="520"/>
    </row>
    <row r="85" spans="1:56" s="75" customFormat="1" x14ac:dyDescent="0.25">
      <c r="A85" s="363"/>
      <c r="B85" s="454"/>
      <c r="C85" s="458"/>
      <c r="D85" s="462"/>
      <c r="E85" s="462"/>
      <c r="F85" s="486"/>
      <c r="G85" s="473"/>
      <c r="H85" s="473"/>
      <c r="I85" s="257">
        <v>2</v>
      </c>
      <c r="J85" s="470"/>
      <c r="K85" s="304" t="s">
        <v>76</v>
      </c>
      <c r="L85" s="446"/>
      <c r="M85" s="260"/>
      <c r="N85" s="434"/>
      <c r="O85" s="260"/>
      <c r="P85" s="434"/>
      <c r="Q85" s="37">
        <v>5802.8</v>
      </c>
      <c r="R85" s="37">
        <v>3999</v>
      </c>
      <c r="S85" s="38">
        <v>44063</v>
      </c>
      <c r="T85" s="438"/>
      <c r="U85" s="99">
        <v>5810</v>
      </c>
      <c r="V85" s="99">
        <f t="shared" si="97"/>
        <v>7.1999999999998181</v>
      </c>
      <c r="W85" s="99">
        <f t="shared" si="98"/>
        <v>0.12407803129523365</v>
      </c>
      <c r="X85" s="99"/>
      <c r="Y85" s="99"/>
      <c r="Z85" s="99"/>
      <c r="AA85" s="99"/>
      <c r="AB85" s="99">
        <v>7.8</v>
      </c>
      <c r="AC85" s="99">
        <f t="shared" si="99"/>
        <v>0.13441786723650651</v>
      </c>
      <c r="AD85" s="40">
        <f t="shared" si="89"/>
        <v>0.25849589853174015</v>
      </c>
      <c r="AE85" s="40">
        <f t="shared" si="90"/>
        <v>-1.0339835941272857E-2</v>
      </c>
      <c r="AF85" s="40">
        <f t="shared" si="91"/>
        <v>0.25849589853174015</v>
      </c>
      <c r="AG85" s="41">
        <v>44422</v>
      </c>
      <c r="AH85" s="582"/>
      <c r="AI85" s="97">
        <v>4000</v>
      </c>
      <c r="AJ85" s="145">
        <f t="shared" si="100"/>
        <v>1</v>
      </c>
      <c r="AK85" s="97">
        <f t="shared" si="101"/>
        <v>2.5006251562890724E-2</v>
      </c>
      <c r="AL85" s="97"/>
      <c r="AM85" s="97"/>
      <c r="AN85" s="97"/>
      <c r="AO85" s="97"/>
      <c r="AP85" s="145">
        <v>17</v>
      </c>
      <c r="AQ85" s="145">
        <f t="shared" si="102"/>
        <v>0.42510627656914229</v>
      </c>
      <c r="AR85" s="40">
        <f t="shared" si="103"/>
        <v>0.45011252813203301</v>
      </c>
      <c r="AS85" s="40">
        <f t="shared" si="104"/>
        <v>-0.40010002500625158</v>
      </c>
      <c r="AT85" s="40">
        <f t="shared" si="105"/>
        <v>0.45011252813203301</v>
      </c>
      <c r="AU85" s="43">
        <f t="shared" si="92"/>
        <v>0.98333333333333328</v>
      </c>
      <c r="AV85" s="44">
        <f t="shared" si="93"/>
        <v>0.70860842666377311</v>
      </c>
      <c r="AW85" s="98">
        <f t="shared" si="94"/>
        <v>0.72061873898010831</v>
      </c>
      <c r="AX85" s="46">
        <f t="shared" si="95"/>
        <v>2.7753927171399955</v>
      </c>
      <c r="AY85" s="74" t="str">
        <f t="shared" si="96"/>
        <v>DOS AÑOS</v>
      </c>
      <c r="AZ85" s="492"/>
      <c r="BA85" s="466"/>
      <c r="BB85" s="495"/>
      <c r="BC85" s="128"/>
      <c r="BD85" s="520"/>
    </row>
    <row r="86" spans="1:56" s="75" customFormat="1" x14ac:dyDescent="0.25">
      <c r="A86" s="363"/>
      <c r="B86" s="454"/>
      <c r="C86" s="458"/>
      <c r="D86" s="462"/>
      <c r="E86" s="462"/>
      <c r="F86" s="486"/>
      <c r="G86" s="473"/>
      <c r="H86" s="473"/>
      <c r="I86" s="257">
        <v>2</v>
      </c>
      <c r="J86" s="470"/>
      <c r="K86" s="304" t="s">
        <v>76</v>
      </c>
      <c r="L86" s="446"/>
      <c r="M86" s="260"/>
      <c r="N86" s="434"/>
      <c r="O86" s="260"/>
      <c r="P86" s="434"/>
      <c r="Q86" s="37">
        <v>6802.9</v>
      </c>
      <c r="R86" s="37">
        <v>7001</v>
      </c>
      <c r="S86" s="38">
        <v>44063</v>
      </c>
      <c r="T86" s="438"/>
      <c r="U86" s="99">
        <v>6810</v>
      </c>
      <c r="V86" s="99">
        <f t="shared" si="97"/>
        <v>7.1000000000003638</v>
      </c>
      <c r="W86" s="99">
        <f t="shared" si="98"/>
        <v>0.10436725514119514</v>
      </c>
      <c r="X86" s="99"/>
      <c r="Y86" s="99"/>
      <c r="Z86" s="99"/>
      <c r="AA86" s="99"/>
      <c r="AB86" s="99">
        <v>7.8</v>
      </c>
      <c r="AC86" s="99">
        <f t="shared" si="99"/>
        <v>0.1146569845213071</v>
      </c>
      <c r="AD86" s="40">
        <f t="shared" si="89"/>
        <v>0.21902423966250223</v>
      </c>
      <c r="AE86" s="40">
        <f t="shared" si="90"/>
        <v>-1.0289729380111953E-2</v>
      </c>
      <c r="AF86" s="40">
        <f t="shared" si="91"/>
        <v>0.21902423966250223</v>
      </c>
      <c r="AG86" s="41">
        <v>44422</v>
      </c>
      <c r="AH86" s="582"/>
      <c r="AI86" s="97">
        <v>7000</v>
      </c>
      <c r="AJ86" s="145">
        <f t="shared" si="100"/>
        <v>-1</v>
      </c>
      <c r="AK86" s="97">
        <f t="shared" si="101"/>
        <v>-1.4283673760891302E-2</v>
      </c>
      <c r="AL86" s="97"/>
      <c r="AM86" s="97"/>
      <c r="AN86" s="97"/>
      <c r="AO86" s="97"/>
      <c r="AP86" s="145">
        <v>29</v>
      </c>
      <c r="AQ86" s="145">
        <f t="shared" si="102"/>
        <v>0.41422653906584772</v>
      </c>
      <c r="AR86" s="40">
        <f t="shared" si="103"/>
        <v>0.39994286530495643</v>
      </c>
      <c r="AS86" s="40">
        <f t="shared" si="104"/>
        <v>-0.42851021282673901</v>
      </c>
      <c r="AT86" s="40">
        <f t="shared" si="105"/>
        <v>0.39994286530495643</v>
      </c>
      <c r="AU86" s="43">
        <f t="shared" si="92"/>
        <v>0.98333333333333328</v>
      </c>
      <c r="AV86" s="44">
        <f t="shared" si="93"/>
        <v>0.61896710496745866</v>
      </c>
      <c r="AW86" s="98">
        <f t="shared" si="94"/>
        <v>0.62945807284826305</v>
      </c>
      <c r="AX86" s="46">
        <f t="shared" si="95"/>
        <v>3.1773363251187017</v>
      </c>
      <c r="AY86" s="74" t="str">
        <f t="shared" si="96"/>
        <v>DOS AÑOS</v>
      </c>
      <c r="AZ86" s="492"/>
      <c r="BA86" s="466"/>
      <c r="BB86" s="495"/>
      <c r="BC86" s="128"/>
      <c r="BD86" s="520"/>
    </row>
    <row r="87" spans="1:56" s="75" customFormat="1" x14ac:dyDescent="0.25">
      <c r="A87" s="363"/>
      <c r="B87" s="454"/>
      <c r="C87" s="458"/>
      <c r="D87" s="462"/>
      <c r="E87" s="462"/>
      <c r="F87" s="486"/>
      <c r="G87" s="473"/>
      <c r="H87" s="473"/>
      <c r="I87" s="257">
        <v>2</v>
      </c>
      <c r="J87" s="470"/>
      <c r="K87" s="304" t="s">
        <v>76</v>
      </c>
      <c r="L87" s="446"/>
      <c r="M87" s="260"/>
      <c r="N87" s="434"/>
      <c r="O87" s="260"/>
      <c r="P87" s="434"/>
      <c r="Q87" s="37">
        <v>7807.7</v>
      </c>
      <c r="R87" s="37"/>
      <c r="S87" s="38">
        <v>44063</v>
      </c>
      <c r="T87" s="438"/>
      <c r="U87" s="99">
        <v>7800</v>
      </c>
      <c r="V87" s="99">
        <f t="shared" si="97"/>
        <v>-7.6999999999998181</v>
      </c>
      <c r="W87" s="99">
        <f t="shared" si="98"/>
        <v>-9.8620592492024775E-2</v>
      </c>
      <c r="X87" s="99"/>
      <c r="Y87" s="99"/>
      <c r="Z87" s="99"/>
      <c r="AA87" s="99"/>
      <c r="AB87" s="99">
        <v>7.8</v>
      </c>
      <c r="AC87" s="99">
        <f t="shared" si="99"/>
        <v>9.990137940750797E-2</v>
      </c>
      <c r="AD87" s="40">
        <f t="shared" si="89"/>
        <v>1.2807869154831952E-3</v>
      </c>
      <c r="AE87" s="40">
        <f t="shared" si="90"/>
        <v>-0.19852197189953275</v>
      </c>
      <c r="AF87" s="40">
        <f t="shared" si="91"/>
        <v>1.2807869154831952E-3</v>
      </c>
      <c r="AG87" s="41">
        <v>44422</v>
      </c>
      <c r="AH87" s="582"/>
      <c r="AI87" s="97"/>
      <c r="AJ87" s="145" t="s">
        <v>76</v>
      </c>
      <c r="AK87" s="97" t="s">
        <v>76</v>
      </c>
      <c r="AL87" s="97"/>
      <c r="AM87" s="97"/>
      <c r="AN87" s="97"/>
      <c r="AO87" s="97"/>
      <c r="AP87" s="145" t="s">
        <v>76</v>
      </c>
      <c r="AQ87" s="145" t="s">
        <v>76</v>
      </c>
      <c r="AR87" s="40"/>
      <c r="AS87" s="40"/>
      <c r="AT87" s="40">
        <v>0</v>
      </c>
      <c r="AU87" s="43">
        <f t="shared" ref="AU87" si="106">YEARFRAC(S87,AG87)</f>
        <v>0.98333333333333328</v>
      </c>
      <c r="AV87" s="44">
        <f t="shared" ref="AV87" si="107">ABS(AT87+AF87)</f>
        <v>1.2807869154831952E-3</v>
      </c>
      <c r="AW87" s="98">
        <f t="shared" ref="AW87" si="108">(AV87/AU87)</f>
        <v>1.3024951682879952E-3</v>
      </c>
      <c r="AX87" s="46">
        <f t="shared" ref="AX87" si="109">(I87/AW87)</f>
        <v>1535.5143333305473</v>
      </c>
      <c r="AY87" s="74" t="str">
        <f t="shared" ref="AY87" si="110">IF(AX87&lt;=1,"UN AÑO",IF(AX87&gt;=1,"DOS AÑOS"))</f>
        <v>DOS AÑOS</v>
      </c>
      <c r="AZ87" s="492"/>
      <c r="BA87" s="466"/>
      <c r="BB87" s="495"/>
      <c r="BC87" s="128"/>
      <c r="BD87" s="520"/>
    </row>
    <row r="88" spans="1:56" s="75" customFormat="1" x14ac:dyDescent="0.25">
      <c r="A88" s="363"/>
      <c r="B88" s="454"/>
      <c r="C88" s="458"/>
      <c r="D88" s="462"/>
      <c r="E88" s="462"/>
      <c r="F88" s="486"/>
      <c r="G88" s="473"/>
      <c r="H88" s="473"/>
      <c r="I88" s="257">
        <v>2</v>
      </c>
      <c r="J88" s="470"/>
      <c r="K88" s="304" t="s">
        <v>76</v>
      </c>
      <c r="L88" s="446"/>
      <c r="M88" s="260" t="s">
        <v>76</v>
      </c>
      <c r="N88" s="434"/>
      <c r="O88" s="260" t="s">
        <v>76</v>
      </c>
      <c r="P88" s="434"/>
      <c r="Q88" s="37">
        <v>9009.1</v>
      </c>
      <c r="R88" s="37">
        <v>9004</v>
      </c>
      <c r="S88" s="38">
        <v>44063</v>
      </c>
      <c r="T88" s="438"/>
      <c r="U88" s="99">
        <v>9000</v>
      </c>
      <c r="V88" s="99">
        <f t="shared" si="97"/>
        <v>-9.1000000000003638</v>
      </c>
      <c r="W88" s="99">
        <f t="shared" si="98"/>
        <v>-0.10100897980930797</v>
      </c>
      <c r="X88" s="99" t="s">
        <v>76</v>
      </c>
      <c r="Y88" s="99" t="s">
        <v>76</v>
      </c>
      <c r="Z88" s="99" t="s">
        <v>76</v>
      </c>
      <c r="AA88" s="99" t="s">
        <v>76</v>
      </c>
      <c r="AB88" s="99">
        <v>7.8</v>
      </c>
      <c r="AC88" s="99">
        <f t="shared" si="99"/>
        <v>8.6579125550831929E-2</v>
      </c>
      <c r="AD88" s="40">
        <f>(W88+AC88)</f>
        <v>-1.4429854258476038E-2</v>
      </c>
      <c r="AE88" s="40">
        <f t="shared" ref="AE88:AE132" si="111">(W88-AC88)</f>
        <v>-0.1875881053601399</v>
      </c>
      <c r="AF88" s="40">
        <f t="shared" ref="AF88:AF89" si="112">MAX(AD88:AE88)</f>
        <v>-1.4429854258476038E-2</v>
      </c>
      <c r="AG88" s="41">
        <v>44422</v>
      </c>
      <c r="AH88" s="582"/>
      <c r="AI88" s="97">
        <v>9000</v>
      </c>
      <c r="AJ88" s="145">
        <f t="shared" si="100"/>
        <v>-4</v>
      </c>
      <c r="AK88" s="97">
        <f t="shared" si="101"/>
        <v>-4.4424700133274098E-2</v>
      </c>
      <c r="AL88" s="97" t="s">
        <v>76</v>
      </c>
      <c r="AM88" s="97" t="s">
        <v>76</v>
      </c>
      <c r="AN88" s="97" t="s">
        <v>76</v>
      </c>
      <c r="AO88" s="97" t="s">
        <v>76</v>
      </c>
      <c r="AP88" s="97">
        <v>37</v>
      </c>
      <c r="AQ88" s="333">
        <f t="shared" si="102"/>
        <v>0.41092847623278544</v>
      </c>
      <c r="AR88" s="40">
        <f t="shared" ref="AR88" si="113">(AK88+AQ88)</f>
        <v>0.36650377609951135</v>
      </c>
      <c r="AS88" s="40">
        <f t="shared" ref="AS88" si="114">(AK88-AQ88)</f>
        <v>-0.45535317636605954</v>
      </c>
      <c r="AT88" s="40">
        <f t="shared" ref="AT88" si="115">MAX(AR88:AS88)</f>
        <v>0.36650377609951135</v>
      </c>
      <c r="AU88" s="43">
        <f t="shared" ref="AU88" si="116">YEARFRAC(S88,AG88)</f>
        <v>0.98333333333333328</v>
      </c>
      <c r="AV88" s="44">
        <f t="shared" ref="AV88" si="117">ABS(AT88+AF88)</f>
        <v>0.35207392184103531</v>
      </c>
      <c r="AW88" s="98">
        <f t="shared" ref="AW88" si="118">(AV88/AU88)</f>
        <v>0.35804127644851053</v>
      </c>
      <c r="AX88" s="46">
        <f t="shared" ref="AX88" si="119">(I88/AW88)</f>
        <v>5.5859481337974106</v>
      </c>
      <c r="AY88" s="74" t="str">
        <f t="shared" ref="AY88" si="120">IF(AX88&lt;=1,"UN AÑO",IF(AX88&gt;=1,"DOS AÑOS"))</f>
        <v>DOS AÑOS</v>
      </c>
      <c r="AZ88" s="492"/>
      <c r="BA88" s="466"/>
      <c r="BB88" s="495"/>
      <c r="BC88" s="128">
        <f>MIN(AX53:AX107)</f>
        <v>0.90648448184517649</v>
      </c>
      <c r="BD88" s="520"/>
    </row>
    <row r="89" spans="1:56" s="352" customFormat="1" ht="15.75" thickBot="1" x14ac:dyDescent="0.3">
      <c r="A89" s="363"/>
      <c r="B89" s="455"/>
      <c r="C89" s="459"/>
      <c r="D89" s="463"/>
      <c r="E89" s="463"/>
      <c r="F89" s="487"/>
      <c r="G89" s="474"/>
      <c r="H89" s="474"/>
      <c r="I89" s="258">
        <v>2</v>
      </c>
      <c r="J89" s="471"/>
      <c r="K89" s="308" t="s">
        <v>76</v>
      </c>
      <c r="L89" s="447"/>
      <c r="M89" s="261" t="s">
        <v>76</v>
      </c>
      <c r="N89" s="435"/>
      <c r="O89" s="261" t="s">
        <v>76</v>
      </c>
      <c r="P89" s="435"/>
      <c r="Q89" s="48">
        <v>9804.1</v>
      </c>
      <c r="R89" s="48" t="s">
        <v>25</v>
      </c>
      <c r="S89" s="119">
        <v>44063</v>
      </c>
      <c r="T89" s="440"/>
      <c r="U89" s="120">
        <v>9800</v>
      </c>
      <c r="V89" s="120">
        <f t="shared" si="97"/>
        <v>-4.1000000000003638</v>
      </c>
      <c r="W89" s="120">
        <f t="shared" si="98"/>
        <v>-4.1819238889855913E-2</v>
      </c>
      <c r="X89" s="120" t="s">
        <v>76</v>
      </c>
      <c r="Y89" s="120" t="s">
        <v>76</v>
      </c>
      <c r="Z89" s="120" t="s">
        <v>76</v>
      </c>
      <c r="AA89" s="120" t="s">
        <v>76</v>
      </c>
      <c r="AB89" s="120">
        <v>7.8</v>
      </c>
      <c r="AC89" s="120">
        <f t="shared" si="99"/>
        <v>7.955855203435297E-2</v>
      </c>
      <c r="AD89" s="50">
        <f t="shared" ref="AD89:AD124" si="121">(W89+AC89)</f>
        <v>3.7739313144497057E-2</v>
      </c>
      <c r="AE89" s="50">
        <f t="shared" si="111"/>
        <v>-0.12137779092420889</v>
      </c>
      <c r="AF89" s="50">
        <f t="shared" si="112"/>
        <v>3.7739313144497057E-2</v>
      </c>
      <c r="AG89" s="122">
        <v>44422</v>
      </c>
      <c r="AH89" s="583"/>
      <c r="AI89" s="124"/>
      <c r="AJ89" s="145" t="s">
        <v>76</v>
      </c>
      <c r="AK89" s="124" t="s">
        <v>76</v>
      </c>
      <c r="AL89" s="124" t="s">
        <v>76</v>
      </c>
      <c r="AM89" s="124" t="s">
        <v>76</v>
      </c>
      <c r="AN89" s="124" t="s">
        <v>76</v>
      </c>
      <c r="AO89" s="124" t="s">
        <v>76</v>
      </c>
      <c r="AP89" s="124" t="s">
        <v>76</v>
      </c>
      <c r="AQ89" s="148" t="s">
        <v>76</v>
      </c>
      <c r="AR89" s="50" t="s">
        <v>76</v>
      </c>
      <c r="AS89" s="50" t="s">
        <v>76</v>
      </c>
      <c r="AT89" s="50">
        <f t="shared" ref="AT89:AT91" si="122">MAX(AR89:AS89)</f>
        <v>0</v>
      </c>
      <c r="AU89" s="52">
        <f t="shared" si="13"/>
        <v>0.98333333333333328</v>
      </c>
      <c r="AV89" s="53">
        <f t="shared" ref="AV89:AV146" si="123">ABS(AT89-AF89)</f>
        <v>3.7739313144497057E-2</v>
      </c>
      <c r="AW89" s="125">
        <f t="shared" si="82"/>
        <v>3.8378962519827517E-2</v>
      </c>
      <c r="AX89" s="54">
        <f t="shared" si="17"/>
        <v>52.111882882888011</v>
      </c>
      <c r="AY89" s="129" t="str">
        <f t="shared" si="15"/>
        <v>DOS AÑOS</v>
      </c>
      <c r="AZ89" s="493"/>
      <c r="BA89" s="467"/>
      <c r="BB89" s="496"/>
      <c r="BC89" s="134"/>
      <c r="BD89" s="521"/>
    </row>
    <row r="90" spans="1:56" s="70" customFormat="1" x14ac:dyDescent="0.25">
      <c r="A90" s="363"/>
      <c r="B90" s="452" t="s">
        <v>48</v>
      </c>
      <c r="C90" s="456" t="s">
        <v>10</v>
      </c>
      <c r="D90" s="460" t="s">
        <v>56</v>
      </c>
      <c r="E90" s="460" t="s">
        <v>61</v>
      </c>
      <c r="F90" s="484">
        <v>170228000012</v>
      </c>
      <c r="G90" s="472" t="s">
        <v>15</v>
      </c>
      <c r="H90" s="472" t="s">
        <v>22</v>
      </c>
      <c r="I90" s="358">
        <v>2</v>
      </c>
      <c r="J90" s="468" t="s">
        <v>20</v>
      </c>
      <c r="K90" s="349" t="s">
        <v>76</v>
      </c>
      <c r="L90" s="444" t="s">
        <v>20</v>
      </c>
      <c r="M90" s="314" t="s">
        <v>76</v>
      </c>
      <c r="N90" s="433" t="s">
        <v>20</v>
      </c>
      <c r="O90" s="314" t="s">
        <v>76</v>
      </c>
      <c r="P90" s="433" t="s">
        <v>20</v>
      </c>
      <c r="Q90" s="59">
        <v>0</v>
      </c>
      <c r="R90" s="59">
        <v>399.4</v>
      </c>
      <c r="S90" s="60">
        <v>44063</v>
      </c>
      <c r="T90" s="436" t="s">
        <v>188</v>
      </c>
      <c r="U90" s="143"/>
      <c r="V90" s="143"/>
      <c r="W90" s="143"/>
      <c r="X90" s="143" t="s">
        <v>76</v>
      </c>
      <c r="Y90" s="143" t="s">
        <v>76</v>
      </c>
      <c r="Z90" s="143" t="s">
        <v>76</v>
      </c>
      <c r="AA90" s="143" t="s">
        <v>76</v>
      </c>
      <c r="AB90" s="143"/>
      <c r="AC90" s="143"/>
      <c r="AD90" s="61"/>
      <c r="AE90" s="61"/>
      <c r="AF90" s="61"/>
      <c r="AG90" s="62">
        <v>44422</v>
      </c>
      <c r="AH90" s="580">
        <v>66153</v>
      </c>
      <c r="AI90" s="86">
        <v>400</v>
      </c>
      <c r="AJ90" s="145">
        <f>AI90-R90</f>
        <v>0.60000000000002274</v>
      </c>
      <c r="AK90" s="86">
        <f>(AJ90*100)/R90</f>
        <v>0.15022533800701621</v>
      </c>
      <c r="AL90" s="86" t="s">
        <v>76</v>
      </c>
      <c r="AM90" s="86" t="s">
        <v>76</v>
      </c>
      <c r="AN90" s="86" t="s">
        <v>76</v>
      </c>
      <c r="AO90" s="86" t="s">
        <v>76</v>
      </c>
      <c r="AP90" s="144">
        <v>5.9</v>
      </c>
      <c r="AQ90" s="144">
        <f>(AP90*100)/R90</f>
        <v>1.4772158237356035</v>
      </c>
      <c r="AR90" s="61">
        <f>(AK90+AQ90)</f>
        <v>1.6274411617426197</v>
      </c>
      <c r="AS90" s="61">
        <f>(AK90-AQ90)</f>
        <v>-1.3269904857285872</v>
      </c>
      <c r="AT90" s="61">
        <f t="shared" si="122"/>
        <v>1.6274411617426197</v>
      </c>
      <c r="AU90" s="64">
        <f t="shared" ref="AU90:AU102" si="124">YEARFRAC(S90,AG90)</f>
        <v>0.98333333333333328</v>
      </c>
      <c r="AV90" s="65">
        <f>ABS(AT90+AF90)</f>
        <v>1.6274411617426197</v>
      </c>
      <c r="AW90" s="87">
        <f t="shared" ref="AW90:AW102" si="125">(AV90/AU90)</f>
        <v>1.655024910246732</v>
      </c>
      <c r="AX90" s="67">
        <f t="shared" ref="AX90" si="126">(I90/AW90)</f>
        <v>1.2084410256410212</v>
      </c>
      <c r="AY90" s="68" t="str">
        <f t="shared" ref="AY90:AY102" si="127">IF(AX90&lt;=1,"UN AÑO",IF(AX90&gt;=1,"DOS AÑOS"))</f>
        <v>DOS AÑOS</v>
      </c>
      <c r="AZ90" s="491" t="s">
        <v>10</v>
      </c>
      <c r="BA90" s="464" t="s">
        <v>62</v>
      </c>
      <c r="BB90" s="494" t="s">
        <v>36</v>
      </c>
      <c r="BC90" s="133"/>
      <c r="BD90" s="518">
        <f>BD23</f>
        <v>0</v>
      </c>
    </row>
    <row r="91" spans="1:56" s="340" customFormat="1" x14ac:dyDescent="0.25">
      <c r="A91" s="363"/>
      <c r="B91" s="453"/>
      <c r="C91" s="457"/>
      <c r="D91" s="461"/>
      <c r="E91" s="461"/>
      <c r="F91" s="485"/>
      <c r="G91" s="483"/>
      <c r="H91" s="483"/>
      <c r="I91" s="359">
        <v>2.4</v>
      </c>
      <c r="J91" s="469"/>
      <c r="K91" s="355"/>
      <c r="L91" s="445"/>
      <c r="M91" s="343"/>
      <c r="N91" s="579"/>
      <c r="O91" s="343"/>
      <c r="P91" s="579"/>
      <c r="Q91" s="265">
        <v>499.8</v>
      </c>
      <c r="R91" s="37">
        <v>500.6</v>
      </c>
      <c r="S91" s="267">
        <v>44063</v>
      </c>
      <c r="T91" s="437"/>
      <c r="U91" s="356">
        <v>500</v>
      </c>
      <c r="V91" s="356">
        <f>U91-Q91</f>
        <v>0.19999999999998863</v>
      </c>
      <c r="W91" s="356">
        <f>V91*100/Q91</f>
        <v>4.001600640255875E-2</v>
      </c>
      <c r="X91" s="356"/>
      <c r="Y91" s="356"/>
      <c r="Z91" s="356"/>
      <c r="AA91" s="356"/>
      <c r="AB91" s="356">
        <v>5.8</v>
      </c>
      <c r="AC91" s="356">
        <f>AB91*100/Q91</f>
        <v>1.1604641856742697</v>
      </c>
      <c r="AD91" s="269">
        <f>(W91+AC91)</f>
        <v>1.2004801920768284</v>
      </c>
      <c r="AE91" s="269">
        <f>(W91-AC91)</f>
        <v>-1.1204481792717109</v>
      </c>
      <c r="AF91" s="269">
        <f t="shared" ref="AF91:AF102" si="128">MAX(AD91:AE91)</f>
        <v>1.2004801920768284</v>
      </c>
      <c r="AG91" s="41">
        <v>44422</v>
      </c>
      <c r="AH91" s="581"/>
      <c r="AI91" s="97">
        <v>500</v>
      </c>
      <c r="AJ91" s="145">
        <f t="shared" ref="AJ91" si="129">AI91-R91</f>
        <v>-0.60000000000002274</v>
      </c>
      <c r="AK91" s="97">
        <f>(AJ91*100)/R91</f>
        <v>-0.11985617259289306</v>
      </c>
      <c r="AL91" s="271"/>
      <c r="AM91" s="271"/>
      <c r="AN91" s="271"/>
      <c r="AO91" s="271"/>
      <c r="AP91" s="145">
        <v>6</v>
      </c>
      <c r="AQ91" s="145">
        <f t="shared" ref="AQ91" si="130">(AP91*100)/R91</f>
        <v>1.1985617259288852</v>
      </c>
      <c r="AR91" s="40">
        <f t="shared" ref="AR91" si="131">(AK91+AQ91)</f>
        <v>1.0787055533359922</v>
      </c>
      <c r="AS91" s="40">
        <f t="shared" ref="AS91" si="132">(AK91-AQ91)</f>
        <v>-1.3184178985217783</v>
      </c>
      <c r="AT91" s="40">
        <f t="shared" si="122"/>
        <v>1.0787055533359922</v>
      </c>
      <c r="AU91" s="272">
        <f t="shared" si="124"/>
        <v>0.98333333333333328</v>
      </c>
      <c r="AV91" s="273">
        <f>ABS(AT91+AF91)</f>
        <v>2.2791857454128204</v>
      </c>
      <c r="AW91" s="274">
        <f t="shared" si="125"/>
        <v>2.3178160122842244</v>
      </c>
      <c r="AX91" s="275">
        <f>(I91/AW91)</f>
        <v>1.0354575114160087</v>
      </c>
      <c r="AY91" s="324" t="str">
        <f t="shared" si="127"/>
        <v>DOS AÑOS</v>
      </c>
      <c r="AZ91" s="516"/>
      <c r="BA91" s="465"/>
      <c r="BB91" s="517"/>
      <c r="BC91" s="357"/>
      <c r="BD91" s="519"/>
    </row>
    <row r="92" spans="1:56" s="75" customFormat="1" x14ac:dyDescent="0.25">
      <c r="A92" s="363"/>
      <c r="B92" s="454"/>
      <c r="C92" s="458"/>
      <c r="D92" s="462"/>
      <c r="E92" s="462"/>
      <c r="F92" s="486"/>
      <c r="G92" s="473"/>
      <c r="H92" s="473"/>
      <c r="I92" s="317">
        <v>2</v>
      </c>
      <c r="J92" s="470"/>
      <c r="K92" s="350" t="s">
        <v>76</v>
      </c>
      <c r="L92" s="446"/>
      <c r="M92" s="315"/>
      <c r="N92" s="434"/>
      <c r="O92" s="315"/>
      <c r="P92" s="434"/>
      <c r="Q92" s="37">
        <v>700.8</v>
      </c>
      <c r="R92" s="37"/>
      <c r="S92" s="38">
        <v>44063</v>
      </c>
      <c r="T92" s="438"/>
      <c r="U92" s="99">
        <v>700</v>
      </c>
      <c r="V92" s="99">
        <f>U92-Q92</f>
        <v>-0.79999999999995453</v>
      </c>
      <c r="W92" s="99">
        <f>V92*100/Q92</f>
        <v>-0.11415525114154602</v>
      </c>
      <c r="X92" s="99"/>
      <c r="Y92" s="99"/>
      <c r="Z92" s="99"/>
      <c r="AA92" s="99"/>
      <c r="AB92" s="99">
        <v>5.8</v>
      </c>
      <c r="AC92" s="99">
        <f>AB92*100/Q92</f>
        <v>0.82762557077625576</v>
      </c>
      <c r="AD92" s="40">
        <f t="shared" ref="AD92:AD100" si="133">(W92+AC92)</f>
        <v>0.71347031963470975</v>
      </c>
      <c r="AE92" s="40">
        <f t="shared" ref="AE92:AE102" si="134">(W92-AC92)</f>
        <v>-0.94178082191780177</v>
      </c>
      <c r="AF92" s="40">
        <f t="shared" si="128"/>
        <v>0.71347031963470975</v>
      </c>
      <c r="AG92" s="41">
        <v>44422</v>
      </c>
      <c r="AH92" s="582"/>
      <c r="AI92" s="97"/>
      <c r="AJ92" s="145"/>
      <c r="AK92" s="97"/>
      <c r="AL92" s="97"/>
      <c r="AM92" s="97"/>
      <c r="AN92" s="97"/>
      <c r="AO92" s="97"/>
      <c r="AP92" s="145"/>
      <c r="AQ92" s="145"/>
      <c r="AR92" s="40"/>
      <c r="AS92" s="40"/>
      <c r="AT92" s="40"/>
      <c r="AU92" s="43">
        <f t="shared" si="124"/>
        <v>0.98333333333333328</v>
      </c>
      <c r="AV92" s="44">
        <f t="shared" ref="AV92:AV101" si="135">ABS(AT92+AF92)</f>
        <v>0.71347031963470975</v>
      </c>
      <c r="AW92" s="98">
        <f t="shared" si="125"/>
        <v>0.72556303691665402</v>
      </c>
      <c r="AX92" s="46">
        <f t="shared" ref="AX92:AX102" si="136">(I92/AW92)</f>
        <v>2.7564799999999745</v>
      </c>
      <c r="AY92" s="74" t="str">
        <f t="shared" si="127"/>
        <v>DOS AÑOS</v>
      </c>
      <c r="AZ92" s="492"/>
      <c r="BA92" s="466"/>
      <c r="BB92" s="495"/>
      <c r="BC92" s="128"/>
      <c r="BD92" s="520"/>
    </row>
    <row r="93" spans="1:56" s="75" customFormat="1" x14ac:dyDescent="0.25">
      <c r="A93" s="363"/>
      <c r="B93" s="454"/>
      <c r="C93" s="458"/>
      <c r="D93" s="462"/>
      <c r="E93" s="462"/>
      <c r="F93" s="486"/>
      <c r="G93" s="473"/>
      <c r="H93" s="473"/>
      <c r="I93" s="317">
        <v>2</v>
      </c>
      <c r="J93" s="470"/>
      <c r="K93" s="350" t="s">
        <v>76</v>
      </c>
      <c r="L93" s="446"/>
      <c r="M93" s="315"/>
      <c r="N93" s="434"/>
      <c r="O93" s="315"/>
      <c r="P93" s="434"/>
      <c r="Q93" s="37">
        <v>898.2</v>
      </c>
      <c r="R93" s="37">
        <v>800.7</v>
      </c>
      <c r="S93" s="38">
        <v>44063</v>
      </c>
      <c r="T93" s="438"/>
      <c r="U93" s="99">
        <v>900</v>
      </c>
      <c r="V93" s="99">
        <f t="shared" ref="V93:V102" si="137">U93-Q93</f>
        <v>1.7999999999999545</v>
      </c>
      <c r="W93" s="99">
        <f t="shared" ref="W93:W102" si="138">V93*100/Q93</f>
        <v>0.20040080160320134</v>
      </c>
      <c r="X93" s="99"/>
      <c r="Y93" s="99"/>
      <c r="Z93" s="99"/>
      <c r="AA93" s="99"/>
      <c r="AB93" s="99">
        <v>5.8</v>
      </c>
      <c r="AC93" s="99">
        <f t="shared" ref="AC93:AC102" si="139">AB93*100/Q93</f>
        <v>0.64573591627699845</v>
      </c>
      <c r="AD93" s="40">
        <f t="shared" si="133"/>
        <v>0.84613671788019973</v>
      </c>
      <c r="AE93" s="40">
        <f t="shared" si="134"/>
        <v>-0.44533511467379711</v>
      </c>
      <c r="AF93" s="40">
        <f t="shared" si="128"/>
        <v>0.84613671788019973</v>
      </c>
      <c r="AG93" s="41">
        <v>44422</v>
      </c>
      <c r="AH93" s="582"/>
      <c r="AI93" s="97">
        <v>800</v>
      </c>
      <c r="AJ93" s="145">
        <f t="shared" ref="AJ93:AJ99" si="140">AI93-R93</f>
        <v>-0.70000000000004547</v>
      </c>
      <c r="AK93" s="97">
        <f t="shared" ref="AK93:AK99" si="141">(AJ93*100)/R93</f>
        <v>-8.7423504433626259E-2</v>
      </c>
      <c r="AL93" s="97"/>
      <c r="AM93" s="97"/>
      <c r="AN93" s="97"/>
      <c r="AO93" s="97"/>
      <c r="AP93" s="145">
        <v>6.5</v>
      </c>
      <c r="AQ93" s="145">
        <f t="shared" ref="AQ93:AQ99" si="142">(AP93*100)/R93</f>
        <v>0.81178968402647678</v>
      </c>
      <c r="AR93" s="269">
        <f t="shared" ref="AR93:AR99" si="143">(AK93+AQ93)</f>
        <v>0.72436617959285055</v>
      </c>
      <c r="AS93" s="269">
        <f t="shared" ref="AS93:AS99" si="144">(AK93-AQ93)</f>
        <v>-0.89921318846010301</v>
      </c>
      <c r="AT93" s="269">
        <f t="shared" ref="AT93:AT99" si="145">MAX(AR93:AS93)</f>
        <v>0.72436617959285055</v>
      </c>
      <c r="AU93" s="272">
        <f t="shared" si="124"/>
        <v>0.98333333333333328</v>
      </c>
      <c r="AV93" s="273">
        <f t="shared" si="135"/>
        <v>1.5705028974730504</v>
      </c>
      <c r="AW93" s="274">
        <f t="shared" si="125"/>
        <v>1.5971215906505598</v>
      </c>
      <c r="AX93" s="275">
        <f t="shared" si="136"/>
        <v>1.2522528101228252</v>
      </c>
      <c r="AY93" s="324" t="str">
        <f t="shared" si="127"/>
        <v>DOS AÑOS</v>
      </c>
      <c r="AZ93" s="492"/>
      <c r="BA93" s="466"/>
      <c r="BB93" s="495"/>
      <c r="BC93" s="128"/>
      <c r="BD93" s="520"/>
    </row>
    <row r="94" spans="1:56" s="75" customFormat="1" x14ac:dyDescent="0.25">
      <c r="A94" s="363"/>
      <c r="B94" s="454"/>
      <c r="C94" s="458"/>
      <c r="D94" s="462"/>
      <c r="E94" s="462"/>
      <c r="F94" s="486"/>
      <c r="G94" s="473"/>
      <c r="H94" s="473"/>
      <c r="I94" s="317">
        <v>2</v>
      </c>
      <c r="J94" s="470"/>
      <c r="K94" s="350" t="s">
        <v>76</v>
      </c>
      <c r="L94" s="446"/>
      <c r="M94" s="315"/>
      <c r="N94" s="434"/>
      <c r="O94" s="315"/>
      <c r="P94" s="434"/>
      <c r="Q94" s="37">
        <v>1792.8</v>
      </c>
      <c r="R94" s="37">
        <v>997.5</v>
      </c>
      <c r="S94" s="38">
        <v>44063</v>
      </c>
      <c r="T94" s="438"/>
      <c r="U94" s="99">
        <v>1800</v>
      </c>
      <c r="V94" s="99">
        <f t="shared" si="137"/>
        <v>7.2000000000000455</v>
      </c>
      <c r="W94" s="99">
        <f t="shared" si="138"/>
        <v>0.4016064257028138</v>
      </c>
      <c r="X94" s="99"/>
      <c r="Y94" s="99"/>
      <c r="Z94" s="99"/>
      <c r="AA94" s="99"/>
      <c r="AB94" s="99">
        <v>5.8</v>
      </c>
      <c r="AC94" s="99">
        <f t="shared" si="139"/>
        <v>0.32351628737170907</v>
      </c>
      <c r="AD94" s="40">
        <f t="shared" si="133"/>
        <v>0.72512271307452281</v>
      </c>
      <c r="AE94" s="40">
        <f t="shared" si="134"/>
        <v>7.809013833110473E-2</v>
      </c>
      <c r="AF94" s="40">
        <f t="shared" si="128"/>
        <v>0.72512271307452281</v>
      </c>
      <c r="AG94" s="41">
        <v>44422</v>
      </c>
      <c r="AH94" s="582"/>
      <c r="AI94" s="97">
        <v>1000</v>
      </c>
      <c r="AJ94" s="145">
        <f t="shared" si="140"/>
        <v>2.5</v>
      </c>
      <c r="AK94" s="97">
        <f t="shared" si="141"/>
        <v>0.25062656641604009</v>
      </c>
      <c r="AL94" s="97"/>
      <c r="AM94" s="97"/>
      <c r="AN94" s="97"/>
      <c r="AO94" s="97"/>
      <c r="AP94" s="145">
        <v>7</v>
      </c>
      <c r="AQ94" s="145">
        <f t="shared" si="142"/>
        <v>0.70175438596491224</v>
      </c>
      <c r="AR94" s="40">
        <f t="shared" si="143"/>
        <v>0.95238095238095233</v>
      </c>
      <c r="AS94" s="40">
        <f t="shared" si="144"/>
        <v>-0.45112781954887216</v>
      </c>
      <c r="AT94" s="40">
        <f t="shared" si="145"/>
        <v>0.95238095238095233</v>
      </c>
      <c r="AU94" s="43">
        <f t="shared" si="124"/>
        <v>0.98333333333333328</v>
      </c>
      <c r="AV94" s="44">
        <f t="shared" si="135"/>
        <v>1.6775036654554751</v>
      </c>
      <c r="AW94" s="98">
        <f t="shared" si="125"/>
        <v>1.7059359309716697</v>
      </c>
      <c r="AX94" s="46">
        <f t="shared" si="136"/>
        <v>1.1723769713091374</v>
      </c>
      <c r="AY94" s="74" t="str">
        <f t="shared" si="127"/>
        <v>DOS AÑOS</v>
      </c>
      <c r="AZ94" s="492"/>
      <c r="BA94" s="466"/>
      <c r="BB94" s="495"/>
      <c r="BC94" s="128"/>
      <c r="BD94" s="520"/>
    </row>
    <row r="95" spans="1:56" s="75" customFormat="1" x14ac:dyDescent="0.25">
      <c r="A95" s="363"/>
      <c r="B95" s="454"/>
      <c r="C95" s="458"/>
      <c r="D95" s="462"/>
      <c r="E95" s="462"/>
      <c r="F95" s="486"/>
      <c r="G95" s="473"/>
      <c r="H95" s="473"/>
      <c r="I95" s="317">
        <v>2</v>
      </c>
      <c r="J95" s="470"/>
      <c r="K95" s="350" t="s">
        <v>76</v>
      </c>
      <c r="L95" s="446"/>
      <c r="M95" s="315"/>
      <c r="N95" s="434"/>
      <c r="O95" s="315"/>
      <c r="P95" s="434"/>
      <c r="Q95" s="37">
        <v>2798.4</v>
      </c>
      <c r="R95" s="37">
        <v>1800</v>
      </c>
      <c r="S95" s="38">
        <v>44063</v>
      </c>
      <c r="T95" s="438"/>
      <c r="U95" s="99">
        <v>2800</v>
      </c>
      <c r="V95" s="99">
        <f t="shared" si="137"/>
        <v>1.5999999999999091</v>
      </c>
      <c r="W95" s="99">
        <f t="shared" si="138"/>
        <v>5.7175528873638831E-2</v>
      </c>
      <c r="X95" s="99"/>
      <c r="Y95" s="99"/>
      <c r="Z95" s="99"/>
      <c r="AA95" s="99"/>
      <c r="AB95" s="99">
        <v>5.8</v>
      </c>
      <c r="AC95" s="99">
        <f t="shared" si="139"/>
        <v>0.20726129216695255</v>
      </c>
      <c r="AD95" s="40">
        <f t="shared" si="133"/>
        <v>0.26443682104059141</v>
      </c>
      <c r="AE95" s="40">
        <f t="shared" si="134"/>
        <v>-0.15008576329331372</v>
      </c>
      <c r="AF95" s="40">
        <f t="shared" si="128"/>
        <v>0.26443682104059141</v>
      </c>
      <c r="AG95" s="41">
        <v>44422</v>
      </c>
      <c r="AH95" s="582"/>
      <c r="AI95" s="97">
        <v>1820</v>
      </c>
      <c r="AJ95" s="145">
        <f t="shared" si="140"/>
        <v>20</v>
      </c>
      <c r="AK95" s="97">
        <f t="shared" si="141"/>
        <v>1.1111111111111112</v>
      </c>
      <c r="AL95" s="97"/>
      <c r="AM95" s="97"/>
      <c r="AN95" s="97"/>
      <c r="AO95" s="97"/>
      <c r="AP95" s="145">
        <v>9.3000000000000007</v>
      </c>
      <c r="AQ95" s="145">
        <f t="shared" si="142"/>
        <v>0.51666666666666672</v>
      </c>
      <c r="AR95" s="40">
        <f t="shared" si="143"/>
        <v>1.6277777777777778</v>
      </c>
      <c r="AS95" s="40">
        <f t="shared" si="144"/>
        <v>0.59444444444444444</v>
      </c>
      <c r="AT95" s="40">
        <f t="shared" si="145"/>
        <v>1.6277777777777778</v>
      </c>
      <c r="AU95" s="43">
        <f t="shared" si="124"/>
        <v>0.98333333333333328</v>
      </c>
      <c r="AV95" s="44">
        <f t="shared" si="135"/>
        <v>1.8922145988183692</v>
      </c>
      <c r="AW95" s="98">
        <f t="shared" si="125"/>
        <v>1.9242860326966467</v>
      </c>
      <c r="AX95" s="46">
        <f t="shared" si="136"/>
        <v>1.0393465243819546</v>
      </c>
      <c r="AY95" s="74" t="str">
        <f t="shared" si="127"/>
        <v>DOS AÑOS</v>
      </c>
      <c r="AZ95" s="492"/>
      <c r="BA95" s="466"/>
      <c r="BB95" s="495"/>
      <c r="BC95" s="128"/>
      <c r="BD95" s="520"/>
    </row>
    <row r="96" spans="1:56" s="75" customFormat="1" x14ac:dyDescent="0.25">
      <c r="A96" s="363"/>
      <c r="B96" s="454"/>
      <c r="C96" s="458"/>
      <c r="D96" s="462"/>
      <c r="E96" s="462"/>
      <c r="F96" s="486"/>
      <c r="G96" s="473"/>
      <c r="H96" s="473"/>
      <c r="I96" s="317">
        <v>2</v>
      </c>
      <c r="J96" s="470"/>
      <c r="K96" s="350" t="s">
        <v>76</v>
      </c>
      <c r="L96" s="446"/>
      <c r="M96" s="315"/>
      <c r="N96" s="434"/>
      <c r="O96" s="315"/>
      <c r="P96" s="434"/>
      <c r="Q96" s="37">
        <v>3800.1</v>
      </c>
      <c r="R96" s="37">
        <v>2499</v>
      </c>
      <c r="S96" s="38">
        <v>44063</v>
      </c>
      <c r="T96" s="438"/>
      <c r="U96" s="99">
        <v>3800</v>
      </c>
      <c r="V96" s="99">
        <f t="shared" si="137"/>
        <v>-9.9999999999909051E-2</v>
      </c>
      <c r="W96" s="99">
        <f t="shared" si="138"/>
        <v>-2.6315096971108406E-3</v>
      </c>
      <c r="X96" s="99"/>
      <c r="Y96" s="99"/>
      <c r="Z96" s="99"/>
      <c r="AA96" s="99"/>
      <c r="AB96" s="99">
        <v>5.8</v>
      </c>
      <c r="AC96" s="99">
        <f t="shared" si="139"/>
        <v>0.15262756243256756</v>
      </c>
      <c r="AD96" s="40">
        <f t="shared" si="133"/>
        <v>0.14999605273545671</v>
      </c>
      <c r="AE96" s="40">
        <f t="shared" si="134"/>
        <v>-0.1552590721296784</v>
      </c>
      <c r="AF96" s="40">
        <f t="shared" si="128"/>
        <v>0.14999605273545671</v>
      </c>
      <c r="AG96" s="41">
        <v>44422</v>
      </c>
      <c r="AH96" s="582"/>
      <c r="AI96" s="97">
        <v>2530</v>
      </c>
      <c r="AJ96" s="145">
        <f t="shared" si="140"/>
        <v>31</v>
      </c>
      <c r="AK96" s="97">
        <f t="shared" si="141"/>
        <v>1.2404961984793919</v>
      </c>
      <c r="AL96" s="97"/>
      <c r="AM96" s="97"/>
      <c r="AN96" s="97"/>
      <c r="AO96" s="97"/>
      <c r="AP96" s="145">
        <v>12</v>
      </c>
      <c r="AQ96" s="145">
        <f t="shared" si="142"/>
        <v>0.48019207683073228</v>
      </c>
      <c r="AR96" s="40">
        <f t="shared" si="143"/>
        <v>1.720688275310124</v>
      </c>
      <c r="AS96" s="40">
        <f t="shared" si="144"/>
        <v>0.76030412164865957</v>
      </c>
      <c r="AT96" s="40">
        <f t="shared" si="145"/>
        <v>1.720688275310124</v>
      </c>
      <c r="AU96" s="43">
        <f t="shared" si="124"/>
        <v>0.98333333333333328</v>
      </c>
      <c r="AV96" s="44">
        <f t="shared" si="135"/>
        <v>1.8706843280455807</v>
      </c>
      <c r="AW96" s="98">
        <f t="shared" si="125"/>
        <v>1.9023908420802518</v>
      </c>
      <c r="AX96" s="46">
        <f t="shared" si="136"/>
        <v>1.0513086773551819</v>
      </c>
      <c r="AY96" s="74" t="str">
        <f t="shared" si="127"/>
        <v>DOS AÑOS</v>
      </c>
      <c r="AZ96" s="492"/>
      <c r="BA96" s="466"/>
      <c r="BB96" s="495"/>
      <c r="BC96" s="128"/>
      <c r="BD96" s="520"/>
    </row>
    <row r="97" spans="1:56" s="75" customFormat="1" x14ac:dyDescent="0.25">
      <c r="A97" s="363"/>
      <c r="B97" s="454"/>
      <c r="C97" s="458"/>
      <c r="D97" s="462"/>
      <c r="E97" s="462"/>
      <c r="F97" s="486"/>
      <c r="G97" s="473"/>
      <c r="H97" s="473"/>
      <c r="I97" s="317">
        <v>2</v>
      </c>
      <c r="J97" s="470"/>
      <c r="K97" s="350" t="s">
        <v>76</v>
      </c>
      <c r="L97" s="446"/>
      <c r="M97" s="315"/>
      <c r="N97" s="434"/>
      <c r="O97" s="315"/>
      <c r="P97" s="434"/>
      <c r="Q97" s="37">
        <v>4800</v>
      </c>
      <c r="R97" s="37">
        <v>3000</v>
      </c>
      <c r="S97" s="38">
        <v>44063</v>
      </c>
      <c r="T97" s="438"/>
      <c r="U97" s="99">
        <v>4790</v>
      </c>
      <c r="V97" s="99">
        <f t="shared" si="137"/>
        <v>-10</v>
      </c>
      <c r="W97" s="99">
        <f t="shared" si="138"/>
        <v>-0.20833333333333334</v>
      </c>
      <c r="X97" s="99"/>
      <c r="Y97" s="99"/>
      <c r="Z97" s="99"/>
      <c r="AA97" s="99"/>
      <c r="AB97" s="99">
        <v>5.8</v>
      </c>
      <c r="AC97" s="99">
        <f t="shared" si="139"/>
        <v>0.12083333333333333</v>
      </c>
      <c r="AD97" s="40">
        <f t="shared" si="133"/>
        <v>-8.7500000000000008E-2</v>
      </c>
      <c r="AE97" s="40">
        <f t="shared" si="134"/>
        <v>-0.32916666666666666</v>
      </c>
      <c r="AF97" s="40">
        <f t="shared" si="128"/>
        <v>-8.7500000000000008E-2</v>
      </c>
      <c r="AG97" s="41">
        <v>44412</v>
      </c>
      <c r="AH97" s="582"/>
      <c r="AI97" s="97">
        <v>3040</v>
      </c>
      <c r="AJ97" s="145">
        <f t="shared" si="140"/>
        <v>40</v>
      </c>
      <c r="AK97" s="97">
        <f t="shared" si="141"/>
        <v>1.3333333333333333</v>
      </c>
      <c r="AL97" s="97"/>
      <c r="AM97" s="97"/>
      <c r="AN97" s="97"/>
      <c r="AO97" s="97"/>
      <c r="AP97" s="145">
        <v>14</v>
      </c>
      <c r="AQ97" s="145">
        <f t="shared" si="142"/>
        <v>0.46666666666666667</v>
      </c>
      <c r="AR97" s="40">
        <f t="shared" si="143"/>
        <v>1.7999999999999998</v>
      </c>
      <c r="AS97" s="40">
        <f t="shared" si="144"/>
        <v>0.86666666666666659</v>
      </c>
      <c r="AT97" s="40">
        <f t="shared" si="145"/>
        <v>1.7999999999999998</v>
      </c>
      <c r="AU97" s="43">
        <f t="shared" si="124"/>
        <v>0.9555555555555556</v>
      </c>
      <c r="AV97" s="44">
        <f t="shared" si="135"/>
        <v>1.7124999999999999</v>
      </c>
      <c r="AW97" s="98">
        <f t="shared" si="125"/>
        <v>1.7921511627906974</v>
      </c>
      <c r="AX97" s="46">
        <f t="shared" si="136"/>
        <v>1.1159772911597732</v>
      </c>
      <c r="AY97" s="74" t="str">
        <f t="shared" si="127"/>
        <v>DOS AÑOS</v>
      </c>
      <c r="AZ97" s="492"/>
      <c r="BA97" s="466"/>
      <c r="BB97" s="495"/>
      <c r="BC97" s="128"/>
      <c r="BD97" s="520"/>
    </row>
    <row r="98" spans="1:56" s="75" customFormat="1" x14ac:dyDescent="0.25">
      <c r="A98" s="363"/>
      <c r="B98" s="454"/>
      <c r="C98" s="458"/>
      <c r="D98" s="462"/>
      <c r="E98" s="462"/>
      <c r="F98" s="486"/>
      <c r="G98" s="473"/>
      <c r="H98" s="473"/>
      <c r="I98" s="317">
        <v>2</v>
      </c>
      <c r="J98" s="470"/>
      <c r="K98" s="350" t="s">
        <v>76</v>
      </c>
      <c r="L98" s="446"/>
      <c r="M98" s="315"/>
      <c r="N98" s="434"/>
      <c r="O98" s="315"/>
      <c r="P98" s="434"/>
      <c r="Q98" s="37">
        <v>5800.1</v>
      </c>
      <c r="R98" s="37">
        <v>3999</v>
      </c>
      <c r="S98" s="38">
        <v>44063</v>
      </c>
      <c r="T98" s="438"/>
      <c r="U98" s="99">
        <v>5800</v>
      </c>
      <c r="V98" s="99">
        <f t="shared" si="137"/>
        <v>-0.1000000000003638</v>
      </c>
      <c r="W98" s="99">
        <f t="shared" si="138"/>
        <v>-1.7241082050372199E-3</v>
      </c>
      <c r="X98" s="99"/>
      <c r="Y98" s="99"/>
      <c r="Z98" s="99"/>
      <c r="AA98" s="99"/>
      <c r="AB98" s="99">
        <v>7.8</v>
      </c>
      <c r="AC98" s="99">
        <f t="shared" si="139"/>
        <v>0.13448043999241391</v>
      </c>
      <c r="AD98" s="40">
        <f t="shared" si="133"/>
        <v>0.1327563317873767</v>
      </c>
      <c r="AE98" s="40">
        <f t="shared" si="134"/>
        <v>-0.13620454819745112</v>
      </c>
      <c r="AF98" s="40">
        <f t="shared" si="128"/>
        <v>0.1327563317873767</v>
      </c>
      <c r="AG98" s="41">
        <v>44422</v>
      </c>
      <c r="AH98" s="582"/>
      <c r="AI98" s="97">
        <v>4050</v>
      </c>
      <c r="AJ98" s="145">
        <f t="shared" si="140"/>
        <v>51</v>
      </c>
      <c r="AK98" s="97">
        <f t="shared" si="141"/>
        <v>1.2753188297074269</v>
      </c>
      <c r="AL98" s="97"/>
      <c r="AM98" s="97"/>
      <c r="AN98" s="97"/>
      <c r="AO98" s="97"/>
      <c r="AP98" s="145">
        <v>17</v>
      </c>
      <c r="AQ98" s="145">
        <f t="shared" si="142"/>
        <v>0.42510627656914229</v>
      </c>
      <c r="AR98" s="40">
        <f t="shared" si="143"/>
        <v>1.7004251062765692</v>
      </c>
      <c r="AS98" s="40">
        <f t="shared" si="144"/>
        <v>0.8502125531382847</v>
      </c>
      <c r="AT98" s="40">
        <f t="shared" si="145"/>
        <v>1.7004251062765692</v>
      </c>
      <c r="AU98" s="43">
        <f t="shared" si="124"/>
        <v>0.98333333333333328</v>
      </c>
      <c r="AV98" s="44">
        <f t="shared" si="135"/>
        <v>1.833181438063946</v>
      </c>
      <c r="AW98" s="98">
        <f t="shared" si="125"/>
        <v>1.8642523098955384</v>
      </c>
      <c r="AX98" s="46">
        <f t="shared" si="136"/>
        <v>1.0728161576541473</v>
      </c>
      <c r="AY98" s="74" t="str">
        <f t="shared" si="127"/>
        <v>DOS AÑOS</v>
      </c>
      <c r="AZ98" s="492"/>
      <c r="BA98" s="466"/>
      <c r="BB98" s="495"/>
      <c r="BC98" s="128"/>
      <c r="BD98" s="520"/>
    </row>
    <row r="99" spans="1:56" s="75" customFormat="1" x14ac:dyDescent="0.25">
      <c r="A99" s="363"/>
      <c r="B99" s="454"/>
      <c r="C99" s="458"/>
      <c r="D99" s="462"/>
      <c r="E99" s="462"/>
      <c r="F99" s="486"/>
      <c r="G99" s="473"/>
      <c r="H99" s="473"/>
      <c r="I99" s="317">
        <v>2</v>
      </c>
      <c r="J99" s="470"/>
      <c r="K99" s="350" t="s">
        <v>76</v>
      </c>
      <c r="L99" s="446"/>
      <c r="M99" s="315"/>
      <c r="N99" s="434"/>
      <c r="O99" s="315"/>
      <c r="P99" s="434"/>
      <c r="Q99" s="37">
        <v>6800</v>
      </c>
      <c r="R99" s="37">
        <v>7001</v>
      </c>
      <c r="S99" s="38">
        <v>44063</v>
      </c>
      <c r="T99" s="438"/>
      <c r="U99" s="99">
        <v>6790</v>
      </c>
      <c r="V99" s="99">
        <f t="shared" si="137"/>
        <v>-10</v>
      </c>
      <c r="W99" s="99">
        <f t="shared" si="138"/>
        <v>-0.14705882352941177</v>
      </c>
      <c r="X99" s="99"/>
      <c r="Y99" s="99"/>
      <c r="Z99" s="99"/>
      <c r="AA99" s="99"/>
      <c r="AB99" s="99">
        <v>7.8</v>
      </c>
      <c r="AC99" s="99">
        <f t="shared" si="139"/>
        <v>0.11470588235294117</v>
      </c>
      <c r="AD99" s="40">
        <f t="shared" si="133"/>
        <v>-3.2352941176470598E-2</v>
      </c>
      <c r="AE99" s="40">
        <f t="shared" si="134"/>
        <v>-0.26176470588235295</v>
      </c>
      <c r="AF99" s="40">
        <f t="shared" si="128"/>
        <v>-3.2352941176470598E-2</v>
      </c>
      <c r="AG99" s="41">
        <v>44422</v>
      </c>
      <c r="AH99" s="582"/>
      <c r="AI99" s="97">
        <v>7030</v>
      </c>
      <c r="AJ99" s="145">
        <f t="shared" si="140"/>
        <v>29</v>
      </c>
      <c r="AK99" s="97">
        <f t="shared" si="141"/>
        <v>0.41422653906584772</v>
      </c>
      <c r="AL99" s="97"/>
      <c r="AM99" s="97"/>
      <c r="AN99" s="97"/>
      <c r="AO99" s="97"/>
      <c r="AP99" s="145">
        <v>29</v>
      </c>
      <c r="AQ99" s="145">
        <f t="shared" si="142"/>
        <v>0.41422653906584772</v>
      </c>
      <c r="AR99" s="40">
        <f t="shared" si="143"/>
        <v>0.82845307813169544</v>
      </c>
      <c r="AS99" s="40">
        <f t="shared" si="144"/>
        <v>0</v>
      </c>
      <c r="AT99" s="40">
        <f t="shared" si="145"/>
        <v>0.82845307813169544</v>
      </c>
      <c r="AU99" s="43">
        <f t="shared" si="124"/>
        <v>0.98333333333333328</v>
      </c>
      <c r="AV99" s="44">
        <f t="shared" si="135"/>
        <v>0.79610013695522486</v>
      </c>
      <c r="AW99" s="98">
        <f t="shared" si="125"/>
        <v>0.80959335961548295</v>
      </c>
      <c r="AX99" s="46">
        <f t="shared" si="136"/>
        <v>2.4703759933874725</v>
      </c>
      <c r="AY99" s="74" t="str">
        <f t="shared" si="127"/>
        <v>DOS AÑOS</v>
      </c>
      <c r="AZ99" s="492"/>
      <c r="BA99" s="466"/>
      <c r="BB99" s="495"/>
      <c r="BC99" s="128"/>
      <c r="BD99" s="520"/>
    </row>
    <row r="100" spans="1:56" s="75" customFormat="1" x14ac:dyDescent="0.25">
      <c r="A100" s="363"/>
      <c r="B100" s="454"/>
      <c r="C100" s="458"/>
      <c r="D100" s="462"/>
      <c r="E100" s="462"/>
      <c r="F100" s="486"/>
      <c r="G100" s="473"/>
      <c r="H100" s="473"/>
      <c r="I100" s="317">
        <v>2</v>
      </c>
      <c r="J100" s="470"/>
      <c r="K100" s="350" t="s">
        <v>76</v>
      </c>
      <c r="L100" s="446"/>
      <c r="M100" s="315"/>
      <c r="N100" s="434"/>
      <c r="O100" s="315"/>
      <c r="P100" s="434"/>
      <c r="Q100" s="37">
        <v>7799.9</v>
      </c>
      <c r="R100" s="37"/>
      <c r="S100" s="38">
        <v>44063</v>
      </c>
      <c r="T100" s="438"/>
      <c r="U100" s="99">
        <v>7800</v>
      </c>
      <c r="V100" s="99">
        <f t="shared" si="137"/>
        <v>0.1000000000003638</v>
      </c>
      <c r="W100" s="99">
        <f t="shared" si="138"/>
        <v>1.2820677188215722E-3</v>
      </c>
      <c r="X100" s="99"/>
      <c r="Y100" s="99"/>
      <c r="Z100" s="99"/>
      <c r="AA100" s="99"/>
      <c r="AB100" s="99">
        <v>7.8</v>
      </c>
      <c r="AC100" s="99">
        <f t="shared" si="139"/>
        <v>0.10000128206771883</v>
      </c>
      <c r="AD100" s="40">
        <f t="shared" si="133"/>
        <v>0.1012833497865404</v>
      </c>
      <c r="AE100" s="40">
        <f t="shared" si="134"/>
        <v>-9.8719214348897258E-2</v>
      </c>
      <c r="AF100" s="40">
        <f t="shared" si="128"/>
        <v>0.1012833497865404</v>
      </c>
      <c r="AG100" s="41">
        <v>44422</v>
      </c>
      <c r="AH100" s="582"/>
      <c r="AI100" s="97"/>
      <c r="AJ100" s="145" t="s">
        <v>76</v>
      </c>
      <c r="AK100" s="97" t="s">
        <v>76</v>
      </c>
      <c r="AL100" s="97"/>
      <c r="AM100" s="97"/>
      <c r="AN100" s="97"/>
      <c r="AO100" s="97"/>
      <c r="AP100" s="145" t="s">
        <v>76</v>
      </c>
      <c r="AQ100" s="145" t="s">
        <v>76</v>
      </c>
      <c r="AR100" s="40"/>
      <c r="AS100" s="40"/>
      <c r="AT100" s="40">
        <v>0</v>
      </c>
      <c r="AU100" s="43">
        <f t="shared" si="124"/>
        <v>0.98333333333333328</v>
      </c>
      <c r="AV100" s="44">
        <f t="shared" si="135"/>
        <v>0.1012833497865404</v>
      </c>
      <c r="AW100" s="98">
        <f t="shared" si="125"/>
        <v>0.10300001673207498</v>
      </c>
      <c r="AX100" s="46">
        <f t="shared" si="136"/>
        <v>19.417472573838765</v>
      </c>
      <c r="AY100" s="74" t="str">
        <f t="shared" si="127"/>
        <v>DOS AÑOS</v>
      </c>
      <c r="AZ100" s="492"/>
      <c r="BA100" s="466"/>
      <c r="BB100" s="495"/>
      <c r="BC100" s="128"/>
      <c r="BD100" s="520"/>
    </row>
    <row r="101" spans="1:56" s="75" customFormat="1" x14ac:dyDescent="0.25">
      <c r="A101" s="363"/>
      <c r="B101" s="454"/>
      <c r="C101" s="458"/>
      <c r="D101" s="462"/>
      <c r="E101" s="462"/>
      <c r="F101" s="486"/>
      <c r="G101" s="473"/>
      <c r="H101" s="473"/>
      <c r="I101" s="317">
        <v>2</v>
      </c>
      <c r="J101" s="470"/>
      <c r="K101" s="350" t="s">
        <v>76</v>
      </c>
      <c r="L101" s="446"/>
      <c r="M101" s="315" t="s">
        <v>76</v>
      </c>
      <c r="N101" s="434"/>
      <c r="O101" s="315" t="s">
        <v>76</v>
      </c>
      <c r="P101" s="434"/>
      <c r="Q101" s="37">
        <v>9000.2000000000007</v>
      </c>
      <c r="R101" s="37">
        <v>9004</v>
      </c>
      <c r="S101" s="38">
        <v>44063</v>
      </c>
      <c r="T101" s="438"/>
      <c r="U101" s="99">
        <v>9000</v>
      </c>
      <c r="V101" s="99">
        <f t="shared" si="137"/>
        <v>-0.2000000000007276</v>
      </c>
      <c r="W101" s="99">
        <f t="shared" si="138"/>
        <v>-2.222172840611626E-3</v>
      </c>
      <c r="X101" s="99" t="s">
        <v>76</v>
      </c>
      <c r="Y101" s="99" t="s">
        <v>76</v>
      </c>
      <c r="Z101" s="99" t="s">
        <v>76</v>
      </c>
      <c r="AA101" s="99" t="s">
        <v>76</v>
      </c>
      <c r="AB101" s="99">
        <v>7.8</v>
      </c>
      <c r="AC101" s="99">
        <f t="shared" si="139"/>
        <v>8.6664740783538141E-2</v>
      </c>
      <c r="AD101" s="40">
        <f>(W101+AC101)</f>
        <v>8.4442567942926511E-2</v>
      </c>
      <c r="AE101" s="40">
        <f t="shared" si="134"/>
        <v>-8.8886913624149771E-2</v>
      </c>
      <c r="AF101" s="40">
        <f t="shared" si="128"/>
        <v>8.4442567942926511E-2</v>
      </c>
      <c r="AG101" s="41">
        <v>44422</v>
      </c>
      <c r="AH101" s="582"/>
      <c r="AI101" s="97">
        <v>9030</v>
      </c>
      <c r="AJ101" s="145">
        <f t="shared" ref="AJ101" si="146">AI101-R101</f>
        <v>26</v>
      </c>
      <c r="AK101" s="97">
        <f t="shared" ref="AK101" si="147">(AJ101*100)/R101</f>
        <v>0.28876055086628166</v>
      </c>
      <c r="AL101" s="97" t="s">
        <v>76</v>
      </c>
      <c r="AM101" s="97" t="s">
        <v>76</v>
      </c>
      <c r="AN101" s="97" t="s">
        <v>76</v>
      </c>
      <c r="AO101" s="97" t="s">
        <v>76</v>
      </c>
      <c r="AP101" s="97">
        <v>37</v>
      </c>
      <c r="AQ101" s="333">
        <f t="shared" ref="AQ101" si="148">(AP101*100)/R101</f>
        <v>0.41092847623278544</v>
      </c>
      <c r="AR101" s="40">
        <f t="shared" ref="AR101" si="149">(AK101+AQ101)</f>
        <v>0.69968902709906711</v>
      </c>
      <c r="AS101" s="40">
        <f t="shared" ref="AS101" si="150">(AK101-AQ101)</f>
        <v>-0.12216792536650378</v>
      </c>
      <c r="AT101" s="40">
        <f t="shared" ref="AT101:AT102" si="151">MAX(AR101:AS101)</f>
        <v>0.69968902709906711</v>
      </c>
      <c r="AU101" s="43">
        <f t="shared" si="124"/>
        <v>0.98333333333333328</v>
      </c>
      <c r="AV101" s="44">
        <f t="shared" si="135"/>
        <v>0.78413159504199359</v>
      </c>
      <c r="AW101" s="98">
        <f t="shared" si="125"/>
        <v>0.79742196105965457</v>
      </c>
      <c r="AX101" s="46">
        <f t="shared" si="136"/>
        <v>2.5080824176729455</v>
      </c>
      <c r="AY101" s="74" t="str">
        <f t="shared" si="127"/>
        <v>DOS AÑOS</v>
      </c>
      <c r="AZ101" s="492"/>
      <c r="BA101" s="466"/>
      <c r="BB101" s="495"/>
      <c r="BC101" s="128">
        <f>MIN(AX66:AX120)</f>
        <v>0.90648448184517649</v>
      </c>
      <c r="BD101" s="520"/>
    </row>
    <row r="102" spans="1:56" s="352" customFormat="1" ht="15.75" thickBot="1" x14ac:dyDescent="0.3">
      <c r="A102" s="363"/>
      <c r="B102" s="455"/>
      <c r="C102" s="459"/>
      <c r="D102" s="463"/>
      <c r="E102" s="463"/>
      <c r="F102" s="487"/>
      <c r="G102" s="474"/>
      <c r="H102" s="474"/>
      <c r="I102" s="318">
        <v>2</v>
      </c>
      <c r="J102" s="471"/>
      <c r="K102" s="351" t="s">
        <v>76</v>
      </c>
      <c r="L102" s="447"/>
      <c r="M102" s="316" t="s">
        <v>76</v>
      </c>
      <c r="N102" s="435"/>
      <c r="O102" s="316" t="s">
        <v>76</v>
      </c>
      <c r="P102" s="435"/>
      <c r="Q102" s="48">
        <v>9800.1</v>
      </c>
      <c r="R102" s="48" t="s">
        <v>25</v>
      </c>
      <c r="S102" s="119">
        <v>44063</v>
      </c>
      <c r="T102" s="440"/>
      <c r="U102" s="120">
        <v>9800</v>
      </c>
      <c r="V102" s="120">
        <f t="shared" si="137"/>
        <v>-0.1000000000003638</v>
      </c>
      <c r="W102" s="120">
        <f t="shared" si="138"/>
        <v>-1.0203977510470689E-3</v>
      </c>
      <c r="X102" s="120" t="s">
        <v>76</v>
      </c>
      <c r="Y102" s="120" t="s">
        <v>76</v>
      </c>
      <c r="Z102" s="120" t="s">
        <v>76</v>
      </c>
      <c r="AA102" s="120" t="s">
        <v>76</v>
      </c>
      <c r="AB102" s="120">
        <v>7.8</v>
      </c>
      <c r="AC102" s="120">
        <f t="shared" si="139"/>
        <v>7.9591024581381814E-2</v>
      </c>
      <c r="AD102" s="50">
        <f t="shared" ref="AD102" si="152">(W102+AC102)</f>
        <v>7.857062683033475E-2</v>
      </c>
      <c r="AE102" s="50">
        <f t="shared" si="134"/>
        <v>-8.0611422332428878E-2</v>
      </c>
      <c r="AF102" s="50">
        <f t="shared" si="128"/>
        <v>7.857062683033475E-2</v>
      </c>
      <c r="AG102" s="122">
        <v>44422</v>
      </c>
      <c r="AH102" s="583"/>
      <c r="AI102" s="124"/>
      <c r="AJ102" s="145" t="s">
        <v>76</v>
      </c>
      <c r="AK102" s="124" t="s">
        <v>76</v>
      </c>
      <c r="AL102" s="124" t="s">
        <v>76</v>
      </c>
      <c r="AM102" s="124" t="s">
        <v>76</v>
      </c>
      <c r="AN102" s="124" t="s">
        <v>76</v>
      </c>
      <c r="AO102" s="124" t="s">
        <v>76</v>
      </c>
      <c r="AP102" s="124" t="s">
        <v>76</v>
      </c>
      <c r="AQ102" s="148" t="s">
        <v>76</v>
      </c>
      <c r="AR102" s="50" t="s">
        <v>76</v>
      </c>
      <c r="AS102" s="50" t="s">
        <v>76</v>
      </c>
      <c r="AT102" s="50">
        <f t="shared" si="151"/>
        <v>0</v>
      </c>
      <c r="AU102" s="52">
        <f t="shared" si="124"/>
        <v>0.98333333333333328</v>
      </c>
      <c r="AV102" s="53">
        <f t="shared" ref="AV102" si="153">ABS(AT102-AF102)</f>
        <v>7.857062683033475E-2</v>
      </c>
      <c r="AW102" s="125">
        <f t="shared" si="125"/>
        <v>7.9902332369831949E-2</v>
      </c>
      <c r="AX102" s="54">
        <f t="shared" si="136"/>
        <v>25.030558441559624</v>
      </c>
      <c r="AY102" s="129" t="str">
        <f t="shared" si="127"/>
        <v>DOS AÑOS</v>
      </c>
      <c r="AZ102" s="493"/>
      <c r="BA102" s="467"/>
      <c r="BB102" s="496"/>
      <c r="BC102" s="134"/>
      <c r="BD102" s="521"/>
    </row>
    <row r="103" spans="1:56" s="340" customFormat="1" ht="15.75" customHeight="1" x14ac:dyDescent="0.25">
      <c r="A103" s="363"/>
      <c r="B103" s="620" t="s">
        <v>49</v>
      </c>
      <c r="C103" s="522" t="s">
        <v>50</v>
      </c>
      <c r="D103" s="622" t="s">
        <v>112</v>
      </c>
      <c r="E103" s="622" t="s">
        <v>113</v>
      </c>
      <c r="F103" s="634">
        <v>18062312</v>
      </c>
      <c r="G103" s="488" t="s">
        <v>16</v>
      </c>
      <c r="H103" s="488" t="s">
        <v>121</v>
      </c>
      <c r="I103" s="341">
        <v>3</v>
      </c>
      <c r="J103" s="609" t="s">
        <v>20</v>
      </c>
      <c r="K103" s="342">
        <v>2</v>
      </c>
      <c r="L103" s="448" t="s">
        <v>20</v>
      </c>
      <c r="M103" s="343" t="s">
        <v>76</v>
      </c>
      <c r="N103" s="450" t="s">
        <v>20</v>
      </c>
      <c r="O103" s="343" t="s">
        <v>76</v>
      </c>
      <c r="P103" s="450" t="s">
        <v>20</v>
      </c>
      <c r="Q103" s="265">
        <v>0</v>
      </c>
      <c r="R103" s="265">
        <v>0</v>
      </c>
      <c r="S103" s="267">
        <v>44063</v>
      </c>
      <c r="T103" s="436" t="s">
        <v>189</v>
      </c>
      <c r="U103" s="344">
        <v>0</v>
      </c>
      <c r="V103" s="344">
        <f t="shared" ref="V103:V108" si="154">U103-Q103</f>
        <v>0</v>
      </c>
      <c r="W103" s="344">
        <v>0</v>
      </c>
      <c r="X103" s="344">
        <v>0</v>
      </c>
      <c r="Y103" s="344">
        <v>0</v>
      </c>
      <c r="Z103" s="344" t="s">
        <v>76</v>
      </c>
      <c r="AA103" s="344" t="s">
        <v>76</v>
      </c>
      <c r="AB103" s="344" t="s">
        <v>76</v>
      </c>
      <c r="AC103" s="344">
        <v>0.44</v>
      </c>
      <c r="AD103" s="269">
        <f>(W103+AC103)</f>
        <v>0.44</v>
      </c>
      <c r="AE103" s="269">
        <f>(W103-AC103)</f>
        <v>-0.44</v>
      </c>
      <c r="AF103" s="269">
        <f t="shared" si="9"/>
        <v>0.44</v>
      </c>
      <c r="AG103" s="270">
        <v>44420</v>
      </c>
      <c r="AH103" s="580">
        <v>66149</v>
      </c>
      <c r="AI103" s="345">
        <v>0</v>
      </c>
      <c r="AJ103" s="345">
        <v>0</v>
      </c>
      <c r="AK103" s="345">
        <v>0</v>
      </c>
      <c r="AL103" s="345">
        <v>0</v>
      </c>
      <c r="AM103" s="345">
        <v>0</v>
      </c>
      <c r="AN103" s="345" t="s">
        <v>76</v>
      </c>
      <c r="AO103" s="345" t="s">
        <v>76</v>
      </c>
      <c r="AP103" s="345">
        <v>0.6</v>
      </c>
      <c r="AQ103" s="346">
        <v>0.6</v>
      </c>
      <c r="AR103" s="269">
        <f t="shared" si="80"/>
        <v>0.6</v>
      </c>
      <c r="AS103" s="269">
        <f t="shared" ref="AS103:AS115" si="155">(AK103-AQ103)</f>
        <v>-0.6</v>
      </c>
      <c r="AT103" s="269">
        <f t="shared" ref="AT103:AT118" si="156">MAX(AR103:AS103)</f>
        <v>0.6</v>
      </c>
      <c r="AU103" s="272">
        <f t="shared" si="13"/>
        <v>0.97777777777777775</v>
      </c>
      <c r="AV103" s="273">
        <f t="shared" si="123"/>
        <v>0.15999999999999998</v>
      </c>
      <c r="AW103" s="347">
        <f t="shared" si="14"/>
        <v>0.16363636363636361</v>
      </c>
      <c r="AX103" s="275">
        <f t="shared" si="17"/>
        <v>18.333333333333336</v>
      </c>
      <c r="AY103" s="324" t="str">
        <f t="shared" si="15"/>
        <v>DOS AÑOS</v>
      </c>
      <c r="AZ103" s="503" t="s">
        <v>60</v>
      </c>
      <c r="BA103" s="464" t="s">
        <v>37</v>
      </c>
      <c r="BB103" s="494" t="s">
        <v>36</v>
      </c>
      <c r="BC103" s="509">
        <f>MIN(AX103:AX118)</f>
        <v>1.5948553054662382</v>
      </c>
      <c r="BD103" s="500" t="e">
        <f>BD10</f>
        <v>#DIV/0!</v>
      </c>
    </row>
    <row r="104" spans="1:56" s="75" customFormat="1" ht="15.75" customHeight="1" x14ac:dyDescent="0.25">
      <c r="A104" s="363"/>
      <c r="B104" s="621"/>
      <c r="C104" s="523"/>
      <c r="D104" s="623"/>
      <c r="E104" s="623"/>
      <c r="F104" s="635"/>
      <c r="G104" s="489"/>
      <c r="H104" s="489"/>
      <c r="I104" s="71">
        <v>3</v>
      </c>
      <c r="J104" s="610"/>
      <c r="K104" s="72">
        <v>2</v>
      </c>
      <c r="L104" s="449"/>
      <c r="M104" s="73"/>
      <c r="N104" s="451"/>
      <c r="O104" s="73"/>
      <c r="P104" s="451"/>
      <c r="Q104" s="37">
        <v>99</v>
      </c>
      <c r="R104" s="37">
        <v>49.3</v>
      </c>
      <c r="S104" s="38">
        <v>44063</v>
      </c>
      <c r="T104" s="438"/>
      <c r="U104" s="39">
        <v>97</v>
      </c>
      <c r="V104" s="39">
        <f t="shared" si="154"/>
        <v>-2</v>
      </c>
      <c r="W104" s="39">
        <f>V104*100/Q104</f>
        <v>-2.0202020202020203</v>
      </c>
      <c r="X104" s="39">
        <v>1.5</v>
      </c>
      <c r="Y104" s="39">
        <f>X104*100/Q104</f>
        <v>1.5151515151515151</v>
      </c>
      <c r="Z104" s="39"/>
      <c r="AA104" s="39"/>
      <c r="AB104" s="39" t="s">
        <v>76</v>
      </c>
      <c r="AC104" s="39">
        <v>0.44</v>
      </c>
      <c r="AD104" s="40">
        <f>(W104+AC104)</f>
        <v>-1.5802020202020204</v>
      </c>
      <c r="AE104" s="40">
        <f t="shared" ref="AE104" si="157">(W104-AC104)</f>
        <v>-2.4602020202020203</v>
      </c>
      <c r="AF104" s="40">
        <f t="shared" ref="AF104" si="158">MAX(AD104:AE104)</f>
        <v>-1.5802020202020204</v>
      </c>
      <c r="AG104" s="41">
        <v>44420</v>
      </c>
      <c r="AH104" s="582"/>
      <c r="AI104" s="42">
        <v>51.2</v>
      </c>
      <c r="AJ104" s="42">
        <f>AI104-R104</f>
        <v>1.9000000000000057</v>
      </c>
      <c r="AK104" s="42">
        <f t="shared" ref="AK104:AK110" si="159">(AJ104*100)/3000</f>
        <v>6.3333333333333519E-2</v>
      </c>
      <c r="AL104" s="42">
        <v>0.8</v>
      </c>
      <c r="AM104" s="42">
        <f>AL104*100/3000</f>
        <v>2.6666666666666668E-2</v>
      </c>
      <c r="AN104" s="42"/>
      <c r="AO104" s="42"/>
      <c r="AP104" s="42">
        <v>1.4</v>
      </c>
      <c r="AQ104" s="42">
        <f>AP104*100/3000</f>
        <v>4.6666666666666669E-2</v>
      </c>
      <c r="AR104" s="40">
        <f>(AK104+AQ104)</f>
        <v>0.11000000000000018</v>
      </c>
      <c r="AS104" s="40">
        <f>(AK104-AQ104)</f>
        <v>1.666666666666685E-2</v>
      </c>
      <c r="AT104" s="269">
        <f t="shared" ref="AT104:AT110" si="160">MAX(AR104:AS104)</f>
        <v>0.11000000000000018</v>
      </c>
      <c r="AU104" s="272">
        <f t="shared" ref="AU104:AU110" si="161">YEARFRAC(S104,AG104)</f>
        <v>0.97777777777777775</v>
      </c>
      <c r="AV104" s="273">
        <f t="shared" ref="AV104:AV109" si="162">ABS(AT104-AF104)</f>
        <v>1.6902020202020205</v>
      </c>
      <c r="AW104" s="347">
        <f t="shared" ref="AW104:AW109" si="163">(AV104/AU104)</f>
        <v>1.7286157024793392</v>
      </c>
      <c r="AX104" s="275">
        <f t="shared" ref="AX104:AX109" si="164">(I104/AW104)</f>
        <v>1.735492738899181</v>
      </c>
      <c r="AY104" s="324" t="str">
        <f t="shared" ref="AY104:AY110" si="165">IF(AX104&lt;=1,"UN AÑO",IF(AX104&gt;=1,"DOS AÑOS"))</f>
        <v>DOS AÑOS</v>
      </c>
      <c r="AZ104" s="504"/>
      <c r="BA104" s="466"/>
      <c r="BB104" s="495"/>
      <c r="BC104" s="510"/>
      <c r="BD104" s="501"/>
    </row>
    <row r="105" spans="1:56" s="75" customFormat="1" ht="15.75" customHeight="1" x14ac:dyDescent="0.25">
      <c r="A105" s="363"/>
      <c r="B105" s="621"/>
      <c r="C105" s="523"/>
      <c r="D105" s="623"/>
      <c r="E105" s="623"/>
      <c r="F105" s="635"/>
      <c r="G105" s="489"/>
      <c r="H105" s="489"/>
      <c r="I105" s="71">
        <v>3</v>
      </c>
      <c r="J105" s="610"/>
      <c r="K105" s="72">
        <v>2</v>
      </c>
      <c r="L105" s="449"/>
      <c r="M105" s="73"/>
      <c r="N105" s="451"/>
      <c r="O105" s="73"/>
      <c r="P105" s="451"/>
      <c r="Q105" s="37">
        <v>198</v>
      </c>
      <c r="R105" s="37">
        <v>246.5</v>
      </c>
      <c r="S105" s="38">
        <v>44063</v>
      </c>
      <c r="T105" s="438"/>
      <c r="U105" s="39">
        <v>200</v>
      </c>
      <c r="V105" s="39">
        <f t="shared" si="154"/>
        <v>2</v>
      </c>
      <c r="W105" s="39">
        <f t="shared" ref="W105:W109" si="166">V105*100/Q105</f>
        <v>1.0101010101010102</v>
      </c>
      <c r="X105" s="39">
        <v>1</v>
      </c>
      <c r="Y105" s="39">
        <f t="shared" ref="Y105:Y109" si="167">X105*100/Q105</f>
        <v>0.50505050505050508</v>
      </c>
      <c r="Z105" s="39"/>
      <c r="AA105" s="39"/>
      <c r="AB105" s="39" t="s">
        <v>76</v>
      </c>
      <c r="AC105" s="39">
        <v>0.44</v>
      </c>
      <c r="AD105" s="40">
        <f>(W105+AC105)</f>
        <v>1.4501010101010101</v>
      </c>
      <c r="AE105" s="40">
        <f t="shared" si="111"/>
        <v>0.57010101010101022</v>
      </c>
      <c r="AF105" s="40">
        <f t="shared" si="9"/>
        <v>1.4501010101010101</v>
      </c>
      <c r="AG105" s="41">
        <v>44420</v>
      </c>
      <c r="AH105" s="582"/>
      <c r="AI105" s="42">
        <v>244.8</v>
      </c>
      <c r="AJ105" s="42">
        <f t="shared" ref="AJ105:AJ110" si="168">AI105-R105</f>
        <v>-1.6999999999999886</v>
      </c>
      <c r="AK105" s="42">
        <f t="shared" si="159"/>
        <v>-5.6666666666666289E-2</v>
      </c>
      <c r="AL105" s="42">
        <v>2.4</v>
      </c>
      <c r="AM105" s="42">
        <f t="shared" ref="AM105:AM110" si="169">AL105*100/3000</f>
        <v>0.08</v>
      </c>
      <c r="AN105" s="42"/>
      <c r="AO105" s="42"/>
      <c r="AP105" s="42">
        <v>4.5999999999999996</v>
      </c>
      <c r="AQ105" s="42">
        <f t="shared" ref="AQ105:AQ110" si="170">AP105*100/3000</f>
        <v>0.15333333333333332</v>
      </c>
      <c r="AR105" s="40">
        <f t="shared" ref="AR105:AR109" si="171">(AK105+AQ105)</f>
        <v>9.6666666666667039E-2</v>
      </c>
      <c r="AS105" s="40">
        <f t="shared" ref="AS105:AS110" si="172">(AK105-AQ105)</f>
        <v>-0.2099999999999996</v>
      </c>
      <c r="AT105" s="269">
        <f t="shared" si="160"/>
        <v>9.6666666666667039E-2</v>
      </c>
      <c r="AU105" s="272">
        <f t="shared" si="161"/>
        <v>0.97777777777777775</v>
      </c>
      <c r="AV105" s="273">
        <f t="shared" si="162"/>
        <v>1.353434343434343</v>
      </c>
      <c r="AW105" s="347">
        <f t="shared" si="163"/>
        <v>1.3841942148760327</v>
      </c>
      <c r="AX105" s="275">
        <f t="shared" si="164"/>
        <v>2.1673259198447652</v>
      </c>
      <c r="AY105" s="324" t="str">
        <f t="shared" si="165"/>
        <v>DOS AÑOS</v>
      </c>
      <c r="AZ105" s="504"/>
      <c r="BA105" s="466"/>
      <c r="BB105" s="495"/>
      <c r="BC105" s="510"/>
      <c r="BD105" s="501"/>
    </row>
    <row r="106" spans="1:56" s="75" customFormat="1" ht="15.75" customHeight="1" x14ac:dyDescent="0.25">
      <c r="A106" s="363"/>
      <c r="B106" s="621"/>
      <c r="C106" s="523"/>
      <c r="D106" s="623"/>
      <c r="E106" s="623"/>
      <c r="F106" s="635"/>
      <c r="G106" s="489"/>
      <c r="H106" s="489"/>
      <c r="I106" s="71">
        <v>3</v>
      </c>
      <c r="J106" s="610"/>
      <c r="K106" s="72">
        <v>2</v>
      </c>
      <c r="L106" s="449"/>
      <c r="M106" s="73"/>
      <c r="N106" s="451"/>
      <c r="O106" s="73"/>
      <c r="P106" s="451"/>
      <c r="Q106" s="37">
        <v>495</v>
      </c>
      <c r="R106" s="37">
        <v>493</v>
      </c>
      <c r="S106" s="38">
        <v>44063</v>
      </c>
      <c r="T106" s="438"/>
      <c r="U106" s="39">
        <v>498</v>
      </c>
      <c r="V106" s="39">
        <f t="shared" si="154"/>
        <v>3</v>
      </c>
      <c r="W106" s="39">
        <f t="shared" si="166"/>
        <v>0.60606060606060608</v>
      </c>
      <c r="X106" s="39">
        <v>1.5</v>
      </c>
      <c r="Y106" s="39">
        <f t="shared" si="167"/>
        <v>0.30303030303030304</v>
      </c>
      <c r="Z106" s="39"/>
      <c r="AA106" s="39"/>
      <c r="AB106" s="39" t="s">
        <v>76</v>
      </c>
      <c r="AC106" s="39">
        <v>0.44</v>
      </c>
      <c r="AD106" s="40">
        <f>(W106+AC106)</f>
        <v>1.0460606060606061</v>
      </c>
      <c r="AE106" s="40">
        <f t="shared" si="111"/>
        <v>0.16606060606060608</v>
      </c>
      <c r="AF106" s="40">
        <f t="shared" si="9"/>
        <v>1.0460606060606061</v>
      </c>
      <c r="AG106" s="41">
        <v>44420</v>
      </c>
      <c r="AH106" s="582"/>
      <c r="AI106" s="42">
        <v>488</v>
      </c>
      <c r="AJ106" s="42">
        <f t="shared" si="168"/>
        <v>-5</v>
      </c>
      <c r="AK106" s="42">
        <f t="shared" si="159"/>
        <v>-0.16666666666666666</v>
      </c>
      <c r="AL106" s="42">
        <v>2.1</v>
      </c>
      <c r="AM106" s="42">
        <f t="shared" si="169"/>
        <v>7.0000000000000007E-2</v>
      </c>
      <c r="AN106" s="42"/>
      <c r="AO106" s="42"/>
      <c r="AP106" s="42">
        <v>8.5</v>
      </c>
      <c r="AQ106" s="42">
        <f t="shared" si="170"/>
        <v>0.28333333333333333</v>
      </c>
      <c r="AR106" s="40">
        <f t="shared" si="171"/>
        <v>0.11666666666666667</v>
      </c>
      <c r="AS106" s="40">
        <f t="shared" si="172"/>
        <v>-0.44999999999999996</v>
      </c>
      <c r="AT106" s="269">
        <f t="shared" si="160"/>
        <v>0.11666666666666667</v>
      </c>
      <c r="AU106" s="272">
        <f t="shared" si="161"/>
        <v>0.97777777777777775</v>
      </c>
      <c r="AV106" s="273">
        <f t="shared" si="162"/>
        <v>0.92939393939393944</v>
      </c>
      <c r="AW106" s="347">
        <f t="shared" si="163"/>
        <v>0.95051652892561989</v>
      </c>
      <c r="AX106" s="275">
        <f t="shared" si="164"/>
        <v>3.1561786762308444</v>
      </c>
      <c r="AY106" s="324" t="str">
        <f t="shared" si="165"/>
        <v>DOS AÑOS</v>
      </c>
      <c r="AZ106" s="504"/>
      <c r="BA106" s="466"/>
      <c r="BB106" s="495"/>
      <c r="BC106" s="510"/>
      <c r="BD106" s="501"/>
    </row>
    <row r="107" spans="1:56" s="75" customFormat="1" ht="15.75" customHeight="1" x14ac:dyDescent="0.25">
      <c r="A107" s="363"/>
      <c r="B107" s="621"/>
      <c r="C107" s="523"/>
      <c r="D107" s="623"/>
      <c r="E107" s="623"/>
      <c r="F107" s="635"/>
      <c r="G107" s="489"/>
      <c r="H107" s="489"/>
      <c r="I107" s="71">
        <v>3</v>
      </c>
      <c r="J107" s="610"/>
      <c r="K107" s="72">
        <v>2</v>
      </c>
      <c r="L107" s="449"/>
      <c r="M107" s="73" t="s">
        <v>76</v>
      </c>
      <c r="N107" s="451"/>
      <c r="O107" s="73" t="s">
        <v>76</v>
      </c>
      <c r="P107" s="451"/>
      <c r="Q107" s="37">
        <v>990</v>
      </c>
      <c r="R107" s="37">
        <v>986</v>
      </c>
      <c r="S107" s="38">
        <v>44063</v>
      </c>
      <c r="T107" s="438"/>
      <c r="U107" s="39">
        <v>995</v>
      </c>
      <c r="V107" s="39">
        <f t="shared" si="154"/>
        <v>5</v>
      </c>
      <c r="W107" s="39">
        <f t="shared" si="166"/>
        <v>0.50505050505050508</v>
      </c>
      <c r="X107" s="39">
        <v>1</v>
      </c>
      <c r="Y107" s="39">
        <f t="shared" si="167"/>
        <v>0.10101010101010101</v>
      </c>
      <c r="Z107" s="39" t="s">
        <v>76</v>
      </c>
      <c r="AA107" s="39" t="s">
        <v>76</v>
      </c>
      <c r="AB107" s="39" t="s">
        <v>76</v>
      </c>
      <c r="AC107" s="39">
        <v>0.44</v>
      </c>
      <c r="AD107" s="40">
        <f t="shared" si="121"/>
        <v>0.94505050505050514</v>
      </c>
      <c r="AE107" s="40">
        <f t="shared" si="111"/>
        <v>6.5050505050505081E-2</v>
      </c>
      <c r="AF107" s="40">
        <f t="shared" si="9"/>
        <v>0.94505050505050514</v>
      </c>
      <c r="AG107" s="41">
        <v>44420</v>
      </c>
      <c r="AH107" s="582"/>
      <c r="AI107" s="42">
        <v>980</v>
      </c>
      <c r="AJ107" s="42">
        <f t="shared" si="168"/>
        <v>-6</v>
      </c>
      <c r="AK107" s="42">
        <f t="shared" si="159"/>
        <v>-0.2</v>
      </c>
      <c r="AL107" s="42">
        <v>4</v>
      </c>
      <c r="AM107" s="42">
        <f t="shared" si="169"/>
        <v>0.13333333333333333</v>
      </c>
      <c r="AN107" s="42" t="s">
        <v>76</v>
      </c>
      <c r="AO107" s="42" t="s">
        <v>76</v>
      </c>
      <c r="AP107" s="42">
        <v>17</v>
      </c>
      <c r="AQ107" s="42">
        <f t="shared" si="170"/>
        <v>0.56666666666666665</v>
      </c>
      <c r="AR107" s="40">
        <f t="shared" si="171"/>
        <v>0.36666666666666664</v>
      </c>
      <c r="AS107" s="40">
        <f t="shared" si="172"/>
        <v>-0.76666666666666661</v>
      </c>
      <c r="AT107" s="269">
        <f t="shared" si="160"/>
        <v>0.36666666666666664</v>
      </c>
      <c r="AU107" s="272">
        <f t="shared" si="161"/>
        <v>0.97777777777777775</v>
      </c>
      <c r="AV107" s="273">
        <f t="shared" si="162"/>
        <v>0.57838383838383844</v>
      </c>
      <c r="AW107" s="347">
        <f t="shared" si="163"/>
        <v>0.59152892561983483</v>
      </c>
      <c r="AX107" s="275">
        <f t="shared" si="164"/>
        <v>5.0716032134125033</v>
      </c>
      <c r="AY107" s="324" t="str">
        <f t="shared" si="165"/>
        <v>DOS AÑOS</v>
      </c>
      <c r="AZ107" s="504"/>
      <c r="BA107" s="466"/>
      <c r="BB107" s="495"/>
      <c r="BC107" s="510"/>
      <c r="BD107" s="501"/>
    </row>
    <row r="108" spans="1:56" s="75" customFormat="1" ht="15.75" customHeight="1" x14ac:dyDescent="0.25">
      <c r="A108" s="363"/>
      <c r="B108" s="621"/>
      <c r="C108" s="523"/>
      <c r="D108" s="623"/>
      <c r="E108" s="623"/>
      <c r="F108" s="635"/>
      <c r="G108" s="489"/>
      <c r="H108" s="489"/>
      <c r="I108" s="317">
        <v>3</v>
      </c>
      <c r="J108" s="610"/>
      <c r="K108" s="72">
        <v>2</v>
      </c>
      <c r="L108" s="449"/>
      <c r="M108" s="315"/>
      <c r="N108" s="451"/>
      <c r="O108" s="315"/>
      <c r="P108" s="451"/>
      <c r="Q108" s="37">
        <v>1981</v>
      </c>
      <c r="R108" s="37">
        <v>1972</v>
      </c>
      <c r="S108" s="38">
        <v>44063</v>
      </c>
      <c r="T108" s="438"/>
      <c r="U108" s="39">
        <v>1995</v>
      </c>
      <c r="V108" s="39">
        <f t="shared" si="154"/>
        <v>14</v>
      </c>
      <c r="W108" s="39">
        <f t="shared" si="166"/>
        <v>0.70671378091872794</v>
      </c>
      <c r="X108" s="39">
        <v>0</v>
      </c>
      <c r="Y108" s="39">
        <f t="shared" si="167"/>
        <v>0</v>
      </c>
      <c r="Z108" s="39"/>
      <c r="AA108" s="39"/>
      <c r="AB108" s="39" t="s">
        <v>76</v>
      </c>
      <c r="AC108" s="39">
        <v>0.44</v>
      </c>
      <c r="AD108" s="40">
        <f t="shared" si="121"/>
        <v>1.146713780918728</v>
      </c>
      <c r="AE108" s="40">
        <f t="shared" si="111"/>
        <v>0.26671378091872794</v>
      </c>
      <c r="AF108" s="40">
        <f t="shared" si="9"/>
        <v>1.146713780918728</v>
      </c>
      <c r="AG108" s="41">
        <v>44420</v>
      </c>
      <c r="AH108" s="582"/>
      <c r="AI108" s="42">
        <v>1969</v>
      </c>
      <c r="AJ108" s="42">
        <f t="shared" si="168"/>
        <v>-3</v>
      </c>
      <c r="AK108" s="42">
        <f t="shared" si="159"/>
        <v>-0.1</v>
      </c>
      <c r="AL108" s="42">
        <v>1.2</v>
      </c>
      <c r="AM108" s="42">
        <f t="shared" si="169"/>
        <v>0.04</v>
      </c>
      <c r="AN108" s="42"/>
      <c r="AO108" s="42"/>
      <c r="AP108" s="42">
        <v>33</v>
      </c>
      <c r="AQ108" s="42">
        <f t="shared" si="170"/>
        <v>1.1000000000000001</v>
      </c>
      <c r="AR108" s="40">
        <f t="shared" si="171"/>
        <v>1</v>
      </c>
      <c r="AS108" s="40">
        <f t="shared" si="172"/>
        <v>-1.2000000000000002</v>
      </c>
      <c r="AT108" s="269">
        <f t="shared" si="160"/>
        <v>1</v>
      </c>
      <c r="AU108" s="272">
        <f t="shared" si="161"/>
        <v>0.97777777777777775</v>
      </c>
      <c r="AV108" s="273">
        <f t="shared" si="162"/>
        <v>0.146713780918728</v>
      </c>
      <c r="AW108" s="347">
        <f t="shared" si="163"/>
        <v>0.15004818503051728</v>
      </c>
      <c r="AX108" s="275">
        <f t="shared" si="164"/>
        <v>19.993577392421312</v>
      </c>
      <c r="AY108" s="324" t="str">
        <f t="shared" si="165"/>
        <v>DOS AÑOS</v>
      </c>
      <c r="AZ108" s="504"/>
      <c r="BA108" s="466"/>
      <c r="BB108" s="495"/>
      <c r="BC108" s="510"/>
      <c r="BD108" s="501"/>
    </row>
    <row r="109" spans="1:56" s="75" customFormat="1" ht="15.75" customHeight="1" x14ac:dyDescent="0.25">
      <c r="A109" s="363"/>
      <c r="B109" s="621"/>
      <c r="C109" s="523"/>
      <c r="D109" s="623"/>
      <c r="E109" s="623"/>
      <c r="F109" s="635"/>
      <c r="G109" s="489"/>
      <c r="H109" s="489"/>
      <c r="I109" s="71">
        <v>3</v>
      </c>
      <c r="J109" s="610"/>
      <c r="K109" s="72">
        <v>2</v>
      </c>
      <c r="L109" s="449"/>
      <c r="M109" s="73" t="s">
        <v>76</v>
      </c>
      <c r="N109" s="451"/>
      <c r="O109" s="73" t="s">
        <v>76</v>
      </c>
      <c r="P109" s="451"/>
      <c r="Q109" s="37">
        <v>2971</v>
      </c>
      <c r="R109" s="37">
        <v>2943</v>
      </c>
      <c r="S109" s="38">
        <v>44063</v>
      </c>
      <c r="T109" s="438"/>
      <c r="U109" s="39">
        <v>2977</v>
      </c>
      <c r="V109" s="39">
        <f t="shared" ref="V109" si="173">U109-Q109</f>
        <v>6</v>
      </c>
      <c r="W109" s="39">
        <f t="shared" si="166"/>
        <v>0.20195220464490071</v>
      </c>
      <c r="X109" s="39">
        <v>1.5</v>
      </c>
      <c r="Y109" s="39">
        <f t="shared" si="167"/>
        <v>5.0488051161225178E-2</v>
      </c>
      <c r="Z109" s="39" t="s">
        <v>76</v>
      </c>
      <c r="AA109" s="39" t="s">
        <v>76</v>
      </c>
      <c r="AB109" s="39" t="s">
        <v>76</v>
      </c>
      <c r="AC109" s="39">
        <v>0.44</v>
      </c>
      <c r="AD109" s="40">
        <f t="shared" si="121"/>
        <v>0.64195220464490066</v>
      </c>
      <c r="AE109" s="40">
        <f t="shared" si="111"/>
        <v>-0.23804779535509929</v>
      </c>
      <c r="AF109" s="40">
        <f t="shared" si="9"/>
        <v>0.64195220464490066</v>
      </c>
      <c r="AG109" s="41">
        <v>44420</v>
      </c>
      <c r="AH109" s="582"/>
      <c r="AI109" s="42">
        <v>2943</v>
      </c>
      <c r="AJ109" s="42">
        <f t="shared" si="168"/>
        <v>0</v>
      </c>
      <c r="AK109" s="42">
        <f t="shared" si="159"/>
        <v>0</v>
      </c>
      <c r="AL109" s="42">
        <v>1.3</v>
      </c>
      <c r="AM109" s="42">
        <f t="shared" si="169"/>
        <v>4.3333333333333335E-2</v>
      </c>
      <c r="AN109" s="42" t="s">
        <v>76</v>
      </c>
      <c r="AO109" s="42" t="s">
        <v>76</v>
      </c>
      <c r="AP109" s="42">
        <v>49</v>
      </c>
      <c r="AQ109" s="42">
        <f t="shared" si="170"/>
        <v>1.6333333333333333</v>
      </c>
      <c r="AR109" s="40">
        <f t="shared" si="171"/>
        <v>1.6333333333333333</v>
      </c>
      <c r="AS109" s="40">
        <f t="shared" si="172"/>
        <v>-1.6333333333333333</v>
      </c>
      <c r="AT109" s="269">
        <f t="shared" si="160"/>
        <v>1.6333333333333333</v>
      </c>
      <c r="AU109" s="272">
        <f t="shared" si="161"/>
        <v>0.97777777777777775</v>
      </c>
      <c r="AV109" s="273">
        <f t="shared" si="162"/>
        <v>0.99138112868843264</v>
      </c>
      <c r="AW109" s="347">
        <f t="shared" si="163"/>
        <v>1.013912517976806</v>
      </c>
      <c r="AX109" s="275">
        <f t="shared" si="164"/>
        <v>2.9588351527470018</v>
      </c>
      <c r="AY109" s="324" t="str">
        <f t="shared" si="165"/>
        <v>DOS AÑOS</v>
      </c>
      <c r="AZ109" s="504"/>
      <c r="BA109" s="466"/>
      <c r="BB109" s="495"/>
      <c r="BC109" s="510"/>
      <c r="BD109" s="501"/>
    </row>
    <row r="110" spans="1:56" s="77" customFormat="1" ht="15.75" customHeight="1" thickBot="1" x14ac:dyDescent="0.3">
      <c r="A110" s="363"/>
      <c r="B110" s="621"/>
      <c r="C110" s="523"/>
      <c r="D110" s="623"/>
      <c r="E110" s="623"/>
      <c r="F110" s="635"/>
      <c r="G110" s="489"/>
      <c r="H110" s="489"/>
      <c r="I110" s="71">
        <v>3</v>
      </c>
      <c r="J110" s="610"/>
      <c r="K110" s="72">
        <v>2</v>
      </c>
      <c r="L110" s="449"/>
      <c r="M110" s="73" t="s">
        <v>76</v>
      </c>
      <c r="N110" s="451"/>
      <c r="O110" s="73" t="s">
        <v>76</v>
      </c>
      <c r="P110" s="451"/>
      <c r="Q110" s="37" t="s">
        <v>76</v>
      </c>
      <c r="R110" s="37">
        <v>3007</v>
      </c>
      <c r="S110" s="38">
        <v>44063</v>
      </c>
      <c r="T110" s="438"/>
      <c r="U110" s="39" t="s">
        <v>76</v>
      </c>
      <c r="V110" s="39" t="s">
        <v>76</v>
      </c>
      <c r="W110" s="39" t="s">
        <v>76</v>
      </c>
      <c r="X110" s="39"/>
      <c r="Y110" s="39"/>
      <c r="Z110" s="39" t="s">
        <v>76</v>
      </c>
      <c r="AA110" s="39" t="s">
        <v>76</v>
      </c>
      <c r="AB110" s="39" t="s">
        <v>76</v>
      </c>
      <c r="AC110" s="39" t="s">
        <v>76</v>
      </c>
      <c r="AD110" s="40" t="s">
        <v>76</v>
      </c>
      <c r="AE110" s="40" t="s">
        <v>76</v>
      </c>
      <c r="AF110" s="40" t="s">
        <v>76</v>
      </c>
      <c r="AG110" s="41">
        <v>44420</v>
      </c>
      <c r="AH110" s="582"/>
      <c r="AI110" s="42">
        <v>2996</v>
      </c>
      <c r="AJ110" s="42">
        <f t="shared" si="168"/>
        <v>-11</v>
      </c>
      <c r="AK110" s="42">
        <f t="shared" si="159"/>
        <v>-0.36666666666666664</v>
      </c>
      <c r="AL110" s="42">
        <v>2.2000000000000002</v>
      </c>
      <c r="AM110" s="42">
        <f t="shared" si="169"/>
        <v>7.3333333333333348E-2</v>
      </c>
      <c r="AN110" s="42" t="s">
        <v>76</v>
      </c>
      <c r="AO110" s="42" t="s">
        <v>76</v>
      </c>
      <c r="AP110" s="42">
        <v>49</v>
      </c>
      <c r="AQ110" s="42">
        <f t="shared" si="170"/>
        <v>1.6333333333333333</v>
      </c>
      <c r="AR110" s="40">
        <f>(AK110+AQ110)</f>
        <v>1.2666666666666666</v>
      </c>
      <c r="AS110" s="40">
        <f t="shared" si="172"/>
        <v>-2</v>
      </c>
      <c r="AT110" s="269">
        <f t="shared" si="160"/>
        <v>1.2666666666666666</v>
      </c>
      <c r="AU110" s="272">
        <f t="shared" si="161"/>
        <v>0.97777777777777775</v>
      </c>
      <c r="AV110" s="273" t="s">
        <v>76</v>
      </c>
      <c r="AW110" s="347" t="s">
        <v>76</v>
      </c>
      <c r="AX110" s="275" t="s">
        <v>76</v>
      </c>
      <c r="AY110" s="324" t="str">
        <f t="shared" si="165"/>
        <v>DOS AÑOS</v>
      </c>
      <c r="AZ110" s="504"/>
      <c r="BA110" s="466"/>
      <c r="BB110" s="495"/>
      <c r="BC110" s="510"/>
      <c r="BD110" s="501"/>
    </row>
    <row r="111" spans="1:56" ht="15.75" customHeight="1" x14ac:dyDescent="0.25">
      <c r="B111" s="621"/>
      <c r="C111" s="523" t="s">
        <v>63</v>
      </c>
      <c r="D111" s="623"/>
      <c r="E111" s="623"/>
      <c r="F111" s="635"/>
      <c r="G111" s="489" t="s">
        <v>114</v>
      </c>
      <c r="H111" s="523" t="s">
        <v>115</v>
      </c>
      <c r="I111" s="71">
        <v>3</v>
      </c>
      <c r="J111" s="610"/>
      <c r="K111" s="72">
        <v>3</v>
      </c>
      <c r="L111" s="449"/>
      <c r="M111" s="73" t="s">
        <v>76</v>
      </c>
      <c r="N111" s="451"/>
      <c r="O111" s="73" t="s">
        <v>76</v>
      </c>
      <c r="P111" s="451"/>
      <c r="Q111" s="37">
        <v>0</v>
      </c>
      <c r="R111" s="37">
        <v>0</v>
      </c>
      <c r="S111" s="38">
        <v>44063</v>
      </c>
      <c r="T111" s="438" t="s">
        <v>189</v>
      </c>
      <c r="U111" s="39">
        <v>0</v>
      </c>
      <c r="V111" s="39">
        <f>U111-Q111</f>
        <v>0</v>
      </c>
      <c r="W111" s="39">
        <v>0</v>
      </c>
      <c r="X111" s="39">
        <v>0</v>
      </c>
      <c r="Y111" s="39">
        <v>0</v>
      </c>
      <c r="Z111" s="39"/>
      <c r="AA111" s="39" t="s">
        <v>76</v>
      </c>
      <c r="AB111" s="39">
        <v>1.4</v>
      </c>
      <c r="AC111" s="39">
        <v>1.4</v>
      </c>
      <c r="AD111" s="40">
        <f>(W111+AC111)</f>
        <v>1.4</v>
      </c>
      <c r="AE111" s="40">
        <f t="shared" si="111"/>
        <v>-1.4</v>
      </c>
      <c r="AF111" s="40">
        <f t="shared" si="9"/>
        <v>1.4</v>
      </c>
      <c r="AG111" s="41">
        <v>44420</v>
      </c>
      <c r="AH111" s="619">
        <v>66150</v>
      </c>
      <c r="AI111" s="42">
        <v>0</v>
      </c>
      <c r="AJ111" s="42">
        <f>AI111-Q111</f>
        <v>0</v>
      </c>
      <c r="AK111" s="42">
        <v>0</v>
      </c>
      <c r="AL111" s="42">
        <v>0</v>
      </c>
      <c r="AM111" s="42">
        <v>0</v>
      </c>
      <c r="AN111" s="42" t="s">
        <v>76</v>
      </c>
      <c r="AO111" s="42" t="s">
        <v>76</v>
      </c>
      <c r="AP111" s="42">
        <v>0.56999999999999995</v>
      </c>
      <c r="AQ111" s="42">
        <v>0.56999999999999995</v>
      </c>
      <c r="AR111" s="40">
        <f t="shared" si="80"/>
        <v>0.56999999999999995</v>
      </c>
      <c r="AS111" s="40">
        <f t="shared" si="155"/>
        <v>-0.56999999999999995</v>
      </c>
      <c r="AT111" s="40">
        <f t="shared" si="156"/>
        <v>0.56999999999999995</v>
      </c>
      <c r="AU111" s="43">
        <f t="shared" si="13"/>
        <v>0.97777777777777775</v>
      </c>
      <c r="AV111" s="44">
        <f t="shared" si="123"/>
        <v>0.83</v>
      </c>
      <c r="AW111" s="45">
        <f t="shared" si="14"/>
        <v>0.84886363636363638</v>
      </c>
      <c r="AX111" s="46">
        <f t="shared" si="17"/>
        <v>3.5341365461847389</v>
      </c>
      <c r="AY111" s="74" t="str">
        <f t="shared" si="15"/>
        <v>DOS AÑOS</v>
      </c>
      <c r="AZ111" s="504"/>
      <c r="BA111" s="466"/>
      <c r="BB111" s="495"/>
      <c r="BC111" s="510"/>
      <c r="BD111" s="501"/>
    </row>
    <row r="112" spans="1:56" ht="15.75" customHeight="1" x14ac:dyDescent="0.25">
      <c r="B112" s="621"/>
      <c r="C112" s="523"/>
      <c r="D112" s="623"/>
      <c r="E112" s="623"/>
      <c r="F112" s="635"/>
      <c r="G112" s="489"/>
      <c r="H112" s="523"/>
      <c r="I112" s="353">
        <v>3</v>
      </c>
      <c r="J112" s="610"/>
      <c r="K112" s="72">
        <v>3</v>
      </c>
      <c r="L112" s="449"/>
      <c r="M112" s="354"/>
      <c r="N112" s="451"/>
      <c r="O112" s="354"/>
      <c r="P112" s="451"/>
      <c r="Q112" s="37" t="s">
        <v>76</v>
      </c>
      <c r="R112" s="37">
        <v>30</v>
      </c>
      <c r="S112" s="38">
        <v>44063</v>
      </c>
      <c r="T112" s="438"/>
      <c r="U112" s="39"/>
      <c r="V112" s="39"/>
      <c r="W112" s="39"/>
      <c r="X112" s="39"/>
      <c r="Y112" s="39"/>
      <c r="Z112" s="39"/>
      <c r="AA112" s="39"/>
      <c r="AB112" s="39"/>
      <c r="AC112" s="39"/>
      <c r="AD112" s="40"/>
      <c r="AE112" s="40"/>
      <c r="AF112" s="40"/>
      <c r="AG112" s="41">
        <v>44420</v>
      </c>
      <c r="AH112" s="479"/>
      <c r="AI112" s="42">
        <v>30</v>
      </c>
      <c r="AJ112" s="42">
        <f>AI112-R112</f>
        <v>0</v>
      </c>
      <c r="AK112" s="42">
        <f>(AJ112*100)/R112</f>
        <v>0</v>
      </c>
      <c r="AL112" s="42">
        <v>0</v>
      </c>
      <c r="AM112" s="42">
        <f>AL112*100/R112</f>
        <v>0</v>
      </c>
      <c r="AN112" s="42"/>
      <c r="AO112" s="42"/>
      <c r="AP112" s="42">
        <v>0.56999999999999995</v>
      </c>
      <c r="AQ112" s="42">
        <f>(AP112*100)/R112</f>
        <v>1.8999999999999997</v>
      </c>
      <c r="AR112" s="40">
        <f t="shared" ref="AR112:AR114" si="174">(AJ112+AQ112)</f>
        <v>1.8999999999999997</v>
      </c>
      <c r="AS112" s="40">
        <f t="shared" ref="AS112:AS114" si="175">(AK112-AQ112)</f>
        <v>-1.8999999999999997</v>
      </c>
      <c r="AT112" s="40">
        <f t="shared" ref="AT112:AT114" si="176">MAX(AR112:AS112)</f>
        <v>1.8999999999999997</v>
      </c>
      <c r="AU112" s="43" t="s">
        <v>76</v>
      </c>
      <c r="AV112" s="44" t="s">
        <v>76</v>
      </c>
      <c r="AW112" s="45" t="s">
        <v>76</v>
      </c>
      <c r="AX112" s="46" t="s">
        <v>76</v>
      </c>
      <c r="AY112" s="74" t="str">
        <f t="shared" ref="AY112:AY113" si="177">IF(AX112&lt;=1,"UN AÑO",IF(AX112&gt;=1,"DOS AÑOS"))</f>
        <v>DOS AÑOS</v>
      </c>
      <c r="AZ112" s="504"/>
      <c r="BA112" s="466"/>
      <c r="BB112" s="495"/>
      <c r="BC112" s="510"/>
      <c r="BD112" s="501"/>
    </row>
    <row r="113" spans="2:56" ht="15.75" customHeight="1" x14ac:dyDescent="0.25">
      <c r="B113" s="621"/>
      <c r="C113" s="523"/>
      <c r="D113" s="623"/>
      <c r="E113" s="623"/>
      <c r="F113" s="635"/>
      <c r="G113" s="489"/>
      <c r="H113" s="523"/>
      <c r="I113" s="353">
        <v>3</v>
      </c>
      <c r="J113" s="610"/>
      <c r="K113" s="72">
        <v>3</v>
      </c>
      <c r="L113" s="449"/>
      <c r="M113" s="354"/>
      <c r="N113" s="451"/>
      <c r="O113" s="354"/>
      <c r="P113" s="451"/>
      <c r="Q113" s="37" t="s">
        <v>76</v>
      </c>
      <c r="R113" s="37">
        <v>40</v>
      </c>
      <c r="S113" s="38">
        <v>44063</v>
      </c>
      <c r="T113" s="438"/>
      <c r="U113" s="39"/>
      <c r="V113" s="39"/>
      <c r="W113" s="39"/>
      <c r="X113" s="39"/>
      <c r="Y113" s="39"/>
      <c r="Z113" s="39"/>
      <c r="AA113" s="39"/>
      <c r="AB113" s="39"/>
      <c r="AC113" s="39"/>
      <c r="AD113" s="40"/>
      <c r="AE113" s="40"/>
      <c r="AF113" s="40"/>
      <c r="AG113" s="41">
        <v>44420</v>
      </c>
      <c r="AH113" s="479"/>
      <c r="AI113" s="42">
        <v>40</v>
      </c>
      <c r="AJ113" s="42">
        <f>AI113-R113</f>
        <v>0</v>
      </c>
      <c r="AK113" s="42">
        <f>(AJ113*100)/R113</f>
        <v>0</v>
      </c>
      <c r="AL113" s="42">
        <v>0</v>
      </c>
      <c r="AM113" s="42">
        <f>AL113*100/R113</f>
        <v>0</v>
      </c>
      <c r="AN113" s="42"/>
      <c r="AO113" s="42"/>
      <c r="AP113" s="42">
        <v>0.57999999999999996</v>
      </c>
      <c r="AQ113" s="42">
        <f>(AP113*100)/R113</f>
        <v>1.4499999999999997</v>
      </c>
      <c r="AR113" s="40">
        <f t="shared" si="174"/>
        <v>1.4499999999999997</v>
      </c>
      <c r="AS113" s="40">
        <f t="shared" si="175"/>
        <v>-1.4499999999999997</v>
      </c>
      <c r="AT113" s="40">
        <f t="shared" si="176"/>
        <v>1.4499999999999997</v>
      </c>
      <c r="AU113" s="43" t="s">
        <v>76</v>
      </c>
      <c r="AV113" s="44" t="s">
        <v>76</v>
      </c>
      <c r="AW113" s="45" t="s">
        <v>76</v>
      </c>
      <c r="AX113" s="46" t="s">
        <v>76</v>
      </c>
      <c r="AY113" s="74" t="str">
        <f t="shared" si="177"/>
        <v>DOS AÑOS</v>
      </c>
      <c r="AZ113" s="504"/>
      <c r="BA113" s="466"/>
      <c r="BB113" s="495"/>
      <c r="BC113" s="510"/>
      <c r="BD113" s="501"/>
    </row>
    <row r="114" spans="2:56" ht="15" customHeight="1" x14ac:dyDescent="0.25">
      <c r="B114" s="621"/>
      <c r="C114" s="523"/>
      <c r="D114" s="623"/>
      <c r="E114" s="623"/>
      <c r="F114" s="635"/>
      <c r="G114" s="489"/>
      <c r="H114" s="523"/>
      <c r="I114" s="71">
        <v>3</v>
      </c>
      <c r="J114" s="610"/>
      <c r="K114" s="72">
        <v>3</v>
      </c>
      <c r="L114" s="449"/>
      <c r="M114" s="73" t="s">
        <v>76</v>
      </c>
      <c r="N114" s="451"/>
      <c r="O114" s="73" t="s">
        <v>76</v>
      </c>
      <c r="P114" s="451"/>
      <c r="Q114" s="37">
        <v>49.6</v>
      </c>
      <c r="R114" s="37">
        <v>60</v>
      </c>
      <c r="S114" s="38">
        <v>44063</v>
      </c>
      <c r="T114" s="438"/>
      <c r="U114" s="39">
        <v>49.6</v>
      </c>
      <c r="V114" s="39">
        <f>U114-Q114</f>
        <v>0</v>
      </c>
      <c r="W114" s="39">
        <f>V114*100/Q114</f>
        <v>0</v>
      </c>
      <c r="X114" s="39">
        <v>0.55000000000000004</v>
      </c>
      <c r="Y114" s="39">
        <f>X114*100/U114</f>
        <v>1.1088709677419355</v>
      </c>
      <c r="Z114" s="39"/>
      <c r="AA114" s="39" t="s">
        <v>76</v>
      </c>
      <c r="AB114" s="39">
        <v>1.4</v>
      </c>
      <c r="AC114" s="39">
        <f>AB114*100/Q114</f>
        <v>2.82258064516129</v>
      </c>
      <c r="AD114" s="40">
        <f t="shared" si="121"/>
        <v>2.82258064516129</v>
      </c>
      <c r="AE114" s="40">
        <f t="shared" si="111"/>
        <v>-2.82258064516129</v>
      </c>
      <c r="AF114" s="40">
        <f t="shared" si="9"/>
        <v>2.82258064516129</v>
      </c>
      <c r="AG114" s="41">
        <v>44420</v>
      </c>
      <c r="AH114" s="479"/>
      <c r="AI114" s="42">
        <v>60</v>
      </c>
      <c r="AJ114" s="42">
        <f>AI114-R114</f>
        <v>0</v>
      </c>
      <c r="AK114" s="42">
        <f>(AJ114*100)/R114</f>
        <v>0</v>
      </c>
      <c r="AL114" s="42">
        <v>0</v>
      </c>
      <c r="AM114" s="42">
        <f>AL114*100/R114</f>
        <v>0</v>
      </c>
      <c r="AN114" s="42" t="s">
        <v>76</v>
      </c>
      <c r="AO114" s="42" t="s">
        <v>76</v>
      </c>
      <c r="AP114" s="42">
        <v>0.59</v>
      </c>
      <c r="AQ114" s="42">
        <f>(AP114*100)/R114</f>
        <v>0.98333333333333328</v>
      </c>
      <c r="AR114" s="40">
        <f t="shared" si="174"/>
        <v>0.98333333333333328</v>
      </c>
      <c r="AS114" s="40">
        <f t="shared" si="175"/>
        <v>-0.98333333333333328</v>
      </c>
      <c r="AT114" s="40">
        <f t="shared" si="176"/>
        <v>0.98333333333333328</v>
      </c>
      <c r="AU114" s="43">
        <f t="shared" si="13"/>
        <v>0.97777777777777775</v>
      </c>
      <c r="AV114" s="44">
        <f t="shared" si="123"/>
        <v>1.8392473118279566</v>
      </c>
      <c r="AW114" s="45">
        <f t="shared" si="14"/>
        <v>1.8810483870967738</v>
      </c>
      <c r="AX114" s="46">
        <f t="shared" si="17"/>
        <v>1.5948553054662382</v>
      </c>
      <c r="AY114" s="74" t="str">
        <f t="shared" si="15"/>
        <v>DOS AÑOS</v>
      </c>
      <c r="AZ114" s="504"/>
      <c r="BA114" s="466"/>
      <c r="BB114" s="495"/>
      <c r="BC114" s="510"/>
      <c r="BD114" s="501"/>
    </row>
    <row r="115" spans="2:56" ht="15" customHeight="1" x14ac:dyDescent="0.25">
      <c r="B115" s="621"/>
      <c r="C115" s="523"/>
      <c r="D115" s="623"/>
      <c r="E115" s="623"/>
      <c r="F115" s="635"/>
      <c r="G115" s="489"/>
      <c r="H115" s="523"/>
      <c r="I115" s="71">
        <v>3</v>
      </c>
      <c r="J115" s="610"/>
      <c r="K115" s="72">
        <v>3</v>
      </c>
      <c r="L115" s="449"/>
      <c r="M115" s="73" t="s">
        <v>76</v>
      </c>
      <c r="N115" s="451"/>
      <c r="O115" s="73" t="s">
        <v>76</v>
      </c>
      <c r="P115" s="451"/>
      <c r="Q115" s="37">
        <v>99.6</v>
      </c>
      <c r="R115" s="37">
        <v>100</v>
      </c>
      <c r="S115" s="38">
        <v>44063</v>
      </c>
      <c r="T115" s="438"/>
      <c r="U115" s="39">
        <v>100.4</v>
      </c>
      <c r="V115" s="39">
        <f t="shared" ref="V115" si="178">U115-Q115</f>
        <v>0.80000000000001137</v>
      </c>
      <c r="W115" s="39">
        <f t="shared" ref="W115" si="179">V115*100/Q115</f>
        <v>0.80321285140563392</v>
      </c>
      <c r="X115" s="39">
        <v>0.55000000000000004</v>
      </c>
      <c r="Y115" s="39">
        <f t="shared" ref="Y115" si="180">X115*100/U115</f>
        <v>0.54780876494023911</v>
      </c>
      <c r="Z115" s="39"/>
      <c r="AA115" s="39" t="s">
        <v>76</v>
      </c>
      <c r="AB115" s="39">
        <v>1.2</v>
      </c>
      <c r="AC115" s="39">
        <f t="shared" ref="AC115" si="181">AB115*100/Q115</f>
        <v>1.2048192771084338</v>
      </c>
      <c r="AD115" s="40">
        <f t="shared" si="121"/>
        <v>2.0080321285140679</v>
      </c>
      <c r="AE115" s="40">
        <f t="shared" si="111"/>
        <v>-0.40160642570279992</v>
      </c>
      <c r="AF115" s="40">
        <f t="shared" si="9"/>
        <v>2.0080321285140679</v>
      </c>
      <c r="AG115" s="41">
        <v>44420</v>
      </c>
      <c r="AH115" s="581"/>
      <c r="AI115" s="42">
        <v>100</v>
      </c>
      <c r="AJ115" s="42">
        <f>AI115-R115</f>
        <v>0</v>
      </c>
      <c r="AK115" s="42">
        <f t="shared" ref="AK115:AK117" si="182">(AJ115*100)/Q115</f>
        <v>0</v>
      </c>
      <c r="AL115" s="42">
        <v>0</v>
      </c>
      <c r="AM115" s="42">
        <f>AL115*100/R115</f>
        <v>0</v>
      </c>
      <c r="AN115" s="42" t="s">
        <v>76</v>
      </c>
      <c r="AO115" s="42" t="s">
        <v>76</v>
      </c>
      <c r="AP115" s="42">
        <v>0.63</v>
      </c>
      <c r="AQ115" s="42">
        <f>(AP115*100)/R115</f>
        <v>0.63</v>
      </c>
      <c r="AR115" s="40">
        <f t="shared" si="80"/>
        <v>0.63</v>
      </c>
      <c r="AS115" s="40">
        <f t="shared" si="155"/>
        <v>-0.63</v>
      </c>
      <c r="AT115" s="40">
        <f t="shared" si="156"/>
        <v>0.63</v>
      </c>
      <c r="AU115" s="43">
        <f t="shared" si="13"/>
        <v>0.97777777777777775</v>
      </c>
      <c r="AV115" s="44">
        <f t="shared" si="123"/>
        <v>1.378032128514068</v>
      </c>
      <c r="AW115" s="45">
        <f t="shared" si="14"/>
        <v>1.4093510405257514</v>
      </c>
      <c r="AX115" s="46">
        <f t="shared" si="17"/>
        <v>2.1286392912307104</v>
      </c>
      <c r="AY115" s="74" t="str">
        <f t="shared" si="15"/>
        <v>DOS AÑOS</v>
      </c>
      <c r="AZ115" s="504"/>
      <c r="BA115" s="466"/>
      <c r="BB115" s="495"/>
      <c r="BC115" s="510"/>
      <c r="BD115" s="501"/>
    </row>
    <row r="116" spans="2:56" ht="15" customHeight="1" x14ac:dyDescent="0.25">
      <c r="B116" s="621"/>
      <c r="C116" s="523"/>
      <c r="D116" s="623"/>
      <c r="E116" s="623"/>
      <c r="F116" s="635"/>
      <c r="G116" s="489"/>
      <c r="H116" s="523"/>
      <c r="I116" s="71">
        <v>3</v>
      </c>
      <c r="J116" s="610"/>
      <c r="K116" s="72">
        <v>3</v>
      </c>
      <c r="L116" s="449"/>
      <c r="M116" s="73"/>
      <c r="N116" s="451"/>
      <c r="O116" s="73"/>
      <c r="P116" s="451"/>
      <c r="Q116" s="37"/>
      <c r="R116" s="37">
        <v>100.4</v>
      </c>
      <c r="S116" s="38">
        <v>44063</v>
      </c>
      <c r="T116" s="438"/>
      <c r="U116" s="39"/>
      <c r="V116" s="39"/>
      <c r="W116" s="39"/>
      <c r="X116" s="39"/>
      <c r="Y116" s="39"/>
      <c r="Z116" s="39"/>
      <c r="AA116" s="39"/>
      <c r="AB116" s="39"/>
      <c r="AC116" s="39"/>
      <c r="AD116" s="40"/>
      <c r="AE116" s="40"/>
      <c r="AF116" s="40"/>
      <c r="AG116" s="41">
        <v>44420</v>
      </c>
      <c r="AH116" s="619">
        <v>66156</v>
      </c>
      <c r="AI116" s="42">
        <v>100</v>
      </c>
      <c r="AJ116" s="42">
        <f t="shared" ref="AJ116:AJ120" si="183">AI116-R116</f>
        <v>-0.40000000000000568</v>
      </c>
      <c r="AK116" s="42">
        <f>(AJ116*100)/R116</f>
        <v>-0.39840637450199767</v>
      </c>
      <c r="AL116" s="42">
        <v>0</v>
      </c>
      <c r="AM116" s="42">
        <f t="shared" ref="AM116:AM120" si="184">AL116*100/R116</f>
        <v>0</v>
      </c>
      <c r="AN116" s="42"/>
      <c r="AO116" s="42"/>
      <c r="AP116" s="42">
        <v>1.8</v>
      </c>
      <c r="AQ116" s="42">
        <f t="shared" ref="AQ116:AQ117" si="185">(AP116*100)/R116</f>
        <v>1.7928286852589641</v>
      </c>
      <c r="AR116" s="40">
        <f>(AK116+AQ116)</f>
        <v>1.3944223107569664</v>
      </c>
      <c r="AS116" s="40">
        <f>(AK116-AQ116)</f>
        <v>-2.1912350597609618</v>
      </c>
      <c r="AT116" s="40">
        <f t="shared" ref="AT116:AT117" si="186">MAX(AR116:AS116)</f>
        <v>1.3944223107569664</v>
      </c>
      <c r="AU116" s="43">
        <f>YEARFRAC(S116,AG116)</f>
        <v>0.97777777777777775</v>
      </c>
      <c r="AV116" s="44">
        <f t="shared" ref="AV116:AV117" si="187">ABS(AT116-AF116)</f>
        <v>1.3944223107569664</v>
      </c>
      <c r="AW116" s="45">
        <f t="shared" ref="AW116:AW117" si="188">(AV116/AU116)</f>
        <v>1.426113726910534</v>
      </c>
      <c r="AX116" s="46">
        <f t="shared" ref="AX116:AX117" si="189">(I116/AW116)</f>
        <v>2.1036190476190559</v>
      </c>
      <c r="AY116" s="74" t="str">
        <f t="shared" ref="AY116:AY117" si="190">IF(AX116&lt;=1,"UN AÑO",IF(AX116&gt;=1,"DOS AÑOS"))</f>
        <v>DOS AÑOS</v>
      </c>
      <c r="AZ116" s="504"/>
      <c r="BA116" s="466"/>
      <c r="BB116" s="495"/>
      <c r="BC116" s="510"/>
      <c r="BD116" s="501"/>
    </row>
    <row r="117" spans="2:56" ht="15" customHeight="1" x14ac:dyDescent="0.25">
      <c r="B117" s="621"/>
      <c r="C117" s="523"/>
      <c r="D117" s="623"/>
      <c r="E117" s="623"/>
      <c r="F117" s="635"/>
      <c r="G117" s="489"/>
      <c r="H117" s="523"/>
      <c r="I117" s="71">
        <v>3</v>
      </c>
      <c r="J117" s="610"/>
      <c r="K117" s="72">
        <v>3</v>
      </c>
      <c r="L117" s="449"/>
      <c r="M117" s="73"/>
      <c r="N117" s="451"/>
      <c r="O117" s="73"/>
      <c r="P117" s="451"/>
      <c r="Q117" s="37">
        <v>199.5</v>
      </c>
      <c r="R117" s="37">
        <v>200.9</v>
      </c>
      <c r="S117" s="38">
        <v>44063</v>
      </c>
      <c r="T117" s="438"/>
      <c r="U117" s="39">
        <v>199.6</v>
      </c>
      <c r="V117" s="39">
        <f t="shared" ref="V117" si="191">U117-Q117</f>
        <v>9.9999999999994316E-2</v>
      </c>
      <c r="W117" s="39">
        <f t="shared" ref="W117" si="192">V117*100/Q117</f>
        <v>5.0125313283205172E-2</v>
      </c>
      <c r="X117" s="39">
        <v>0.55000000000000004</v>
      </c>
      <c r="Y117" s="39">
        <f t="shared" ref="Y117" si="193">X117*100/U117</f>
        <v>0.27555110220440887</v>
      </c>
      <c r="Z117" s="39"/>
      <c r="AA117" s="39"/>
      <c r="AB117" s="39">
        <v>1.9</v>
      </c>
      <c r="AC117" s="39">
        <f t="shared" ref="AC117" si="194">AB117*100/Q117</f>
        <v>0.95238095238095233</v>
      </c>
      <c r="AD117" s="40">
        <f t="shared" ref="AD117" si="195">(W117+AC117)</f>
        <v>1.0025062656641575</v>
      </c>
      <c r="AE117" s="40">
        <f t="shared" ref="AE117" si="196">(W117-AC117)</f>
        <v>-0.9022556390977472</v>
      </c>
      <c r="AF117" s="40">
        <f t="shared" ref="AF117" si="197">MAX(AD117:AE117)</f>
        <v>1.0025062656641575</v>
      </c>
      <c r="AG117" s="41">
        <v>44420</v>
      </c>
      <c r="AH117" s="479"/>
      <c r="AI117" s="42">
        <v>200.7</v>
      </c>
      <c r="AJ117" s="42">
        <f t="shared" si="183"/>
        <v>-0.20000000000001705</v>
      </c>
      <c r="AK117" s="42">
        <f t="shared" si="182"/>
        <v>-0.10025062656642458</v>
      </c>
      <c r="AL117" s="42">
        <v>0.57999999999999996</v>
      </c>
      <c r="AM117" s="42">
        <f t="shared" si="184"/>
        <v>0.28870084619213537</v>
      </c>
      <c r="AN117" s="42"/>
      <c r="AO117" s="42"/>
      <c r="AP117" s="42">
        <v>3.1</v>
      </c>
      <c r="AQ117" s="42">
        <f t="shared" si="185"/>
        <v>1.5430562468889994</v>
      </c>
      <c r="AR117" s="40">
        <f t="shared" ref="AR117:AR120" si="198">(AK117+AQ117)</f>
        <v>1.442805620322575</v>
      </c>
      <c r="AS117" s="40">
        <f t="shared" ref="AS117:AS120" si="199">(AK117-AQ117)</f>
        <v>-1.6433068734554239</v>
      </c>
      <c r="AT117" s="40">
        <f t="shared" si="186"/>
        <v>1.442805620322575</v>
      </c>
      <c r="AU117" s="43">
        <f t="shared" ref="AU117" si="200">YEARFRAC(S117,AG117)</f>
        <v>0.97777777777777775</v>
      </c>
      <c r="AV117" s="44">
        <f t="shared" si="187"/>
        <v>0.44029935465841752</v>
      </c>
      <c r="AW117" s="45">
        <f t="shared" si="188"/>
        <v>0.45030615817338154</v>
      </c>
      <c r="AX117" s="46">
        <f t="shared" si="189"/>
        <v>6.6621340737803303</v>
      </c>
      <c r="AY117" s="74" t="str">
        <f t="shared" si="190"/>
        <v>DOS AÑOS</v>
      </c>
      <c r="AZ117" s="504"/>
      <c r="BA117" s="466"/>
      <c r="BB117" s="495"/>
      <c r="BC117" s="510"/>
      <c r="BD117" s="501"/>
    </row>
    <row r="118" spans="2:56" ht="15.75" customHeight="1" x14ac:dyDescent="0.25">
      <c r="B118" s="621"/>
      <c r="C118" s="523"/>
      <c r="D118" s="623"/>
      <c r="E118" s="623"/>
      <c r="F118" s="635"/>
      <c r="G118" s="489"/>
      <c r="H118" s="523"/>
      <c r="I118" s="71">
        <v>3</v>
      </c>
      <c r="J118" s="610"/>
      <c r="K118" s="72">
        <v>3</v>
      </c>
      <c r="L118" s="449"/>
      <c r="M118" s="73" t="s">
        <v>76</v>
      </c>
      <c r="N118" s="451"/>
      <c r="O118" s="73" t="s">
        <v>76</v>
      </c>
      <c r="P118" s="451"/>
      <c r="Q118" s="37"/>
      <c r="R118" s="37">
        <v>301.3</v>
      </c>
      <c r="S118" s="38">
        <v>44063</v>
      </c>
      <c r="T118" s="438"/>
      <c r="U118" s="39" t="s">
        <v>76</v>
      </c>
      <c r="V118" s="39" t="s">
        <v>76</v>
      </c>
      <c r="W118" s="39" t="s">
        <v>76</v>
      </c>
      <c r="X118" s="39" t="s">
        <v>76</v>
      </c>
      <c r="Y118" s="39" t="s">
        <v>76</v>
      </c>
      <c r="Z118" s="39"/>
      <c r="AA118" s="39" t="s">
        <v>76</v>
      </c>
      <c r="AB118" s="39" t="s">
        <v>76</v>
      </c>
      <c r="AC118" s="39" t="s">
        <v>76</v>
      </c>
      <c r="AD118" s="40" t="s">
        <v>76</v>
      </c>
      <c r="AE118" s="40" t="s">
        <v>76</v>
      </c>
      <c r="AF118" s="40" t="s">
        <v>76</v>
      </c>
      <c r="AG118" s="41">
        <v>44420</v>
      </c>
      <c r="AH118" s="479"/>
      <c r="AI118" s="42">
        <v>300.7</v>
      </c>
      <c r="AJ118" s="42">
        <f t="shared" si="183"/>
        <v>-0.60000000000002274</v>
      </c>
      <c r="AK118" s="42">
        <f t="shared" ref="AK118" si="201">(AJ118*100)/R118</f>
        <v>-0.19913707268503908</v>
      </c>
      <c r="AL118" s="42">
        <v>0.57999999999999996</v>
      </c>
      <c r="AM118" s="42">
        <f t="shared" si="184"/>
        <v>0.19249917026219712</v>
      </c>
      <c r="AN118" s="42" t="s">
        <v>76</v>
      </c>
      <c r="AO118" s="42" t="s">
        <v>76</v>
      </c>
      <c r="AP118" s="42">
        <v>4.0999999999999996</v>
      </c>
      <c r="AQ118" s="42">
        <f>(AP118*100)/R118</f>
        <v>1.3607699966810485</v>
      </c>
      <c r="AR118" s="40">
        <f t="shared" si="198"/>
        <v>1.1616329239960095</v>
      </c>
      <c r="AS118" s="40">
        <f t="shared" si="199"/>
        <v>-1.5599070693660875</v>
      </c>
      <c r="AT118" s="40">
        <f t="shared" si="156"/>
        <v>1.1616329239960095</v>
      </c>
      <c r="AU118" s="43">
        <f>YEARFRAC(S118,AG118)</f>
        <v>0.97777777777777775</v>
      </c>
      <c r="AV118" s="44" t="s">
        <v>76</v>
      </c>
      <c r="AW118" s="45" t="s">
        <v>76</v>
      </c>
      <c r="AX118" s="46" t="s">
        <v>76</v>
      </c>
      <c r="AY118" s="74" t="str">
        <f t="shared" si="15"/>
        <v>DOS AÑOS</v>
      </c>
      <c r="AZ118" s="504"/>
      <c r="BA118" s="466"/>
      <c r="BB118" s="495"/>
      <c r="BC118" s="515"/>
      <c r="BD118" s="501"/>
    </row>
    <row r="119" spans="2:56" ht="15.75" customHeight="1" x14ac:dyDescent="0.25">
      <c r="B119" s="621"/>
      <c r="C119" s="523"/>
      <c r="D119" s="623"/>
      <c r="E119" s="623"/>
      <c r="F119" s="635"/>
      <c r="G119" s="489"/>
      <c r="H119" s="523"/>
      <c r="I119" s="71">
        <v>3</v>
      </c>
      <c r="J119" s="610"/>
      <c r="K119" s="72">
        <v>3</v>
      </c>
      <c r="L119" s="449"/>
      <c r="M119" s="73"/>
      <c r="N119" s="451"/>
      <c r="O119" s="73"/>
      <c r="P119" s="451"/>
      <c r="Q119" s="37"/>
      <c r="R119" s="37">
        <v>401.8</v>
      </c>
      <c r="S119" s="38">
        <v>44063</v>
      </c>
      <c r="T119" s="438"/>
      <c r="U119" s="39" t="s">
        <v>76</v>
      </c>
      <c r="V119" s="39" t="s">
        <v>76</v>
      </c>
      <c r="W119" s="39" t="s">
        <v>76</v>
      </c>
      <c r="X119" s="39" t="s">
        <v>76</v>
      </c>
      <c r="Y119" s="39" t="s">
        <v>76</v>
      </c>
      <c r="Z119" s="39"/>
      <c r="AA119" s="39"/>
      <c r="AB119" s="39" t="s">
        <v>76</v>
      </c>
      <c r="AC119" s="39" t="s">
        <v>76</v>
      </c>
      <c r="AD119" s="40" t="s">
        <v>76</v>
      </c>
      <c r="AE119" s="40" t="s">
        <v>76</v>
      </c>
      <c r="AF119" s="40" t="s">
        <v>76</v>
      </c>
      <c r="AG119" s="41">
        <v>44420</v>
      </c>
      <c r="AH119" s="479"/>
      <c r="AI119" s="42">
        <v>402.3</v>
      </c>
      <c r="AJ119" s="42">
        <f t="shared" si="183"/>
        <v>0.5</v>
      </c>
      <c r="AK119" s="42">
        <f>(AJ119*100)/R119</f>
        <v>0.12444001991040318</v>
      </c>
      <c r="AL119" s="42">
        <v>0.57999999999999996</v>
      </c>
      <c r="AM119" s="42">
        <f t="shared" si="184"/>
        <v>0.14435042309606769</v>
      </c>
      <c r="AN119" s="42"/>
      <c r="AO119" s="42"/>
      <c r="AP119" s="42">
        <v>5.2</v>
      </c>
      <c r="AQ119" s="42">
        <f>(AP119*100)/R119</f>
        <v>1.294176207068193</v>
      </c>
      <c r="AR119" s="40">
        <f t="shared" si="198"/>
        <v>1.4186162269785962</v>
      </c>
      <c r="AS119" s="40">
        <f t="shared" si="199"/>
        <v>-1.1697361871577898</v>
      </c>
      <c r="AT119" s="40">
        <f t="shared" ref="AT119:AT120" si="202">MAX(AR119:AS119)</f>
        <v>1.4186162269785962</v>
      </c>
      <c r="AU119" s="43">
        <f t="shared" ref="AU119:AU120" si="203">YEARFRAC(S119,AG119)</f>
        <v>0.97777777777777775</v>
      </c>
      <c r="AV119" s="44" t="s">
        <v>76</v>
      </c>
      <c r="AW119" s="45" t="s">
        <v>76</v>
      </c>
      <c r="AX119" s="46" t="s">
        <v>76</v>
      </c>
      <c r="AY119" s="74" t="str">
        <f t="shared" ref="AY119:AY120" si="204">IF(AX119&lt;=1,"UN AÑO",IF(AX119&gt;=1,"DOS AÑOS"))</f>
        <v>DOS AÑOS</v>
      </c>
      <c r="AZ119" s="141"/>
      <c r="BA119" s="135"/>
      <c r="BB119" s="142"/>
      <c r="BC119" s="76"/>
      <c r="BD119" s="131"/>
    </row>
    <row r="120" spans="2:56" ht="15.75" customHeight="1" thickBot="1" x14ac:dyDescent="0.3">
      <c r="B120" s="621"/>
      <c r="C120" s="523"/>
      <c r="D120" s="623"/>
      <c r="E120" s="623"/>
      <c r="F120" s="635"/>
      <c r="G120" s="489"/>
      <c r="H120" s="523"/>
      <c r="I120" s="71">
        <v>3</v>
      </c>
      <c r="J120" s="610"/>
      <c r="K120" s="72">
        <v>3</v>
      </c>
      <c r="L120" s="449"/>
      <c r="M120" s="73"/>
      <c r="N120" s="451"/>
      <c r="O120" s="73"/>
      <c r="P120" s="451"/>
      <c r="Q120" s="37">
        <v>499.5</v>
      </c>
      <c r="R120" s="37">
        <v>502.3</v>
      </c>
      <c r="S120" s="38">
        <v>44063</v>
      </c>
      <c r="T120" s="438"/>
      <c r="U120" s="39">
        <v>499.4</v>
      </c>
      <c r="V120" s="39">
        <f t="shared" ref="V120" si="205">U120-Q120</f>
        <v>-0.10000000000002274</v>
      </c>
      <c r="W120" s="39">
        <f>V120*100/Q120</f>
        <v>-2.0020020020024572E-2</v>
      </c>
      <c r="X120" s="39">
        <v>0.55000000000000004</v>
      </c>
      <c r="Y120" s="39">
        <f t="shared" ref="Y120" si="206">X120*100/U120</f>
        <v>0.11013215859030839</v>
      </c>
      <c r="Z120" s="39"/>
      <c r="AA120" s="39"/>
      <c r="AB120" s="39">
        <v>5</v>
      </c>
      <c r="AC120" s="39">
        <f t="shared" ref="AC120" si="207">AB120*100/Q120</f>
        <v>1.0010010010010011</v>
      </c>
      <c r="AD120" s="40">
        <f t="shared" ref="AD120" si="208">(W120+AC120)</f>
        <v>0.98098098098097652</v>
      </c>
      <c r="AE120" s="40">
        <f t="shared" ref="AE120" si="209">(W120-AC120)</f>
        <v>-1.0210210210210258</v>
      </c>
      <c r="AF120" s="40">
        <f t="shared" ref="AF120" si="210">MAX(AD120:AE120)</f>
        <v>0.98098098098097652</v>
      </c>
      <c r="AG120" s="41">
        <v>44420</v>
      </c>
      <c r="AH120" s="480"/>
      <c r="AI120" s="42">
        <v>504.7</v>
      </c>
      <c r="AJ120" s="42">
        <f t="shared" si="183"/>
        <v>2.3999999999999773</v>
      </c>
      <c r="AK120" s="42">
        <f t="shared" ref="AK120" si="211">(AJ120*100)/R120</f>
        <v>0.47780211029264924</v>
      </c>
      <c r="AL120" s="42">
        <v>0.57999999999999996</v>
      </c>
      <c r="AM120" s="42">
        <f t="shared" si="184"/>
        <v>0.11546884332072464</v>
      </c>
      <c r="AN120" s="42"/>
      <c r="AO120" s="42"/>
      <c r="AP120" s="42">
        <v>6.4</v>
      </c>
      <c r="AQ120" s="42">
        <f>(AP120*100)/R120</f>
        <v>1.2741389607804101</v>
      </c>
      <c r="AR120" s="40">
        <f t="shared" si="198"/>
        <v>1.7519410710730594</v>
      </c>
      <c r="AS120" s="40">
        <f t="shared" si="199"/>
        <v>-0.79633685048776082</v>
      </c>
      <c r="AT120" s="40">
        <f t="shared" si="202"/>
        <v>1.7519410710730594</v>
      </c>
      <c r="AU120" s="43">
        <f t="shared" si="203"/>
        <v>0.97777777777777775</v>
      </c>
      <c r="AV120" s="44">
        <f t="shared" ref="AV120" si="212">ABS(AT120-AF120)</f>
        <v>0.77096009009208288</v>
      </c>
      <c r="AW120" s="45">
        <f t="shared" ref="AW120" si="213">(AV120/AU120)</f>
        <v>0.78848191032144843</v>
      </c>
      <c r="AX120" s="46">
        <f t="shared" ref="AX120" si="214">(I120/AW120)</f>
        <v>3.8047797428566996</v>
      </c>
      <c r="AY120" s="74" t="str">
        <f t="shared" si="204"/>
        <v>DOS AÑOS</v>
      </c>
      <c r="AZ120" s="141"/>
      <c r="BA120" s="135"/>
      <c r="BB120" s="142"/>
      <c r="BC120" s="76"/>
      <c r="BD120" s="131"/>
    </row>
    <row r="121" spans="2:56" x14ac:dyDescent="0.25">
      <c r="B121" s="543" t="s">
        <v>11</v>
      </c>
      <c r="C121" s="547" t="s">
        <v>12</v>
      </c>
      <c r="D121" s="460" t="s">
        <v>124</v>
      </c>
      <c r="E121" s="460" t="s">
        <v>135</v>
      </c>
      <c r="F121" s="546" t="s">
        <v>136</v>
      </c>
      <c r="G121" s="472" t="s">
        <v>17</v>
      </c>
      <c r="H121" s="472" t="s">
        <v>137</v>
      </c>
      <c r="I121" s="57">
        <v>10</v>
      </c>
      <c r="J121" s="468" t="s">
        <v>20</v>
      </c>
      <c r="K121" s="58" t="s">
        <v>76</v>
      </c>
      <c r="L121" s="433" t="s">
        <v>20</v>
      </c>
      <c r="M121" s="58" t="s">
        <v>76</v>
      </c>
      <c r="N121" s="433" t="s">
        <v>20</v>
      </c>
      <c r="O121" s="58" t="s">
        <v>76</v>
      </c>
      <c r="P121" s="433" t="s">
        <v>20</v>
      </c>
      <c r="Q121" s="178">
        <v>1</v>
      </c>
      <c r="R121" s="187">
        <v>0</v>
      </c>
      <c r="S121" s="60">
        <v>44063</v>
      </c>
      <c r="T121" s="611" t="s">
        <v>191</v>
      </c>
      <c r="U121" s="63">
        <v>1</v>
      </c>
      <c r="V121" s="63">
        <f>U121-Q121</f>
        <v>0</v>
      </c>
      <c r="W121" s="63">
        <f t="shared" ref="W121:W124" si="215">V121*100/U121</f>
        <v>0</v>
      </c>
      <c r="X121" s="63"/>
      <c r="Y121" s="63"/>
      <c r="Z121" s="63"/>
      <c r="AA121" s="63"/>
      <c r="AB121" s="63"/>
      <c r="AC121" s="63">
        <v>7</v>
      </c>
      <c r="AD121" s="86">
        <f>(W121+AC121)</f>
        <v>7</v>
      </c>
      <c r="AE121" s="86">
        <f>(W121-AC121)</f>
        <v>-7</v>
      </c>
      <c r="AF121" s="86">
        <f t="shared" si="9"/>
        <v>7</v>
      </c>
      <c r="AG121" s="62">
        <v>44421</v>
      </c>
      <c r="AH121" s="602">
        <v>66151</v>
      </c>
      <c r="AI121" s="63">
        <v>0</v>
      </c>
      <c r="AJ121" s="63">
        <f>AI121-R121</f>
        <v>0</v>
      </c>
      <c r="AK121" s="63">
        <v>0</v>
      </c>
      <c r="AL121" s="63" t="s">
        <v>76</v>
      </c>
      <c r="AM121" s="63" t="s">
        <v>76</v>
      </c>
      <c r="AN121" s="63" t="s">
        <v>76</v>
      </c>
      <c r="AO121" s="63" t="s">
        <v>76</v>
      </c>
      <c r="AP121" s="63">
        <v>5.7000000000000002E-2</v>
      </c>
      <c r="AQ121" s="63">
        <v>5.7000000000000002E-2</v>
      </c>
      <c r="AR121" s="61">
        <f>(AJ121+AQ121)</f>
        <v>5.7000000000000002E-2</v>
      </c>
      <c r="AS121" s="61">
        <f>(AK121-AQ121)</f>
        <v>-5.7000000000000002E-2</v>
      </c>
      <c r="AT121" s="61">
        <f t="shared" si="19"/>
        <v>5.7000000000000002E-2</v>
      </c>
      <c r="AU121" s="64">
        <f t="shared" si="13"/>
        <v>0.98055555555555551</v>
      </c>
      <c r="AV121" s="65">
        <f t="shared" si="123"/>
        <v>6.9429999999999996</v>
      </c>
      <c r="AW121" s="66">
        <f t="shared" si="14"/>
        <v>7.0806798866855525</v>
      </c>
      <c r="AX121" s="67">
        <f t="shared" si="17"/>
        <v>1.4122937571014771</v>
      </c>
      <c r="AY121" s="68" t="str">
        <f t="shared" si="15"/>
        <v>DOS AÑOS</v>
      </c>
      <c r="AZ121" s="503" t="s">
        <v>11</v>
      </c>
      <c r="BA121" s="464" t="s">
        <v>37</v>
      </c>
      <c r="BB121" s="494" t="s">
        <v>36</v>
      </c>
      <c r="BC121" s="69"/>
      <c r="BD121" s="500" t="e">
        <f>BD10</f>
        <v>#DIV/0!</v>
      </c>
    </row>
    <row r="122" spans="2:56" x14ac:dyDescent="0.25">
      <c r="B122" s="544"/>
      <c r="C122" s="548"/>
      <c r="D122" s="462"/>
      <c r="E122" s="462"/>
      <c r="F122" s="462"/>
      <c r="G122" s="473"/>
      <c r="H122" s="473"/>
      <c r="I122" s="71">
        <v>10</v>
      </c>
      <c r="J122" s="470"/>
      <c r="K122" s="73" t="s">
        <v>76</v>
      </c>
      <c r="L122" s="434"/>
      <c r="M122" s="73" t="s">
        <v>76</v>
      </c>
      <c r="N122" s="434"/>
      <c r="O122" s="73" t="s">
        <v>76</v>
      </c>
      <c r="P122" s="434"/>
      <c r="Q122" s="180">
        <v>2.5</v>
      </c>
      <c r="R122" s="180">
        <v>2.5</v>
      </c>
      <c r="S122" s="38">
        <v>44063</v>
      </c>
      <c r="T122" s="612"/>
      <c r="U122" s="42">
        <v>2.5</v>
      </c>
      <c r="V122" s="42">
        <f>U122-Q122</f>
        <v>0</v>
      </c>
      <c r="W122" s="42">
        <f t="shared" si="215"/>
        <v>0</v>
      </c>
      <c r="X122" s="42"/>
      <c r="Y122" s="42"/>
      <c r="Z122" s="42"/>
      <c r="AA122" s="42"/>
      <c r="AB122" s="42"/>
      <c r="AC122" s="42">
        <v>3.2</v>
      </c>
      <c r="AD122" s="97">
        <f t="shared" si="121"/>
        <v>3.2</v>
      </c>
      <c r="AE122" s="97">
        <f t="shared" si="111"/>
        <v>-3.2</v>
      </c>
      <c r="AF122" s="97">
        <f t="shared" si="9"/>
        <v>3.2</v>
      </c>
      <c r="AG122" s="41">
        <v>44421</v>
      </c>
      <c r="AH122" s="603"/>
      <c r="AI122" s="42">
        <v>2.4</v>
      </c>
      <c r="AJ122" s="42">
        <f t="shared" ref="AJ122:AJ127" si="216">AI122-R122</f>
        <v>-0.10000000000000009</v>
      </c>
      <c r="AK122" s="42">
        <f>AJ122*100/R122</f>
        <v>-4.0000000000000036</v>
      </c>
      <c r="AL122" s="42" t="s">
        <v>76</v>
      </c>
      <c r="AM122" s="42" t="s">
        <v>76</v>
      </c>
      <c r="AN122" s="42" t="s">
        <v>76</v>
      </c>
      <c r="AO122" s="42" t="s">
        <v>76</v>
      </c>
      <c r="AP122" s="42">
        <v>0.14000000000000001</v>
      </c>
      <c r="AQ122" s="42">
        <f>AP122*100/R122</f>
        <v>5.6000000000000005</v>
      </c>
      <c r="AR122" s="40">
        <f t="shared" si="80"/>
        <v>5.5</v>
      </c>
      <c r="AS122" s="40">
        <f t="shared" ref="AS122:AS146" si="217">(AK122-AQ122)</f>
        <v>-9.600000000000005</v>
      </c>
      <c r="AT122" s="40">
        <f t="shared" ref="AT122:AT147" si="218">MAX(AR122:AS122)</f>
        <v>5.5</v>
      </c>
      <c r="AU122" s="43">
        <f t="shared" si="13"/>
        <v>0.98055555555555551</v>
      </c>
      <c r="AV122" s="44">
        <f t="shared" si="123"/>
        <v>2.2999999999999998</v>
      </c>
      <c r="AW122" s="45">
        <f t="shared" si="14"/>
        <v>2.3456090651558075</v>
      </c>
      <c r="AX122" s="46">
        <f t="shared" si="17"/>
        <v>4.2632850241545892</v>
      </c>
      <c r="AY122" s="74" t="str">
        <f t="shared" si="15"/>
        <v>DOS AÑOS</v>
      </c>
      <c r="AZ122" s="504"/>
      <c r="BA122" s="466"/>
      <c r="BB122" s="495"/>
      <c r="BC122" s="76"/>
      <c r="BD122" s="501"/>
    </row>
    <row r="123" spans="2:56" x14ac:dyDescent="0.25">
      <c r="B123" s="544"/>
      <c r="C123" s="548"/>
      <c r="D123" s="462"/>
      <c r="E123" s="462"/>
      <c r="F123" s="462"/>
      <c r="G123" s="473"/>
      <c r="H123" s="473"/>
      <c r="I123" s="71">
        <v>10</v>
      </c>
      <c r="J123" s="470"/>
      <c r="K123" s="73" t="s">
        <v>76</v>
      </c>
      <c r="L123" s="434"/>
      <c r="M123" s="73" t="s">
        <v>76</v>
      </c>
      <c r="N123" s="434"/>
      <c r="O123" s="73" t="s">
        <v>76</v>
      </c>
      <c r="P123" s="434"/>
      <c r="Q123" s="37">
        <v>5</v>
      </c>
      <c r="R123" s="188">
        <v>10</v>
      </c>
      <c r="S123" s="38">
        <v>44063</v>
      </c>
      <c r="T123" s="612"/>
      <c r="U123" s="42">
        <v>4.99</v>
      </c>
      <c r="V123" s="42">
        <f>U123-Q123</f>
        <v>-9.9999999999997868E-3</v>
      </c>
      <c r="W123" s="42">
        <f t="shared" si="215"/>
        <v>-0.20040080160320214</v>
      </c>
      <c r="X123" s="42"/>
      <c r="Y123" s="42"/>
      <c r="Z123" s="42"/>
      <c r="AA123" s="42"/>
      <c r="AB123" s="42"/>
      <c r="AC123" s="42">
        <v>1.8</v>
      </c>
      <c r="AD123" s="97">
        <f t="shared" si="121"/>
        <v>1.5995991983967979</v>
      </c>
      <c r="AE123" s="97">
        <f t="shared" si="111"/>
        <v>-2.000400801603202</v>
      </c>
      <c r="AF123" s="97">
        <f t="shared" si="9"/>
        <v>1.5995991983967979</v>
      </c>
      <c r="AG123" s="41">
        <v>44421</v>
      </c>
      <c r="AH123" s="603"/>
      <c r="AI123" s="42">
        <v>10</v>
      </c>
      <c r="AJ123" s="42">
        <f t="shared" si="216"/>
        <v>0</v>
      </c>
      <c r="AK123" s="42">
        <f>AJ123*100/R123</f>
        <v>0</v>
      </c>
      <c r="AL123" s="42" t="s">
        <v>76</v>
      </c>
      <c r="AM123" s="42" t="s">
        <v>76</v>
      </c>
      <c r="AN123" s="42" t="s">
        <v>76</v>
      </c>
      <c r="AO123" s="42" t="s">
        <v>76</v>
      </c>
      <c r="AP123" s="42">
        <v>0.45</v>
      </c>
      <c r="AQ123" s="42">
        <f t="shared" ref="AQ123:AQ124" si="219">AP123*100/R123</f>
        <v>4.5</v>
      </c>
      <c r="AR123" s="40">
        <f t="shared" si="80"/>
        <v>4.5</v>
      </c>
      <c r="AS123" s="40">
        <f t="shared" si="217"/>
        <v>-4.5</v>
      </c>
      <c r="AT123" s="40">
        <f t="shared" si="218"/>
        <v>4.5</v>
      </c>
      <c r="AU123" s="43">
        <f t="shared" ref="AU123:AU128" si="220">YEARFRAC(S123,AG123)</f>
        <v>0.98055555555555551</v>
      </c>
      <c r="AV123" s="44">
        <f t="shared" ref="AV123:AV128" si="221">ABS(AT123-AF123)</f>
        <v>2.9004008016032019</v>
      </c>
      <c r="AW123" s="45">
        <f t="shared" ref="AW123:AW128" si="222">(AV123/AU123)</f>
        <v>2.9579158316633221</v>
      </c>
      <c r="AX123" s="46">
        <f t="shared" ref="AX123:AX128" si="223">(I123/AW123)</f>
        <v>3.380758807588081</v>
      </c>
      <c r="AY123" s="74" t="str">
        <f t="shared" ref="AY123:AY128" si="224">IF(AX123&lt;=1,"UN AÑO",IF(AX123&gt;=1,"DOS AÑOS"))</f>
        <v>DOS AÑOS</v>
      </c>
      <c r="AZ123" s="504"/>
      <c r="BA123" s="466"/>
      <c r="BB123" s="495"/>
      <c r="BC123" s="76"/>
      <c r="BD123" s="501"/>
    </row>
    <row r="124" spans="2:56" x14ac:dyDescent="0.25">
      <c r="B124" s="544"/>
      <c r="C124" s="548"/>
      <c r="D124" s="462"/>
      <c r="E124" s="462"/>
      <c r="F124" s="462"/>
      <c r="G124" s="473"/>
      <c r="H124" s="473"/>
      <c r="I124" s="71">
        <v>10</v>
      </c>
      <c r="J124" s="470"/>
      <c r="K124" s="73" t="s">
        <v>76</v>
      </c>
      <c r="L124" s="434"/>
      <c r="M124" s="73" t="s">
        <v>76</v>
      </c>
      <c r="N124" s="434"/>
      <c r="O124" s="73" t="s">
        <v>76</v>
      </c>
      <c r="P124" s="434"/>
      <c r="Q124" s="37">
        <v>8</v>
      </c>
      <c r="R124" s="188">
        <v>26</v>
      </c>
      <c r="S124" s="38">
        <v>44063</v>
      </c>
      <c r="T124" s="612"/>
      <c r="U124" s="39">
        <v>8</v>
      </c>
      <c r="V124" s="42">
        <f>U124-Q124</f>
        <v>0</v>
      </c>
      <c r="W124" s="42">
        <f t="shared" si="215"/>
        <v>0</v>
      </c>
      <c r="X124" s="39"/>
      <c r="Y124" s="39"/>
      <c r="Z124" s="39"/>
      <c r="AA124" s="39"/>
      <c r="AB124" s="39"/>
      <c r="AC124" s="39">
        <v>1.5</v>
      </c>
      <c r="AD124" s="40">
        <f t="shared" si="121"/>
        <v>1.5</v>
      </c>
      <c r="AE124" s="40">
        <f t="shared" si="111"/>
        <v>-1.5</v>
      </c>
      <c r="AF124" s="40">
        <f t="shared" si="9"/>
        <v>1.5</v>
      </c>
      <c r="AG124" s="41">
        <v>44421</v>
      </c>
      <c r="AH124" s="603"/>
      <c r="AI124" s="42">
        <v>26.2</v>
      </c>
      <c r="AJ124" s="42">
        <f t="shared" si="216"/>
        <v>0.19999999999999929</v>
      </c>
      <c r="AK124" s="42">
        <f>AJ124*100/R124</f>
        <v>0.7692307692307665</v>
      </c>
      <c r="AL124" s="42" t="s">
        <v>76</v>
      </c>
      <c r="AM124" s="42" t="s">
        <v>76</v>
      </c>
      <c r="AN124" s="42" t="s">
        <v>76</v>
      </c>
      <c r="AO124" s="42" t="s">
        <v>76</v>
      </c>
      <c r="AP124" s="42">
        <v>0.12</v>
      </c>
      <c r="AQ124" s="42">
        <f t="shared" si="219"/>
        <v>0.46153846153846156</v>
      </c>
      <c r="AR124" s="40">
        <f t="shared" si="80"/>
        <v>0.66153846153846085</v>
      </c>
      <c r="AS124" s="40">
        <f t="shared" si="217"/>
        <v>0.30769230769230493</v>
      </c>
      <c r="AT124" s="40">
        <f t="shared" si="218"/>
        <v>0.66153846153846085</v>
      </c>
      <c r="AU124" s="43">
        <f t="shared" si="220"/>
        <v>0.98055555555555551</v>
      </c>
      <c r="AV124" s="44">
        <f t="shared" si="221"/>
        <v>0.83846153846153915</v>
      </c>
      <c r="AW124" s="45">
        <f t="shared" si="222"/>
        <v>0.85508825452168302</v>
      </c>
      <c r="AX124" s="46">
        <f t="shared" si="223"/>
        <v>11.694699286442395</v>
      </c>
      <c r="AY124" s="74" t="str">
        <f t="shared" si="224"/>
        <v>DOS AÑOS</v>
      </c>
      <c r="AZ124" s="504"/>
      <c r="BA124" s="466"/>
      <c r="BB124" s="495"/>
      <c r="BC124" s="128">
        <f>MIN(AX121:AX163)</f>
        <v>1.4122937571014771</v>
      </c>
      <c r="BD124" s="501"/>
    </row>
    <row r="125" spans="2:56" x14ac:dyDescent="0.25">
      <c r="B125" s="544"/>
      <c r="C125" s="548"/>
      <c r="D125" s="462"/>
      <c r="E125" s="462"/>
      <c r="F125" s="462"/>
      <c r="G125" s="473"/>
      <c r="H125" s="473"/>
      <c r="I125" s="71">
        <v>10</v>
      </c>
      <c r="J125" s="470"/>
      <c r="K125" s="73"/>
      <c r="L125" s="434"/>
      <c r="M125" s="73"/>
      <c r="N125" s="434"/>
      <c r="O125" s="73"/>
      <c r="P125" s="434"/>
      <c r="Q125" s="37"/>
      <c r="R125" s="188">
        <v>0</v>
      </c>
      <c r="S125" s="38">
        <v>44063</v>
      </c>
      <c r="T125" s="612"/>
      <c r="U125" s="39"/>
      <c r="V125" s="39"/>
      <c r="W125" s="39"/>
      <c r="X125" s="39"/>
      <c r="Y125" s="39"/>
      <c r="Z125" s="39"/>
      <c r="AA125" s="39"/>
      <c r="AB125" s="39"/>
      <c r="AC125" s="39"/>
      <c r="AD125" s="40"/>
      <c r="AE125" s="40"/>
      <c r="AF125" s="40"/>
      <c r="AG125" s="41">
        <v>44421</v>
      </c>
      <c r="AH125" s="603"/>
      <c r="AI125" s="42">
        <v>0</v>
      </c>
      <c r="AJ125" s="42">
        <f t="shared" si="216"/>
        <v>0</v>
      </c>
      <c r="AK125" s="42">
        <v>0</v>
      </c>
      <c r="AL125" s="42"/>
      <c r="AM125" s="42"/>
      <c r="AN125" s="42"/>
      <c r="AO125" s="42"/>
      <c r="AP125" s="42">
        <v>5.7000000000000002E-2</v>
      </c>
      <c r="AQ125" s="42">
        <v>5.7000000000000002E-2</v>
      </c>
      <c r="AR125" s="40">
        <f t="shared" si="80"/>
        <v>5.7000000000000002E-2</v>
      </c>
      <c r="AS125" s="40">
        <f t="shared" si="217"/>
        <v>-5.7000000000000002E-2</v>
      </c>
      <c r="AT125" s="40">
        <f t="shared" si="218"/>
        <v>5.7000000000000002E-2</v>
      </c>
      <c r="AU125" s="43">
        <f t="shared" si="220"/>
        <v>0.98055555555555551</v>
      </c>
      <c r="AV125" s="44">
        <f t="shared" si="221"/>
        <v>5.7000000000000002E-2</v>
      </c>
      <c r="AW125" s="45">
        <f t="shared" si="222"/>
        <v>5.8130311614730881E-2</v>
      </c>
      <c r="AX125" s="46">
        <f t="shared" si="223"/>
        <v>172.02729044834308</v>
      </c>
      <c r="AY125" s="74" t="str">
        <f t="shared" si="224"/>
        <v>DOS AÑOS</v>
      </c>
      <c r="AZ125" s="504"/>
      <c r="BA125" s="466"/>
      <c r="BB125" s="495"/>
      <c r="BC125" s="128"/>
      <c r="BD125" s="501"/>
    </row>
    <row r="126" spans="2:56" x14ac:dyDescent="0.25">
      <c r="B126" s="544"/>
      <c r="C126" s="548"/>
      <c r="D126" s="462"/>
      <c r="E126" s="462"/>
      <c r="F126" s="462"/>
      <c r="G126" s="473"/>
      <c r="H126" s="473"/>
      <c r="I126" s="71">
        <v>10</v>
      </c>
      <c r="J126" s="470"/>
      <c r="K126" s="73"/>
      <c r="L126" s="434"/>
      <c r="M126" s="73"/>
      <c r="N126" s="434"/>
      <c r="O126" s="73"/>
      <c r="P126" s="434"/>
      <c r="Q126" s="180">
        <v>28</v>
      </c>
      <c r="R126" s="188">
        <v>56</v>
      </c>
      <c r="S126" s="38">
        <v>44063</v>
      </c>
      <c r="T126" s="612"/>
      <c r="U126" s="42">
        <v>28</v>
      </c>
      <c r="V126" s="42">
        <f>U126-Q126</f>
        <v>0</v>
      </c>
      <c r="W126" s="42">
        <f t="shared" ref="W126:W127" si="225">V126*100/U126</f>
        <v>0</v>
      </c>
      <c r="X126" s="42"/>
      <c r="Y126" s="42"/>
      <c r="Z126" s="42"/>
      <c r="AA126" s="42"/>
      <c r="AB126" s="42"/>
      <c r="AC126" s="42">
        <v>3.9</v>
      </c>
      <c r="AD126" s="97">
        <f t="shared" ref="AD126:AD132" si="226">(W126+AC126)</f>
        <v>3.9</v>
      </c>
      <c r="AE126" s="97">
        <f t="shared" si="111"/>
        <v>-3.9</v>
      </c>
      <c r="AF126" s="97">
        <f t="shared" si="9"/>
        <v>3.9</v>
      </c>
      <c r="AG126" s="41">
        <v>44421</v>
      </c>
      <c r="AH126" s="603"/>
      <c r="AI126" s="42">
        <v>56.4</v>
      </c>
      <c r="AJ126" s="42">
        <f t="shared" si="216"/>
        <v>0.39999999999999858</v>
      </c>
      <c r="AK126" s="42">
        <f>AJ126*100/R126</f>
        <v>0.71428571428571175</v>
      </c>
      <c r="AL126" s="42"/>
      <c r="AM126" s="42"/>
      <c r="AN126" s="42"/>
      <c r="AO126" s="42"/>
      <c r="AP126" s="42">
        <v>2.4</v>
      </c>
      <c r="AQ126" s="42">
        <f>AP126*100/R126</f>
        <v>4.2857142857142856</v>
      </c>
      <c r="AR126" s="40">
        <f t="shared" si="80"/>
        <v>4.6857142857142842</v>
      </c>
      <c r="AS126" s="40">
        <f t="shared" si="217"/>
        <v>-3.5714285714285738</v>
      </c>
      <c r="AT126" s="40">
        <f t="shared" si="218"/>
        <v>4.6857142857142842</v>
      </c>
      <c r="AU126" s="43">
        <f t="shared" si="220"/>
        <v>0.98055555555555551</v>
      </c>
      <c r="AV126" s="44">
        <f t="shared" si="221"/>
        <v>0.78571428571428426</v>
      </c>
      <c r="AW126" s="45">
        <f t="shared" si="222"/>
        <v>0.8012950222581936</v>
      </c>
      <c r="AX126" s="46">
        <f t="shared" si="223"/>
        <v>12.479797979798002</v>
      </c>
      <c r="AY126" s="74" t="str">
        <f t="shared" si="224"/>
        <v>DOS AÑOS</v>
      </c>
      <c r="AZ126" s="504"/>
      <c r="BA126" s="466"/>
      <c r="BB126" s="495"/>
      <c r="BC126" s="128"/>
      <c r="BD126" s="501"/>
    </row>
    <row r="127" spans="2:56" x14ac:dyDescent="0.25">
      <c r="B127" s="544"/>
      <c r="C127" s="548"/>
      <c r="D127" s="462"/>
      <c r="E127" s="462"/>
      <c r="F127" s="462"/>
      <c r="G127" s="473"/>
      <c r="H127" s="473"/>
      <c r="I127" s="71">
        <v>10</v>
      </c>
      <c r="J127" s="470"/>
      <c r="K127" s="73"/>
      <c r="L127" s="434"/>
      <c r="M127" s="73"/>
      <c r="N127" s="434"/>
      <c r="O127" s="73"/>
      <c r="P127" s="434"/>
      <c r="Q127" s="188">
        <v>88</v>
      </c>
      <c r="R127" s="188">
        <v>90</v>
      </c>
      <c r="S127" s="38">
        <v>44063</v>
      </c>
      <c r="T127" s="612"/>
      <c r="U127" s="42">
        <v>87.8</v>
      </c>
      <c r="V127" s="42">
        <f>U127-Q127</f>
        <v>-0.20000000000000284</v>
      </c>
      <c r="W127" s="42">
        <f t="shared" si="225"/>
        <v>-0.22779043280182557</v>
      </c>
      <c r="X127" s="42"/>
      <c r="Y127" s="42"/>
      <c r="Z127" s="42"/>
      <c r="AA127" s="42"/>
      <c r="AB127" s="42"/>
      <c r="AC127" s="42">
        <v>4.4000000000000004</v>
      </c>
      <c r="AD127" s="97">
        <f t="shared" si="226"/>
        <v>4.1722095671981752</v>
      </c>
      <c r="AE127" s="97">
        <f t="shared" si="111"/>
        <v>-4.6277904328018256</v>
      </c>
      <c r="AF127" s="97">
        <f t="shared" si="9"/>
        <v>4.1722095671981752</v>
      </c>
      <c r="AG127" s="41">
        <v>44421</v>
      </c>
      <c r="AH127" s="603"/>
      <c r="AI127" s="42">
        <v>89.4</v>
      </c>
      <c r="AJ127" s="42">
        <f t="shared" si="216"/>
        <v>-0.59999999999999432</v>
      </c>
      <c r="AK127" s="42">
        <f>AJ127*100/R127</f>
        <v>-0.6666666666666603</v>
      </c>
      <c r="AL127" s="42"/>
      <c r="AM127" s="42"/>
      <c r="AN127" s="42"/>
      <c r="AO127" s="42"/>
      <c r="AP127" s="42">
        <v>3.8</v>
      </c>
      <c r="AQ127" s="42">
        <f>AP127*100/R127</f>
        <v>4.2222222222222223</v>
      </c>
      <c r="AR127" s="40">
        <f t="shared" si="80"/>
        <v>3.622222222222228</v>
      </c>
      <c r="AS127" s="40">
        <f t="shared" si="217"/>
        <v>-4.8888888888888822</v>
      </c>
      <c r="AT127" s="40">
        <f t="shared" si="218"/>
        <v>3.622222222222228</v>
      </c>
      <c r="AU127" s="43">
        <f t="shared" si="220"/>
        <v>0.98055555555555551</v>
      </c>
      <c r="AV127" s="44">
        <f t="shared" si="221"/>
        <v>0.54998734497594715</v>
      </c>
      <c r="AW127" s="45">
        <f t="shared" si="222"/>
        <v>0.56089360960719825</v>
      </c>
      <c r="AX127" s="46">
        <f t="shared" si="223"/>
        <v>17.828693051081721</v>
      </c>
      <c r="AY127" s="74" t="str">
        <f t="shared" si="224"/>
        <v>DOS AÑOS</v>
      </c>
      <c r="AZ127" s="504"/>
      <c r="BA127" s="466"/>
      <c r="BB127" s="495"/>
      <c r="BC127" s="128"/>
      <c r="BD127" s="501"/>
    </row>
    <row r="128" spans="2:56" x14ac:dyDescent="0.25">
      <c r="B128" s="544"/>
      <c r="C128" s="458" t="s">
        <v>13</v>
      </c>
      <c r="D128" s="462"/>
      <c r="E128" s="462"/>
      <c r="F128" s="462"/>
      <c r="G128" s="481">
        <v>1E-3</v>
      </c>
      <c r="H128" s="473" t="s">
        <v>18</v>
      </c>
      <c r="I128" s="71">
        <v>10</v>
      </c>
      <c r="J128" s="470"/>
      <c r="K128" s="73" t="s">
        <v>76</v>
      </c>
      <c r="L128" s="434"/>
      <c r="M128" s="73" t="s">
        <v>76</v>
      </c>
      <c r="N128" s="434"/>
      <c r="O128" s="73" t="s">
        <v>76</v>
      </c>
      <c r="P128" s="434"/>
      <c r="Q128" s="180">
        <v>0.01</v>
      </c>
      <c r="R128" s="95">
        <v>0</v>
      </c>
      <c r="S128" s="38">
        <v>44063</v>
      </c>
      <c r="T128" s="612"/>
      <c r="U128" s="39">
        <v>0</v>
      </c>
      <c r="V128" s="367">
        <f>Q128-U128</f>
        <v>0.01</v>
      </c>
      <c r="W128" s="367">
        <f>R128-V128</f>
        <v>-0.01</v>
      </c>
      <c r="X128" s="39"/>
      <c r="Y128" s="39"/>
      <c r="Z128" s="39"/>
      <c r="AA128" s="39"/>
      <c r="AB128" s="39"/>
      <c r="AC128" s="39">
        <v>7.0000000000000007E-2</v>
      </c>
      <c r="AD128" s="40">
        <f t="shared" si="226"/>
        <v>6.0000000000000005E-2</v>
      </c>
      <c r="AE128" s="40">
        <f t="shared" si="111"/>
        <v>-0.08</v>
      </c>
      <c r="AF128" s="97">
        <f t="shared" si="9"/>
        <v>6.0000000000000005E-2</v>
      </c>
      <c r="AG128" s="41">
        <v>44421</v>
      </c>
      <c r="AH128" s="603"/>
      <c r="AI128" s="42">
        <v>0</v>
      </c>
      <c r="AJ128" s="42">
        <f>AI128-R128</f>
        <v>0</v>
      </c>
      <c r="AK128" s="42">
        <v>0</v>
      </c>
      <c r="AL128" s="42" t="s">
        <v>76</v>
      </c>
      <c r="AM128" s="42" t="s">
        <v>76</v>
      </c>
      <c r="AN128" s="42" t="s">
        <v>76</v>
      </c>
      <c r="AO128" s="42" t="s">
        <v>76</v>
      </c>
      <c r="AP128" s="42" t="s">
        <v>76</v>
      </c>
      <c r="AQ128" s="42">
        <v>5.8000000000000003E-2</v>
      </c>
      <c r="AR128" s="40">
        <f>(AK128+AQ128)</f>
        <v>5.8000000000000003E-2</v>
      </c>
      <c r="AS128" s="40">
        <f>(AK128-AQ128)</f>
        <v>-5.8000000000000003E-2</v>
      </c>
      <c r="AT128" s="40">
        <f t="shared" si="218"/>
        <v>5.8000000000000003E-2</v>
      </c>
      <c r="AU128" s="43">
        <f t="shared" si="220"/>
        <v>0.98055555555555551</v>
      </c>
      <c r="AV128" s="44">
        <f t="shared" si="221"/>
        <v>2.0000000000000018E-3</v>
      </c>
      <c r="AW128" s="45">
        <f t="shared" si="222"/>
        <v>2.0396600566572258E-3</v>
      </c>
      <c r="AX128" s="46">
        <f t="shared" si="223"/>
        <v>4902.7777777777728</v>
      </c>
      <c r="AY128" s="74" t="str">
        <f t="shared" si="224"/>
        <v>DOS AÑOS</v>
      </c>
      <c r="AZ128" s="504"/>
      <c r="BA128" s="466"/>
      <c r="BB128" s="495"/>
      <c r="BC128" s="76"/>
      <c r="BD128" s="501"/>
    </row>
    <row r="129" spans="2:56" x14ac:dyDescent="0.25">
      <c r="B129" s="544"/>
      <c r="C129" s="458"/>
      <c r="D129" s="462"/>
      <c r="E129" s="462"/>
      <c r="F129" s="462"/>
      <c r="G129" s="481"/>
      <c r="H129" s="473"/>
      <c r="I129" s="366">
        <v>10</v>
      </c>
      <c r="J129" s="470"/>
      <c r="K129" s="365"/>
      <c r="L129" s="434"/>
      <c r="M129" s="365"/>
      <c r="N129" s="434"/>
      <c r="O129" s="365"/>
      <c r="P129" s="434"/>
      <c r="Q129" s="180">
        <v>1.01</v>
      </c>
      <c r="R129" s="95">
        <v>1.002</v>
      </c>
      <c r="S129" s="38">
        <v>44063</v>
      </c>
      <c r="T129" s="612"/>
      <c r="U129" s="39">
        <v>1</v>
      </c>
      <c r="V129" s="367">
        <f t="shared" ref="V129:V132" si="227">Q129-U129</f>
        <v>1.0000000000000009E-2</v>
      </c>
      <c r="W129" s="39">
        <f>V129*100/Q129</f>
        <v>0.99009900990099098</v>
      </c>
      <c r="X129" s="39"/>
      <c r="Y129" s="39"/>
      <c r="Z129" s="39"/>
      <c r="AA129" s="39"/>
      <c r="AB129" s="39"/>
      <c r="AC129" s="39">
        <v>7.0000000000000007E-2</v>
      </c>
      <c r="AD129" s="40">
        <f t="shared" si="226"/>
        <v>1.060099009900991</v>
      </c>
      <c r="AE129" s="40">
        <f t="shared" si="111"/>
        <v>0.92009900990099092</v>
      </c>
      <c r="AF129" s="97">
        <f t="shared" si="9"/>
        <v>1.060099009900991</v>
      </c>
      <c r="AG129" s="41">
        <v>44421</v>
      </c>
      <c r="AH129" s="603"/>
      <c r="AI129" s="42">
        <v>1</v>
      </c>
      <c r="AJ129" s="42">
        <f t="shared" ref="AJ129:AJ139" si="228">AI129-R129</f>
        <v>-2.0000000000000018E-3</v>
      </c>
      <c r="AK129" s="42">
        <f>AJ129*100/R129</f>
        <v>-0.19960079840319378</v>
      </c>
      <c r="AL129" s="42"/>
      <c r="AM129" s="42"/>
      <c r="AN129" s="42"/>
      <c r="AO129" s="42"/>
      <c r="AP129" s="42"/>
      <c r="AQ129" s="42">
        <v>5.8000000000000003E-2</v>
      </c>
      <c r="AR129" s="40">
        <f t="shared" ref="AR129:AR139" si="229">(AK129+AQ129)</f>
        <v>-0.14160079840319378</v>
      </c>
      <c r="AS129" s="40">
        <f t="shared" ref="AS129:AS139" si="230">(AK129-AQ129)</f>
        <v>-0.25760079840319378</v>
      </c>
      <c r="AT129" s="40">
        <f t="shared" ref="AT129:AT139" si="231">MAX(AR129:AS129)</f>
        <v>-0.14160079840319378</v>
      </c>
      <c r="AU129" s="43">
        <f t="shared" ref="AU129:AU139" si="232">YEARFRAC(S129,AG129)</f>
        <v>0.98055555555555551</v>
      </c>
      <c r="AV129" s="44">
        <f t="shared" ref="AV129:AV139" si="233">ABS(AT129-AF129)</f>
        <v>1.2016998083041848</v>
      </c>
      <c r="AW129" s="45">
        <f t="shared" ref="AW129:AW139" si="234">(AV129/AU129)</f>
        <v>1.2255295495453442</v>
      </c>
      <c r="AX129" s="46">
        <f t="shared" ref="AX129:AX139" si="235">(I129/AW129)</f>
        <v>8.1597379709937403</v>
      </c>
      <c r="AY129" s="74" t="str">
        <f t="shared" ref="AY129:AY139" si="236">IF(AX129&lt;=1,"UN AÑO",IF(AX129&gt;=1,"DOS AÑOS"))</f>
        <v>DOS AÑOS</v>
      </c>
      <c r="AZ129" s="504"/>
      <c r="BA129" s="466"/>
      <c r="BB129" s="495"/>
      <c r="BC129" s="76"/>
      <c r="BD129" s="501"/>
    </row>
    <row r="130" spans="2:56" x14ac:dyDescent="0.25">
      <c r="B130" s="544"/>
      <c r="C130" s="458"/>
      <c r="D130" s="462"/>
      <c r="E130" s="462"/>
      <c r="F130" s="462"/>
      <c r="G130" s="481"/>
      <c r="H130" s="473"/>
      <c r="I130" s="366">
        <v>10</v>
      </c>
      <c r="J130" s="470"/>
      <c r="K130" s="365"/>
      <c r="L130" s="434"/>
      <c r="M130" s="365"/>
      <c r="N130" s="434"/>
      <c r="O130" s="365"/>
      <c r="P130" s="434"/>
      <c r="Q130" s="180">
        <v>2.11</v>
      </c>
      <c r="R130" s="95">
        <v>2.0070000000000001</v>
      </c>
      <c r="S130" s="38">
        <v>44063</v>
      </c>
      <c r="T130" s="612"/>
      <c r="U130" s="39">
        <v>2</v>
      </c>
      <c r="V130" s="367">
        <f t="shared" si="227"/>
        <v>0.10999999999999988</v>
      </c>
      <c r="W130" s="39">
        <f>V130*100/Q130</f>
        <v>5.2132701421800896</v>
      </c>
      <c r="X130" s="39"/>
      <c r="Y130" s="39"/>
      <c r="Z130" s="39"/>
      <c r="AA130" s="39"/>
      <c r="AB130" s="39"/>
      <c r="AC130" s="39">
        <v>7.0000000000000007E-2</v>
      </c>
      <c r="AD130" s="40">
        <f t="shared" si="226"/>
        <v>5.2832701421800898</v>
      </c>
      <c r="AE130" s="40">
        <f t="shared" si="111"/>
        <v>5.1432701421800893</v>
      </c>
      <c r="AF130" s="97">
        <f t="shared" si="9"/>
        <v>5.2832701421800898</v>
      </c>
      <c r="AG130" s="41">
        <v>44421</v>
      </c>
      <c r="AH130" s="603"/>
      <c r="AI130" s="42">
        <v>2</v>
      </c>
      <c r="AJ130" s="42">
        <f t="shared" si="228"/>
        <v>-7.0000000000001172E-3</v>
      </c>
      <c r="AK130" s="42">
        <f t="shared" ref="AK130:AK139" si="237">AJ130*100/R130</f>
        <v>-0.34877927254609453</v>
      </c>
      <c r="AL130" s="42"/>
      <c r="AM130" s="42"/>
      <c r="AN130" s="42"/>
      <c r="AO130" s="42"/>
      <c r="AP130" s="42"/>
      <c r="AQ130" s="42">
        <v>5.8000000000000003E-2</v>
      </c>
      <c r="AR130" s="40">
        <f t="shared" si="229"/>
        <v>-0.29077927254609454</v>
      </c>
      <c r="AS130" s="40">
        <f t="shared" si="230"/>
        <v>-0.40677927254609453</v>
      </c>
      <c r="AT130" s="40">
        <f t="shared" si="231"/>
        <v>-0.29077927254609454</v>
      </c>
      <c r="AU130" s="43">
        <f t="shared" si="232"/>
        <v>0.98055555555555551</v>
      </c>
      <c r="AV130" s="44">
        <f t="shared" si="233"/>
        <v>5.5740494147261845</v>
      </c>
      <c r="AW130" s="45">
        <f t="shared" si="234"/>
        <v>5.6845829725252877</v>
      </c>
      <c r="AX130" s="46">
        <f t="shared" si="235"/>
        <v>1.7591439949653256</v>
      </c>
      <c r="AY130" s="74" t="str">
        <f t="shared" si="236"/>
        <v>DOS AÑOS</v>
      </c>
      <c r="AZ130" s="504"/>
      <c r="BA130" s="466"/>
      <c r="BB130" s="495"/>
      <c r="BC130" s="76"/>
      <c r="BD130" s="501"/>
    </row>
    <row r="131" spans="2:56" x14ac:dyDescent="0.25">
      <c r="B131" s="544"/>
      <c r="C131" s="458"/>
      <c r="D131" s="462"/>
      <c r="E131" s="462"/>
      <c r="F131" s="462"/>
      <c r="G131" s="481"/>
      <c r="H131" s="473"/>
      <c r="I131" s="366">
        <v>10</v>
      </c>
      <c r="J131" s="470"/>
      <c r="K131" s="365"/>
      <c r="L131" s="434"/>
      <c r="M131" s="365"/>
      <c r="N131" s="434"/>
      <c r="O131" s="365"/>
      <c r="P131" s="434"/>
      <c r="Q131" s="180">
        <v>2.98</v>
      </c>
      <c r="R131" s="95">
        <v>3.0089999999999999</v>
      </c>
      <c r="S131" s="38">
        <v>44063</v>
      </c>
      <c r="T131" s="612"/>
      <c r="U131" s="39">
        <v>3</v>
      </c>
      <c r="V131" s="367">
        <f t="shared" si="227"/>
        <v>-2.0000000000000018E-2</v>
      </c>
      <c r="W131" s="39">
        <f t="shared" ref="W131:W132" si="238">V131*100/Q131</f>
        <v>-0.67114093959731602</v>
      </c>
      <c r="X131" s="39"/>
      <c r="Y131" s="39"/>
      <c r="Z131" s="39"/>
      <c r="AA131" s="39"/>
      <c r="AB131" s="39"/>
      <c r="AC131" s="39">
        <v>7.0000000000000007E-2</v>
      </c>
      <c r="AD131" s="40">
        <f t="shared" si="226"/>
        <v>-0.60114093959731596</v>
      </c>
      <c r="AE131" s="40">
        <f t="shared" si="111"/>
        <v>-0.74114093959731608</v>
      </c>
      <c r="AF131" s="97">
        <f t="shared" si="9"/>
        <v>-0.60114093959731596</v>
      </c>
      <c r="AG131" s="41">
        <v>44421</v>
      </c>
      <c r="AH131" s="603"/>
      <c r="AI131" s="42">
        <v>3</v>
      </c>
      <c r="AJ131" s="42">
        <f t="shared" si="228"/>
        <v>-8.999999999999897E-3</v>
      </c>
      <c r="AK131" s="42">
        <f t="shared" si="237"/>
        <v>-0.2991026919242239</v>
      </c>
      <c r="AL131" s="42"/>
      <c r="AM131" s="42"/>
      <c r="AN131" s="42"/>
      <c r="AO131" s="42"/>
      <c r="AP131" s="42"/>
      <c r="AQ131" s="42">
        <v>5.8000000000000003E-2</v>
      </c>
      <c r="AR131" s="40">
        <f t="shared" si="229"/>
        <v>-0.2411026919242239</v>
      </c>
      <c r="AS131" s="40">
        <f t="shared" si="230"/>
        <v>-0.35710269192422389</v>
      </c>
      <c r="AT131" s="40">
        <f t="shared" si="231"/>
        <v>-0.2411026919242239</v>
      </c>
      <c r="AU131" s="43">
        <f t="shared" si="232"/>
        <v>0.98055555555555551</v>
      </c>
      <c r="AV131" s="44">
        <f t="shared" si="233"/>
        <v>0.36003824767309206</v>
      </c>
      <c r="AW131" s="45">
        <f t="shared" si="234"/>
        <v>0.36717781632383328</v>
      </c>
      <c r="AX131" s="46">
        <f t="shared" si="235"/>
        <v>27.234760803687763</v>
      </c>
      <c r="AY131" s="74" t="str">
        <f t="shared" si="236"/>
        <v>DOS AÑOS</v>
      </c>
      <c r="AZ131" s="504"/>
      <c r="BA131" s="466"/>
      <c r="BB131" s="495"/>
      <c r="BC131" s="76"/>
      <c r="BD131" s="501"/>
    </row>
    <row r="132" spans="2:56" x14ac:dyDescent="0.25">
      <c r="B132" s="544"/>
      <c r="C132" s="458"/>
      <c r="D132" s="462"/>
      <c r="E132" s="462"/>
      <c r="F132" s="462"/>
      <c r="G132" s="481"/>
      <c r="H132" s="473"/>
      <c r="I132" s="366">
        <v>10</v>
      </c>
      <c r="J132" s="470"/>
      <c r="K132" s="365"/>
      <c r="L132" s="434"/>
      <c r="M132" s="365"/>
      <c r="N132" s="434"/>
      <c r="O132" s="365"/>
      <c r="P132" s="434"/>
      <c r="Q132" s="180">
        <v>4.03</v>
      </c>
      <c r="R132" s="95">
        <v>4.0129999999999999</v>
      </c>
      <c r="S132" s="38">
        <v>44063</v>
      </c>
      <c r="T132" s="612"/>
      <c r="U132" s="39">
        <v>4</v>
      </c>
      <c r="V132" s="367">
        <f t="shared" si="227"/>
        <v>3.0000000000000249E-2</v>
      </c>
      <c r="W132" s="39">
        <f t="shared" si="238"/>
        <v>0.74441687344913765</v>
      </c>
      <c r="X132" s="39"/>
      <c r="Y132" s="39"/>
      <c r="Z132" s="39"/>
      <c r="AA132" s="39"/>
      <c r="AB132" s="39"/>
      <c r="AC132" s="39">
        <v>7.0000000000000007E-2</v>
      </c>
      <c r="AD132" s="40">
        <f t="shared" si="226"/>
        <v>0.81441687344913771</v>
      </c>
      <c r="AE132" s="40">
        <f t="shared" si="111"/>
        <v>0.67441687344913759</v>
      </c>
      <c r="AF132" s="97">
        <f t="shared" si="9"/>
        <v>0.81441687344913771</v>
      </c>
      <c r="AG132" s="41">
        <v>44421</v>
      </c>
      <c r="AH132" s="603"/>
      <c r="AI132" s="42">
        <v>4</v>
      </c>
      <c r="AJ132" s="42">
        <f t="shared" si="228"/>
        <v>-1.2999999999999901E-2</v>
      </c>
      <c r="AK132" s="42">
        <f t="shared" si="237"/>
        <v>-0.32394717169199855</v>
      </c>
      <c r="AL132" s="42"/>
      <c r="AM132" s="42"/>
      <c r="AN132" s="42"/>
      <c r="AO132" s="42"/>
      <c r="AP132" s="42"/>
      <c r="AQ132" s="42">
        <v>5.8999999999999997E-2</v>
      </c>
      <c r="AR132" s="40">
        <f t="shared" si="229"/>
        <v>-0.26494717169199855</v>
      </c>
      <c r="AS132" s="40">
        <f t="shared" si="230"/>
        <v>-0.38294717169199854</v>
      </c>
      <c r="AT132" s="40">
        <f t="shared" si="231"/>
        <v>-0.26494717169199855</v>
      </c>
      <c r="AU132" s="43">
        <f t="shared" si="232"/>
        <v>0.98055555555555551</v>
      </c>
      <c r="AV132" s="44">
        <f t="shared" si="233"/>
        <v>1.0793640451411362</v>
      </c>
      <c r="AW132" s="45">
        <f t="shared" si="234"/>
        <v>1.10076786473317</v>
      </c>
      <c r="AX132" s="46">
        <f t="shared" si="235"/>
        <v>9.0845675281627472</v>
      </c>
      <c r="AY132" s="74" t="str">
        <f t="shared" si="236"/>
        <v>DOS AÑOS</v>
      </c>
      <c r="AZ132" s="504"/>
      <c r="BA132" s="466"/>
      <c r="BB132" s="495"/>
      <c r="BC132" s="76"/>
      <c r="BD132" s="501"/>
    </row>
    <row r="133" spans="2:56" x14ac:dyDescent="0.25">
      <c r="B133" s="544"/>
      <c r="C133" s="458"/>
      <c r="D133" s="462"/>
      <c r="E133" s="462"/>
      <c r="F133" s="462"/>
      <c r="G133" s="481"/>
      <c r="H133" s="473"/>
      <c r="I133" s="366">
        <v>10</v>
      </c>
      <c r="J133" s="470"/>
      <c r="K133" s="365"/>
      <c r="L133" s="434"/>
      <c r="M133" s="365"/>
      <c r="N133" s="434"/>
      <c r="O133" s="365"/>
      <c r="P133" s="434"/>
      <c r="Q133" s="180"/>
      <c r="R133" s="95">
        <v>6.0270000000000001</v>
      </c>
      <c r="S133" s="38"/>
      <c r="T133" s="612"/>
      <c r="U133" s="39"/>
      <c r="V133" s="39"/>
      <c r="W133" s="39"/>
      <c r="X133" s="39"/>
      <c r="Y133" s="39"/>
      <c r="Z133" s="39"/>
      <c r="AA133" s="39"/>
      <c r="AB133" s="39"/>
      <c r="AC133" s="39"/>
      <c r="AD133" s="40"/>
      <c r="AE133" s="40"/>
      <c r="AF133" s="97"/>
      <c r="AG133" s="41">
        <v>44421</v>
      </c>
      <c r="AH133" s="603"/>
      <c r="AI133" s="42">
        <v>6</v>
      </c>
      <c r="AJ133" s="42">
        <f t="shared" si="228"/>
        <v>-2.7000000000000135E-2</v>
      </c>
      <c r="AK133" s="42">
        <f t="shared" si="237"/>
        <v>-0.44798407167745369</v>
      </c>
      <c r="AL133" s="42"/>
      <c r="AM133" s="42"/>
      <c r="AN133" s="42"/>
      <c r="AO133" s="42"/>
      <c r="AP133" s="42"/>
      <c r="AQ133" s="42">
        <v>6.3E-2</v>
      </c>
      <c r="AR133" s="40">
        <f t="shared" si="229"/>
        <v>-0.38498407167745369</v>
      </c>
      <c r="AS133" s="40">
        <f t="shared" si="230"/>
        <v>-0.51098407167745363</v>
      </c>
      <c r="AT133" s="40">
        <f t="shared" si="231"/>
        <v>-0.38498407167745369</v>
      </c>
      <c r="AU133" s="43">
        <f t="shared" si="232"/>
        <v>121.61944444444444</v>
      </c>
      <c r="AV133" s="44">
        <f t="shared" si="233"/>
        <v>0.38498407167745369</v>
      </c>
      <c r="AW133" s="45">
        <f t="shared" si="234"/>
        <v>3.1654812553704253E-3</v>
      </c>
      <c r="AX133" s="46">
        <f t="shared" si="235"/>
        <v>3159.0773071343929</v>
      </c>
      <c r="AY133" s="74" t="str">
        <f t="shared" si="236"/>
        <v>DOS AÑOS</v>
      </c>
      <c r="AZ133" s="504"/>
      <c r="BA133" s="466"/>
      <c r="BB133" s="495"/>
      <c r="BC133" s="76"/>
      <c r="BD133" s="501"/>
    </row>
    <row r="134" spans="2:56" x14ac:dyDescent="0.25">
      <c r="B134" s="544"/>
      <c r="C134" s="458"/>
      <c r="D134" s="462"/>
      <c r="E134" s="462"/>
      <c r="F134" s="462"/>
      <c r="G134" s="481"/>
      <c r="H134" s="473"/>
      <c r="I134" s="366">
        <v>10</v>
      </c>
      <c r="J134" s="470"/>
      <c r="K134" s="365"/>
      <c r="L134" s="434"/>
      <c r="M134" s="365"/>
      <c r="N134" s="434"/>
      <c r="O134" s="365"/>
      <c r="P134" s="434"/>
      <c r="Q134" s="180"/>
      <c r="R134" s="95">
        <v>0</v>
      </c>
      <c r="S134" s="38"/>
      <c r="T134" s="612"/>
      <c r="U134" s="39"/>
      <c r="V134" s="39"/>
      <c r="W134" s="39"/>
      <c r="X134" s="39"/>
      <c r="Y134" s="39"/>
      <c r="Z134" s="39"/>
      <c r="AA134" s="39"/>
      <c r="AB134" s="39"/>
      <c r="AC134" s="39"/>
      <c r="AD134" s="40"/>
      <c r="AE134" s="40"/>
      <c r="AF134" s="97"/>
      <c r="AG134" s="41">
        <v>44421</v>
      </c>
      <c r="AH134" s="603"/>
      <c r="AI134" s="42">
        <v>0</v>
      </c>
      <c r="AJ134" s="42">
        <f t="shared" si="228"/>
        <v>0</v>
      </c>
      <c r="AK134" s="42">
        <v>0</v>
      </c>
      <c r="AL134" s="42"/>
      <c r="AM134" s="42"/>
      <c r="AN134" s="42"/>
      <c r="AO134" s="42"/>
      <c r="AP134" s="42"/>
      <c r="AQ134" s="42">
        <v>5.8000000000000003E-2</v>
      </c>
      <c r="AR134" s="40">
        <f t="shared" si="229"/>
        <v>5.8000000000000003E-2</v>
      </c>
      <c r="AS134" s="40">
        <f t="shared" si="230"/>
        <v>-5.8000000000000003E-2</v>
      </c>
      <c r="AT134" s="40">
        <f t="shared" si="231"/>
        <v>5.8000000000000003E-2</v>
      </c>
      <c r="AU134" s="43">
        <f t="shared" si="232"/>
        <v>121.61944444444444</v>
      </c>
      <c r="AV134" s="44">
        <f t="shared" si="233"/>
        <v>5.8000000000000003E-2</v>
      </c>
      <c r="AW134" s="45">
        <f t="shared" si="234"/>
        <v>4.7689742594157552E-4</v>
      </c>
      <c r="AX134" s="46">
        <f t="shared" si="235"/>
        <v>20968.869731800765</v>
      </c>
      <c r="AY134" s="74" t="str">
        <f t="shared" si="236"/>
        <v>DOS AÑOS</v>
      </c>
      <c r="AZ134" s="504"/>
      <c r="BA134" s="466"/>
      <c r="BB134" s="495"/>
      <c r="BC134" s="76"/>
      <c r="BD134" s="501"/>
    </row>
    <row r="135" spans="2:56" x14ac:dyDescent="0.25">
      <c r="B135" s="544"/>
      <c r="C135" s="458"/>
      <c r="D135" s="462"/>
      <c r="E135" s="462"/>
      <c r="F135" s="462"/>
      <c r="G135" s="481"/>
      <c r="H135" s="473"/>
      <c r="I135" s="366">
        <v>10</v>
      </c>
      <c r="J135" s="470"/>
      <c r="K135" s="365"/>
      <c r="L135" s="434"/>
      <c r="M135" s="365"/>
      <c r="N135" s="434"/>
      <c r="O135" s="365"/>
      <c r="P135" s="434"/>
      <c r="Q135" s="180"/>
      <c r="R135" s="95">
        <v>-1.002</v>
      </c>
      <c r="S135" s="38"/>
      <c r="T135" s="612"/>
      <c r="U135" s="39"/>
      <c r="V135" s="39"/>
      <c r="W135" s="39"/>
      <c r="X135" s="39"/>
      <c r="Y135" s="39"/>
      <c r="Z135" s="39"/>
      <c r="AA135" s="39"/>
      <c r="AB135" s="39"/>
      <c r="AC135" s="39"/>
      <c r="AD135" s="40"/>
      <c r="AE135" s="40"/>
      <c r="AF135" s="97"/>
      <c r="AG135" s="41">
        <v>44421</v>
      </c>
      <c r="AH135" s="603"/>
      <c r="AI135" s="42">
        <v>-1</v>
      </c>
      <c r="AJ135" s="42">
        <f t="shared" si="228"/>
        <v>2.0000000000000018E-3</v>
      </c>
      <c r="AK135" s="42">
        <f t="shared" si="237"/>
        <v>-0.19960079840319378</v>
      </c>
      <c r="AL135" s="42"/>
      <c r="AM135" s="42"/>
      <c r="AN135" s="42"/>
      <c r="AO135" s="42"/>
      <c r="AP135" s="42"/>
      <c r="AQ135" s="42">
        <v>5.8000000000000003E-2</v>
      </c>
      <c r="AR135" s="40">
        <f t="shared" si="229"/>
        <v>-0.14160079840319378</v>
      </c>
      <c r="AS135" s="40">
        <f t="shared" si="230"/>
        <v>-0.25760079840319378</v>
      </c>
      <c r="AT135" s="40">
        <f t="shared" si="231"/>
        <v>-0.14160079840319378</v>
      </c>
      <c r="AU135" s="43">
        <f t="shared" si="232"/>
        <v>121.61944444444444</v>
      </c>
      <c r="AV135" s="44">
        <f t="shared" si="233"/>
        <v>0.14160079840319378</v>
      </c>
      <c r="AW135" s="45">
        <f t="shared" si="234"/>
        <v>1.1642940736164668E-3</v>
      </c>
      <c r="AX135" s="46">
        <f t="shared" si="235"/>
        <v>8588.895388721292</v>
      </c>
      <c r="AY135" s="74" t="str">
        <f t="shared" si="236"/>
        <v>DOS AÑOS</v>
      </c>
      <c r="AZ135" s="504"/>
      <c r="BA135" s="466"/>
      <c r="BB135" s="495"/>
      <c r="BC135" s="76"/>
      <c r="BD135" s="501"/>
    </row>
    <row r="136" spans="2:56" x14ac:dyDescent="0.25">
      <c r="B136" s="544"/>
      <c r="C136" s="458"/>
      <c r="D136" s="462"/>
      <c r="E136" s="462"/>
      <c r="F136" s="462"/>
      <c r="G136" s="481"/>
      <c r="H136" s="473"/>
      <c r="I136" s="71">
        <v>10</v>
      </c>
      <c r="J136" s="470"/>
      <c r="K136" s="73"/>
      <c r="L136" s="434"/>
      <c r="M136" s="73"/>
      <c r="N136" s="434"/>
      <c r="O136" s="73"/>
      <c r="P136" s="434"/>
      <c r="Q136" s="180"/>
      <c r="R136" s="95">
        <v>-2.0070000000000001</v>
      </c>
      <c r="S136" s="38"/>
      <c r="T136" s="612"/>
      <c r="U136" s="42">
        <v>0.43</v>
      </c>
      <c r="V136" s="42"/>
      <c r="W136" s="42">
        <f>U136-Q136</f>
        <v>0.43</v>
      </c>
      <c r="X136" s="42"/>
      <c r="Y136" s="42"/>
      <c r="Z136" s="42"/>
      <c r="AA136" s="42"/>
      <c r="AB136" s="42"/>
      <c r="AC136" s="42">
        <v>0.04</v>
      </c>
      <c r="AD136" s="97">
        <f>(W136+AC136)</f>
        <v>0.47</v>
      </c>
      <c r="AE136" s="97">
        <f t="shared" ref="AE136" si="239">(W136-AC136)</f>
        <v>0.39</v>
      </c>
      <c r="AF136" s="97">
        <f t="shared" ref="AF136" si="240">MAX(AD136:AE136)</f>
        <v>0.47</v>
      </c>
      <c r="AG136" s="41">
        <v>44421</v>
      </c>
      <c r="AH136" s="603"/>
      <c r="AI136" s="42">
        <v>-2</v>
      </c>
      <c r="AJ136" s="42">
        <f t="shared" si="228"/>
        <v>7.0000000000001172E-3</v>
      </c>
      <c r="AK136" s="42">
        <f t="shared" si="237"/>
        <v>-0.34877927254609453</v>
      </c>
      <c r="AL136" s="42"/>
      <c r="AM136" s="42"/>
      <c r="AN136" s="42"/>
      <c r="AO136" s="42"/>
      <c r="AP136" s="42"/>
      <c r="AQ136" s="42">
        <v>5.8000000000000003E-2</v>
      </c>
      <c r="AR136" s="40">
        <f t="shared" si="229"/>
        <v>-0.29077927254609454</v>
      </c>
      <c r="AS136" s="40">
        <f t="shared" si="230"/>
        <v>-0.40677927254609453</v>
      </c>
      <c r="AT136" s="40">
        <f t="shared" si="231"/>
        <v>-0.29077927254609454</v>
      </c>
      <c r="AU136" s="43">
        <f t="shared" si="232"/>
        <v>121.61944444444444</v>
      </c>
      <c r="AV136" s="44">
        <f t="shared" si="233"/>
        <v>0.76077927254609445</v>
      </c>
      <c r="AW136" s="45">
        <f t="shared" si="234"/>
        <v>6.2554082204644267E-3</v>
      </c>
      <c r="AX136" s="46">
        <f t="shared" si="235"/>
        <v>1598.6166925581651</v>
      </c>
      <c r="AY136" s="74" t="str">
        <f t="shared" si="236"/>
        <v>DOS AÑOS</v>
      </c>
      <c r="AZ136" s="504"/>
      <c r="BA136" s="466"/>
      <c r="BB136" s="495"/>
      <c r="BC136" s="76"/>
      <c r="BD136" s="501"/>
    </row>
    <row r="137" spans="2:56" x14ac:dyDescent="0.25">
      <c r="B137" s="544"/>
      <c r="C137" s="458"/>
      <c r="D137" s="462"/>
      <c r="E137" s="462"/>
      <c r="F137" s="462"/>
      <c r="G137" s="481"/>
      <c r="H137" s="473"/>
      <c r="I137" s="71">
        <v>10</v>
      </c>
      <c r="J137" s="470"/>
      <c r="K137" s="73"/>
      <c r="L137" s="434"/>
      <c r="M137" s="73"/>
      <c r="N137" s="434"/>
      <c r="O137" s="73"/>
      <c r="P137" s="434"/>
      <c r="Q137" s="180"/>
      <c r="R137" s="95">
        <v>-3.0089999999999999</v>
      </c>
      <c r="S137" s="38"/>
      <c r="T137" s="612"/>
      <c r="U137" s="42">
        <v>2.0299999999999998</v>
      </c>
      <c r="V137" s="42"/>
      <c r="W137" s="42">
        <f t="shared" ref="W137:W138" si="241">U137-Q137</f>
        <v>2.0299999999999998</v>
      </c>
      <c r="X137" s="42"/>
      <c r="Y137" s="42"/>
      <c r="Z137" s="42"/>
      <c r="AA137" s="42"/>
      <c r="AB137" s="42"/>
      <c r="AC137" s="42">
        <v>0.04</v>
      </c>
      <c r="AD137" s="97">
        <f t="shared" ref="AD137:AD138" si="242">(W137+AC137)</f>
        <v>2.0699999999999998</v>
      </c>
      <c r="AE137" s="97">
        <f t="shared" ref="AE137:AE138" si="243">(W137-AC137)</f>
        <v>1.9899999999999998</v>
      </c>
      <c r="AF137" s="97">
        <f t="shared" ref="AF137:AF138" si="244">MAX(AD137:AE137)</f>
        <v>2.0699999999999998</v>
      </c>
      <c r="AG137" s="41">
        <v>44421</v>
      </c>
      <c r="AH137" s="603"/>
      <c r="AI137" s="42">
        <v>-3</v>
      </c>
      <c r="AJ137" s="42">
        <f t="shared" si="228"/>
        <v>8.999999999999897E-3</v>
      </c>
      <c r="AK137" s="42">
        <f t="shared" si="237"/>
        <v>-0.2991026919242239</v>
      </c>
      <c r="AL137" s="42"/>
      <c r="AM137" s="42"/>
      <c r="AN137" s="42"/>
      <c r="AO137" s="42"/>
      <c r="AP137" s="42"/>
      <c r="AQ137" s="42">
        <v>5.8000000000000003E-2</v>
      </c>
      <c r="AR137" s="40">
        <f t="shared" si="229"/>
        <v>-0.2411026919242239</v>
      </c>
      <c r="AS137" s="40">
        <f t="shared" si="230"/>
        <v>-0.35710269192422389</v>
      </c>
      <c r="AT137" s="40">
        <f t="shared" si="231"/>
        <v>-0.2411026919242239</v>
      </c>
      <c r="AU137" s="43">
        <f t="shared" si="232"/>
        <v>121.61944444444444</v>
      </c>
      <c r="AV137" s="44">
        <f t="shared" si="233"/>
        <v>2.3111026919242237</v>
      </c>
      <c r="AW137" s="45">
        <f t="shared" si="234"/>
        <v>1.9002740083884626E-2</v>
      </c>
      <c r="AX137" s="46">
        <f t="shared" si="235"/>
        <v>526.23989781771274</v>
      </c>
      <c r="AY137" s="74" t="str">
        <f t="shared" si="236"/>
        <v>DOS AÑOS</v>
      </c>
      <c r="AZ137" s="504"/>
      <c r="BA137" s="466"/>
      <c r="BB137" s="495"/>
      <c r="BC137" s="76"/>
      <c r="BD137" s="501"/>
    </row>
    <row r="138" spans="2:56" x14ac:dyDescent="0.25">
      <c r="B138" s="544"/>
      <c r="C138" s="458"/>
      <c r="D138" s="462"/>
      <c r="E138" s="462"/>
      <c r="F138" s="462"/>
      <c r="G138" s="481"/>
      <c r="H138" s="473"/>
      <c r="I138" s="71">
        <v>10</v>
      </c>
      <c r="J138" s="470"/>
      <c r="K138" s="73" t="s">
        <v>76</v>
      </c>
      <c r="L138" s="434"/>
      <c r="M138" s="73" t="s">
        <v>76</v>
      </c>
      <c r="N138" s="434"/>
      <c r="O138" s="73" t="s">
        <v>76</v>
      </c>
      <c r="P138" s="434"/>
      <c r="Q138" s="180"/>
      <c r="R138" s="95">
        <v>-4.0129999999999999</v>
      </c>
      <c r="S138" s="38"/>
      <c r="T138" s="612"/>
      <c r="U138" s="42">
        <v>4.03</v>
      </c>
      <c r="V138" s="42"/>
      <c r="W138" s="42">
        <f t="shared" si="241"/>
        <v>4.03</v>
      </c>
      <c r="X138" s="42"/>
      <c r="Y138" s="42"/>
      <c r="Z138" s="42"/>
      <c r="AA138" s="42"/>
      <c r="AB138" s="42"/>
      <c r="AC138" s="42">
        <v>0.04</v>
      </c>
      <c r="AD138" s="97">
        <f t="shared" si="242"/>
        <v>4.07</v>
      </c>
      <c r="AE138" s="97">
        <f t="shared" si="243"/>
        <v>3.99</v>
      </c>
      <c r="AF138" s="97">
        <f t="shared" si="244"/>
        <v>4.07</v>
      </c>
      <c r="AG138" s="41">
        <v>44421</v>
      </c>
      <c r="AH138" s="603"/>
      <c r="AI138" s="42">
        <v>-4</v>
      </c>
      <c r="AJ138" s="42">
        <f t="shared" si="228"/>
        <v>1.2999999999999901E-2</v>
      </c>
      <c r="AK138" s="42">
        <f t="shared" si="237"/>
        <v>-0.32394717169199855</v>
      </c>
      <c r="AL138" s="42" t="s">
        <v>76</v>
      </c>
      <c r="AM138" s="42" t="s">
        <v>76</v>
      </c>
      <c r="AN138" s="42" t="s">
        <v>76</v>
      </c>
      <c r="AO138" s="42" t="s">
        <v>76</v>
      </c>
      <c r="AP138" s="42" t="s">
        <v>76</v>
      </c>
      <c r="AQ138" s="42">
        <v>5.8999999999999997E-2</v>
      </c>
      <c r="AR138" s="40">
        <f t="shared" si="229"/>
        <v>-0.26494717169199855</v>
      </c>
      <c r="AS138" s="40">
        <f t="shared" si="230"/>
        <v>-0.38294717169199854</v>
      </c>
      <c r="AT138" s="40">
        <f t="shared" si="231"/>
        <v>-0.26494717169199855</v>
      </c>
      <c r="AU138" s="43">
        <f t="shared" si="232"/>
        <v>121.61944444444444</v>
      </c>
      <c r="AV138" s="44">
        <f t="shared" si="233"/>
        <v>4.3349471716919989</v>
      </c>
      <c r="AW138" s="45">
        <f t="shared" si="234"/>
        <v>3.5643537030562542E-2</v>
      </c>
      <c r="AX138" s="46">
        <f t="shared" si="235"/>
        <v>280.55577064154721</v>
      </c>
      <c r="AY138" s="74" t="str">
        <f t="shared" si="236"/>
        <v>DOS AÑOS</v>
      </c>
      <c r="AZ138" s="504"/>
      <c r="BA138" s="466"/>
      <c r="BB138" s="495"/>
      <c r="BC138" s="76"/>
      <c r="BD138" s="501"/>
    </row>
    <row r="139" spans="2:56" ht="15.75" thickBot="1" x14ac:dyDescent="0.3">
      <c r="B139" s="545"/>
      <c r="C139" s="459"/>
      <c r="D139" s="463"/>
      <c r="E139" s="463"/>
      <c r="F139" s="463"/>
      <c r="G139" s="550"/>
      <c r="H139" s="474"/>
      <c r="I139" s="111">
        <v>10</v>
      </c>
      <c r="J139" s="471"/>
      <c r="K139" s="113" t="s">
        <v>76</v>
      </c>
      <c r="L139" s="435"/>
      <c r="M139" s="113" t="s">
        <v>76</v>
      </c>
      <c r="N139" s="435"/>
      <c r="O139" s="113" t="s">
        <v>76</v>
      </c>
      <c r="P139" s="435"/>
      <c r="Q139" s="189"/>
      <c r="R139" s="118">
        <v>-6.0270000000000001</v>
      </c>
      <c r="S139" s="119"/>
      <c r="T139" s="613"/>
      <c r="U139" s="49"/>
      <c r="V139" s="49"/>
      <c r="W139" s="49"/>
      <c r="X139" s="49"/>
      <c r="Y139" s="49"/>
      <c r="Z139" s="49"/>
      <c r="AA139" s="49"/>
      <c r="AB139" s="49"/>
      <c r="AC139" s="49"/>
      <c r="AD139" s="50"/>
      <c r="AE139" s="50"/>
      <c r="AF139" s="50"/>
      <c r="AG139" s="41">
        <v>44421</v>
      </c>
      <c r="AH139" s="604"/>
      <c r="AI139" s="51">
        <v>-6</v>
      </c>
      <c r="AJ139" s="42">
        <f t="shared" si="228"/>
        <v>2.7000000000000135E-2</v>
      </c>
      <c r="AK139" s="42">
        <f t="shared" si="237"/>
        <v>-0.44798407167745369</v>
      </c>
      <c r="AL139" s="51" t="s">
        <v>76</v>
      </c>
      <c r="AM139" s="51" t="s">
        <v>76</v>
      </c>
      <c r="AN139" s="51" t="s">
        <v>76</v>
      </c>
      <c r="AO139" s="51" t="s">
        <v>76</v>
      </c>
      <c r="AP139" s="51" t="s">
        <v>76</v>
      </c>
      <c r="AQ139" s="51">
        <v>6.3E-2</v>
      </c>
      <c r="AR139" s="40">
        <f t="shared" si="229"/>
        <v>-0.38498407167745369</v>
      </c>
      <c r="AS139" s="40">
        <f t="shared" si="230"/>
        <v>-0.51098407167745363</v>
      </c>
      <c r="AT139" s="40">
        <f t="shared" si="231"/>
        <v>-0.38498407167745369</v>
      </c>
      <c r="AU139" s="43">
        <f t="shared" si="232"/>
        <v>121.61944444444444</v>
      </c>
      <c r="AV139" s="44">
        <f t="shared" si="233"/>
        <v>0.38498407167745369</v>
      </c>
      <c r="AW139" s="45">
        <f t="shared" si="234"/>
        <v>3.1654812553704253E-3</v>
      </c>
      <c r="AX139" s="46">
        <f t="shared" si="235"/>
        <v>3159.0773071343929</v>
      </c>
      <c r="AY139" s="74" t="str">
        <f t="shared" si="236"/>
        <v>DOS AÑOS</v>
      </c>
      <c r="AZ139" s="505"/>
      <c r="BA139" s="467"/>
      <c r="BB139" s="496"/>
      <c r="BC139" s="130"/>
      <c r="BD139" s="502"/>
    </row>
    <row r="140" spans="2:56" ht="1.5" customHeight="1" thickBot="1" x14ac:dyDescent="0.3">
      <c r="B140" s="531" t="s">
        <v>123</v>
      </c>
      <c r="C140" s="488" t="s">
        <v>10</v>
      </c>
      <c r="D140" s="417" t="s">
        <v>124</v>
      </c>
      <c r="E140" s="417" t="s">
        <v>125</v>
      </c>
      <c r="F140" s="528" t="s">
        <v>126</v>
      </c>
      <c r="G140" s="472" t="s">
        <v>15</v>
      </c>
      <c r="H140" s="472" t="s">
        <v>22</v>
      </c>
      <c r="I140" s="57">
        <v>2</v>
      </c>
      <c r="J140" s="468" t="s">
        <v>20</v>
      </c>
      <c r="K140" s="58"/>
      <c r="L140" s="58"/>
      <c r="M140" s="58"/>
      <c r="N140" s="58"/>
      <c r="O140" s="58"/>
      <c r="P140" s="58"/>
      <c r="Q140" s="178">
        <v>600</v>
      </c>
      <c r="R140" s="84">
        <v>400</v>
      </c>
      <c r="S140" s="60">
        <v>43839</v>
      </c>
      <c r="T140" s="436">
        <v>89921201021</v>
      </c>
      <c r="U140" s="179">
        <v>402</v>
      </c>
      <c r="V140" s="179">
        <f>U140-R140</f>
        <v>2</v>
      </c>
      <c r="W140" s="179">
        <f>V140*100/R140</f>
        <v>0.5</v>
      </c>
      <c r="X140" s="179"/>
      <c r="Y140" s="179"/>
      <c r="Z140" s="179"/>
      <c r="AA140" s="179"/>
      <c r="AB140" s="179">
        <v>0.37</v>
      </c>
      <c r="AC140" s="179">
        <f>AB140*100/R140</f>
        <v>9.2499999999999999E-2</v>
      </c>
      <c r="AD140" s="61">
        <f t="shared" ref="AD140:AD147" si="245">(W140+AC140)</f>
        <v>0.59250000000000003</v>
      </c>
      <c r="AE140" s="61">
        <f t="shared" ref="AE140:AE147" si="246">(W140-AC140)</f>
        <v>0.40749999999999997</v>
      </c>
      <c r="AF140" s="61">
        <f t="shared" ref="AF140:AF160" si="247">MAX(AD140:AE140)</f>
        <v>0.59250000000000003</v>
      </c>
      <c r="AG140" s="62">
        <v>44207</v>
      </c>
      <c r="AH140" s="580">
        <v>8992211021</v>
      </c>
      <c r="AI140" s="63">
        <f>(600+601+599+599+599)/5</f>
        <v>599.6</v>
      </c>
      <c r="AJ140" s="63">
        <f>AI140-Q140</f>
        <v>-0.39999999999997726</v>
      </c>
      <c r="AK140" s="63">
        <f>AJ140*100/Q140</f>
        <v>-6.6666666666662877E-2</v>
      </c>
      <c r="AL140" s="63"/>
      <c r="AM140" s="63"/>
      <c r="AN140" s="63"/>
      <c r="AO140" s="63"/>
      <c r="AP140" s="63">
        <v>0.14000000000000001</v>
      </c>
      <c r="AQ140" s="63">
        <f>AP140*100/Q140</f>
        <v>2.3333333333333338E-2</v>
      </c>
      <c r="AR140" s="61">
        <f t="shared" si="80"/>
        <v>-0.37666666666664395</v>
      </c>
      <c r="AS140" s="61">
        <f t="shared" si="217"/>
        <v>-8.9999999999996222E-2</v>
      </c>
      <c r="AT140" s="61">
        <f t="shared" si="218"/>
        <v>-8.9999999999996222E-2</v>
      </c>
      <c r="AU140" s="64">
        <f t="shared" si="13"/>
        <v>1.0055555555555555</v>
      </c>
      <c r="AV140" s="65">
        <f t="shared" si="123"/>
        <v>0.68249999999999622</v>
      </c>
      <c r="AW140" s="87">
        <f t="shared" ref="AW140:AW146" si="248">(AV140/AU140)</f>
        <v>0.67872928176795211</v>
      </c>
      <c r="AX140" s="67">
        <f t="shared" si="17"/>
        <v>2.9466829466829627</v>
      </c>
      <c r="AY140" s="68" t="str">
        <f t="shared" si="15"/>
        <v>DOS AÑOS</v>
      </c>
      <c r="AZ140" s="491" t="s">
        <v>10</v>
      </c>
      <c r="BA140" s="464" t="s">
        <v>62</v>
      </c>
      <c r="BB140" s="494" t="s">
        <v>36</v>
      </c>
      <c r="BC140" s="497">
        <f>MIN(AX123:AX167)</f>
        <v>1.7591439949653256</v>
      </c>
      <c r="BD140" s="500">
        <f>BD115</f>
        <v>0</v>
      </c>
    </row>
    <row r="141" spans="2:56" ht="15.75" hidden="1" thickBot="1" x14ac:dyDescent="0.3">
      <c r="B141" s="532"/>
      <c r="C141" s="489"/>
      <c r="D141" s="419"/>
      <c r="E141" s="419"/>
      <c r="F141" s="529"/>
      <c r="G141" s="473"/>
      <c r="H141" s="473"/>
      <c r="I141" s="71">
        <v>2</v>
      </c>
      <c r="J141" s="470"/>
      <c r="K141" s="73"/>
      <c r="L141" s="73"/>
      <c r="M141" s="73"/>
      <c r="N141" s="73"/>
      <c r="O141" s="73"/>
      <c r="P141" s="73"/>
      <c r="Q141" s="180">
        <v>800</v>
      </c>
      <c r="R141" s="95"/>
      <c r="S141" s="38">
        <v>43839</v>
      </c>
      <c r="T141" s="438"/>
      <c r="U141" s="39"/>
      <c r="V141" s="39"/>
      <c r="W141" s="39"/>
      <c r="X141" s="39"/>
      <c r="Y141" s="39"/>
      <c r="Z141" s="39"/>
      <c r="AA141" s="39"/>
      <c r="AB141" s="39"/>
      <c r="AC141" s="39"/>
      <c r="AD141" s="40"/>
      <c r="AE141" s="40"/>
      <c r="AF141" s="40"/>
      <c r="AG141" s="41">
        <v>44207</v>
      </c>
      <c r="AH141" s="582"/>
      <c r="AI141" s="42">
        <f>(801+801+802+799+799)/5</f>
        <v>800.4</v>
      </c>
      <c r="AJ141" s="42">
        <f t="shared" ref="AJ141:AJ147" si="249">AI141-Q141</f>
        <v>0.39999999999997726</v>
      </c>
      <c r="AK141" s="42">
        <f t="shared" ref="AK141:AK147" si="250">AJ141*100/Q141</f>
        <v>4.9999999999997158E-2</v>
      </c>
      <c r="AL141" s="42"/>
      <c r="AM141" s="42"/>
      <c r="AN141" s="42"/>
      <c r="AO141" s="42"/>
      <c r="AP141" s="42">
        <v>0.16</v>
      </c>
      <c r="AQ141" s="42">
        <f t="shared" ref="AQ141:AQ147" si="251">AP141*100/Q141</f>
        <v>0.02</v>
      </c>
      <c r="AR141" s="40">
        <f t="shared" si="80"/>
        <v>0.41999999999997728</v>
      </c>
      <c r="AS141" s="40">
        <f t="shared" si="217"/>
        <v>2.9999999999997157E-2</v>
      </c>
      <c r="AT141" s="40">
        <f t="shared" si="218"/>
        <v>0.41999999999997728</v>
      </c>
      <c r="AU141" s="43">
        <f t="shared" si="13"/>
        <v>1.0055555555555555</v>
      </c>
      <c r="AV141" s="44">
        <f t="shared" si="123"/>
        <v>0.41999999999997728</v>
      </c>
      <c r="AW141" s="98">
        <f t="shared" si="248"/>
        <v>0.41767955801102713</v>
      </c>
      <c r="AX141" s="46">
        <f t="shared" si="17"/>
        <v>4.7883597883600473</v>
      </c>
      <c r="AY141" s="74" t="str">
        <f t="shared" si="15"/>
        <v>DOS AÑOS</v>
      </c>
      <c r="AZ141" s="492"/>
      <c r="BA141" s="466"/>
      <c r="BB141" s="495"/>
      <c r="BC141" s="498"/>
      <c r="BD141" s="501"/>
    </row>
    <row r="142" spans="2:56" ht="15.75" hidden="1" thickBot="1" x14ac:dyDescent="0.3">
      <c r="B142" s="532"/>
      <c r="C142" s="489"/>
      <c r="D142" s="419"/>
      <c r="E142" s="419"/>
      <c r="F142" s="529"/>
      <c r="G142" s="473"/>
      <c r="H142" s="473"/>
      <c r="I142" s="71">
        <v>2</v>
      </c>
      <c r="J142" s="470"/>
      <c r="K142" s="73"/>
      <c r="L142" s="73"/>
      <c r="M142" s="73"/>
      <c r="N142" s="73"/>
      <c r="O142" s="73"/>
      <c r="P142" s="73"/>
      <c r="Q142" s="180">
        <v>900</v>
      </c>
      <c r="R142" s="95"/>
      <c r="S142" s="38">
        <v>43839</v>
      </c>
      <c r="T142" s="438"/>
      <c r="U142" s="39"/>
      <c r="V142" s="39"/>
      <c r="W142" s="39"/>
      <c r="X142" s="39"/>
      <c r="Y142" s="39"/>
      <c r="Z142" s="39"/>
      <c r="AA142" s="39"/>
      <c r="AB142" s="39"/>
      <c r="AC142" s="39"/>
      <c r="AD142" s="40"/>
      <c r="AE142" s="40"/>
      <c r="AF142" s="40"/>
      <c r="AG142" s="41">
        <v>44207</v>
      </c>
      <c r="AH142" s="582"/>
      <c r="AI142" s="42">
        <f>(901+901+899+899+898)/5</f>
        <v>899.6</v>
      </c>
      <c r="AJ142" s="42">
        <f t="shared" si="249"/>
        <v>-0.39999999999997726</v>
      </c>
      <c r="AK142" s="42">
        <f t="shared" si="250"/>
        <v>-4.444444444444192E-2</v>
      </c>
      <c r="AL142" s="42"/>
      <c r="AM142" s="42"/>
      <c r="AN142" s="42"/>
      <c r="AO142" s="42"/>
      <c r="AP142" s="42">
        <v>0.16</v>
      </c>
      <c r="AQ142" s="42">
        <f t="shared" si="251"/>
        <v>1.7777777777777778E-2</v>
      </c>
      <c r="AR142" s="40">
        <f t="shared" si="80"/>
        <v>-0.38222222222219948</v>
      </c>
      <c r="AS142" s="40">
        <f t="shared" si="217"/>
        <v>-6.2222222222219695E-2</v>
      </c>
      <c r="AT142" s="40">
        <f t="shared" si="218"/>
        <v>-6.2222222222219695E-2</v>
      </c>
      <c r="AU142" s="43">
        <f t="shared" si="13"/>
        <v>1.0055555555555555</v>
      </c>
      <c r="AV142" s="44">
        <f t="shared" si="123"/>
        <v>6.2222222222219695E-2</v>
      </c>
      <c r="AW142" s="98">
        <f t="shared" si="248"/>
        <v>6.1878453038671524E-2</v>
      </c>
      <c r="AX142" s="46">
        <f t="shared" si="17"/>
        <v>32.321428571429884</v>
      </c>
      <c r="AY142" s="74" t="str">
        <f t="shared" si="15"/>
        <v>DOS AÑOS</v>
      </c>
      <c r="AZ142" s="492"/>
      <c r="BA142" s="466"/>
      <c r="BB142" s="495"/>
      <c r="BC142" s="498"/>
      <c r="BD142" s="501"/>
    </row>
    <row r="143" spans="2:56" ht="15.75" hidden="1" thickBot="1" x14ac:dyDescent="0.3">
      <c r="B143" s="532"/>
      <c r="C143" s="489"/>
      <c r="D143" s="419"/>
      <c r="E143" s="419"/>
      <c r="F143" s="529"/>
      <c r="G143" s="473"/>
      <c r="H143" s="473"/>
      <c r="I143" s="71">
        <v>2</v>
      </c>
      <c r="J143" s="470"/>
      <c r="K143" s="73"/>
      <c r="L143" s="73"/>
      <c r="M143" s="73"/>
      <c r="N143" s="73"/>
      <c r="O143" s="73"/>
      <c r="P143" s="73"/>
      <c r="Q143" s="180">
        <v>1800</v>
      </c>
      <c r="R143" s="95">
        <v>1800</v>
      </c>
      <c r="S143" s="38">
        <v>43839</v>
      </c>
      <c r="T143" s="438"/>
      <c r="U143" s="181">
        <v>1804</v>
      </c>
      <c r="V143" s="181">
        <f>U143-R143</f>
        <v>4</v>
      </c>
      <c r="W143" s="181">
        <f>V143*100/R143</f>
        <v>0.22222222222222221</v>
      </c>
      <c r="X143" s="181"/>
      <c r="Y143" s="181"/>
      <c r="Z143" s="181"/>
      <c r="AA143" s="181"/>
      <c r="AB143" s="181">
        <v>0.38</v>
      </c>
      <c r="AC143" s="181">
        <f>AB143*100/R143</f>
        <v>2.1111111111111112E-2</v>
      </c>
      <c r="AD143" s="40">
        <f>(W143+AC143)</f>
        <v>0.24333333333333332</v>
      </c>
      <c r="AE143" s="40">
        <f t="shared" si="246"/>
        <v>0.2011111111111111</v>
      </c>
      <c r="AF143" s="40">
        <f t="shared" si="247"/>
        <v>0.24333333333333332</v>
      </c>
      <c r="AG143" s="41">
        <v>44207</v>
      </c>
      <c r="AH143" s="582"/>
      <c r="AI143" s="42">
        <f>(1800+1799+1799+1799+1799)/5</f>
        <v>1799.2</v>
      </c>
      <c r="AJ143" s="42">
        <f t="shared" si="249"/>
        <v>-0.79999999999995453</v>
      </c>
      <c r="AK143" s="42">
        <f t="shared" si="250"/>
        <v>-4.444444444444192E-2</v>
      </c>
      <c r="AL143" s="42"/>
      <c r="AM143" s="42"/>
      <c r="AN143" s="42"/>
      <c r="AO143" s="42"/>
      <c r="AP143" s="42">
        <v>0.11</v>
      </c>
      <c r="AQ143" s="42">
        <f t="shared" si="251"/>
        <v>6.1111111111111114E-3</v>
      </c>
      <c r="AR143" s="40">
        <f t="shared" si="80"/>
        <v>-0.79388888888884346</v>
      </c>
      <c r="AS143" s="40">
        <f t="shared" si="217"/>
        <v>-5.0555555555553029E-2</v>
      </c>
      <c r="AT143" s="40">
        <f t="shared" si="218"/>
        <v>-5.0555555555553029E-2</v>
      </c>
      <c r="AU143" s="43">
        <f t="shared" si="13"/>
        <v>1.0055555555555555</v>
      </c>
      <c r="AV143" s="44">
        <f t="shared" si="123"/>
        <v>0.29388888888888637</v>
      </c>
      <c r="AW143" s="98">
        <f t="shared" si="248"/>
        <v>0.29226519337016327</v>
      </c>
      <c r="AX143" s="46">
        <f t="shared" si="17"/>
        <v>6.8431001890359751</v>
      </c>
      <c r="AY143" s="74" t="str">
        <f t="shared" si="15"/>
        <v>DOS AÑOS</v>
      </c>
      <c r="AZ143" s="492"/>
      <c r="BA143" s="466"/>
      <c r="BB143" s="495"/>
      <c r="BC143" s="498"/>
      <c r="BD143" s="501"/>
    </row>
    <row r="144" spans="2:56" ht="15.75" hidden="1" thickBot="1" x14ac:dyDescent="0.3">
      <c r="B144" s="532"/>
      <c r="C144" s="489"/>
      <c r="D144" s="419"/>
      <c r="E144" s="419"/>
      <c r="F144" s="529"/>
      <c r="G144" s="473"/>
      <c r="H144" s="473"/>
      <c r="I144" s="71">
        <v>2</v>
      </c>
      <c r="J144" s="470"/>
      <c r="K144" s="73"/>
      <c r="L144" s="73"/>
      <c r="M144" s="73"/>
      <c r="N144" s="73"/>
      <c r="O144" s="73"/>
      <c r="P144" s="73"/>
      <c r="Q144" s="180">
        <v>2500</v>
      </c>
      <c r="R144" s="95"/>
      <c r="S144" s="38">
        <v>43839</v>
      </c>
      <c r="T144" s="438"/>
      <c r="U144" s="39"/>
      <c r="V144" s="39"/>
      <c r="W144" s="39"/>
      <c r="X144" s="39"/>
      <c r="Y144" s="39"/>
      <c r="Z144" s="39"/>
      <c r="AA144" s="39"/>
      <c r="AB144" s="39"/>
      <c r="AC144" s="39"/>
      <c r="AD144" s="40"/>
      <c r="AE144" s="40"/>
      <c r="AF144" s="40"/>
      <c r="AG144" s="41">
        <v>44207</v>
      </c>
      <c r="AH144" s="582"/>
      <c r="AI144" s="42">
        <f>(2501+2501+2499+2499+2499)/5</f>
        <v>2499.8000000000002</v>
      </c>
      <c r="AJ144" s="42">
        <f t="shared" si="249"/>
        <v>-0.1999999999998181</v>
      </c>
      <c r="AK144" s="42">
        <f t="shared" si="250"/>
        <v>-7.9999999999927247E-3</v>
      </c>
      <c r="AL144" s="42"/>
      <c r="AM144" s="42"/>
      <c r="AN144" s="42"/>
      <c r="AO144" s="42"/>
      <c r="AP144" s="42">
        <v>0.15</v>
      </c>
      <c r="AQ144" s="42">
        <f t="shared" si="251"/>
        <v>6.0000000000000001E-3</v>
      </c>
      <c r="AR144" s="40">
        <f t="shared" si="80"/>
        <v>-0.1939999999998181</v>
      </c>
      <c r="AS144" s="40">
        <f t="shared" si="217"/>
        <v>-1.3999999999992725E-2</v>
      </c>
      <c r="AT144" s="40">
        <f t="shared" si="218"/>
        <v>-1.3999999999992725E-2</v>
      </c>
      <c r="AU144" s="43">
        <f t="shared" si="13"/>
        <v>1.0055555555555555</v>
      </c>
      <c r="AV144" s="44">
        <f t="shared" si="123"/>
        <v>1.3999999999992725E-2</v>
      </c>
      <c r="AW144" s="98">
        <f t="shared" si="248"/>
        <v>1.3922651933694423E-2</v>
      </c>
      <c r="AX144" s="46">
        <f t="shared" si="17"/>
        <v>143.65079365086828</v>
      </c>
      <c r="AY144" s="74" t="str">
        <f t="shared" si="15"/>
        <v>DOS AÑOS</v>
      </c>
      <c r="AZ144" s="492"/>
      <c r="BA144" s="466"/>
      <c r="BB144" s="495"/>
      <c r="BC144" s="498"/>
      <c r="BD144" s="501"/>
    </row>
    <row r="145" spans="2:56" ht="15.75" hidden="1" customHeight="1" thickBot="1" x14ac:dyDescent="0.3">
      <c r="B145" s="532"/>
      <c r="C145" s="489"/>
      <c r="D145" s="419"/>
      <c r="E145" s="419"/>
      <c r="F145" s="529"/>
      <c r="G145" s="473"/>
      <c r="H145" s="473"/>
      <c r="I145" s="71">
        <v>2</v>
      </c>
      <c r="J145" s="470"/>
      <c r="K145" s="73" t="s">
        <v>76</v>
      </c>
      <c r="L145" s="434" t="s">
        <v>20</v>
      </c>
      <c r="M145" s="73" t="s">
        <v>76</v>
      </c>
      <c r="N145" s="434" t="s">
        <v>20</v>
      </c>
      <c r="O145" s="73" t="s">
        <v>76</v>
      </c>
      <c r="P145" s="434" t="s">
        <v>20</v>
      </c>
      <c r="Q145" s="37">
        <v>3500</v>
      </c>
      <c r="R145" s="37">
        <v>3200</v>
      </c>
      <c r="S145" s="38">
        <v>43839</v>
      </c>
      <c r="T145" s="438"/>
      <c r="U145" s="182">
        <v>3205</v>
      </c>
      <c r="V145" s="182">
        <f>U145-R145</f>
        <v>5</v>
      </c>
      <c r="W145" s="182">
        <f>V145*100/R145</f>
        <v>0.15625</v>
      </c>
      <c r="X145" s="182" t="s">
        <v>76</v>
      </c>
      <c r="Y145" s="182" t="s">
        <v>76</v>
      </c>
      <c r="Z145" s="182" t="s">
        <v>76</v>
      </c>
      <c r="AA145" s="182" t="s">
        <v>76</v>
      </c>
      <c r="AB145" s="182">
        <v>0.5</v>
      </c>
      <c r="AC145" s="182">
        <f>AB145*100/R145</f>
        <v>1.5625E-2</v>
      </c>
      <c r="AD145" s="40">
        <f t="shared" si="245"/>
        <v>0.171875</v>
      </c>
      <c r="AE145" s="40">
        <f t="shared" si="246"/>
        <v>0.140625</v>
      </c>
      <c r="AF145" s="40">
        <f t="shared" si="247"/>
        <v>0.171875</v>
      </c>
      <c r="AG145" s="41">
        <v>44207</v>
      </c>
      <c r="AH145" s="582"/>
      <c r="AI145" s="97">
        <f>(3500+3501+3501+3499+3499)/5</f>
        <v>3500</v>
      </c>
      <c r="AJ145" s="42">
        <f t="shared" si="249"/>
        <v>0</v>
      </c>
      <c r="AK145" s="42">
        <f t="shared" si="250"/>
        <v>0</v>
      </c>
      <c r="AL145" s="97" t="s">
        <v>76</v>
      </c>
      <c r="AM145" s="97" t="s">
        <v>76</v>
      </c>
      <c r="AN145" s="97" t="s">
        <v>76</v>
      </c>
      <c r="AO145" s="97" t="s">
        <v>76</v>
      </c>
      <c r="AP145" s="145">
        <v>0.14000000000000001</v>
      </c>
      <c r="AQ145" s="42">
        <f t="shared" si="251"/>
        <v>4.0000000000000001E-3</v>
      </c>
      <c r="AR145" s="40">
        <f t="shared" si="80"/>
        <v>4.0000000000000001E-3</v>
      </c>
      <c r="AS145" s="40">
        <f t="shared" si="217"/>
        <v>-4.0000000000000001E-3</v>
      </c>
      <c r="AT145" s="40">
        <f t="shared" si="218"/>
        <v>4.0000000000000001E-3</v>
      </c>
      <c r="AU145" s="43">
        <f t="shared" ref="AU145:AU147" si="252">YEARFRAC(S145,AG145)</f>
        <v>1.0055555555555555</v>
      </c>
      <c r="AV145" s="44">
        <f t="shared" si="123"/>
        <v>0.167875</v>
      </c>
      <c r="AW145" s="98">
        <f t="shared" si="248"/>
        <v>0.1669475138121547</v>
      </c>
      <c r="AX145" s="46">
        <f t="shared" si="17"/>
        <v>11.979813022255316</v>
      </c>
      <c r="AY145" s="74" t="str">
        <f t="shared" ref="AY145:AY147" si="253">IF(AX145&lt;=1,"UN AÑO",IF(AX145&gt;=1,"DOS AÑOS"))</f>
        <v>DOS AÑOS</v>
      </c>
      <c r="AZ145" s="492"/>
      <c r="BA145" s="466"/>
      <c r="BB145" s="495"/>
      <c r="BC145" s="498"/>
      <c r="BD145" s="501"/>
    </row>
    <row r="146" spans="2:56" ht="15.75" hidden="1" thickBot="1" x14ac:dyDescent="0.3">
      <c r="B146" s="532"/>
      <c r="C146" s="489"/>
      <c r="D146" s="419"/>
      <c r="E146" s="419"/>
      <c r="F146" s="529"/>
      <c r="G146" s="473"/>
      <c r="H146" s="473"/>
      <c r="I146" s="71">
        <v>2</v>
      </c>
      <c r="J146" s="470"/>
      <c r="K146" s="73" t="s">
        <v>76</v>
      </c>
      <c r="L146" s="434"/>
      <c r="M146" s="73" t="s">
        <v>76</v>
      </c>
      <c r="N146" s="434"/>
      <c r="O146" s="73" t="s">
        <v>76</v>
      </c>
      <c r="P146" s="434"/>
      <c r="Q146" s="37">
        <v>4000</v>
      </c>
      <c r="R146" s="37" t="s">
        <v>25</v>
      </c>
      <c r="S146" s="38">
        <v>43839</v>
      </c>
      <c r="T146" s="438"/>
      <c r="U146" s="99"/>
      <c r="V146" s="99" t="s">
        <v>76</v>
      </c>
      <c r="W146" s="99">
        <v>0</v>
      </c>
      <c r="X146" s="99" t="s">
        <v>76</v>
      </c>
      <c r="Y146" s="99" t="s">
        <v>76</v>
      </c>
      <c r="Z146" s="99" t="s">
        <v>76</v>
      </c>
      <c r="AA146" s="99" t="s">
        <v>76</v>
      </c>
      <c r="AB146" s="99"/>
      <c r="AC146" s="99"/>
      <c r="AD146" s="40"/>
      <c r="AE146" s="40"/>
      <c r="AF146" s="40"/>
      <c r="AG146" s="41">
        <v>44207</v>
      </c>
      <c r="AH146" s="582"/>
      <c r="AI146" s="97">
        <f>(4000+4000+4001+3999+3998)/5</f>
        <v>3999.6</v>
      </c>
      <c r="AJ146" s="42">
        <f t="shared" si="249"/>
        <v>-0.40000000000009095</v>
      </c>
      <c r="AK146" s="42">
        <f t="shared" si="250"/>
        <v>-1.0000000000002274E-2</v>
      </c>
      <c r="AL146" s="97" t="s">
        <v>76</v>
      </c>
      <c r="AM146" s="97" t="s">
        <v>76</v>
      </c>
      <c r="AN146" s="97" t="s">
        <v>76</v>
      </c>
      <c r="AO146" s="97" t="s">
        <v>76</v>
      </c>
      <c r="AP146" s="97">
        <v>0.15</v>
      </c>
      <c r="AQ146" s="42">
        <f t="shared" si="251"/>
        <v>3.7499999999999999E-3</v>
      </c>
      <c r="AR146" s="40">
        <f t="shared" si="80"/>
        <v>-0.39625000000009097</v>
      </c>
      <c r="AS146" s="40">
        <f t="shared" si="217"/>
        <v>-1.3750000000002274E-2</v>
      </c>
      <c r="AT146" s="40">
        <f t="shared" si="218"/>
        <v>-1.3750000000002274E-2</v>
      </c>
      <c r="AU146" s="43">
        <f t="shared" si="252"/>
        <v>1.0055555555555555</v>
      </c>
      <c r="AV146" s="44">
        <f t="shared" si="123"/>
        <v>1.3750000000002274E-2</v>
      </c>
      <c r="AW146" s="98">
        <f t="shared" si="248"/>
        <v>1.3674033149173533E-2</v>
      </c>
      <c r="AX146" s="46">
        <f t="shared" si="17"/>
        <v>146.26262626260205</v>
      </c>
      <c r="AY146" s="74" t="str">
        <f t="shared" si="253"/>
        <v>DOS AÑOS</v>
      </c>
      <c r="AZ146" s="492"/>
      <c r="BA146" s="466"/>
      <c r="BB146" s="495"/>
      <c r="BC146" s="498"/>
      <c r="BD146" s="501"/>
    </row>
    <row r="147" spans="2:56" ht="15.75" hidden="1" thickBot="1" x14ac:dyDescent="0.3">
      <c r="B147" s="533"/>
      <c r="C147" s="490"/>
      <c r="D147" s="421"/>
      <c r="E147" s="421"/>
      <c r="F147" s="530"/>
      <c r="G147" s="474"/>
      <c r="H147" s="474"/>
      <c r="I147" s="111">
        <v>2</v>
      </c>
      <c r="J147" s="471"/>
      <c r="K147" s="113" t="s">
        <v>76</v>
      </c>
      <c r="L147" s="435"/>
      <c r="M147" s="113" t="s">
        <v>76</v>
      </c>
      <c r="N147" s="435"/>
      <c r="O147" s="113" t="s">
        <v>76</v>
      </c>
      <c r="P147" s="435"/>
      <c r="Q147" s="48">
        <v>9000</v>
      </c>
      <c r="R147" s="48">
        <v>9000</v>
      </c>
      <c r="S147" s="119">
        <v>43839</v>
      </c>
      <c r="T147" s="440"/>
      <c r="U147" s="183">
        <v>9006</v>
      </c>
      <c r="V147" s="183">
        <f>U147-R147</f>
        <v>6</v>
      </c>
      <c r="W147" s="183">
        <f>V147*100/R147</f>
        <v>6.6666666666666666E-2</v>
      </c>
      <c r="X147" s="183" t="s">
        <v>76</v>
      </c>
      <c r="Y147" s="183" t="s">
        <v>76</v>
      </c>
      <c r="Z147" s="183" t="s">
        <v>76</v>
      </c>
      <c r="AA147" s="183" t="s">
        <v>76</v>
      </c>
      <c r="AB147" s="183">
        <v>0.38</v>
      </c>
      <c r="AC147" s="183">
        <f>AB147*100/R147</f>
        <v>4.2222222222222218E-3</v>
      </c>
      <c r="AD147" s="50">
        <f t="shared" si="245"/>
        <v>7.088888888888889E-2</v>
      </c>
      <c r="AE147" s="50">
        <f t="shared" si="246"/>
        <v>6.2444444444444441E-2</v>
      </c>
      <c r="AF147" s="50">
        <f t="shared" si="247"/>
        <v>7.088888888888889E-2</v>
      </c>
      <c r="AG147" s="122">
        <v>44207</v>
      </c>
      <c r="AH147" s="583"/>
      <c r="AI147" s="124">
        <f>(9001+9001+8999+8999+8998)/5</f>
        <v>8999.6</v>
      </c>
      <c r="AJ147" s="51">
        <f t="shared" si="249"/>
        <v>-0.3999999999996362</v>
      </c>
      <c r="AK147" s="51">
        <f t="shared" si="250"/>
        <v>-4.4444444444404025E-3</v>
      </c>
      <c r="AL147" s="124" t="s">
        <v>76</v>
      </c>
      <c r="AM147" s="124" t="s">
        <v>76</v>
      </c>
      <c r="AN147" s="124" t="s">
        <v>76</v>
      </c>
      <c r="AO147" s="124" t="s">
        <v>76</v>
      </c>
      <c r="AP147" s="124">
        <v>0.16</v>
      </c>
      <c r="AQ147" s="51">
        <f t="shared" si="251"/>
        <v>1.7777777777777779E-3</v>
      </c>
      <c r="AR147" s="50">
        <f>(AJ147+AQ147)</f>
        <v>-0.39822222222185844</v>
      </c>
      <c r="AS147" s="50">
        <f t="shared" ref="AS147" si="254">(AK147-AQ147)</f>
        <v>-6.2222222222181808E-3</v>
      </c>
      <c r="AT147" s="50">
        <f t="shared" si="218"/>
        <v>-6.2222222222181808E-3</v>
      </c>
      <c r="AU147" s="52">
        <f t="shared" si="252"/>
        <v>1.0055555555555555</v>
      </c>
      <c r="AV147" s="53">
        <f t="shared" ref="AV147:AV157" si="255">ABS(AT147-AF147)</f>
        <v>7.7111111111107078E-2</v>
      </c>
      <c r="AW147" s="125">
        <f t="shared" si="14"/>
        <v>7.6685082872924165E-2</v>
      </c>
      <c r="AX147" s="54">
        <f t="shared" ref="AX147:AX157" si="256">(I147/AW147)</f>
        <v>26.08069164265266</v>
      </c>
      <c r="AY147" s="129" t="str">
        <f t="shared" si="253"/>
        <v>DOS AÑOS</v>
      </c>
      <c r="AZ147" s="493"/>
      <c r="BA147" s="467"/>
      <c r="BB147" s="496"/>
      <c r="BC147" s="499"/>
      <c r="BD147" s="502"/>
    </row>
    <row r="148" spans="2:56" x14ac:dyDescent="0.25">
      <c r="B148" s="531" t="s">
        <v>138</v>
      </c>
      <c r="C148" s="534" t="s">
        <v>144</v>
      </c>
      <c r="D148" s="417" t="s">
        <v>139</v>
      </c>
      <c r="E148" s="417" t="s">
        <v>140</v>
      </c>
      <c r="F148" s="528">
        <v>3919</v>
      </c>
      <c r="G148" s="472" t="s">
        <v>141</v>
      </c>
      <c r="H148" s="472" t="s">
        <v>142</v>
      </c>
      <c r="I148" s="136">
        <v>0.04</v>
      </c>
      <c r="J148" s="468" t="s">
        <v>143</v>
      </c>
      <c r="K148" s="137"/>
      <c r="L148" s="137"/>
      <c r="M148" s="137"/>
      <c r="N148" s="137"/>
      <c r="O148" s="137"/>
      <c r="P148" s="137"/>
      <c r="Q148" s="59">
        <v>0</v>
      </c>
      <c r="R148" s="59" t="s">
        <v>143</v>
      </c>
      <c r="S148" s="38"/>
      <c r="T148" s="475"/>
      <c r="U148" s="196"/>
      <c r="V148" s="196"/>
      <c r="W148" s="196"/>
      <c r="X148" s="196"/>
      <c r="Y148" s="196"/>
      <c r="Z148" s="196"/>
      <c r="AA148" s="196"/>
      <c r="AB148" s="196"/>
      <c r="AC148" s="196"/>
      <c r="AD148" s="196"/>
      <c r="AE148" s="196"/>
      <c r="AF148" s="61"/>
      <c r="AG148" s="41">
        <v>44285</v>
      </c>
      <c r="AH148" s="478" t="s">
        <v>199</v>
      </c>
      <c r="AI148" s="86">
        <v>0</v>
      </c>
      <c r="AJ148" s="63">
        <f>AI148-Q148</f>
        <v>0</v>
      </c>
      <c r="AK148" s="63"/>
      <c r="AL148" s="86"/>
      <c r="AM148" s="86"/>
      <c r="AN148" s="86"/>
      <c r="AO148" s="86"/>
      <c r="AP148" s="86">
        <v>6.4000000000000003E-3</v>
      </c>
      <c r="AQ148" s="63"/>
      <c r="AR148" s="61">
        <f>(AJ148+AP148)</f>
        <v>6.4000000000000003E-3</v>
      </c>
      <c r="AS148" s="61">
        <f>(AP148-AJ148)</f>
        <v>6.4000000000000003E-3</v>
      </c>
      <c r="AT148" s="40">
        <f t="shared" ref="AT148:AT162" si="257">MAX(AR148:AS148)</f>
        <v>6.4000000000000003E-3</v>
      </c>
      <c r="AU148" s="43">
        <f t="shared" ref="AU148:AU157" si="258">YEARFRAC(S148,AG148)</f>
        <v>121.25</v>
      </c>
      <c r="AV148" s="44">
        <f t="shared" si="255"/>
        <v>6.4000000000000003E-3</v>
      </c>
      <c r="AW148" s="98">
        <f t="shared" si="14"/>
        <v>5.2783505154639181E-5</v>
      </c>
      <c r="AX148" s="46">
        <f t="shared" si="256"/>
        <v>757.81249999999989</v>
      </c>
      <c r="AY148" s="74" t="str">
        <f t="shared" ref="AY148:AY157" si="259">IF(AX148&lt;=1,"UN AÑO",IF(AX148&gt;=1,"DOS AÑOS"))</f>
        <v>DOS AÑOS</v>
      </c>
      <c r="AZ148" s="406"/>
      <c r="BA148" s="409" t="s">
        <v>62</v>
      </c>
      <c r="BB148" s="138"/>
      <c r="BC148" s="184"/>
      <c r="BD148" s="127"/>
    </row>
    <row r="149" spans="2:56" x14ac:dyDescent="0.25">
      <c r="B149" s="532"/>
      <c r="C149" s="535"/>
      <c r="D149" s="419"/>
      <c r="E149" s="419"/>
      <c r="F149" s="529"/>
      <c r="G149" s="473"/>
      <c r="H149" s="473"/>
      <c r="I149" s="139">
        <v>0.04</v>
      </c>
      <c r="J149" s="470"/>
      <c r="K149" s="140"/>
      <c r="L149" s="140"/>
      <c r="M149" s="140"/>
      <c r="N149" s="140"/>
      <c r="O149" s="140"/>
      <c r="P149" s="140"/>
      <c r="Q149" s="37">
        <v>0.5</v>
      </c>
      <c r="R149" s="37" t="s">
        <v>143</v>
      </c>
      <c r="S149" s="38"/>
      <c r="T149" s="476"/>
      <c r="U149" s="99"/>
      <c r="V149" s="99"/>
      <c r="W149" s="99"/>
      <c r="X149" s="99"/>
      <c r="Y149" s="99"/>
      <c r="Z149" s="99"/>
      <c r="AA149" s="99"/>
      <c r="AB149" s="99"/>
      <c r="AC149" s="99"/>
      <c r="AD149" s="40"/>
      <c r="AE149" s="40"/>
      <c r="AF149" s="40"/>
      <c r="AG149" s="41">
        <v>44285</v>
      </c>
      <c r="AH149" s="479"/>
      <c r="AI149" s="97">
        <v>0.505</v>
      </c>
      <c r="AJ149" s="42">
        <f t="shared" ref="AJ149:AJ157" si="260">AI149-Q149</f>
        <v>5.0000000000000044E-3</v>
      </c>
      <c r="AK149" s="42"/>
      <c r="AL149" s="97"/>
      <c r="AM149" s="97"/>
      <c r="AN149" s="97"/>
      <c r="AO149" s="97"/>
      <c r="AP149" s="97">
        <v>6.4000000000000003E-3</v>
      </c>
      <c r="AQ149" s="42"/>
      <c r="AR149" s="40">
        <f t="shared" ref="AR149:AR157" si="261">(AJ149+AP149)</f>
        <v>1.1400000000000004E-2</v>
      </c>
      <c r="AS149" s="40">
        <f>(AP149-AJ149)</f>
        <v>1.3999999999999959E-3</v>
      </c>
      <c r="AT149" s="40">
        <f t="shared" si="257"/>
        <v>1.1400000000000004E-2</v>
      </c>
      <c r="AU149" s="43">
        <f t="shared" si="258"/>
        <v>121.25</v>
      </c>
      <c r="AV149" s="44">
        <f t="shared" si="255"/>
        <v>1.1400000000000004E-2</v>
      </c>
      <c r="AW149" s="98">
        <f t="shared" si="14"/>
        <v>9.4020618556701069E-5</v>
      </c>
      <c r="AX149" s="46">
        <f t="shared" si="256"/>
        <v>425.43859649122788</v>
      </c>
      <c r="AY149" s="74" t="str">
        <f t="shared" si="259"/>
        <v>DOS AÑOS</v>
      </c>
      <c r="AZ149" s="407"/>
      <c r="BA149" s="410"/>
      <c r="BB149" s="142"/>
      <c r="BC149" s="185"/>
      <c r="BD149" s="131"/>
    </row>
    <row r="150" spans="2:56" x14ac:dyDescent="0.25">
      <c r="B150" s="532"/>
      <c r="C150" s="535"/>
      <c r="D150" s="419"/>
      <c r="E150" s="419"/>
      <c r="F150" s="529"/>
      <c r="G150" s="473"/>
      <c r="H150" s="473"/>
      <c r="I150" s="139">
        <v>0.04</v>
      </c>
      <c r="J150" s="470"/>
      <c r="K150" s="140"/>
      <c r="L150" s="140"/>
      <c r="M150" s="140"/>
      <c r="N150" s="140"/>
      <c r="O150" s="140"/>
      <c r="P150" s="140"/>
      <c r="Q150" s="37">
        <v>1</v>
      </c>
      <c r="R150" s="37" t="s">
        <v>143</v>
      </c>
      <c r="S150" s="38"/>
      <c r="T150" s="476"/>
      <c r="U150" s="182"/>
      <c r="V150" s="182"/>
      <c r="W150" s="182"/>
      <c r="X150" s="182"/>
      <c r="Y150" s="182"/>
      <c r="Z150" s="182"/>
      <c r="AA150" s="182"/>
      <c r="AB150" s="182"/>
      <c r="AC150" s="182"/>
      <c r="AD150" s="182"/>
      <c r="AE150" s="182"/>
      <c r="AF150" s="40"/>
      <c r="AG150" s="41">
        <v>44285</v>
      </c>
      <c r="AH150" s="479"/>
      <c r="AI150" s="97">
        <v>0.99</v>
      </c>
      <c r="AJ150" s="42">
        <f t="shared" si="260"/>
        <v>-1.0000000000000009E-2</v>
      </c>
      <c r="AK150" s="42"/>
      <c r="AL150" s="97"/>
      <c r="AM150" s="97"/>
      <c r="AN150" s="97"/>
      <c r="AO150" s="97"/>
      <c r="AP150" s="97">
        <v>6.4000000000000003E-3</v>
      </c>
      <c r="AQ150" s="42"/>
      <c r="AR150" s="40">
        <f t="shared" si="261"/>
        <v>-3.6000000000000086E-3</v>
      </c>
      <c r="AS150" s="40">
        <f t="shared" ref="AS150:AS157" si="262">(AP150-AJ150)</f>
        <v>1.6400000000000008E-2</v>
      </c>
      <c r="AT150" s="40">
        <f t="shared" si="257"/>
        <v>1.6400000000000008E-2</v>
      </c>
      <c r="AU150" s="43">
        <f t="shared" si="258"/>
        <v>121.25</v>
      </c>
      <c r="AV150" s="44">
        <f t="shared" si="255"/>
        <v>1.6400000000000008E-2</v>
      </c>
      <c r="AW150" s="98">
        <f t="shared" si="14"/>
        <v>1.3525773195876295E-4</v>
      </c>
      <c r="AX150" s="46">
        <f t="shared" si="256"/>
        <v>295.73170731707302</v>
      </c>
      <c r="AY150" s="74" t="str">
        <f t="shared" si="259"/>
        <v>DOS AÑOS</v>
      </c>
      <c r="AZ150" s="407"/>
      <c r="BA150" s="410"/>
      <c r="BB150" s="142"/>
      <c r="BC150" s="185"/>
      <c r="BD150" s="131"/>
    </row>
    <row r="151" spans="2:56" x14ac:dyDescent="0.25">
      <c r="B151" s="532"/>
      <c r="C151" s="535"/>
      <c r="D151" s="419"/>
      <c r="E151" s="419"/>
      <c r="F151" s="529"/>
      <c r="G151" s="473"/>
      <c r="H151" s="473"/>
      <c r="I151" s="139">
        <v>0.04</v>
      </c>
      <c r="J151" s="470"/>
      <c r="K151" s="140"/>
      <c r="L151" s="140"/>
      <c r="M151" s="140"/>
      <c r="N151" s="140"/>
      <c r="O151" s="140"/>
      <c r="P151" s="140"/>
      <c r="Q151" s="37">
        <v>1.6</v>
      </c>
      <c r="R151" s="37" t="s">
        <v>143</v>
      </c>
      <c r="S151" s="38"/>
      <c r="T151" s="476"/>
      <c r="U151" s="182"/>
      <c r="V151" s="182"/>
      <c r="W151" s="182"/>
      <c r="X151" s="182"/>
      <c r="Y151" s="182"/>
      <c r="Z151" s="182"/>
      <c r="AA151" s="182"/>
      <c r="AB151" s="182"/>
      <c r="AC151" s="182"/>
      <c r="AD151" s="182"/>
      <c r="AE151" s="182"/>
      <c r="AF151" s="40"/>
      <c r="AG151" s="41">
        <v>44285</v>
      </c>
      <c r="AH151" s="479"/>
      <c r="AI151" s="97">
        <v>1.6</v>
      </c>
      <c r="AJ151" s="42">
        <f t="shared" si="260"/>
        <v>0</v>
      </c>
      <c r="AK151" s="42"/>
      <c r="AL151" s="97"/>
      <c r="AM151" s="97"/>
      <c r="AN151" s="97"/>
      <c r="AO151" s="97"/>
      <c r="AP151" s="97">
        <v>6.4000000000000003E-3</v>
      </c>
      <c r="AQ151" s="42"/>
      <c r="AR151" s="40">
        <f t="shared" si="261"/>
        <v>6.4000000000000003E-3</v>
      </c>
      <c r="AS151" s="40">
        <f t="shared" si="262"/>
        <v>6.4000000000000003E-3</v>
      </c>
      <c r="AT151" s="40">
        <f t="shared" si="257"/>
        <v>6.4000000000000003E-3</v>
      </c>
      <c r="AU151" s="43">
        <f t="shared" si="258"/>
        <v>121.25</v>
      </c>
      <c r="AV151" s="44">
        <f t="shared" si="255"/>
        <v>6.4000000000000003E-3</v>
      </c>
      <c r="AW151" s="98">
        <f t="shared" si="14"/>
        <v>5.2783505154639181E-5</v>
      </c>
      <c r="AX151" s="46">
        <f t="shared" si="256"/>
        <v>757.81249999999989</v>
      </c>
      <c r="AY151" s="74" t="str">
        <f t="shared" si="259"/>
        <v>DOS AÑOS</v>
      </c>
      <c r="AZ151" s="407"/>
      <c r="BA151" s="410"/>
      <c r="BB151" s="142"/>
      <c r="BC151" s="185"/>
      <c r="BD151" s="131"/>
    </row>
    <row r="152" spans="2:56" x14ac:dyDescent="0.25">
      <c r="B152" s="532"/>
      <c r="C152" s="535"/>
      <c r="D152" s="419"/>
      <c r="E152" s="419"/>
      <c r="F152" s="529"/>
      <c r="G152" s="473"/>
      <c r="H152" s="473"/>
      <c r="I152" s="139">
        <v>0.04</v>
      </c>
      <c r="J152" s="470"/>
      <c r="K152" s="140"/>
      <c r="L152" s="140"/>
      <c r="M152" s="140"/>
      <c r="N152" s="140"/>
      <c r="O152" s="140"/>
      <c r="P152" s="140"/>
      <c r="Q152" s="37">
        <v>2</v>
      </c>
      <c r="R152" s="37" t="s">
        <v>143</v>
      </c>
      <c r="S152" s="38"/>
      <c r="T152" s="476"/>
      <c r="U152" s="182"/>
      <c r="V152" s="182"/>
      <c r="W152" s="182"/>
      <c r="X152" s="182"/>
      <c r="Y152" s="182"/>
      <c r="Z152" s="182"/>
      <c r="AA152" s="182"/>
      <c r="AB152" s="182"/>
      <c r="AC152" s="182"/>
      <c r="AD152" s="182"/>
      <c r="AE152" s="182"/>
      <c r="AF152" s="40"/>
      <c r="AG152" s="41">
        <v>44285</v>
      </c>
      <c r="AH152" s="479"/>
      <c r="AI152" s="97">
        <v>1.9850000000000001</v>
      </c>
      <c r="AJ152" s="42">
        <f t="shared" si="260"/>
        <v>-1.4999999999999902E-2</v>
      </c>
      <c r="AK152" s="42"/>
      <c r="AL152" s="97"/>
      <c r="AM152" s="97"/>
      <c r="AN152" s="97"/>
      <c r="AO152" s="97"/>
      <c r="AP152" s="97">
        <v>6.4000000000000003E-3</v>
      </c>
      <c r="AQ152" s="42"/>
      <c r="AR152" s="40">
        <f t="shared" si="261"/>
        <v>-8.5999999999999029E-3</v>
      </c>
      <c r="AS152" s="40">
        <f t="shared" si="262"/>
        <v>2.1399999999999902E-2</v>
      </c>
      <c r="AT152" s="40">
        <f t="shared" si="257"/>
        <v>2.1399999999999902E-2</v>
      </c>
      <c r="AU152" s="43">
        <f t="shared" si="258"/>
        <v>121.25</v>
      </c>
      <c r="AV152" s="44">
        <f t="shared" si="255"/>
        <v>2.1399999999999902E-2</v>
      </c>
      <c r="AW152" s="98">
        <f t="shared" si="14"/>
        <v>1.7649484536082393E-4</v>
      </c>
      <c r="AX152" s="46">
        <f t="shared" si="256"/>
        <v>226.63551401869265</v>
      </c>
      <c r="AY152" s="74" t="str">
        <f t="shared" si="259"/>
        <v>DOS AÑOS</v>
      </c>
      <c r="AZ152" s="407"/>
      <c r="BA152" s="410"/>
      <c r="BB152" s="142"/>
      <c r="BC152" s="185"/>
      <c r="BD152" s="131"/>
    </row>
    <row r="153" spans="2:56" x14ac:dyDescent="0.25">
      <c r="B153" s="532"/>
      <c r="C153" s="535"/>
      <c r="D153" s="419"/>
      <c r="E153" s="419"/>
      <c r="F153" s="529"/>
      <c r="G153" s="473"/>
      <c r="H153" s="473"/>
      <c r="I153" s="139">
        <v>0.04</v>
      </c>
      <c r="J153" s="470"/>
      <c r="K153" s="140"/>
      <c r="L153" s="140"/>
      <c r="M153" s="140"/>
      <c r="N153" s="140"/>
      <c r="O153" s="140"/>
      <c r="P153" s="140"/>
      <c r="Q153" s="37">
        <v>5</v>
      </c>
      <c r="R153" s="37" t="s">
        <v>143</v>
      </c>
      <c r="S153" s="38"/>
      <c r="T153" s="476"/>
      <c r="U153" s="99"/>
      <c r="V153" s="99"/>
      <c r="W153" s="99"/>
      <c r="X153" s="99"/>
      <c r="Y153" s="99"/>
      <c r="Z153" s="99"/>
      <c r="AA153" s="99"/>
      <c r="AB153" s="99"/>
      <c r="AC153" s="99"/>
      <c r="AD153" s="40"/>
      <c r="AE153" s="40"/>
      <c r="AF153" s="40"/>
      <c r="AG153" s="41">
        <v>44285</v>
      </c>
      <c r="AH153" s="479"/>
      <c r="AI153" s="97">
        <v>5</v>
      </c>
      <c r="AJ153" s="42">
        <f t="shared" si="260"/>
        <v>0</v>
      </c>
      <c r="AK153" s="42"/>
      <c r="AL153" s="97"/>
      <c r="AM153" s="97"/>
      <c r="AN153" s="97"/>
      <c r="AO153" s="97"/>
      <c r="AP153" s="97">
        <v>6.4000000000000003E-3</v>
      </c>
      <c r="AQ153" s="42"/>
      <c r="AR153" s="40">
        <f t="shared" si="261"/>
        <v>6.4000000000000003E-3</v>
      </c>
      <c r="AS153" s="40">
        <f t="shared" si="262"/>
        <v>6.4000000000000003E-3</v>
      </c>
      <c r="AT153" s="40">
        <f t="shared" si="257"/>
        <v>6.4000000000000003E-3</v>
      </c>
      <c r="AU153" s="43">
        <f t="shared" si="258"/>
        <v>121.25</v>
      </c>
      <c r="AV153" s="44">
        <f t="shared" si="255"/>
        <v>6.4000000000000003E-3</v>
      </c>
      <c r="AW153" s="98">
        <f t="shared" si="14"/>
        <v>5.2783505154639181E-5</v>
      </c>
      <c r="AX153" s="46">
        <f t="shared" si="256"/>
        <v>757.81249999999989</v>
      </c>
      <c r="AY153" s="74" t="str">
        <f t="shared" si="259"/>
        <v>DOS AÑOS</v>
      </c>
      <c r="AZ153" s="407"/>
      <c r="BA153" s="410"/>
      <c r="BB153" s="142"/>
      <c r="BC153" s="185"/>
      <c r="BD153" s="131"/>
    </row>
    <row r="154" spans="2:56" x14ac:dyDescent="0.25">
      <c r="B154" s="532"/>
      <c r="C154" s="535"/>
      <c r="D154" s="419"/>
      <c r="E154" s="419"/>
      <c r="F154" s="529"/>
      <c r="G154" s="473"/>
      <c r="H154" s="473"/>
      <c r="I154" s="139">
        <v>0.04</v>
      </c>
      <c r="J154" s="470"/>
      <c r="K154" s="140"/>
      <c r="L154" s="140"/>
      <c r="M154" s="140"/>
      <c r="N154" s="140"/>
      <c r="O154" s="140"/>
      <c r="P154" s="140"/>
      <c r="Q154" s="37">
        <v>10</v>
      </c>
      <c r="R154" s="37" t="s">
        <v>143</v>
      </c>
      <c r="S154" s="38"/>
      <c r="T154" s="476"/>
      <c r="U154" s="126"/>
      <c r="V154" s="99"/>
      <c r="W154" s="99"/>
      <c r="X154" s="99"/>
      <c r="Y154" s="99"/>
      <c r="Z154" s="99"/>
      <c r="AA154" s="99"/>
      <c r="AB154" s="99"/>
      <c r="AC154" s="99"/>
      <c r="AD154" s="40"/>
      <c r="AE154" s="40"/>
      <c r="AF154" s="40"/>
      <c r="AG154" s="41">
        <v>44285</v>
      </c>
      <c r="AH154" s="479"/>
      <c r="AI154" s="97">
        <v>10</v>
      </c>
      <c r="AJ154" s="42">
        <f t="shared" si="260"/>
        <v>0</v>
      </c>
      <c r="AK154" s="42"/>
      <c r="AL154" s="97"/>
      <c r="AM154" s="97"/>
      <c r="AN154" s="97"/>
      <c r="AO154" s="97"/>
      <c r="AP154" s="97">
        <v>6.4000000000000003E-3</v>
      </c>
      <c r="AQ154" s="42"/>
      <c r="AR154" s="40">
        <f t="shared" si="261"/>
        <v>6.4000000000000003E-3</v>
      </c>
      <c r="AS154" s="40">
        <f t="shared" si="262"/>
        <v>6.4000000000000003E-3</v>
      </c>
      <c r="AT154" s="40">
        <f t="shared" si="257"/>
        <v>6.4000000000000003E-3</v>
      </c>
      <c r="AU154" s="43">
        <f t="shared" si="258"/>
        <v>121.25</v>
      </c>
      <c r="AV154" s="44">
        <f t="shared" si="255"/>
        <v>6.4000000000000003E-3</v>
      </c>
      <c r="AW154" s="98">
        <f t="shared" si="14"/>
        <v>5.2783505154639181E-5</v>
      </c>
      <c r="AX154" s="46">
        <f t="shared" si="256"/>
        <v>757.81249999999989</v>
      </c>
      <c r="AY154" s="74" t="str">
        <f t="shared" si="259"/>
        <v>DOS AÑOS</v>
      </c>
      <c r="AZ154" s="407"/>
      <c r="BA154" s="410"/>
      <c r="BB154" s="142"/>
      <c r="BC154" s="185"/>
      <c r="BD154" s="131"/>
    </row>
    <row r="155" spans="2:56" x14ac:dyDescent="0.25">
      <c r="B155" s="532"/>
      <c r="C155" s="535"/>
      <c r="D155" s="419"/>
      <c r="E155" s="419"/>
      <c r="F155" s="529"/>
      <c r="G155" s="473"/>
      <c r="H155" s="473"/>
      <c r="I155" s="139">
        <v>0.04</v>
      </c>
      <c r="J155" s="470"/>
      <c r="K155" s="140"/>
      <c r="L155" s="140"/>
      <c r="M155" s="140"/>
      <c r="N155" s="140"/>
      <c r="O155" s="140"/>
      <c r="P155" s="140"/>
      <c r="Q155" s="37">
        <v>15</v>
      </c>
      <c r="R155" s="37" t="s">
        <v>143</v>
      </c>
      <c r="S155" s="38"/>
      <c r="T155" s="476"/>
      <c r="U155" s="99"/>
      <c r="V155" s="99"/>
      <c r="W155" s="99"/>
      <c r="X155" s="99"/>
      <c r="Y155" s="99"/>
      <c r="Z155" s="99"/>
      <c r="AA155" s="99"/>
      <c r="AB155" s="99"/>
      <c r="AC155" s="99"/>
      <c r="AD155" s="40"/>
      <c r="AE155" s="40"/>
      <c r="AF155" s="40"/>
      <c r="AG155" s="41">
        <v>44285</v>
      </c>
      <c r="AH155" s="479"/>
      <c r="AI155" s="97">
        <v>15</v>
      </c>
      <c r="AJ155" s="42">
        <f t="shared" si="260"/>
        <v>0</v>
      </c>
      <c r="AK155" s="42"/>
      <c r="AL155" s="97"/>
      <c r="AM155" s="97"/>
      <c r="AN155" s="97"/>
      <c r="AO155" s="97"/>
      <c r="AP155" s="97">
        <v>6.4000000000000003E-3</v>
      </c>
      <c r="AQ155" s="42"/>
      <c r="AR155" s="40">
        <f t="shared" si="261"/>
        <v>6.4000000000000003E-3</v>
      </c>
      <c r="AS155" s="40">
        <f t="shared" si="262"/>
        <v>6.4000000000000003E-3</v>
      </c>
      <c r="AT155" s="40">
        <f t="shared" si="257"/>
        <v>6.4000000000000003E-3</v>
      </c>
      <c r="AU155" s="43">
        <f t="shared" si="258"/>
        <v>121.25</v>
      </c>
      <c r="AV155" s="44">
        <f t="shared" si="255"/>
        <v>6.4000000000000003E-3</v>
      </c>
      <c r="AW155" s="98">
        <f t="shared" si="14"/>
        <v>5.2783505154639181E-5</v>
      </c>
      <c r="AX155" s="46">
        <f t="shared" si="256"/>
        <v>757.81249999999989</v>
      </c>
      <c r="AY155" s="74" t="str">
        <f t="shared" si="259"/>
        <v>DOS AÑOS</v>
      </c>
      <c r="AZ155" s="407"/>
      <c r="BA155" s="410"/>
      <c r="BB155" s="142"/>
      <c r="BC155" s="185"/>
      <c r="BD155" s="131"/>
    </row>
    <row r="156" spans="2:56" x14ac:dyDescent="0.25">
      <c r="B156" s="532"/>
      <c r="C156" s="535"/>
      <c r="D156" s="419"/>
      <c r="E156" s="419"/>
      <c r="F156" s="529"/>
      <c r="G156" s="473"/>
      <c r="H156" s="473"/>
      <c r="I156" s="139">
        <v>0.04</v>
      </c>
      <c r="J156" s="470"/>
      <c r="K156" s="140"/>
      <c r="L156" s="140"/>
      <c r="M156" s="140"/>
      <c r="N156" s="140"/>
      <c r="O156" s="140"/>
      <c r="P156" s="140"/>
      <c r="Q156" s="37">
        <v>17</v>
      </c>
      <c r="R156" s="37" t="s">
        <v>143</v>
      </c>
      <c r="S156" s="38"/>
      <c r="T156" s="476"/>
      <c r="U156" s="99"/>
      <c r="V156" s="99"/>
      <c r="W156" s="99"/>
      <c r="X156" s="99"/>
      <c r="Y156" s="99"/>
      <c r="Z156" s="99"/>
      <c r="AA156" s="99"/>
      <c r="AB156" s="99"/>
      <c r="AC156" s="99"/>
      <c r="AD156" s="40"/>
      <c r="AE156" s="40"/>
      <c r="AF156" s="40"/>
      <c r="AG156" s="41">
        <v>44285</v>
      </c>
      <c r="AH156" s="479"/>
      <c r="AI156" s="97">
        <v>16.989999999999998</v>
      </c>
      <c r="AJ156" s="42">
        <f t="shared" si="260"/>
        <v>-1.0000000000001563E-2</v>
      </c>
      <c r="AK156" s="42"/>
      <c r="AL156" s="97"/>
      <c r="AM156" s="97"/>
      <c r="AN156" s="97"/>
      <c r="AO156" s="97"/>
      <c r="AP156" s="97">
        <v>6.4000000000000003E-3</v>
      </c>
      <c r="AQ156" s="42"/>
      <c r="AR156" s="40">
        <f t="shared" si="261"/>
        <v>-3.6000000000015629E-3</v>
      </c>
      <c r="AS156" s="40">
        <f t="shared" si="262"/>
        <v>1.6400000000001563E-2</v>
      </c>
      <c r="AT156" s="40">
        <f t="shared" si="257"/>
        <v>1.6400000000001563E-2</v>
      </c>
      <c r="AU156" s="43">
        <f t="shared" si="258"/>
        <v>121.25</v>
      </c>
      <c r="AV156" s="44">
        <f t="shared" si="255"/>
        <v>1.6400000000001563E-2</v>
      </c>
      <c r="AW156" s="98">
        <f t="shared" si="14"/>
        <v>1.3525773195877577E-4</v>
      </c>
      <c r="AX156" s="46">
        <f t="shared" si="256"/>
        <v>295.73170731704499</v>
      </c>
      <c r="AY156" s="74" t="str">
        <f t="shared" si="259"/>
        <v>DOS AÑOS</v>
      </c>
      <c r="AZ156" s="407"/>
      <c r="BA156" s="410"/>
      <c r="BB156" s="142"/>
      <c r="BC156" s="185"/>
      <c r="BD156" s="131"/>
    </row>
    <row r="157" spans="2:56" ht="15.75" thickBot="1" x14ac:dyDescent="0.3">
      <c r="B157" s="533"/>
      <c r="C157" s="536"/>
      <c r="D157" s="421"/>
      <c r="E157" s="421"/>
      <c r="F157" s="530"/>
      <c r="G157" s="474"/>
      <c r="H157" s="474"/>
      <c r="I157" s="146">
        <v>0.04</v>
      </c>
      <c r="J157" s="471"/>
      <c r="K157" s="147"/>
      <c r="L157" s="147"/>
      <c r="M157" s="147"/>
      <c r="N157" s="147"/>
      <c r="O157" s="147"/>
      <c r="P157" s="147"/>
      <c r="Q157" s="48">
        <v>20</v>
      </c>
      <c r="R157" s="48" t="s">
        <v>143</v>
      </c>
      <c r="S157" s="38"/>
      <c r="T157" s="477"/>
      <c r="U157" s="183"/>
      <c r="V157" s="183"/>
      <c r="W157" s="183"/>
      <c r="X157" s="183"/>
      <c r="Y157" s="183"/>
      <c r="Z157" s="183"/>
      <c r="AA157" s="183"/>
      <c r="AB157" s="183"/>
      <c r="AC157" s="183"/>
      <c r="AD157" s="183"/>
      <c r="AE157" s="183"/>
      <c r="AF157" s="50"/>
      <c r="AG157" s="41">
        <v>44285</v>
      </c>
      <c r="AH157" s="480"/>
      <c r="AI157" s="124">
        <v>20</v>
      </c>
      <c r="AJ157" s="51">
        <f t="shared" si="260"/>
        <v>0</v>
      </c>
      <c r="AK157" s="51"/>
      <c r="AL157" s="124"/>
      <c r="AM157" s="124"/>
      <c r="AN157" s="124"/>
      <c r="AO157" s="124"/>
      <c r="AP157" s="124">
        <v>6.4000000000000003E-3</v>
      </c>
      <c r="AQ157" s="51"/>
      <c r="AR157" s="50">
        <f t="shared" si="261"/>
        <v>6.4000000000000003E-3</v>
      </c>
      <c r="AS157" s="40">
        <f t="shared" si="262"/>
        <v>6.4000000000000003E-3</v>
      </c>
      <c r="AT157" s="40">
        <f t="shared" si="257"/>
        <v>6.4000000000000003E-3</v>
      </c>
      <c r="AU157" s="43">
        <f t="shared" si="258"/>
        <v>121.25</v>
      </c>
      <c r="AV157" s="44">
        <f t="shared" si="255"/>
        <v>6.4000000000000003E-3</v>
      </c>
      <c r="AW157" s="98">
        <f t="shared" si="14"/>
        <v>5.2783505154639181E-5</v>
      </c>
      <c r="AX157" s="46">
        <f t="shared" si="256"/>
        <v>757.81249999999989</v>
      </c>
      <c r="AY157" s="74" t="str">
        <f t="shared" si="259"/>
        <v>DOS AÑOS</v>
      </c>
      <c r="AZ157" s="408"/>
      <c r="BA157" s="411"/>
      <c r="BB157" s="149"/>
      <c r="BC157" s="186"/>
      <c r="BD157" s="132"/>
    </row>
    <row r="158" spans="2:56" ht="0.75" customHeight="1" thickBot="1" x14ac:dyDescent="0.3">
      <c r="B158" s="531" t="s">
        <v>181</v>
      </c>
      <c r="C158" s="534" t="s">
        <v>66</v>
      </c>
      <c r="D158" s="460" t="s">
        <v>124</v>
      </c>
      <c r="E158" s="460" t="s">
        <v>125</v>
      </c>
      <c r="F158" s="484" t="s">
        <v>127</v>
      </c>
      <c r="G158" s="472" t="s">
        <v>67</v>
      </c>
      <c r="H158" s="399" t="s">
        <v>195</v>
      </c>
      <c r="I158" s="57">
        <v>5</v>
      </c>
      <c r="J158" s="468" t="s">
        <v>20</v>
      </c>
      <c r="K158" s="58" t="s">
        <v>76</v>
      </c>
      <c r="L158" s="433" t="s">
        <v>20</v>
      </c>
      <c r="M158" s="58" t="s">
        <v>76</v>
      </c>
      <c r="N158" s="433" t="s">
        <v>20</v>
      </c>
      <c r="O158" s="58" t="s">
        <v>76</v>
      </c>
      <c r="P158" s="433" t="s">
        <v>20</v>
      </c>
      <c r="Q158" s="59">
        <v>40</v>
      </c>
      <c r="R158" s="84" t="s">
        <v>89</v>
      </c>
      <c r="S158" s="60">
        <v>43839</v>
      </c>
      <c r="T158" s="436">
        <v>89921201005</v>
      </c>
      <c r="U158" s="143">
        <v>40.4</v>
      </c>
      <c r="V158" s="143">
        <f>Q158-U158</f>
        <v>-0.39999999999999858</v>
      </c>
      <c r="W158" s="143">
        <f>V158*100/Q158</f>
        <v>-0.99999999999999645</v>
      </c>
      <c r="X158" s="143" t="s">
        <v>76</v>
      </c>
      <c r="Y158" s="143" t="s">
        <v>76</v>
      </c>
      <c r="Z158" s="143" t="s">
        <v>76</v>
      </c>
      <c r="AA158" s="143" t="s">
        <v>76</v>
      </c>
      <c r="AB158" s="143">
        <v>1.45</v>
      </c>
      <c r="AC158" s="143">
        <f>AB158*100/Q158</f>
        <v>3.625</v>
      </c>
      <c r="AD158" s="61">
        <f>(V158+AC158)</f>
        <v>3.2250000000000014</v>
      </c>
      <c r="AE158" s="61">
        <f>(V158-AC158)</f>
        <v>-4.0249999999999986</v>
      </c>
      <c r="AF158" s="61">
        <f t="shared" si="247"/>
        <v>3.2250000000000014</v>
      </c>
      <c r="AG158" s="62">
        <v>44207</v>
      </c>
      <c r="AH158" s="580">
        <v>8992211012</v>
      </c>
      <c r="AI158" s="86">
        <v>39.799999999999997</v>
      </c>
      <c r="AJ158" s="86">
        <f>Q158-AI158</f>
        <v>0.20000000000000284</v>
      </c>
      <c r="AK158" s="86">
        <f>AJ158*100/Q158</f>
        <v>0.50000000000000711</v>
      </c>
      <c r="AL158" s="86" t="s">
        <v>76</v>
      </c>
      <c r="AM158" s="86" t="s">
        <v>76</v>
      </c>
      <c r="AN158" s="86" t="s">
        <v>76</v>
      </c>
      <c r="AO158" s="86" t="s">
        <v>76</v>
      </c>
      <c r="AP158" s="144">
        <v>1.48</v>
      </c>
      <c r="AQ158" s="144">
        <f>AP158*100/Q158</f>
        <v>3.7</v>
      </c>
      <c r="AR158" s="61">
        <f>(AJ158+AQ158)</f>
        <v>3.900000000000003</v>
      </c>
      <c r="AS158" s="61">
        <f>(AJ158-AQ158)</f>
        <v>-3.4999999999999973</v>
      </c>
      <c r="AT158" s="40">
        <f t="shared" si="257"/>
        <v>3.900000000000003</v>
      </c>
      <c r="AU158" s="43">
        <f t="shared" ref="AU158:AU162" si="263">YEARFRAC(S158,AG158)</f>
        <v>1.0055555555555555</v>
      </c>
      <c r="AV158" s="44">
        <f t="shared" ref="AV158:AV162" si="264">ABS(AT158-AF158)</f>
        <v>0.6750000000000016</v>
      </c>
      <c r="AW158" s="98">
        <f t="shared" ref="AW158:AW162" si="265">(AV158/AU158)</f>
        <v>0.67127071823204576</v>
      </c>
      <c r="AX158" s="46">
        <f t="shared" ref="AX158:AX162" si="266">(I158/AW158)</f>
        <v>7.4485596707818758</v>
      </c>
      <c r="AY158" s="74" t="str">
        <f t="shared" ref="AY158:AY162" si="267">IF(AX158&lt;=1,"UN AÑO",IF(AX158&gt;=1,"DOS AÑOS"))</f>
        <v>DOS AÑOS</v>
      </c>
      <c r="AZ158" s="491" t="s">
        <v>66</v>
      </c>
      <c r="BA158" s="464" t="s">
        <v>62</v>
      </c>
      <c r="BB158" s="494" t="s">
        <v>36</v>
      </c>
      <c r="BC158" s="133"/>
      <c r="BD158" s="500">
        <f>BC203</f>
        <v>0</v>
      </c>
    </row>
    <row r="159" spans="2:56" ht="15.75" hidden="1" customHeight="1" thickBot="1" x14ac:dyDescent="0.3">
      <c r="B159" s="532"/>
      <c r="C159" s="535"/>
      <c r="D159" s="462"/>
      <c r="E159" s="462"/>
      <c r="F159" s="486"/>
      <c r="G159" s="473"/>
      <c r="H159" s="401"/>
      <c r="I159" s="71">
        <v>5</v>
      </c>
      <c r="J159" s="470"/>
      <c r="K159" s="73" t="s">
        <v>76</v>
      </c>
      <c r="L159" s="434"/>
      <c r="M159" s="73" t="s">
        <v>76</v>
      </c>
      <c r="N159" s="434"/>
      <c r="O159" s="73" t="s">
        <v>76</v>
      </c>
      <c r="P159" s="434"/>
      <c r="Q159" s="37">
        <v>60</v>
      </c>
      <c r="R159" s="95" t="s">
        <v>89</v>
      </c>
      <c r="S159" s="38">
        <v>43839</v>
      </c>
      <c r="T159" s="438"/>
      <c r="U159" s="99">
        <v>59.6</v>
      </c>
      <c r="V159" s="99">
        <f t="shared" ref="V159:V160" si="268">Q159-U159</f>
        <v>0.39999999999999858</v>
      </c>
      <c r="W159" s="99">
        <f t="shared" ref="W159:W160" si="269">V159*100/Q159</f>
        <v>0.6666666666666643</v>
      </c>
      <c r="X159" s="99" t="s">
        <v>76</v>
      </c>
      <c r="Y159" s="99" t="s">
        <v>76</v>
      </c>
      <c r="Z159" s="99" t="s">
        <v>76</v>
      </c>
      <c r="AA159" s="99" t="s">
        <v>76</v>
      </c>
      <c r="AB159" s="99">
        <v>1.52</v>
      </c>
      <c r="AC159" s="99">
        <f t="shared" ref="AC159:AC160" si="270">AB159*100/Q159</f>
        <v>2.5333333333333332</v>
      </c>
      <c r="AD159" s="40">
        <f t="shared" ref="AD159:AD160" si="271">(V159+AC159)</f>
        <v>2.9333333333333318</v>
      </c>
      <c r="AE159" s="40">
        <f t="shared" ref="AE159:AE160" si="272">(V159-AC159)</f>
        <v>-2.1333333333333346</v>
      </c>
      <c r="AF159" s="40">
        <f t="shared" si="247"/>
        <v>2.9333333333333318</v>
      </c>
      <c r="AG159" s="41">
        <v>44207</v>
      </c>
      <c r="AH159" s="582"/>
      <c r="AI159" s="97">
        <v>59.8</v>
      </c>
      <c r="AJ159" s="97">
        <f t="shared" ref="AJ159:AJ160" si="273">Q159-AI159</f>
        <v>0.20000000000000284</v>
      </c>
      <c r="AK159" s="97">
        <f t="shared" ref="AK159:AK160" si="274">AJ159*100/Q159</f>
        <v>0.33333333333333809</v>
      </c>
      <c r="AL159" s="97" t="s">
        <v>76</v>
      </c>
      <c r="AM159" s="97" t="s">
        <v>76</v>
      </c>
      <c r="AN159" s="97" t="s">
        <v>76</v>
      </c>
      <c r="AO159" s="97" t="s">
        <v>76</v>
      </c>
      <c r="AP159" s="97">
        <v>1.48</v>
      </c>
      <c r="AQ159" s="145">
        <f t="shared" ref="AQ159:AQ160" si="275">AP159*100/Q159</f>
        <v>2.4666666666666668</v>
      </c>
      <c r="AR159" s="40">
        <f t="shared" ref="AR159:AR160" si="276">(AJ159+AQ159)</f>
        <v>2.6666666666666696</v>
      </c>
      <c r="AS159" s="40">
        <f t="shared" ref="AS159:AS160" si="277">(AJ159-AQ159)</f>
        <v>-2.2666666666666639</v>
      </c>
      <c r="AT159" s="40">
        <f t="shared" si="257"/>
        <v>2.6666666666666696</v>
      </c>
      <c r="AU159" s="43">
        <f t="shared" si="263"/>
        <v>1.0055555555555555</v>
      </c>
      <c r="AV159" s="44">
        <f t="shared" si="264"/>
        <v>0.26666666666666217</v>
      </c>
      <c r="AW159" s="98">
        <f t="shared" si="265"/>
        <v>0.2651933701657414</v>
      </c>
      <c r="AX159" s="46">
        <f t="shared" si="266"/>
        <v>18.854166666666984</v>
      </c>
      <c r="AY159" s="74" t="str">
        <f t="shared" si="267"/>
        <v>DOS AÑOS</v>
      </c>
      <c r="AZ159" s="492"/>
      <c r="BA159" s="466"/>
      <c r="BB159" s="495"/>
      <c r="BC159" s="128">
        <f>MIN(AX143:AX164)</f>
        <v>2.5138888888888888</v>
      </c>
      <c r="BD159" s="501"/>
    </row>
    <row r="160" spans="2:56" ht="15.75" hidden="1" customHeight="1" thickBot="1" x14ac:dyDescent="0.3">
      <c r="B160" s="533"/>
      <c r="C160" s="536"/>
      <c r="D160" s="463"/>
      <c r="E160" s="463"/>
      <c r="F160" s="487"/>
      <c r="G160" s="474"/>
      <c r="H160" s="401"/>
      <c r="I160" s="111">
        <v>5</v>
      </c>
      <c r="J160" s="471"/>
      <c r="K160" s="113" t="s">
        <v>76</v>
      </c>
      <c r="L160" s="435"/>
      <c r="M160" s="113" t="s">
        <v>76</v>
      </c>
      <c r="N160" s="435"/>
      <c r="O160" s="113" t="s">
        <v>76</v>
      </c>
      <c r="P160" s="435"/>
      <c r="Q160" s="48">
        <v>100</v>
      </c>
      <c r="R160" s="118" t="s">
        <v>89</v>
      </c>
      <c r="S160" s="119">
        <v>43839</v>
      </c>
      <c r="T160" s="440"/>
      <c r="U160" s="120">
        <v>99</v>
      </c>
      <c r="V160" s="120">
        <f t="shared" si="268"/>
        <v>1</v>
      </c>
      <c r="W160" s="120">
        <f t="shared" si="269"/>
        <v>1</v>
      </c>
      <c r="X160" s="120" t="s">
        <v>76</v>
      </c>
      <c r="Y160" s="120" t="s">
        <v>76</v>
      </c>
      <c r="Z160" s="120" t="s">
        <v>76</v>
      </c>
      <c r="AA160" s="120" t="s">
        <v>76</v>
      </c>
      <c r="AB160" s="120">
        <v>1.28</v>
      </c>
      <c r="AC160" s="120">
        <f t="shared" si="270"/>
        <v>1.28</v>
      </c>
      <c r="AD160" s="50">
        <f t="shared" si="271"/>
        <v>2.2800000000000002</v>
      </c>
      <c r="AE160" s="50">
        <f t="shared" si="272"/>
        <v>-0.28000000000000003</v>
      </c>
      <c r="AF160" s="50">
        <f t="shared" si="247"/>
        <v>2.2800000000000002</v>
      </c>
      <c r="AG160" s="122">
        <v>44207</v>
      </c>
      <c r="AH160" s="583"/>
      <c r="AI160" s="124">
        <v>101</v>
      </c>
      <c r="AJ160" s="124">
        <f t="shared" si="273"/>
        <v>-1</v>
      </c>
      <c r="AK160" s="124">
        <f t="shared" si="274"/>
        <v>-1</v>
      </c>
      <c r="AL160" s="124" t="s">
        <v>76</v>
      </c>
      <c r="AM160" s="124" t="s">
        <v>76</v>
      </c>
      <c r="AN160" s="124" t="s">
        <v>76</v>
      </c>
      <c r="AO160" s="124" t="s">
        <v>76</v>
      </c>
      <c r="AP160" s="124">
        <v>1.28</v>
      </c>
      <c r="AQ160" s="148">
        <f t="shared" si="275"/>
        <v>1.28</v>
      </c>
      <c r="AR160" s="50">
        <f t="shared" si="276"/>
        <v>0.28000000000000003</v>
      </c>
      <c r="AS160" s="50">
        <f t="shared" si="277"/>
        <v>-2.2800000000000002</v>
      </c>
      <c r="AT160" s="40">
        <f t="shared" si="257"/>
        <v>0.28000000000000003</v>
      </c>
      <c r="AU160" s="43">
        <f t="shared" si="263"/>
        <v>1.0055555555555555</v>
      </c>
      <c r="AV160" s="44">
        <f t="shared" si="264"/>
        <v>2</v>
      </c>
      <c r="AW160" s="98">
        <f t="shared" si="265"/>
        <v>1.988950276243094</v>
      </c>
      <c r="AX160" s="46">
        <f t="shared" si="266"/>
        <v>2.5138888888888888</v>
      </c>
      <c r="AY160" s="74" t="str">
        <f t="shared" si="267"/>
        <v>DOS AÑOS</v>
      </c>
      <c r="AZ160" s="493"/>
      <c r="BA160" s="467"/>
      <c r="BB160" s="496"/>
      <c r="BC160" s="134"/>
      <c r="BD160" s="502"/>
    </row>
    <row r="161" spans="2:56" ht="15.75" thickBot="1" x14ac:dyDescent="0.3">
      <c r="B161" s="389" t="s">
        <v>192</v>
      </c>
      <c r="C161" s="391" t="s">
        <v>193</v>
      </c>
      <c r="D161" s="393" t="s">
        <v>194</v>
      </c>
      <c r="E161" s="395">
        <v>407750</v>
      </c>
      <c r="F161" s="397">
        <v>3132089</v>
      </c>
      <c r="G161" s="399" t="s">
        <v>196</v>
      </c>
      <c r="H161" s="401"/>
      <c r="I161" s="373">
        <v>1.5</v>
      </c>
      <c r="J161" s="402" t="s">
        <v>197</v>
      </c>
      <c r="K161" s="374"/>
      <c r="L161" s="374"/>
      <c r="M161" s="374"/>
      <c r="N161" s="374"/>
      <c r="O161" s="374"/>
      <c r="P161" s="374"/>
      <c r="Q161" s="375">
        <v>93.9</v>
      </c>
      <c r="R161" s="376" t="s">
        <v>197</v>
      </c>
      <c r="S161" s="377"/>
      <c r="T161" s="378"/>
      <c r="U161" s="379"/>
      <c r="V161" s="379"/>
      <c r="W161" s="379"/>
      <c r="X161" s="379"/>
      <c r="Y161" s="379"/>
      <c r="Z161" s="379"/>
      <c r="AA161" s="379"/>
      <c r="AB161" s="379"/>
      <c r="AC161" s="379"/>
      <c r="AD161" s="380"/>
      <c r="AE161" s="380"/>
      <c r="AF161" s="380"/>
      <c r="AG161" s="381">
        <v>44421</v>
      </c>
      <c r="AH161" s="404" t="s">
        <v>198</v>
      </c>
      <c r="AI161" s="382">
        <v>93.9</v>
      </c>
      <c r="AJ161" s="382">
        <f>AI161-Q161</f>
        <v>0</v>
      </c>
      <c r="AK161" s="382"/>
      <c r="AL161" s="382"/>
      <c r="AM161" s="382"/>
      <c r="AN161" s="382"/>
      <c r="AO161" s="382"/>
      <c r="AP161" s="382">
        <v>0.23</v>
      </c>
      <c r="AQ161" s="383"/>
      <c r="AR161" s="380">
        <f>AJ161+AP161</f>
        <v>0.23</v>
      </c>
      <c r="AS161" s="380">
        <f>AJ161-AP161</f>
        <v>-0.23</v>
      </c>
      <c r="AT161" s="40">
        <f t="shared" si="257"/>
        <v>0.23</v>
      </c>
      <c r="AU161" s="43">
        <f t="shared" si="263"/>
        <v>121.61944444444444</v>
      </c>
      <c r="AV161" s="44">
        <f t="shared" si="264"/>
        <v>0.23</v>
      </c>
      <c r="AW161" s="98">
        <f t="shared" si="265"/>
        <v>1.8911449649407306E-3</v>
      </c>
      <c r="AX161" s="46">
        <f t="shared" si="266"/>
        <v>793.17028985507238</v>
      </c>
      <c r="AY161" s="74" t="str">
        <f t="shared" si="267"/>
        <v>DOS AÑOS</v>
      </c>
      <c r="AZ161" s="384"/>
      <c r="BA161" s="385"/>
      <c r="BB161" s="386"/>
      <c r="BC161" s="387"/>
      <c r="BD161" s="388"/>
    </row>
    <row r="162" spans="2:56" ht="15.75" thickBot="1" x14ac:dyDescent="0.3">
      <c r="B162" s="390"/>
      <c r="C162" s="392"/>
      <c r="D162" s="394"/>
      <c r="E162" s="396"/>
      <c r="F162" s="398"/>
      <c r="G162" s="400"/>
      <c r="H162" s="400"/>
      <c r="I162" s="373">
        <v>1.5</v>
      </c>
      <c r="J162" s="403"/>
      <c r="K162" s="374"/>
      <c r="L162" s="374"/>
      <c r="M162" s="374"/>
      <c r="N162" s="374"/>
      <c r="O162" s="374"/>
      <c r="P162" s="374"/>
      <c r="Q162" s="375">
        <v>114.4</v>
      </c>
      <c r="R162" s="376" t="s">
        <v>197</v>
      </c>
      <c r="S162" s="377"/>
      <c r="T162" s="378"/>
      <c r="U162" s="379"/>
      <c r="V162" s="379"/>
      <c r="W162" s="379"/>
      <c r="X162" s="379"/>
      <c r="Y162" s="379"/>
      <c r="Z162" s="379"/>
      <c r="AA162" s="379"/>
      <c r="AB162" s="379"/>
      <c r="AC162" s="379"/>
      <c r="AD162" s="380"/>
      <c r="AE162" s="380"/>
      <c r="AF162" s="380"/>
      <c r="AG162" s="381">
        <v>44421</v>
      </c>
      <c r="AH162" s="405"/>
      <c r="AI162" s="382">
        <v>114.3</v>
      </c>
      <c r="AJ162" s="382">
        <f>AI162-Q162</f>
        <v>-0.10000000000000853</v>
      </c>
      <c r="AK162" s="382"/>
      <c r="AL162" s="382"/>
      <c r="AM162" s="382"/>
      <c r="AN162" s="382"/>
      <c r="AO162" s="382"/>
      <c r="AP162" s="382">
        <v>0.23</v>
      </c>
      <c r="AQ162" s="383"/>
      <c r="AR162" s="380">
        <f>AJ162+AP162</f>
        <v>0.12999999999999148</v>
      </c>
      <c r="AS162" s="380">
        <f>AJ162-AP162</f>
        <v>-0.33000000000000851</v>
      </c>
      <c r="AT162" s="40">
        <f t="shared" si="257"/>
        <v>0.12999999999999148</v>
      </c>
      <c r="AU162" s="43">
        <f t="shared" si="263"/>
        <v>121.61944444444444</v>
      </c>
      <c r="AV162" s="44">
        <f t="shared" si="264"/>
        <v>0.12999999999999148</v>
      </c>
      <c r="AW162" s="98">
        <f t="shared" si="265"/>
        <v>1.068908023662082E-3</v>
      </c>
      <c r="AX162" s="46">
        <f t="shared" si="266"/>
        <v>1403.3012820513738</v>
      </c>
      <c r="AY162" s="74" t="str">
        <f t="shared" si="267"/>
        <v>DOS AÑOS</v>
      </c>
      <c r="AZ162" s="384"/>
      <c r="BA162" s="385"/>
      <c r="BB162" s="386"/>
      <c r="BC162" s="387"/>
      <c r="BD162" s="388"/>
    </row>
    <row r="163" spans="2:56" ht="60.75" thickBot="1" x14ac:dyDescent="0.3">
      <c r="B163" s="362" t="s">
        <v>3</v>
      </c>
      <c r="C163" s="8" t="s">
        <v>2</v>
      </c>
      <c r="D163" s="32" t="s">
        <v>0</v>
      </c>
      <c r="E163" s="32" t="s">
        <v>1</v>
      </c>
      <c r="F163" s="33" t="s">
        <v>4</v>
      </c>
      <c r="G163" s="8" t="s">
        <v>5</v>
      </c>
      <c r="H163" s="13" t="s">
        <v>29</v>
      </c>
      <c r="I163" s="607" t="s">
        <v>21</v>
      </c>
      <c r="J163" s="608"/>
      <c r="K163" s="600" t="s">
        <v>73</v>
      </c>
      <c r="L163" s="601"/>
      <c r="M163" s="600" t="s">
        <v>74</v>
      </c>
      <c r="N163" s="601"/>
      <c r="O163" s="600" t="s">
        <v>75</v>
      </c>
      <c r="P163" s="601"/>
      <c r="Q163" s="605" t="s">
        <v>58</v>
      </c>
      <c r="R163" s="606"/>
      <c r="S163" s="190" t="s">
        <v>27</v>
      </c>
      <c r="T163" s="191" t="s">
        <v>77</v>
      </c>
      <c r="U163" s="190" t="s">
        <v>78</v>
      </c>
      <c r="V163" s="190" t="s">
        <v>79</v>
      </c>
      <c r="W163" s="190" t="s">
        <v>80</v>
      </c>
      <c r="X163" s="192" t="s">
        <v>81</v>
      </c>
      <c r="Y163" s="192" t="s">
        <v>82</v>
      </c>
      <c r="Z163" s="31" t="s">
        <v>83</v>
      </c>
      <c r="AA163" s="193" t="s">
        <v>84</v>
      </c>
      <c r="AB163" s="190" t="s">
        <v>85</v>
      </c>
      <c r="AC163" s="190" t="s">
        <v>86</v>
      </c>
      <c r="AD163" s="190" t="s">
        <v>30</v>
      </c>
      <c r="AE163" s="190" t="s">
        <v>31</v>
      </c>
      <c r="AF163" s="194" t="s">
        <v>38</v>
      </c>
      <c r="AG163" s="14" t="s">
        <v>57</v>
      </c>
      <c r="AH163" s="195" t="s">
        <v>87</v>
      </c>
      <c r="AI163" s="14" t="s">
        <v>88</v>
      </c>
      <c r="AJ163" s="14" t="s">
        <v>79</v>
      </c>
      <c r="AK163" s="14" t="s">
        <v>80</v>
      </c>
      <c r="AL163" s="192" t="s">
        <v>81</v>
      </c>
      <c r="AM163" s="192" t="s">
        <v>82</v>
      </c>
      <c r="AN163" s="31" t="s">
        <v>83</v>
      </c>
      <c r="AO163" s="193" t="s">
        <v>84</v>
      </c>
      <c r="AP163" s="14" t="s">
        <v>85</v>
      </c>
      <c r="AQ163" s="14" t="s">
        <v>86</v>
      </c>
      <c r="AR163" s="14" t="s">
        <v>30</v>
      </c>
      <c r="AS163" s="14" t="s">
        <v>31</v>
      </c>
      <c r="AT163" s="30" t="s">
        <v>33</v>
      </c>
      <c r="AU163" s="31" t="s">
        <v>26</v>
      </c>
      <c r="AV163" s="31" t="s">
        <v>59</v>
      </c>
      <c r="AW163" s="31" t="s">
        <v>28</v>
      </c>
      <c r="AX163" s="31" t="s">
        <v>45</v>
      </c>
      <c r="AY163" s="31" t="s">
        <v>39</v>
      </c>
      <c r="AZ163" s="9" t="s">
        <v>3</v>
      </c>
      <c r="BA163" s="15" t="s">
        <v>34</v>
      </c>
      <c r="BB163" s="15" t="s">
        <v>35</v>
      </c>
      <c r="BC163" s="23" t="e">
        <f>MIN(BC10:BC139)</f>
        <v>#DIV/0!</v>
      </c>
      <c r="BD163" s="15" t="s">
        <v>64</v>
      </c>
    </row>
    <row r="164" spans="2:56" x14ac:dyDescent="0.25">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C164" s="24"/>
    </row>
    <row r="165" spans="2:56" x14ac:dyDescent="0.25">
      <c r="B165" t="s">
        <v>69</v>
      </c>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row>
    <row r="166" spans="2:56" x14ac:dyDescent="0.25">
      <c r="B166" t="s">
        <v>70</v>
      </c>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row>
    <row r="167" spans="2:56" x14ac:dyDescent="0.25">
      <c r="B167" t="s">
        <v>72</v>
      </c>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spans="2:56" x14ac:dyDescent="0.25">
      <c r="B168" t="s">
        <v>71</v>
      </c>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77" spans="35:35" x14ac:dyDescent="0.25">
      <c r="AI177">
        <v>9</v>
      </c>
    </row>
  </sheetData>
  <mergeCells count="237">
    <mergeCell ref="AP2:AV6"/>
    <mergeCell ref="G121:G127"/>
    <mergeCell ref="H121:H127"/>
    <mergeCell ref="AZ158:AZ160"/>
    <mergeCell ref="BA158:BA160"/>
    <mergeCell ref="H140:H147"/>
    <mergeCell ref="J140:J147"/>
    <mergeCell ref="T140:T147"/>
    <mergeCell ref="C103:C110"/>
    <mergeCell ref="C42:C45"/>
    <mergeCell ref="AH10:AH38"/>
    <mergeCell ref="T10:T41"/>
    <mergeCell ref="E10:E41"/>
    <mergeCell ref="F10:F41"/>
    <mergeCell ref="E103:E120"/>
    <mergeCell ref="H26:H29"/>
    <mergeCell ref="G30:G33"/>
    <mergeCell ref="H30:H33"/>
    <mergeCell ref="G34:G37"/>
    <mergeCell ref="H34:H37"/>
    <mergeCell ref="AH111:AH115"/>
    <mergeCell ref="AH116:AH120"/>
    <mergeCell ref="AH74:AH76"/>
    <mergeCell ref="AH77:AH89"/>
    <mergeCell ref="BB158:BB160"/>
    <mergeCell ref="BD158:BD160"/>
    <mergeCell ref="B158:B160"/>
    <mergeCell ref="C158:C160"/>
    <mergeCell ref="D158:D160"/>
    <mergeCell ref="E158:E160"/>
    <mergeCell ref="F158:F160"/>
    <mergeCell ref="G158:G160"/>
    <mergeCell ref="J158:J160"/>
    <mergeCell ref="L158:L160"/>
    <mergeCell ref="B148:B157"/>
    <mergeCell ref="C148:C157"/>
    <mergeCell ref="D148:D157"/>
    <mergeCell ref="E148:E157"/>
    <mergeCell ref="F148:F157"/>
    <mergeCell ref="S8:AF8"/>
    <mergeCell ref="C111:C120"/>
    <mergeCell ref="G111:G120"/>
    <mergeCell ref="H111:H120"/>
    <mergeCell ref="T111:T120"/>
    <mergeCell ref="F103:F120"/>
    <mergeCell ref="H38:H41"/>
    <mergeCell ref="H22:H25"/>
    <mergeCell ref="C46:C49"/>
    <mergeCell ref="C70:C73"/>
    <mergeCell ref="G46:G49"/>
    <mergeCell ref="H46:H49"/>
    <mergeCell ref="G26:G29"/>
    <mergeCell ref="C26:C29"/>
    <mergeCell ref="C22:C25"/>
    <mergeCell ref="G22:G25"/>
    <mergeCell ref="H42:H45"/>
    <mergeCell ref="H14:H17"/>
    <mergeCell ref="B140:B147"/>
    <mergeCell ref="M9:N9"/>
    <mergeCell ref="B8:R8"/>
    <mergeCell ref="AH42:AH73"/>
    <mergeCell ref="B103:B120"/>
    <mergeCell ref="D103:D120"/>
    <mergeCell ref="I9:J9"/>
    <mergeCell ref="H10:H13"/>
    <mergeCell ref="C10:C13"/>
    <mergeCell ref="H18:H21"/>
    <mergeCell ref="G74:G76"/>
    <mergeCell ref="H74:H76"/>
    <mergeCell ref="C14:C17"/>
    <mergeCell ref="C18:C21"/>
    <mergeCell ref="G50:G53"/>
    <mergeCell ref="H50:H53"/>
    <mergeCell ref="C50:C53"/>
    <mergeCell ref="G10:G13"/>
    <mergeCell ref="G14:G17"/>
    <mergeCell ref="G18:G21"/>
    <mergeCell ref="G38:G41"/>
    <mergeCell ref="O163:P163"/>
    <mergeCell ref="AH103:AH110"/>
    <mergeCell ref="AH121:AH139"/>
    <mergeCell ref="Q163:R163"/>
    <mergeCell ref="G128:G139"/>
    <mergeCell ref="I163:J163"/>
    <mergeCell ref="K163:L163"/>
    <mergeCell ref="N74:N76"/>
    <mergeCell ref="N77:N89"/>
    <mergeCell ref="N121:N139"/>
    <mergeCell ref="M163:N163"/>
    <mergeCell ref="H128:H139"/>
    <mergeCell ref="L145:L147"/>
    <mergeCell ref="N145:N147"/>
    <mergeCell ref="P145:P147"/>
    <mergeCell ref="N158:N160"/>
    <mergeCell ref="P158:P160"/>
    <mergeCell ref="T158:T160"/>
    <mergeCell ref="AH158:AH160"/>
    <mergeCell ref="AH140:AH147"/>
    <mergeCell ref="J103:J120"/>
    <mergeCell ref="J121:J139"/>
    <mergeCell ref="T121:T139"/>
    <mergeCell ref="H103:H110"/>
    <mergeCell ref="AU8:AZ8"/>
    <mergeCell ref="BA8:BD8"/>
    <mergeCell ref="AZ10:AZ41"/>
    <mergeCell ref="BA10:BA41"/>
    <mergeCell ref="BB10:BB41"/>
    <mergeCell ref="BD10:BD41"/>
    <mergeCell ref="BC10:BC41"/>
    <mergeCell ref="J90:J102"/>
    <mergeCell ref="L90:L102"/>
    <mergeCell ref="N90:N102"/>
    <mergeCell ref="P90:P102"/>
    <mergeCell ref="T90:T102"/>
    <mergeCell ref="AH90:AH102"/>
    <mergeCell ref="AZ90:AZ102"/>
    <mergeCell ref="BA90:BA102"/>
    <mergeCell ref="BB90:BB102"/>
    <mergeCell ref="Q9:R9"/>
    <mergeCell ref="K9:L9"/>
    <mergeCell ref="BD74:BD76"/>
    <mergeCell ref="AZ58:AZ73"/>
    <mergeCell ref="AG8:AT8"/>
    <mergeCell ref="O9:P9"/>
    <mergeCell ref="P74:P76"/>
    <mergeCell ref="P77:P89"/>
    <mergeCell ref="AZ103:AZ118"/>
    <mergeCell ref="F77:F89"/>
    <mergeCell ref="G54:G57"/>
    <mergeCell ref="H54:H57"/>
    <mergeCell ref="G71:G73"/>
    <mergeCell ref="H71:H73"/>
    <mergeCell ref="G42:G45"/>
    <mergeCell ref="BB74:BB76"/>
    <mergeCell ref="B10:B41"/>
    <mergeCell ref="C38:C41"/>
    <mergeCell ref="D10:D41"/>
    <mergeCell ref="C30:C33"/>
    <mergeCell ref="C34:C37"/>
    <mergeCell ref="H90:H102"/>
    <mergeCell ref="E140:E147"/>
    <mergeCell ref="F140:F147"/>
    <mergeCell ref="G140:G147"/>
    <mergeCell ref="B74:B76"/>
    <mergeCell ref="C74:C76"/>
    <mergeCell ref="D74:D76"/>
    <mergeCell ref="E74:E76"/>
    <mergeCell ref="F74:F76"/>
    <mergeCell ref="G103:G110"/>
    <mergeCell ref="C128:C139"/>
    <mergeCell ref="B121:B139"/>
    <mergeCell ref="D121:D139"/>
    <mergeCell ref="E121:E139"/>
    <mergeCell ref="F121:F139"/>
    <mergeCell ref="C121:C127"/>
    <mergeCell ref="B90:B102"/>
    <mergeCell ref="AZ140:AZ147"/>
    <mergeCell ref="BA140:BA147"/>
    <mergeCell ref="BB140:BB147"/>
    <mergeCell ref="BC140:BC147"/>
    <mergeCell ref="BD140:BD147"/>
    <mergeCell ref="AZ121:AZ139"/>
    <mergeCell ref="BB121:BB139"/>
    <mergeCell ref="BD42:BD73"/>
    <mergeCell ref="BC42:BC73"/>
    <mergeCell ref="BB42:BB73"/>
    <mergeCell ref="BA42:BA73"/>
    <mergeCell ref="BC103:BC118"/>
    <mergeCell ref="BD103:BD118"/>
    <mergeCell ref="BD121:BD139"/>
    <mergeCell ref="BA103:BA118"/>
    <mergeCell ref="BA121:BA139"/>
    <mergeCell ref="BB103:BB118"/>
    <mergeCell ref="AZ42:AZ57"/>
    <mergeCell ref="AZ77:AZ89"/>
    <mergeCell ref="BB77:BB89"/>
    <mergeCell ref="BD77:BD89"/>
    <mergeCell ref="AZ74:AZ76"/>
    <mergeCell ref="BA74:BA76"/>
    <mergeCell ref="BD90:BD102"/>
    <mergeCell ref="J148:J157"/>
    <mergeCell ref="T148:T157"/>
    <mergeCell ref="AH148:AH157"/>
    <mergeCell ref="C54:C57"/>
    <mergeCell ref="C58:C61"/>
    <mergeCell ref="G58:G61"/>
    <mergeCell ref="H58:H61"/>
    <mergeCell ref="C62:C65"/>
    <mergeCell ref="G62:G65"/>
    <mergeCell ref="H62:H65"/>
    <mergeCell ref="C66:C69"/>
    <mergeCell ref="G66:G69"/>
    <mergeCell ref="H66:H69"/>
    <mergeCell ref="G77:G89"/>
    <mergeCell ref="H77:H89"/>
    <mergeCell ref="T103:T110"/>
    <mergeCell ref="G148:G157"/>
    <mergeCell ref="C90:C102"/>
    <mergeCell ref="D90:D102"/>
    <mergeCell ref="E90:E102"/>
    <mergeCell ref="F90:F102"/>
    <mergeCell ref="G90:G102"/>
    <mergeCell ref="C140:C147"/>
    <mergeCell ref="D140:D147"/>
    <mergeCell ref="AZ148:AZ157"/>
    <mergeCell ref="BA148:BA157"/>
    <mergeCell ref="B42:B73"/>
    <mergeCell ref="D42:D73"/>
    <mergeCell ref="E42:E73"/>
    <mergeCell ref="F42:F73"/>
    <mergeCell ref="J74:J76"/>
    <mergeCell ref="T74:T76"/>
    <mergeCell ref="P121:P139"/>
    <mergeCell ref="T42:T73"/>
    <mergeCell ref="L74:L76"/>
    <mergeCell ref="L77:L89"/>
    <mergeCell ref="L121:L139"/>
    <mergeCell ref="L103:L120"/>
    <mergeCell ref="N103:N120"/>
    <mergeCell ref="P103:P120"/>
    <mergeCell ref="B77:B89"/>
    <mergeCell ref="C77:C89"/>
    <mergeCell ref="D77:D89"/>
    <mergeCell ref="E77:E89"/>
    <mergeCell ref="BA77:BA89"/>
    <mergeCell ref="J77:J89"/>
    <mergeCell ref="T77:T89"/>
    <mergeCell ref="H148:H157"/>
    <mergeCell ref="B161:B162"/>
    <mergeCell ref="C161:C162"/>
    <mergeCell ref="D161:D162"/>
    <mergeCell ref="E161:E162"/>
    <mergeCell ref="F161:F162"/>
    <mergeCell ref="G161:G162"/>
    <mergeCell ref="H158:H162"/>
    <mergeCell ref="J161:J162"/>
    <mergeCell ref="AH161:AH162"/>
  </mergeCells>
  <conditionalFormatting sqref="AY10:AY73 AY77:AY87 AY89:AY100 AY103:AY139">
    <cfRule type="cellIs" dxfId="153" priority="56" operator="lessThan">
      <formula>$F$109</formula>
    </cfRule>
    <cfRule type="cellIs" dxfId="152" priority="57" operator="lessThan">
      <formula>0.05</formula>
    </cfRule>
  </conditionalFormatting>
  <conditionalFormatting sqref="AY10:AY73 AY77:AY87 AY89:AY100 AY103:AY139">
    <cfRule type="cellIs" dxfId="151" priority="60" operator="between">
      <formula>$F$109</formula>
      <formula>$G$109</formula>
    </cfRule>
  </conditionalFormatting>
  <conditionalFormatting sqref="AY74:AY76">
    <cfRule type="cellIs" dxfId="150" priority="28" operator="lessThan">
      <formula>$F$109</formula>
    </cfRule>
    <cfRule type="cellIs" dxfId="149" priority="29" operator="lessThan">
      <formula>0.05</formula>
    </cfRule>
  </conditionalFormatting>
  <conditionalFormatting sqref="AY74:AY76">
    <cfRule type="cellIs" dxfId="148" priority="30" operator="between">
      <formula>$F$109</formula>
      <formula>$G$109</formula>
    </cfRule>
  </conditionalFormatting>
  <conditionalFormatting sqref="AY140:AY147">
    <cfRule type="cellIs" dxfId="147" priority="22" operator="lessThan">
      <formula>$F$109</formula>
    </cfRule>
    <cfRule type="cellIs" dxfId="146" priority="23" operator="lessThan">
      <formula>0.05</formula>
    </cfRule>
  </conditionalFormatting>
  <conditionalFormatting sqref="AY140:AY147">
    <cfRule type="cellIs" dxfId="145" priority="24" operator="between">
      <formula>$F$109</formula>
      <formula>$G$109</formula>
    </cfRule>
  </conditionalFormatting>
  <conditionalFormatting sqref="AY148">
    <cfRule type="cellIs" dxfId="144" priority="13" operator="lessThan">
      <formula>$F$109</formula>
    </cfRule>
    <cfRule type="cellIs" dxfId="143" priority="14" operator="lessThan">
      <formula>0.05</formula>
    </cfRule>
  </conditionalFormatting>
  <conditionalFormatting sqref="AY148">
    <cfRule type="cellIs" dxfId="142" priority="15" operator="between">
      <formula>$F$109</formula>
      <formula>$G$109</formula>
    </cfRule>
  </conditionalFormatting>
  <conditionalFormatting sqref="AY149:AY162">
    <cfRule type="cellIs" dxfId="141" priority="10" operator="lessThan">
      <formula>$F$109</formula>
    </cfRule>
    <cfRule type="cellIs" dxfId="140" priority="11" operator="lessThan">
      <formula>0.05</formula>
    </cfRule>
  </conditionalFormatting>
  <conditionalFormatting sqref="AY149:AY162">
    <cfRule type="cellIs" dxfId="139" priority="12" operator="between">
      <formula>$F$109</formula>
      <formula>$G$109</formula>
    </cfRule>
  </conditionalFormatting>
  <conditionalFormatting sqref="AY88">
    <cfRule type="cellIs" dxfId="138" priority="7" operator="lessThan">
      <formula>$F$109</formula>
    </cfRule>
    <cfRule type="cellIs" dxfId="137" priority="8" operator="lessThan">
      <formula>0.05</formula>
    </cfRule>
  </conditionalFormatting>
  <conditionalFormatting sqref="AY88">
    <cfRule type="cellIs" dxfId="136" priority="9" operator="between">
      <formula>$F$109</formula>
      <formula>$G$109</formula>
    </cfRule>
  </conditionalFormatting>
  <conditionalFormatting sqref="AY102">
    <cfRule type="cellIs" dxfId="135" priority="4" operator="lessThan">
      <formula>$F$109</formula>
    </cfRule>
    <cfRule type="cellIs" dxfId="134" priority="5" operator="lessThan">
      <formula>0.05</formula>
    </cfRule>
  </conditionalFormatting>
  <conditionalFormatting sqref="AY102">
    <cfRule type="cellIs" dxfId="133" priority="6" operator="between">
      <formula>$F$109</formula>
      <formula>$G$109</formula>
    </cfRule>
  </conditionalFormatting>
  <conditionalFormatting sqref="AY101">
    <cfRule type="cellIs" dxfId="132" priority="1" operator="lessThan">
      <formula>$F$109</formula>
    </cfRule>
    <cfRule type="cellIs" dxfId="131" priority="2" operator="lessThan">
      <formula>0.05</formula>
    </cfRule>
  </conditionalFormatting>
  <conditionalFormatting sqref="AY101">
    <cfRule type="cellIs" dxfId="130" priority="3" operator="between">
      <formula>$F$109</formula>
      <formula>$G$109</formula>
    </cfRule>
  </conditionalFormatting>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A129" zoomScaleNormal="100" workbookViewId="0">
      <selection activeCell="E114" sqref="E114"/>
    </sheetView>
  </sheetViews>
  <sheetFormatPr baseColWidth="10" defaultRowHeight="15" x14ac:dyDescent="0.25"/>
  <cols>
    <col min="1" max="1" width="5.140625" customWidth="1"/>
    <col min="2" max="2" width="22.85546875" customWidth="1"/>
    <col min="3" max="3" width="21.7109375" customWidth="1"/>
    <col min="4" max="4" width="21" customWidth="1"/>
    <col min="5" max="5" width="22.71093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CONTROL'!B103</f>
        <v>FRENOMETRO MOTOS</v>
      </c>
      <c r="D7" s="659"/>
      <c r="E7" s="660"/>
    </row>
    <row r="8" spans="1:11" x14ac:dyDescent="0.25">
      <c r="B8" s="241" t="s">
        <v>176</v>
      </c>
      <c r="C8" s="658" t="str">
        <f>'CARTA DE CONTROL'!D103</f>
        <v>VAMAG</v>
      </c>
      <c r="D8" s="659"/>
      <c r="E8" s="660"/>
    </row>
    <row r="9" spans="1:11" x14ac:dyDescent="0.25">
      <c r="B9" s="241" t="s">
        <v>177</v>
      </c>
      <c r="C9" s="658" t="str">
        <f>'CARTA DE CONTROL'!E103</f>
        <v>RBT 1000 PN FW</v>
      </c>
      <c r="D9" s="659"/>
      <c r="E9" s="660"/>
    </row>
    <row r="10" spans="1:11" x14ac:dyDescent="0.25">
      <c r="B10" s="241" t="s">
        <v>178</v>
      </c>
      <c r="C10" s="686">
        <f>'CARTA DE CONTROL'!F103</f>
        <v>18062312</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9" spans="1:8" ht="15.75" thickBot="1" x14ac:dyDescent="0.3"/>
    <row r="40" spans="1:8" ht="72.75" thickBot="1" x14ac:dyDescent="0.3">
      <c r="B40" s="2" t="s">
        <v>41</v>
      </c>
      <c r="C40" s="11" t="s">
        <v>118</v>
      </c>
      <c r="D40" s="11" t="s">
        <v>119</v>
      </c>
      <c r="E40" s="22" t="s">
        <v>110</v>
      </c>
      <c r="F40" s="22" t="s">
        <v>111</v>
      </c>
      <c r="G40" s="22" t="s">
        <v>40</v>
      </c>
    </row>
    <row r="41" spans="1:8" ht="15.75" thickBot="1" x14ac:dyDescent="0.3">
      <c r="B41" s="56">
        <f>'CARTA DE CONTROL'!R111</f>
        <v>0</v>
      </c>
      <c r="C41" s="4">
        <f>'CARTA DE CONTROL'!AR111</f>
        <v>0.56999999999999995</v>
      </c>
      <c r="D41" s="4">
        <f>'CARTA DE CONTROL'!AS111</f>
        <v>-0.56999999999999995</v>
      </c>
      <c r="E41" s="6">
        <f>'CARTA DE CONTROL'!I111</f>
        <v>3</v>
      </c>
      <c r="F41" s="7">
        <f>-('CARTA DE CONTROL'!I111)</f>
        <v>-3</v>
      </c>
      <c r="G41" s="5" t="str">
        <f>IF(C41&lt;=2,IF(D41&gt;=-2,"PASS","NO PASS"))</f>
        <v>PASS</v>
      </c>
    </row>
    <row r="42" spans="1:8" ht="15.75" thickBot="1" x14ac:dyDescent="0.3">
      <c r="B42" s="56">
        <f>'CARTA DE CONTROL'!R112</f>
        <v>30</v>
      </c>
      <c r="C42" s="4">
        <f>'CARTA DE CONTROL'!AR112</f>
        <v>1.8999999999999997</v>
      </c>
      <c r="D42" s="4">
        <f>'CARTA DE CONTROL'!AS112</f>
        <v>-1.8999999999999997</v>
      </c>
      <c r="E42" s="6">
        <f>'CARTA DE CONTROL'!I112</f>
        <v>3</v>
      </c>
      <c r="F42" s="7">
        <f>-('CARTA DE CONTROL'!I112)</f>
        <v>-3</v>
      </c>
      <c r="G42" s="5" t="str">
        <f t="shared" ref="G42:G45" si="0">IF(C42&lt;=2,IF(D42&gt;=-2,"PASS","NO PASS"))</f>
        <v>PASS</v>
      </c>
    </row>
    <row r="43" spans="1:8" ht="15.75" thickBot="1" x14ac:dyDescent="0.3">
      <c r="B43" s="56">
        <f>'CARTA DE CONTROL'!R113</f>
        <v>40</v>
      </c>
      <c r="C43" s="4">
        <f>'CARTA DE CONTROL'!AR113</f>
        <v>1.4499999999999997</v>
      </c>
      <c r="D43" s="4">
        <f>'CARTA DE CONTROL'!AS113</f>
        <v>-1.4499999999999997</v>
      </c>
      <c r="E43" s="6">
        <f>'CARTA DE CONTROL'!I113</f>
        <v>3</v>
      </c>
      <c r="F43" s="7">
        <f>-('CARTA DE CONTROL'!I113)</f>
        <v>-3</v>
      </c>
      <c r="G43" s="5" t="str">
        <f t="shared" si="0"/>
        <v>PASS</v>
      </c>
    </row>
    <row r="44" spans="1:8" ht="15.75" thickBot="1" x14ac:dyDescent="0.3">
      <c r="B44" s="56">
        <f>'CARTA DE CONTROL'!R114</f>
        <v>60</v>
      </c>
      <c r="C44" s="4">
        <f>'CARTA DE CONTROL'!AR114</f>
        <v>0.98333333333333328</v>
      </c>
      <c r="D44" s="4">
        <f>'CARTA DE CONTROL'!AS114</f>
        <v>-0.98333333333333328</v>
      </c>
      <c r="E44" s="6">
        <f>'CARTA DE CONTROL'!I114</f>
        <v>3</v>
      </c>
      <c r="F44" s="7">
        <f>-('CARTA DE CONTROL'!I114)</f>
        <v>-3</v>
      </c>
      <c r="G44" s="5" t="str">
        <f t="shared" si="0"/>
        <v>PASS</v>
      </c>
    </row>
    <row r="45" spans="1:8" ht="15.75" thickBot="1" x14ac:dyDescent="0.3">
      <c r="B45" s="56">
        <f>'CARTA DE CONTROL'!R115</f>
        <v>100</v>
      </c>
      <c r="C45" s="4">
        <f>'CARTA DE CONTROL'!AR115</f>
        <v>0.63</v>
      </c>
      <c r="D45" s="4">
        <f>'CARTA DE CONTROL'!AS115</f>
        <v>-0.63</v>
      </c>
      <c r="E45" s="6">
        <f>'CARTA DE CONTROL'!I115</f>
        <v>3</v>
      </c>
      <c r="F45" s="7">
        <f>-('CARTA DE CONTROL'!I115)</f>
        <v>-3</v>
      </c>
      <c r="G45" s="5" t="str">
        <f t="shared" si="0"/>
        <v>PASS</v>
      </c>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64" spans="1:8" ht="15.75" thickBot="1" x14ac:dyDescent="0.3"/>
    <row r="65" spans="2:5" ht="15.75" thickBot="1" x14ac:dyDescent="0.3">
      <c r="B65" s="681" t="s">
        <v>96</v>
      </c>
      <c r="C65" s="682"/>
      <c r="D65" s="682"/>
      <c r="E65" s="683"/>
    </row>
    <row r="66" spans="2:5" ht="34.5" thickBot="1" x14ac:dyDescent="0.3">
      <c r="B66" s="2" t="s">
        <v>41</v>
      </c>
      <c r="C66" s="10" t="s">
        <v>120</v>
      </c>
      <c r="D66" s="2" t="s">
        <v>99</v>
      </c>
      <c r="E66" s="21" t="s">
        <v>98</v>
      </c>
    </row>
    <row r="67" spans="2:5" ht="15.75" thickBot="1" x14ac:dyDescent="0.3">
      <c r="B67" s="3">
        <f>'CARTA DE CONTROL'!R111</f>
        <v>0</v>
      </c>
      <c r="C67" s="4">
        <f>'CARTA DE CONTROL'!AM111</f>
        <v>0</v>
      </c>
      <c r="D67" s="6">
        <f>'CARTA DE CONTROL'!K111</f>
        <v>3</v>
      </c>
      <c r="E67" s="5" t="str">
        <f>IF(C67&lt;=3,IF(C67&gt;=-3,"PASS","NO PASS"))</f>
        <v>PASS</v>
      </c>
    </row>
    <row r="68" spans="2:5" ht="15.75" thickBot="1" x14ac:dyDescent="0.3">
      <c r="B68" s="3">
        <f>'CARTA DE CONTROL'!R112</f>
        <v>30</v>
      </c>
      <c r="C68" s="4">
        <f>'CARTA DE CONTROL'!AM112</f>
        <v>0</v>
      </c>
      <c r="D68" s="6">
        <f>'CARTA DE CONTROL'!K112</f>
        <v>3</v>
      </c>
      <c r="E68" s="5" t="str">
        <f t="shared" ref="E68:E71" si="1">IF(C68&lt;=3,IF(C68&gt;=-3,"PASS","NO PASS"))</f>
        <v>PASS</v>
      </c>
    </row>
    <row r="69" spans="2:5" ht="15.75" thickBot="1" x14ac:dyDescent="0.3">
      <c r="B69" s="3">
        <f>'CARTA DE CONTROL'!R113</f>
        <v>40</v>
      </c>
      <c r="C69" s="4">
        <f>'CARTA DE CONTROL'!AM113</f>
        <v>0</v>
      </c>
      <c r="D69" s="6">
        <f>'CARTA DE CONTROL'!K113</f>
        <v>3</v>
      </c>
      <c r="E69" s="5" t="str">
        <f t="shared" si="1"/>
        <v>PASS</v>
      </c>
    </row>
    <row r="70" spans="2:5" ht="15.75" thickBot="1" x14ac:dyDescent="0.3">
      <c r="B70" s="3">
        <f>'CARTA DE CONTROL'!R114</f>
        <v>60</v>
      </c>
      <c r="C70" s="4">
        <f>'CARTA DE CONTROL'!AM114</f>
        <v>0</v>
      </c>
      <c r="D70" s="6">
        <f>'CARTA DE CONTROL'!K114</f>
        <v>3</v>
      </c>
      <c r="E70" s="5" t="str">
        <f t="shared" si="1"/>
        <v>PASS</v>
      </c>
    </row>
    <row r="71" spans="2:5" ht="15.75" thickBot="1" x14ac:dyDescent="0.3">
      <c r="B71" s="3">
        <f>'CARTA DE CONTROL'!R115</f>
        <v>100</v>
      </c>
      <c r="C71" s="4">
        <f>'CARTA DE CONTROL'!AM115</f>
        <v>0</v>
      </c>
      <c r="D71" s="6">
        <f>'CARTA DE CONTROL'!K115</f>
        <v>3</v>
      </c>
      <c r="E71" s="5" t="str">
        <f t="shared" si="1"/>
        <v>PASS</v>
      </c>
    </row>
    <row r="86" spans="1:8" ht="15.75" thickBot="1" x14ac:dyDescent="0.3"/>
    <row r="87" spans="1:8" ht="72.75" thickBot="1" x14ac:dyDescent="0.3">
      <c r="B87" s="2" t="s">
        <v>41</v>
      </c>
      <c r="C87" s="11" t="s">
        <v>118</v>
      </c>
      <c r="D87" s="11" t="s">
        <v>119</v>
      </c>
      <c r="E87" s="22" t="s">
        <v>110</v>
      </c>
      <c r="F87" s="22" t="s">
        <v>111</v>
      </c>
      <c r="G87" s="22" t="s">
        <v>40</v>
      </c>
    </row>
    <row r="88" spans="1:8" ht="15.75" thickBot="1" x14ac:dyDescent="0.3">
      <c r="B88" s="56">
        <f>'CARTA DE CONTROL'!R116</f>
        <v>100.4</v>
      </c>
      <c r="C88" s="4">
        <f>'CARTA DE CONTROL'!AR116</f>
        <v>1.3944223107569664</v>
      </c>
      <c r="D88" s="4">
        <f>'CARTA DE CONTROL'!AS116</f>
        <v>-2.1912350597609618</v>
      </c>
      <c r="E88" s="6">
        <f>'CARTA DE CONTROL'!I116</f>
        <v>3</v>
      </c>
      <c r="F88" s="7">
        <f>-('CARTA DE CONTROL'!I116)</f>
        <v>-3</v>
      </c>
      <c r="G88" s="5" t="str">
        <f>IF(C88&lt;=3,IF(D88&gt;=-3,"PASS","NO PASS"))</f>
        <v>PASS</v>
      </c>
    </row>
    <row r="89" spans="1:8" ht="15.75" thickBot="1" x14ac:dyDescent="0.3">
      <c r="B89" s="56">
        <f>'CARTA DE CONTROL'!R117</f>
        <v>200.9</v>
      </c>
      <c r="C89" s="4">
        <f>'CARTA DE CONTROL'!AR117</f>
        <v>1.442805620322575</v>
      </c>
      <c r="D89" s="4">
        <f>'CARTA DE CONTROL'!AS117</f>
        <v>-1.6433068734554239</v>
      </c>
      <c r="E89" s="6">
        <f>'CARTA DE CONTROL'!I117</f>
        <v>3</v>
      </c>
      <c r="F89" s="7">
        <f>-('CARTA DE CONTROL'!I117)</f>
        <v>-3</v>
      </c>
      <c r="G89" s="5" t="str">
        <f t="shared" ref="G89:G92" si="2">IF(C89&lt;=3,IF(D89&gt;=-3,"PASS","NO PASS"))</f>
        <v>PASS</v>
      </c>
    </row>
    <row r="90" spans="1:8" ht="15.75" thickBot="1" x14ac:dyDescent="0.3">
      <c r="B90" s="56">
        <f>'CARTA DE CONTROL'!R118</f>
        <v>301.3</v>
      </c>
      <c r="C90" s="4">
        <f>'CARTA DE CONTROL'!AR118</f>
        <v>1.1616329239960095</v>
      </c>
      <c r="D90" s="4">
        <f>'CARTA DE CONTROL'!AS118</f>
        <v>-1.5599070693660875</v>
      </c>
      <c r="E90" s="6">
        <f>'CARTA DE CONTROL'!I118</f>
        <v>3</v>
      </c>
      <c r="F90" s="7">
        <f>-('CARTA DE CONTROL'!I118)</f>
        <v>-3</v>
      </c>
      <c r="G90" s="5" t="str">
        <f t="shared" si="2"/>
        <v>PASS</v>
      </c>
    </row>
    <row r="91" spans="1:8" ht="15.75" thickBot="1" x14ac:dyDescent="0.3">
      <c r="B91" s="56">
        <f>'CARTA DE CONTROL'!R119</f>
        <v>401.8</v>
      </c>
      <c r="C91" s="4">
        <f>'CARTA DE CONTROL'!AR119</f>
        <v>1.4186162269785962</v>
      </c>
      <c r="D91" s="4">
        <f>'CARTA DE CONTROL'!AS119</f>
        <v>-1.1697361871577898</v>
      </c>
      <c r="E91" s="6">
        <f>'CARTA DE CONTROL'!I119</f>
        <v>3</v>
      </c>
      <c r="F91" s="7">
        <f>-('CARTA DE CONTROL'!I119)</f>
        <v>-3</v>
      </c>
      <c r="G91" s="5" t="str">
        <f t="shared" si="2"/>
        <v>PASS</v>
      </c>
    </row>
    <row r="92" spans="1:8" ht="15.75" thickBot="1" x14ac:dyDescent="0.3">
      <c r="B92" s="56">
        <f>'CARTA DE CONTROL'!R120</f>
        <v>502.3</v>
      </c>
      <c r="C92" s="4">
        <f>'CARTA DE CONTROL'!AR120</f>
        <v>1.7519410710730594</v>
      </c>
      <c r="D92" s="4">
        <f>'CARTA DE CONTROL'!AS120</f>
        <v>-0.79633685048776082</v>
      </c>
      <c r="E92" s="6">
        <f>'CARTA DE CONTROL'!I120</f>
        <v>3</v>
      </c>
      <c r="F92" s="7">
        <f>-('CARTA DE CONTROL'!I120)</f>
        <v>-3</v>
      </c>
      <c r="G92" s="5" t="str">
        <f t="shared" si="2"/>
        <v>PASS</v>
      </c>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111" spans="1:8" ht="15.75" thickBot="1" x14ac:dyDescent="0.3"/>
    <row r="112" spans="1:8" ht="15.75" thickBot="1" x14ac:dyDescent="0.3">
      <c r="B112" s="681" t="s">
        <v>96</v>
      </c>
      <c r="C112" s="682"/>
      <c r="D112" s="682"/>
      <c r="E112" s="683"/>
    </row>
    <row r="113" spans="2:5" ht="34.5" thickBot="1" x14ac:dyDescent="0.3">
      <c r="B113" s="2" t="s">
        <v>41</v>
      </c>
      <c r="C113" s="10" t="s">
        <v>120</v>
      </c>
      <c r="D113" s="2" t="s">
        <v>99</v>
      </c>
      <c r="E113" s="21" t="s">
        <v>98</v>
      </c>
    </row>
    <row r="114" spans="2:5" ht="15.75" thickBot="1" x14ac:dyDescent="0.3">
      <c r="B114" s="3">
        <f>'CARTA DE CONTROL'!R116</f>
        <v>100.4</v>
      </c>
      <c r="C114" s="4">
        <f>'CARTA DE CONTROL'!AM116</f>
        <v>0</v>
      </c>
      <c r="D114" s="6">
        <f>'CARTA DE CONTROL'!K116</f>
        <v>3</v>
      </c>
      <c r="E114" s="5" t="str">
        <f>IF(C114&lt;=3,IF(C114&gt;=-3,"PASS","NO PASS"))</f>
        <v>PASS</v>
      </c>
    </row>
    <row r="115" spans="2:5" ht="15.75" thickBot="1" x14ac:dyDescent="0.3">
      <c r="B115" s="3">
        <f>'CARTA DE CONTROL'!R117</f>
        <v>200.9</v>
      </c>
      <c r="C115" s="4">
        <f>'CARTA DE CONTROL'!AM117</f>
        <v>0.28870084619213537</v>
      </c>
      <c r="D115" s="6">
        <f>'CARTA DE CONTROL'!K117</f>
        <v>3</v>
      </c>
      <c r="E115" s="5" t="str">
        <f t="shared" ref="E115:E118" si="3">IF(C115&lt;=3,IF(C115&gt;=-3,"PASS","NO PASS"))</f>
        <v>PASS</v>
      </c>
    </row>
    <row r="116" spans="2:5" ht="15.75" thickBot="1" x14ac:dyDescent="0.3">
      <c r="B116" s="3">
        <f>'CARTA DE CONTROL'!R118</f>
        <v>301.3</v>
      </c>
      <c r="C116" s="4">
        <f>'CARTA DE CONTROL'!AM118</f>
        <v>0.19249917026219712</v>
      </c>
      <c r="D116" s="6">
        <f>'CARTA DE CONTROL'!K118</f>
        <v>3</v>
      </c>
      <c r="E116" s="5" t="str">
        <f t="shared" si="3"/>
        <v>PASS</v>
      </c>
    </row>
    <row r="117" spans="2:5" ht="15.75" thickBot="1" x14ac:dyDescent="0.3">
      <c r="B117" s="3">
        <f>'CARTA DE CONTROL'!R119</f>
        <v>401.8</v>
      </c>
      <c r="C117" s="4">
        <f>'CARTA DE CONTROL'!AM119</f>
        <v>0.14435042309606769</v>
      </c>
      <c r="D117" s="6">
        <f>'CARTA DE CONTROL'!K119</f>
        <v>3</v>
      </c>
      <c r="E117" s="5" t="str">
        <f t="shared" si="3"/>
        <v>PASS</v>
      </c>
    </row>
    <row r="118" spans="2:5" ht="15.75" thickBot="1" x14ac:dyDescent="0.3">
      <c r="B118" s="3">
        <f>'CARTA DE CONTROL'!R120</f>
        <v>502.3</v>
      </c>
      <c r="C118" s="4">
        <f>'CARTA DE CONTROL'!AM120</f>
        <v>0.11546884332072464</v>
      </c>
      <c r="D118" s="6">
        <f>'CARTA DE CONTROL'!K120</f>
        <v>3</v>
      </c>
      <c r="E118" s="5" t="str">
        <f t="shared" si="3"/>
        <v>PASS</v>
      </c>
    </row>
  </sheetData>
  <mergeCells count="54">
    <mergeCell ref="B112:E112"/>
    <mergeCell ref="B65:E65"/>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G41:G45">
    <cfRule type="cellIs" dxfId="84" priority="22" operator="lessThan">
      <formula>$F$73</formula>
    </cfRule>
    <cfRule type="cellIs" dxfId="83" priority="23" operator="lessThan">
      <formula>0.05</formula>
    </cfRule>
  </conditionalFormatting>
  <conditionalFormatting sqref="G41:G45">
    <cfRule type="cellIs" dxfId="82" priority="21" operator="between">
      <formula>$F$73</formula>
      <formula>$G$73</formula>
    </cfRule>
  </conditionalFormatting>
  <conditionalFormatting sqref="E67:E71">
    <cfRule type="cellIs" dxfId="81" priority="10" operator="lessThan">
      <formula>$H$73</formula>
    </cfRule>
    <cfRule type="cellIs" dxfId="80" priority="11" operator="lessThan">
      <formula>0.05</formula>
    </cfRule>
  </conditionalFormatting>
  <conditionalFormatting sqref="G88:G92">
    <cfRule type="cellIs" dxfId="79" priority="4" operator="lessThan">
      <formula>$F$73</formula>
    </cfRule>
    <cfRule type="cellIs" dxfId="78" priority="5" operator="lessThan">
      <formula>0.05</formula>
    </cfRule>
  </conditionalFormatting>
  <conditionalFormatting sqref="G88:G92">
    <cfRule type="cellIs" dxfId="77" priority="3" operator="between">
      <formula>$F$73</formula>
      <formula>$G$73</formula>
    </cfRule>
  </conditionalFormatting>
  <conditionalFormatting sqref="E114:E118">
    <cfRule type="cellIs" dxfId="76" priority="1" operator="lessThan">
      <formula>$H$73</formula>
    </cfRule>
    <cfRule type="cellIs" dxfId="75" priority="2" operator="lessThan">
      <formula>0.05</formula>
    </cfRule>
  </conditionalFormatting>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opLeftCell="A61" zoomScale="85" zoomScaleNormal="85" workbookViewId="0">
      <selection activeCell="B42" sqref="B42"/>
    </sheetView>
  </sheetViews>
  <sheetFormatPr baseColWidth="10" defaultRowHeight="15" x14ac:dyDescent="0.25"/>
  <cols>
    <col min="1" max="1" width="6.140625" customWidth="1"/>
    <col min="2" max="2" width="22.85546875" customWidth="1"/>
    <col min="3" max="3" width="21.7109375" customWidth="1"/>
    <col min="4" max="4" width="21" customWidth="1"/>
    <col min="5" max="5" width="22.7109375" customWidth="1"/>
    <col min="6" max="7" width="13" customWidth="1"/>
    <col min="8" max="8" width="13.855468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CONTROL'!B121</f>
        <v>LUXOMETRO</v>
      </c>
      <c r="D7" s="659"/>
      <c r="E7" s="660"/>
    </row>
    <row r="8" spans="1:11" x14ac:dyDescent="0.25">
      <c r="B8" s="241" t="s">
        <v>176</v>
      </c>
      <c r="C8" s="658" t="str">
        <f>'CARTA DE CONTROL'!D121</f>
        <v>TECNIMAQ</v>
      </c>
      <c r="D8" s="659"/>
      <c r="E8" s="660"/>
    </row>
    <row r="9" spans="1:11" x14ac:dyDescent="0.25">
      <c r="B9" s="241" t="s">
        <v>177</v>
      </c>
      <c r="C9" s="658" t="str">
        <f>'CARTA DE CONTROL'!E121</f>
        <v>TMI-LUX</v>
      </c>
      <c r="D9" s="659"/>
      <c r="E9" s="660"/>
    </row>
    <row r="10" spans="1:11" x14ac:dyDescent="0.25">
      <c r="B10" s="241" t="s">
        <v>178</v>
      </c>
      <c r="C10" s="686" t="str">
        <f>'CARTA DE CONTROL'!F121</f>
        <v>TMI-LUX-0050</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9" spans="1:8" ht="15.75" thickBot="1" x14ac:dyDescent="0.3"/>
    <row r="40" spans="1:8" ht="72.75" thickBot="1" x14ac:dyDescent="0.3">
      <c r="B40" s="2" t="s">
        <v>105</v>
      </c>
      <c r="C40" s="11" t="s">
        <v>106</v>
      </c>
      <c r="D40" s="11" t="s">
        <v>107</v>
      </c>
      <c r="E40" s="22" t="s">
        <v>108</v>
      </c>
      <c r="F40" s="22" t="s">
        <v>109</v>
      </c>
      <c r="G40" s="22" t="s">
        <v>40</v>
      </c>
    </row>
    <row r="41" spans="1:8" ht="15.75" thickBot="1" x14ac:dyDescent="0.3">
      <c r="B41" s="368">
        <f>'CARTA DE CONTROL'!R121</f>
        <v>0</v>
      </c>
      <c r="C41" s="4">
        <f>'CARTA DE CONTROL'!AR121</f>
        <v>5.7000000000000002E-2</v>
      </c>
      <c r="D41" s="4">
        <f>'CARTA DE CONTROL'!AS121</f>
        <v>-5.7000000000000002E-2</v>
      </c>
      <c r="E41" s="6">
        <f>'CARTA DE CONTROL'!I121</f>
        <v>10</v>
      </c>
      <c r="F41" s="7">
        <f>-('CARTA DE CONTROL'!I121)</f>
        <v>-10</v>
      </c>
      <c r="G41" s="5" t="str">
        <f>IF(C41&lt;=10,IF(D41&gt;=-10,"PASS","NO PASS"))</f>
        <v>PASS</v>
      </c>
    </row>
    <row r="42" spans="1:8" ht="15.75" thickBot="1" x14ac:dyDescent="0.3">
      <c r="B42" s="20">
        <f>'CARTA DE CONTROL'!R122</f>
        <v>2.5</v>
      </c>
      <c r="C42" s="4">
        <f>'CARTA DE CONTROL'!AR122</f>
        <v>5.5</v>
      </c>
      <c r="D42" s="4">
        <f>'CARTA DE CONTROL'!AS122</f>
        <v>-9.600000000000005</v>
      </c>
      <c r="E42" s="6">
        <f>'CARTA DE CONTROL'!I122</f>
        <v>10</v>
      </c>
      <c r="F42" s="7">
        <f>-('CARTA DE CONTROL'!I122)</f>
        <v>-10</v>
      </c>
      <c r="G42" s="5" t="str">
        <f t="shared" ref="G42:G45" si="0">IF(C42&lt;=10,IF(D42&gt;=-10,"PASS","NO PASS"))</f>
        <v>PASS</v>
      </c>
    </row>
    <row r="43" spans="1:8" ht="15.75" thickBot="1" x14ac:dyDescent="0.3">
      <c r="B43" s="368">
        <f>'CARTA DE CONTROL'!R123</f>
        <v>10</v>
      </c>
      <c r="C43" s="4">
        <f>'CARTA DE CONTROL'!AR123</f>
        <v>4.5</v>
      </c>
      <c r="D43" s="4">
        <f>'CARTA DE CONTROL'!AS123</f>
        <v>-4.5</v>
      </c>
      <c r="E43" s="6">
        <f>'CARTA DE CONTROL'!I123</f>
        <v>10</v>
      </c>
      <c r="F43" s="7">
        <f>-('CARTA DE CONTROL'!I123)</f>
        <v>-10</v>
      </c>
      <c r="G43" s="5" t="str">
        <f t="shared" si="0"/>
        <v>PASS</v>
      </c>
    </row>
    <row r="44" spans="1:8" ht="15.75" thickBot="1" x14ac:dyDescent="0.3">
      <c r="B44" s="368">
        <f>'CARTA DE CONTROL'!R124</f>
        <v>26</v>
      </c>
      <c r="C44" s="4">
        <f>'CARTA DE CONTROL'!AR124</f>
        <v>0.66153846153846085</v>
      </c>
      <c r="D44" s="4">
        <f>'CARTA DE CONTROL'!AS124</f>
        <v>0.30769230769230493</v>
      </c>
      <c r="E44" s="6">
        <f>'CARTA DE CONTROL'!I124</f>
        <v>10</v>
      </c>
      <c r="F44" s="7">
        <f>-('CARTA DE CONTROL'!I124)</f>
        <v>-10</v>
      </c>
      <c r="G44" s="5" t="str">
        <f t="shared" si="0"/>
        <v>PASS</v>
      </c>
    </row>
    <row r="45" spans="1:8" ht="15.75" thickBot="1" x14ac:dyDescent="0.3">
      <c r="B45" s="368">
        <f>'CARTA DE CONTROL'!R125</f>
        <v>0</v>
      </c>
      <c r="C45" s="4">
        <f>'CARTA DE CONTROL'!AR125</f>
        <v>5.7000000000000002E-2</v>
      </c>
      <c r="D45" s="4">
        <f>'CARTA DE CONTROL'!AS125</f>
        <v>-5.7000000000000002E-2</v>
      </c>
      <c r="E45" s="6">
        <f>'CARTA DE CONTROL'!I125</f>
        <v>10</v>
      </c>
      <c r="F45" s="7">
        <f>-('CARTA DE CONTROL'!I125)</f>
        <v>-10</v>
      </c>
      <c r="G45" s="5" t="str">
        <f t="shared" si="0"/>
        <v>PASS</v>
      </c>
    </row>
    <row r="46" spans="1:8" ht="15.75" thickBot="1" x14ac:dyDescent="0.3">
      <c r="B46" s="368">
        <f>'CARTA DE CONTROL'!R126</f>
        <v>56</v>
      </c>
      <c r="C46" s="4">
        <f>'CARTA DE CONTROL'!AR126</f>
        <v>4.6857142857142842</v>
      </c>
      <c r="D46" s="4">
        <f>'CARTA DE CONTROL'!AS126</f>
        <v>-3.5714285714285738</v>
      </c>
      <c r="E46" s="6">
        <f>'CARTA DE CONTROL'!I126</f>
        <v>10</v>
      </c>
      <c r="F46" s="7">
        <f>-('CARTA DE CONTROL'!I126)</f>
        <v>-10</v>
      </c>
      <c r="G46" s="5" t="str">
        <f t="shared" ref="G46:G47" si="1">IF(C46&lt;=10,IF(D46&gt;=-10,"PASS","NO PASS"))</f>
        <v>PASS</v>
      </c>
    </row>
    <row r="47" spans="1:8" ht="15.75" thickBot="1" x14ac:dyDescent="0.3">
      <c r="B47" s="368">
        <f>'CARTA DE CONTROL'!R127</f>
        <v>90</v>
      </c>
      <c r="C47" s="4">
        <f>'CARTA DE CONTROL'!AR127</f>
        <v>3.622222222222228</v>
      </c>
      <c r="D47" s="4">
        <f>'CARTA DE CONTROL'!AS127</f>
        <v>-4.8888888888888822</v>
      </c>
      <c r="E47" s="6">
        <f>'CARTA DE CONTROL'!I127</f>
        <v>10</v>
      </c>
      <c r="F47" s="7">
        <f>-('CARTA DE CONTROL'!I127)</f>
        <v>-10</v>
      </c>
      <c r="G47" s="5" t="str">
        <f t="shared" si="1"/>
        <v>PASS</v>
      </c>
    </row>
    <row r="48" spans="1:8" x14ac:dyDescent="0.25">
      <c r="A48" s="1"/>
      <c r="B48" s="1"/>
      <c r="C48" s="1"/>
      <c r="D48" s="1"/>
      <c r="E48" s="1"/>
      <c r="F48" s="1"/>
      <c r="G48" s="1"/>
      <c r="H48" s="1"/>
    </row>
    <row r="49" spans="1:8" x14ac:dyDescent="0.25">
      <c r="A49" s="1"/>
      <c r="B49" s="1"/>
      <c r="C49" s="1"/>
      <c r="D49" s="1"/>
    </row>
    <row r="50" spans="1:8" x14ac:dyDescent="0.25">
      <c r="A50" s="1"/>
      <c r="B50" s="1"/>
      <c r="C50" s="1"/>
      <c r="D50" s="1"/>
    </row>
    <row r="51" spans="1:8" x14ac:dyDescent="0.25">
      <c r="A51" s="1"/>
      <c r="B51" s="1"/>
      <c r="C51" s="1"/>
      <c r="D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sheetData>
  <mergeCells count="52">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4:D34"/>
    <mergeCell ref="F34:G34"/>
    <mergeCell ref="B35:D35"/>
    <mergeCell ref="F35:G35"/>
    <mergeCell ref="B36:D36"/>
    <mergeCell ref="F36:G36"/>
  </mergeCells>
  <conditionalFormatting sqref="G41:G47">
    <cfRule type="cellIs" dxfId="74" priority="11" operator="lessThan">
      <formula>$F$75</formula>
    </cfRule>
    <cfRule type="cellIs" dxfId="73" priority="12" operator="lessThan">
      <formula>0.05</formula>
    </cfRule>
  </conditionalFormatting>
  <conditionalFormatting sqref="G41:G47">
    <cfRule type="cellIs" dxfId="72" priority="10" operator="between">
      <formula>$F$75</formula>
      <formula>$G$75</formula>
    </cfRule>
  </conditionalFormatting>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58" workbookViewId="0">
      <selection activeCell="B52" sqref="B52"/>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7" max="7" width="12.5703125" customWidth="1"/>
    <col min="8" max="8" width="12.71093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CONTROL'!B121</f>
        <v>LUXOMETRO</v>
      </c>
      <c r="D7" s="659"/>
      <c r="E7" s="660"/>
    </row>
    <row r="8" spans="1:11" x14ac:dyDescent="0.25">
      <c r="B8" s="241" t="s">
        <v>176</v>
      </c>
      <c r="C8" s="658" t="str">
        <f>'CARTA DE CONTROL'!D121</f>
        <v>TECNIMAQ</v>
      </c>
      <c r="D8" s="659"/>
      <c r="E8" s="660"/>
    </row>
    <row r="9" spans="1:11" x14ac:dyDescent="0.25">
      <c r="B9" s="241" t="s">
        <v>177</v>
      </c>
      <c r="C9" s="658" t="str">
        <f>'CARTA DE CONTROL'!E121</f>
        <v>TMI-LUX</v>
      </c>
      <c r="D9" s="659"/>
      <c r="E9" s="660"/>
    </row>
    <row r="10" spans="1:11" x14ac:dyDescent="0.25">
      <c r="B10" s="241" t="s">
        <v>178</v>
      </c>
      <c r="C10" s="686" t="str">
        <f>'CARTA DE CONTROL'!F121</f>
        <v>TMI-LUX-0050</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9" spans="1:7" ht="15.75" thickBot="1" x14ac:dyDescent="0.3"/>
    <row r="40" spans="1:7" ht="72.75" thickBot="1" x14ac:dyDescent="0.3">
      <c r="B40" s="2" t="s">
        <v>105</v>
      </c>
      <c r="C40" s="11" t="s">
        <v>106</v>
      </c>
      <c r="D40" s="11" t="s">
        <v>107</v>
      </c>
      <c r="E40" s="22" t="s">
        <v>108</v>
      </c>
      <c r="F40" s="22" t="s">
        <v>109</v>
      </c>
      <c r="G40" s="22" t="s">
        <v>40</v>
      </c>
    </row>
    <row r="41" spans="1:7" ht="15.75" thickBot="1" x14ac:dyDescent="0.3">
      <c r="B41" s="20">
        <f>'CARTA DE CONTROL'!R128</f>
        <v>0</v>
      </c>
      <c r="C41" s="4">
        <f>'CARTA DE CONTROL'!AR128</f>
        <v>5.8000000000000003E-2</v>
      </c>
      <c r="D41" s="4">
        <f>'CARTA DE CONTROL'!AS128</f>
        <v>-5.8000000000000003E-2</v>
      </c>
      <c r="E41" s="6">
        <f>'CARTA DE CONTROL'!I128</f>
        <v>10</v>
      </c>
      <c r="F41" s="7">
        <f>-('CARTA DE CONTROL'!I128)</f>
        <v>-10</v>
      </c>
      <c r="G41" s="5" t="str">
        <f>IF(C41&lt;=10,IF(D41&gt;=-10,"PASS","NO PASS"))</f>
        <v>PASS</v>
      </c>
    </row>
    <row r="42" spans="1:7" ht="15.75" thickBot="1" x14ac:dyDescent="0.3">
      <c r="B42" s="20">
        <f>'CARTA DE CONTROL'!R129</f>
        <v>1.002</v>
      </c>
      <c r="C42" s="4">
        <f>'CARTA DE CONTROL'!AR129</f>
        <v>-0.14160079840319378</v>
      </c>
      <c r="D42" s="4">
        <f>'CARTA DE CONTROL'!AS129</f>
        <v>-0.25760079840319378</v>
      </c>
      <c r="E42" s="6">
        <f>'CARTA DE CONTROL'!I129</f>
        <v>10</v>
      </c>
      <c r="F42" s="7">
        <f>-('CARTA DE CONTROL'!I129)</f>
        <v>-10</v>
      </c>
      <c r="G42" s="5" t="str">
        <f t="shared" ref="G42:G44" si="0">IF(C42&lt;=10,IF(D42&gt;=-10,"PASS","NO PASS"))</f>
        <v>PASS</v>
      </c>
    </row>
    <row r="43" spans="1:7" ht="15.75" thickBot="1" x14ac:dyDescent="0.3">
      <c r="B43" s="20">
        <f>'CARTA DE CONTROL'!R130</f>
        <v>2.0070000000000001</v>
      </c>
      <c r="C43" s="4">
        <f>'CARTA DE CONTROL'!AR130</f>
        <v>-0.29077927254609454</v>
      </c>
      <c r="D43" s="4">
        <f>'CARTA DE CONTROL'!AS130</f>
        <v>-0.40677927254609453</v>
      </c>
      <c r="E43" s="6">
        <f>'CARTA DE CONTROL'!I130</f>
        <v>10</v>
      </c>
      <c r="F43" s="7">
        <f>-('CARTA DE CONTROL'!I130)</f>
        <v>-10</v>
      </c>
      <c r="G43" s="5" t="str">
        <f t="shared" si="0"/>
        <v>PASS</v>
      </c>
    </row>
    <row r="44" spans="1:7" ht="15.75" thickBot="1" x14ac:dyDescent="0.3">
      <c r="B44" s="20">
        <f>'CARTA DE CONTROL'!R131</f>
        <v>3.0089999999999999</v>
      </c>
      <c r="C44" s="4">
        <f>'CARTA DE CONTROL'!AR131</f>
        <v>-0.2411026919242239</v>
      </c>
      <c r="D44" s="4">
        <f>'CARTA DE CONTROL'!AS131</f>
        <v>-0.35710269192422389</v>
      </c>
      <c r="E44" s="6">
        <f>'CARTA DE CONTROL'!I131</f>
        <v>10</v>
      </c>
      <c r="F44" s="7">
        <f>-('CARTA DE CONTROL'!I131)</f>
        <v>-10</v>
      </c>
      <c r="G44" s="5" t="str">
        <f t="shared" si="0"/>
        <v>PASS</v>
      </c>
    </row>
    <row r="45" spans="1:7" ht="15.75" thickBot="1" x14ac:dyDescent="0.3">
      <c r="B45" s="20">
        <f>'CARTA DE CONTROL'!R132</f>
        <v>4.0129999999999999</v>
      </c>
      <c r="C45" s="4">
        <f>'CARTA DE CONTROL'!AR132</f>
        <v>-0.26494717169199855</v>
      </c>
      <c r="D45" s="4">
        <f>'CARTA DE CONTROL'!AS132</f>
        <v>-0.38294717169199854</v>
      </c>
      <c r="E45" s="6">
        <f>'CARTA DE CONTROL'!I132</f>
        <v>10</v>
      </c>
      <c r="F45" s="7">
        <f>-('CARTA DE CONTROL'!I132)</f>
        <v>-10</v>
      </c>
      <c r="G45" s="5" t="str">
        <f t="shared" ref="G45:G52" si="1">IF(C45&lt;=10,IF(D45&gt;=-10,"PASS","NO PASS"))</f>
        <v>PASS</v>
      </c>
    </row>
    <row r="46" spans="1:7" ht="15.75" thickBot="1" x14ac:dyDescent="0.3">
      <c r="B46" s="20">
        <f>'CARTA DE CONTROL'!R133</f>
        <v>6.0270000000000001</v>
      </c>
      <c r="C46" s="4">
        <f>'CARTA DE CONTROL'!AR133</f>
        <v>-0.38498407167745369</v>
      </c>
      <c r="D46" s="4">
        <f>'CARTA DE CONTROL'!AS133</f>
        <v>-0.51098407167745363</v>
      </c>
      <c r="E46" s="6">
        <f>'CARTA DE CONTROL'!I133</f>
        <v>10</v>
      </c>
      <c r="F46" s="7">
        <f>-('CARTA DE CONTROL'!I133)</f>
        <v>-10</v>
      </c>
      <c r="G46" s="5" t="str">
        <f t="shared" si="1"/>
        <v>PASS</v>
      </c>
    </row>
    <row r="47" spans="1:7" ht="15.75" thickBot="1" x14ac:dyDescent="0.3">
      <c r="B47" s="20">
        <f>'CARTA DE CONTROL'!R134</f>
        <v>0</v>
      </c>
      <c r="C47" s="4">
        <f>'CARTA DE CONTROL'!AR134</f>
        <v>5.8000000000000003E-2</v>
      </c>
      <c r="D47" s="4">
        <f>'CARTA DE CONTROL'!AS134</f>
        <v>-5.8000000000000003E-2</v>
      </c>
      <c r="E47" s="6">
        <f>'CARTA DE CONTROL'!I134</f>
        <v>10</v>
      </c>
      <c r="F47" s="7">
        <f>-('CARTA DE CONTROL'!I134)</f>
        <v>-10</v>
      </c>
      <c r="G47" s="5" t="str">
        <f t="shared" si="1"/>
        <v>PASS</v>
      </c>
    </row>
    <row r="48" spans="1:7" ht="15.75" thickBot="1" x14ac:dyDescent="0.3">
      <c r="B48" s="20">
        <f>'CARTA DE CONTROL'!R135</f>
        <v>-1.002</v>
      </c>
      <c r="C48" s="4">
        <f>'CARTA DE CONTROL'!AR135</f>
        <v>-0.14160079840319378</v>
      </c>
      <c r="D48" s="4">
        <f>'CARTA DE CONTROL'!AS135</f>
        <v>-0.25760079840319378</v>
      </c>
      <c r="E48" s="6">
        <f>'CARTA DE CONTROL'!I135</f>
        <v>10</v>
      </c>
      <c r="F48" s="7">
        <f>-('CARTA DE CONTROL'!I135)</f>
        <v>-10</v>
      </c>
      <c r="G48" s="5" t="str">
        <f t="shared" si="1"/>
        <v>PASS</v>
      </c>
    </row>
    <row r="49" spans="1:8" ht="15.75" thickBot="1" x14ac:dyDescent="0.3">
      <c r="B49" s="20">
        <f>'CARTA DE CONTROL'!R136</f>
        <v>-2.0070000000000001</v>
      </c>
      <c r="C49" s="4">
        <f>'CARTA DE CONTROL'!AR136</f>
        <v>-0.29077927254609454</v>
      </c>
      <c r="D49" s="4">
        <f>'CARTA DE CONTROL'!AS136</f>
        <v>-0.40677927254609453</v>
      </c>
      <c r="E49" s="6">
        <f>'CARTA DE CONTROL'!I136</f>
        <v>10</v>
      </c>
      <c r="F49" s="7">
        <f>-('CARTA DE CONTROL'!I136)</f>
        <v>-10</v>
      </c>
      <c r="G49" s="5" t="str">
        <f t="shared" si="1"/>
        <v>PASS</v>
      </c>
    </row>
    <row r="50" spans="1:8" ht="15.75" thickBot="1" x14ac:dyDescent="0.3">
      <c r="B50" s="20">
        <f>'CARTA DE CONTROL'!R137</f>
        <v>-3.0089999999999999</v>
      </c>
      <c r="C50" s="4">
        <f>'CARTA DE CONTROL'!AR137</f>
        <v>-0.2411026919242239</v>
      </c>
      <c r="D50" s="4">
        <f>'CARTA DE CONTROL'!AS137</f>
        <v>-0.35710269192422389</v>
      </c>
      <c r="E50" s="6">
        <f>'CARTA DE CONTROL'!I137</f>
        <v>10</v>
      </c>
      <c r="F50" s="7">
        <f>-('CARTA DE CONTROL'!I137)</f>
        <v>-10</v>
      </c>
      <c r="G50" s="5" t="str">
        <f t="shared" si="1"/>
        <v>PASS</v>
      </c>
    </row>
    <row r="51" spans="1:8" ht="15.75" thickBot="1" x14ac:dyDescent="0.3">
      <c r="B51" s="20">
        <f>'CARTA DE CONTROL'!R138</f>
        <v>-4.0129999999999999</v>
      </c>
      <c r="C51" s="4">
        <f>'CARTA DE CONTROL'!AR138</f>
        <v>-0.26494717169199855</v>
      </c>
      <c r="D51" s="4">
        <f>'CARTA DE CONTROL'!AS138</f>
        <v>-0.38294717169199854</v>
      </c>
      <c r="E51" s="6">
        <f>'CARTA DE CONTROL'!I138</f>
        <v>10</v>
      </c>
      <c r="F51" s="7">
        <f>-('CARTA DE CONTROL'!I138)</f>
        <v>-10</v>
      </c>
      <c r="G51" s="5" t="str">
        <f t="shared" si="1"/>
        <v>PASS</v>
      </c>
    </row>
    <row r="52" spans="1:8" ht="15.75" thickBot="1" x14ac:dyDescent="0.3">
      <c r="B52" s="20">
        <f>'CARTA DE CONTROL'!R139</f>
        <v>-6.0270000000000001</v>
      </c>
      <c r="C52" s="4">
        <f>'CARTA DE CONTROL'!AR139</f>
        <v>-0.38498407167745369</v>
      </c>
      <c r="D52" s="4">
        <f>'CARTA DE CONTROL'!AS139</f>
        <v>-0.51098407167745363</v>
      </c>
      <c r="E52" s="6">
        <f>'CARTA DE CONTROL'!I139</f>
        <v>10</v>
      </c>
      <c r="F52" s="7">
        <f>-('CARTA DE CONTROL'!I139)</f>
        <v>-10</v>
      </c>
      <c r="G52" s="5" t="str">
        <f t="shared" si="1"/>
        <v>PASS</v>
      </c>
    </row>
    <row r="53" spans="1:8" x14ac:dyDescent="0.25">
      <c r="A53" s="1"/>
      <c r="B53" s="1"/>
      <c r="C53" s="1"/>
      <c r="D53" s="1"/>
    </row>
    <row r="54" spans="1:8" x14ac:dyDescent="0.25">
      <c r="A54" s="1"/>
      <c r="B54" s="1"/>
      <c r="C54" s="1"/>
      <c r="D54" s="1"/>
    </row>
    <row r="55" spans="1:8" x14ac:dyDescent="0.25">
      <c r="A55" s="1"/>
      <c r="B55" s="1"/>
      <c r="C55" s="1"/>
      <c r="D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sheetData>
  <mergeCells count="52">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4:D34"/>
    <mergeCell ref="F34:G34"/>
    <mergeCell ref="B35:D35"/>
    <mergeCell ref="F35:G35"/>
    <mergeCell ref="B36:D36"/>
    <mergeCell ref="F36:G36"/>
  </mergeCells>
  <conditionalFormatting sqref="G41:G52">
    <cfRule type="cellIs" dxfId="71" priority="8" operator="lessThan">
      <formula>$F$79</formula>
    </cfRule>
    <cfRule type="cellIs" dxfId="70" priority="9" operator="lessThan">
      <formula>0.05</formula>
    </cfRule>
  </conditionalFormatting>
  <conditionalFormatting sqref="G41:G52">
    <cfRule type="cellIs" dxfId="69" priority="7" operator="between">
      <formula>$F$79</formula>
      <formula>$G$79</formula>
    </cfRule>
  </conditionalFormatting>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7" workbookViewId="0">
      <selection activeCell="D35" sqref="D35"/>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246"/>
      <c r="C2" s="246"/>
      <c r="D2" s="246"/>
      <c r="E2" s="225"/>
      <c r="F2" s="246"/>
      <c r="G2" s="246"/>
      <c r="H2" s="246"/>
    </row>
    <row r="3" spans="1:11" ht="15" customHeight="1" x14ac:dyDescent="0.25">
      <c r="B3" s="246"/>
      <c r="C3" s="246"/>
      <c r="D3" s="246"/>
      <c r="E3" s="225"/>
      <c r="F3" s="246"/>
      <c r="G3" s="246"/>
      <c r="H3" s="246"/>
    </row>
    <row r="4" spans="1:11" ht="15" customHeight="1" x14ac:dyDescent="0.25">
      <c r="B4" s="246"/>
      <c r="C4" s="246"/>
      <c r="D4" s="246"/>
      <c r="E4" s="225"/>
      <c r="F4" s="246"/>
      <c r="G4" s="246"/>
      <c r="H4" s="246"/>
    </row>
    <row r="5" spans="1:11" ht="15" customHeight="1" x14ac:dyDescent="0.25">
      <c r="B5" s="246"/>
      <c r="C5" s="246"/>
      <c r="D5" s="246"/>
      <c r="E5" s="225"/>
      <c r="F5" s="246"/>
      <c r="G5" s="246"/>
      <c r="H5" s="246"/>
    </row>
    <row r="6" spans="1:11" ht="15" customHeight="1" x14ac:dyDescent="0.25">
      <c r="B6" s="246"/>
      <c r="C6" s="246"/>
      <c r="D6" s="246"/>
      <c r="E6" s="225"/>
      <c r="F6" s="246"/>
      <c r="G6" s="246"/>
      <c r="H6" s="246"/>
    </row>
    <row r="7" spans="1:11" x14ac:dyDescent="0.25">
      <c r="B7" s="241" t="s">
        <v>175</v>
      </c>
      <c r="C7" s="658" t="str">
        <f>'CARTA DE CONTROL'!B148</f>
        <v>PROFUNDIMENTRO</v>
      </c>
      <c r="D7" s="659"/>
      <c r="E7" s="660"/>
    </row>
    <row r="8" spans="1:11" x14ac:dyDescent="0.25">
      <c r="B8" s="241" t="s">
        <v>176</v>
      </c>
      <c r="C8" s="658" t="str">
        <f>'CARTA DE CONTROL'!D148</f>
        <v>FOWLER</v>
      </c>
      <c r="D8" s="659"/>
      <c r="E8" s="660"/>
    </row>
    <row r="9" spans="1:11" x14ac:dyDescent="0.25">
      <c r="B9" s="241" t="s">
        <v>177</v>
      </c>
      <c r="C9" s="658" t="str">
        <f>'CARTA DE CONTROL'!E148</f>
        <v>X-TREAD</v>
      </c>
      <c r="D9" s="659"/>
      <c r="E9" s="660"/>
    </row>
    <row r="10" spans="1:11" x14ac:dyDescent="0.25">
      <c r="B10" s="241" t="s">
        <v>178</v>
      </c>
      <c r="C10" s="686">
        <f>'CARTA DE CONTROL'!F148</f>
        <v>3919</v>
      </c>
      <c r="D10" s="687"/>
      <c r="E10" s="688"/>
    </row>
    <row r="11" spans="1:11" ht="15" customHeight="1" thickBot="1" x14ac:dyDescent="0.3">
      <c r="B11" s="246"/>
      <c r="C11" s="246"/>
      <c r="D11" s="246"/>
      <c r="E11" s="225"/>
      <c r="F11" s="246"/>
      <c r="G11" s="246"/>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50" t="s">
        <v>148</v>
      </c>
      <c r="F13" s="654" t="s">
        <v>149</v>
      </c>
      <c r="G13" s="655"/>
      <c r="H13" s="215"/>
      <c r="I13" s="215"/>
      <c r="J13" s="215"/>
      <c r="K13" s="215"/>
    </row>
    <row r="14" spans="1:11" s="1" customFormat="1" ht="35.25" customHeight="1" x14ac:dyDescent="0.2">
      <c r="A14" s="218">
        <v>1</v>
      </c>
      <c r="B14" s="648" t="s">
        <v>150</v>
      </c>
      <c r="C14" s="648"/>
      <c r="D14" s="648"/>
      <c r="E14" s="249" t="s">
        <v>151</v>
      </c>
      <c r="F14" s="649"/>
      <c r="G14" s="650"/>
      <c r="H14" s="216"/>
      <c r="I14" s="216"/>
      <c r="J14" s="216"/>
      <c r="K14" s="216"/>
    </row>
    <row r="15" spans="1:11" s="1" customFormat="1" ht="35.25" customHeight="1" x14ac:dyDescent="0.2">
      <c r="A15" s="218">
        <v>2</v>
      </c>
      <c r="B15" s="648" t="s">
        <v>152</v>
      </c>
      <c r="C15" s="648"/>
      <c r="D15" s="648"/>
      <c r="E15" s="249" t="s">
        <v>151</v>
      </c>
      <c r="F15" s="649"/>
      <c r="G15" s="650"/>
    </row>
    <row r="16" spans="1:11" s="1" customFormat="1" ht="35.25" customHeight="1" x14ac:dyDescent="0.2">
      <c r="A16" s="218">
        <v>3</v>
      </c>
      <c r="B16" s="648" t="s">
        <v>153</v>
      </c>
      <c r="C16" s="648"/>
      <c r="D16" s="648"/>
      <c r="E16" s="249" t="s">
        <v>151</v>
      </c>
      <c r="F16" s="649"/>
      <c r="G16" s="650"/>
    </row>
    <row r="17" spans="1:7" s="1" customFormat="1" ht="35.25" customHeight="1" x14ac:dyDescent="0.2">
      <c r="A17" s="218">
        <v>4</v>
      </c>
      <c r="B17" s="648" t="s">
        <v>154</v>
      </c>
      <c r="C17" s="648"/>
      <c r="D17" s="648"/>
      <c r="E17" s="249" t="s">
        <v>151</v>
      </c>
      <c r="F17" s="656"/>
      <c r="G17" s="657"/>
    </row>
    <row r="18" spans="1:7" s="1" customFormat="1" ht="35.25" customHeight="1" x14ac:dyDescent="0.2">
      <c r="A18" s="218">
        <v>5</v>
      </c>
      <c r="B18" s="648" t="s">
        <v>155</v>
      </c>
      <c r="C18" s="648"/>
      <c r="D18" s="648"/>
      <c r="E18" s="249" t="s">
        <v>151</v>
      </c>
      <c r="F18" s="649"/>
      <c r="G18" s="650"/>
    </row>
    <row r="19" spans="1:7" s="1" customFormat="1" ht="35.25" customHeight="1" x14ac:dyDescent="0.2">
      <c r="A19" s="218">
        <v>6</v>
      </c>
      <c r="B19" s="648" t="s">
        <v>156</v>
      </c>
      <c r="C19" s="648"/>
      <c r="D19" s="648"/>
      <c r="E19" s="249" t="s">
        <v>151</v>
      </c>
      <c r="F19" s="649"/>
      <c r="G19" s="650"/>
    </row>
    <row r="20" spans="1:7" s="1" customFormat="1" ht="35.25" customHeight="1" x14ac:dyDescent="0.2">
      <c r="A20" s="218">
        <v>7</v>
      </c>
      <c r="B20" s="648" t="s">
        <v>157</v>
      </c>
      <c r="C20" s="648"/>
      <c r="D20" s="648"/>
      <c r="E20" s="249" t="s">
        <v>151</v>
      </c>
      <c r="F20" s="649"/>
      <c r="G20" s="650"/>
    </row>
    <row r="21" spans="1:7" s="1" customFormat="1" ht="35.25" customHeight="1" x14ac:dyDescent="0.2">
      <c r="A21" s="218">
        <v>8</v>
      </c>
      <c r="B21" s="648" t="s">
        <v>158</v>
      </c>
      <c r="C21" s="648"/>
      <c r="D21" s="648"/>
      <c r="E21" s="249" t="s">
        <v>151</v>
      </c>
      <c r="F21" s="649"/>
      <c r="G21" s="650"/>
    </row>
    <row r="22" spans="1:7" s="1" customFormat="1" ht="35.25" customHeight="1" x14ac:dyDescent="0.2">
      <c r="A22" s="218">
        <v>9</v>
      </c>
      <c r="B22" s="648" t="s">
        <v>159</v>
      </c>
      <c r="C22" s="648"/>
      <c r="D22" s="648"/>
      <c r="E22" s="249" t="s">
        <v>151</v>
      </c>
      <c r="F22" s="649"/>
      <c r="G22" s="650"/>
    </row>
    <row r="23" spans="1:7" s="1" customFormat="1" ht="35.25" customHeight="1" x14ac:dyDescent="0.2">
      <c r="A23" s="218">
        <v>10</v>
      </c>
      <c r="B23" s="648" t="s">
        <v>160</v>
      </c>
      <c r="C23" s="648"/>
      <c r="D23" s="648"/>
      <c r="E23" s="249" t="s">
        <v>151</v>
      </c>
      <c r="F23" s="649"/>
      <c r="G23" s="650"/>
    </row>
    <row r="24" spans="1:7" s="1" customFormat="1" ht="35.25" customHeight="1" x14ac:dyDescent="0.2">
      <c r="A24" s="218">
        <v>11</v>
      </c>
      <c r="B24" s="648" t="s">
        <v>161</v>
      </c>
      <c r="C24" s="648"/>
      <c r="D24" s="648"/>
      <c r="E24" s="249" t="s">
        <v>151</v>
      </c>
      <c r="F24" s="649"/>
      <c r="G24" s="650"/>
    </row>
    <row r="25" spans="1:7" s="204" customFormat="1" ht="35.25" customHeight="1" x14ac:dyDescent="0.2">
      <c r="A25" s="219">
        <v>12</v>
      </c>
      <c r="B25" s="648" t="s">
        <v>162</v>
      </c>
      <c r="C25" s="648"/>
      <c r="D25" s="648"/>
      <c r="E25" s="203" t="s">
        <v>151</v>
      </c>
      <c r="F25" s="649"/>
      <c r="G25" s="650"/>
    </row>
    <row r="26" spans="1:7" s="1" customFormat="1" ht="35.25" customHeight="1" x14ac:dyDescent="0.2">
      <c r="A26" s="218">
        <v>13</v>
      </c>
      <c r="B26" s="648" t="s">
        <v>163</v>
      </c>
      <c r="C26" s="648"/>
      <c r="D26" s="648"/>
      <c r="E26" s="249" t="s">
        <v>151</v>
      </c>
      <c r="F26" s="649"/>
      <c r="G26" s="650"/>
    </row>
    <row r="27" spans="1:7" s="1" customFormat="1" ht="35.25" customHeight="1" x14ac:dyDescent="0.2">
      <c r="A27" s="218">
        <v>14</v>
      </c>
      <c r="B27" s="648" t="s">
        <v>164</v>
      </c>
      <c r="C27" s="648"/>
      <c r="D27" s="648"/>
      <c r="E27" s="249" t="s">
        <v>151</v>
      </c>
      <c r="F27" s="649"/>
      <c r="G27" s="650"/>
    </row>
    <row r="28" spans="1:7" s="1" customFormat="1" ht="54.75" customHeight="1" thickBot="1" x14ac:dyDescent="0.25">
      <c r="A28" s="220">
        <v>15</v>
      </c>
      <c r="B28" s="667" t="s">
        <v>165</v>
      </c>
      <c r="C28" s="667"/>
      <c r="D28" s="667"/>
      <c r="E28" s="247" t="s">
        <v>151</v>
      </c>
      <c r="F28" s="668"/>
      <c r="G28" s="669"/>
    </row>
    <row r="29" spans="1:7" ht="15.75" thickBot="1" x14ac:dyDescent="0.3"/>
    <row r="30" spans="1:7" ht="79.5" thickBot="1" x14ac:dyDescent="0.3">
      <c r="B30" s="2" t="s">
        <v>41</v>
      </c>
      <c r="C30" s="11" t="s">
        <v>100</v>
      </c>
      <c r="D30" s="11" t="s">
        <v>101</v>
      </c>
      <c r="E30" s="2" t="s">
        <v>102</v>
      </c>
      <c r="F30" s="2" t="s">
        <v>103</v>
      </c>
      <c r="G30" s="21" t="s">
        <v>104</v>
      </c>
    </row>
    <row r="31" spans="1:7" ht="15.75" thickBot="1" x14ac:dyDescent="0.3">
      <c r="B31" s="3">
        <f>'CARTA DE CONTROL'!Q148</f>
        <v>0</v>
      </c>
      <c r="C31" s="4">
        <f>'CARTA DE CONTROL'!AR148</f>
        <v>6.4000000000000003E-3</v>
      </c>
      <c r="D31" s="4">
        <f>'CARTA DE CONTROL'!AS148</f>
        <v>6.4000000000000003E-3</v>
      </c>
      <c r="E31" s="6">
        <f>'CARTA DE CONTROL'!I148</f>
        <v>0.04</v>
      </c>
      <c r="F31" s="7">
        <f>-('CARTA DE CONTROL'!I148)</f>
        <v>-0.04</v>
      </c>
      <c r="G31" s="5" t="str">
        <f>IF(C31&lt;=0.1,IF(D31&gt;=-0.1,"PASS","NO PASS"))</f>
        <v>PASS</v>
      </c>
    </row>
    <row r="32" spans="1:7" ht="15.75" thickBot="1" x14ac:dyDescent="0.3">
      <c r="B32" s="3">
        <f>'CARTA DE CONTROL'!Q149</f>
        <v>0.5</v>
      </c>
      <c r="C32" s="4">
        <f>'CARTA DE CONTROL'!AR149</f>
        <v>1.1400000000000004E-2</v>
      </c>
      <c r="D32" s="4">
        <f>'CARTA DE CONTROL'!AS149</f>
        <v>1.3999999999999959E-3</v>
      </c>
      <c r="E32" s="6">
        <f>'CARTA DE CONTROL'!I149</f>
        <v>0.04</v>
      </c>
      <c r="F32" s="7">
        <f>-('CARTA DE CONTROL'!I149)</f>
        <v>-0.04</v>
      </c>
      <c r="G32" s="5" t="str">
        <f t="shared" ref="G32:G40" si="0">IF(C32&lt;=0.1,IF(D32&gt;=-0.1,"PASS","NO PASS"))</f>
        <v>PASS</v>
      </c>
    </row>
    <row r="33" spans="1:8" ht="15.75" thickBot="1" x14ac:dyDescent="0.3">
      <c r="B33" s="3">
        <f>'CARTA DE CONTROL'!Q150</f>
        <v>1</v>
      </c>
      <c r="C33" s="4">
        <f>'CARTA DE CONTROL'!AR150</f>
        <v>-3.6000000000000086E-3</v>
      </c>
      <c r="D33" s="4">
        <f>'CARTA DE CONTROL'!AS150</f>
        <v>1.6400000000000008E-2</v>
      </c>
      <c r="E33" s="6">
        <f>'CARTA DE CONTROL'!I150</f>
        <v>0.04</v>
      </c>
      <c r="F33" s="7">
        <f>-('CARTA DE CONTROL'!I150)</f>
        <v>-0.04</v>
      </c>
      <c r="G33" s="5" t="str">
        <f t="shared" si="0"/>
        <v>PASS</v>
      </c>
    </row>
    <row r="34" spans="1:8" ht="15.75" thickBot="1" x14ac:dyDescent="0.3">
      <c r="B34" s="3">
        <f>'CARTA DE CONTROL'!Q151</f>
        <v>1.6</v>
      </c>
      <c r="C34" s="4">
        <f>'CARTA DE CONTROL'!AR151</f>
        <v>6.4000000000000003E-3</v>
      </c>
      <c r="D34" s="4">
        <f>'CARTA DE CONTROL'!AS151</f>
        <v>6.4000000000000003E-3</v>
      </c>
      <c r="E34" s="6">
        <f>'CARTA DE CONTROL'!I151</f>
        <v>0.04</v>
      </c>
      <c r="F34" s="7">
        <f>-('CARTA DE CONTROL'!I151)</f>
        <v>-0.04</v>
      </c>
      <c r="G34" s="5" t="str">
        <f t="shared" si="0"/>
        <v>PASS</v>
      </c>
    </row>
    <row r="35" spans="1:8" ht="15.75" thickBot="1" x14ac:dyDescent="0.3">
      <c r="B35" s="3">
        <f>'CARTA DE CONTROL'!Q152</f>
        <v>2</v>
      </c>
      <c r="C35" s="4">
        <f>'CARTA DE CONTROL'!AR152</f>
        <v>-8.5999999999999029E-3</v>
      </c>
      <c r="D35" s="4">
        <f>'CARTA DE CONTROL'!AS152</f>
        <v>2.1399999999999902E-2</v>
      </c>
      <c r="E35" s="6">
        <f>'CARTA DE CONTROL'!I152</f>
        <v>0.04</v>
      </c>
      <c r="F35" s="7">
        <f>-('CARTA DE CONTROL'!I152)</f>
        <v>-0.04</v>
      </c>
      <c r="G35" s="5" t="str">
        <f t="shared" si="0"/>
        <v>PASS</v>
      </c>
    </row>
    <row r="36" spans="1:8" ht="15.75" thickBot="1" x14ac:dyDescent="0.3">
      <c r="B36" s="3">
        <f>'CARTA DE CONTROL'!Q153</f>
        <v>5</v>
      </c>
      <c r="C36" s="4">
        <f>'CARTA DE CONTROL'!AR153</f>
        <v>6.4000000000000003E-3</v>
      </c>
      <c r="D36" s="4">
        <f>'CARTA DE CONTROL'!AS153</f>
        <v>6.4000000000000003E-3</v>
      </c>
      <c r="E36" s="6">
        <f>'CARTA DE CONTROL'!I153</f>
        <v>0.04</v>
      </c>
      <c r="F36" s="7">
        <f>-('CARTA DE CONTROL'!I153)</f>
        <v>-0.04</v>
      </c>
      <c r="G36" s="5" t="str">
        <f t="shared" si="0"/>
        <v>PASS</v>
      </c>
    </row>
    <row r="37" spans="1:8" ht="15.75" thickBot="1" x14ac:dyDescent="0.3">
      <c r="B37" s="3">
        <f>'CARTA DE CONTROL'!Q154</f>
        <v>10</v>
      </c>
      <c r="C37" s="4">
        <f>'CARTA DE CONTROL'!AR154</f>
        <v>6.4000000000000003E-3</v>
      </c>
      <c r="D37" s="4">
        <f>'CARTA DE CONTROL'!AS154</f>
        <v>6.4000000000000003E-3</v>
      </c>
      <c r="E37" s="6">
        <f>'CARTA DE CONTROL'!I154</f>
        <v>0.04</v>
      </c>
      <c r="F37" s="7">
        <f>-('CARTA DE CONTROL'!I154)</f>
        <v>-0.04</v>
      </c>
      <c r="G37" s="5" t="str">
        <f t="shared" si="0"/>
        <v>PASS</v>
      </c>
    </row>
    <row r="38" spans="1:8" ht="15.75" thickBot="1" x14ac:dyDescent="0.3">
      <c r="B38" s="3">
        <f>'CARTA DE CONTROL'!Q155</f>
        <v>15</v>
      </c>
      <c r="C38" s="4">
        <f>'CARTA DE CONTROL'!AR155</f>
        <v>6.4000000000000003E-3</v>
      </c>
      <c r="D38" s="4">
        <f>'CARTA DE CONTROL'!AS155</f>
        <v>6.4000000000000003E-3</v>
      </c>
      <c r="E38" s="6">
        <f>'CARTA DE CONTROL'!I155</f>
        <v>0.04</v>
      </c>
      <c r="F38" s="7">
        <f>-('CARTA DE CONTROL'!I155)</f>
        <v>-0.04</v>
      </c>
      <c r="G38" s="5" t="str">
        <f t="shared" si="0"/>
        <v>PASS</v>
      </c>
    </row>
    <row r="39" spans="1:8" ht="15.75" thickBot="1" x14ac:dyDescent="0.3">
      <c r="B39" s="3">
        <f>'CARTA DE CONTROL'!Q156</f>
        <v>17</v>
      </c>
      <c r="C39" s="4">
        <f>'CARTA DE CONTROL'!AR156</f>
        <v>-3.6000000000015629E-3</v>
      </c>
      <c r="D39" s="4">
        <f>'CARTA DE CONTROL'!AS156</f>
        <v>1.6400000000001563E-2</v>
      </c>
      <c r="E39" s="6">
        <f>'CARTA DE CONTROL'!I156</f>
        <v>0.04</v>
      </c>
      <c r="F39" s="7">
        <f>-('CARTA DE CONTROL'!I156)</f>
        <v>-0.04</v>
      </c>
      <c r="G39" s="5" t="str">
        <f t="shared" si="0"/>
        <v>PASS</v>
      </c>
    </row>
    <row r="40" spans="1:8" ht="15.75" thickBot="1" x14ac:dyDescent="0.3">
      <c r="B40" s="3">
        <f>'CARTA DE CONTROL'!Q157</f>
        <v>20</v>
      </c>
      <c r="C40" s="4">
        <f>'CARTA DE CONTROL'!AR157</f>
        <v>6.4000000000000003E-3</v>
      </c>
      <c r="D40" s="4">
        <f>'CARTA DE CONTROL'!AS157</f>
        <v>6.4000000000000003E-3</v>
      </c>
      <c r="E40" s="6">
        <f>'CARTA DE CONTROL'!I157</f>
        <v>0.04</v>
      </c>
      <c r="F40" s="7">
        <f>-('CARTA DE CONTROL'!I157)</f>
        <v>-0.04</v>
      </c>
      <c r="G40" s="5" t="str">
        <f t="shared" si="0"/>
        <v>PASS</v>
      </c>
    </row>
    <row r="41" spans="1:8" x14ac:dyDescent="0.25">
      <c r="A41" s="1"/>
      <c r="B41" s="1"/>
      <c r="C41" s="1"/>
      <c r="D41" s="1"/>
      <c r="E41" s="1"/>
      <c r="F41" s="1"/>
      <c r="G41" s="1"/>
      <c r="H41" s="1"/>
    </row>
    <row r="42" spans="1:8" x14ac:dyDescent="0.25">
      <c r="A42" s="1"/>
      <c r="B42" s="1"/>
      <c r="C42" s="1"/>
      <c r="D42" s="1"/>
    </row>
    <row r="43" spans="1:8" x14ac:dyDescent="0.25">
      <c r="A43" s="1"/>
      <c r="B43" s="1"/>
      <c r="C43" s="1"/>
      <c r="D43" s="1"/>
    </row>
    <row r="44" spans="1:8" x14ac:dyDescent="0.25">
      <c r="A44" s="1"/>
      <c r="B44" s="1"/>
      <c r="C44" s="1"/>
      <c r="D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sheetData>
  <mergeCells count="37">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31:G40">
    <cfRule type="cellIs" dxfId="68" priority="2" operator="lessThan">
      <formula>$F$68</formula>
    </cfRule>
    <cfRule type="cellIs" dxfId="67" priority="3" operator="lessThan">
      <formula>0.05</formula>
    </cfRule>
  </conditionalFormatting>
  <conditionalFormatting sqref="G31:G40">
    <cfRule type="cellIs" dxfId="66" priority="1" operator="between">
      <formula>$F$68</formula>
      <formula>$G$68</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46" workbookViewId="0">
      <selection activeCell="C31" sqref="C31:F32"/>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369"/>
      <c r="C2" s="369"/>
      <c r="D2" s="369"/>
      <c r="E2" s="225"/>
      <c r="F2" s="369"/>
      <c r="G2" s="369"/>
      <c r="H2" s="369"/>
    </row>
    <row r="3" spans="1:11" ht="15" customHeight="1" x14ac:dyDescent="0.25">
      <c r="B3" s="369"/>
      <c r="C3" s="369"/>
      <c r="D3" s="369"/>
      <c r="E3" s="225"/>
      <c r="F3" s="369"/>
      <c r="G3" s="369"/>
      <c r="H3" s="369"/>
    </row>
    <row r="4" spans="1:11" ht="15" customHeight="1" x14ac:dyDescent="0.25">
      <c r="B4" s="369"/>
      <c r="C4" s="369"/>
      <c r="D4" s="369"/>
      <c r="E4" s="225"/>
      <c r="F4" s="369"/>
      <c r="G4" s="369"/>
      <c r="H4" s="369"/>
    </row>
    <row r="5" spans="1:11" ht="15" customHeight="1" x14ac:dyDescent="0.25">
      <c r="B5" s="369"/>
      <c r="C5" s="369"/>
      <c r="D5" s="369"/>
      <c r="E5" s="225"/>
      <c r="F5" s="369"/>
      <c r="G5" s="369"/>
      <c r="H5" s="369"/>
    </row>
    <row r="6" spans="1:11" ht="15" customHeight="1" x14ac:dyDescent="0.25">
      <c r="B6" s="369"/>
      <c r="C6" s="369"/>
      <c r="D6" s="369"/>
      <c r="E6" s="225"/>
      <c r="F6" s="369"/>
      <c r="G6" s="369"/>
      <c r="H6" s="369"/>
    </row>
    <row r="7" spans="1:11" x14ac:dyDescent="0.25">
      <c r="B7" s="241" t="s">
        <v>175</v>
      </c>
      <c r="C7" s="658" t="str">
        <f>'CARTA DE CONTROL'!B161</f>
        <v>SONOMETRO</v>
      </c>
      <c r="D7" s="659"/>
      <c r="E7" s="660"/>
    </row>
    <row r="8" spans="1:11" x14ac:dyDescent="0.25">
      <c r="B8" s="241" t="s">
        <v>176</v>
      </c>
      <c r="C8" s="658" t="str">
        <f>'CARTA DE CONTROL'!D161</f>
        <v>EXTECH INSTRUMENTS</v>
      </c>
      <c r="D8" s="659"/>
      <c r="E8" s="660"/>
    </row>
    <row r="9" spans="1:11" x14ac:dyDescent="0.25">
      <c r="B9" s="241" t="s">
        <v>177</v>
      </c>
      <c r="C9" s="658">
        <f>'CARTA DE CONTROL'!E161</f>
        <v>407750</v>
      </c>
      <c r="D9" s="659"/>
      <c r="E9" s="660"/>
    </row>
    <row r="10" spans="1:11" x14ac:dyDescent="0.25">
      <c r="B10" s="241" t="s">
        <v>178</v>
      </c>
      <c r="C10" s="686">
        <f>'CARTA DE CONTROL'!F161</f>
        <v>3132089</v>
      </c>
      <c r="D10" s="687"/>
      <c r="E10" s="688"/>
    </row>
    <row r="11" spans="1:11" ht="15" customHeight="1" thickBot="1" x14ac:dyDescent="0.3">
      <c r="B11" s="369"/>
      <c r="C11" s="369"/>
      <c r="D11" s="369"/>
      <c r="E11" s="225"/>
      <c r="F11" s="369"/>
      <c r="G11" s="36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372" t="s">
        <v>148</v>
      </c>
      <c r="F13" s="654" t="s">
        <v>149</v>
      </c>
      <c r="G13" s="655"/>
      <c r="H13" s="215"/>
      <c r="I13" s="215"/>
      <c r="J13" s="215"/>
      <c r="K13" s="215"/>
    </row>
    <row r="14" spans="1:11" s="1" customFormat="1" ht="35.25" customHeight="1" x14ac:dyDescent="0.2">
      <c r="A14" s="218">
        <v>1</v>
      </c>
      <c r="B14" s="648" t="s">
        <v>150</v>
      </c>
      <c r="C14" s="648"/>
      <c r="D14" s="648"/>
      <c r="E14" s="370" t="s">
        <v>151</v>
      </c>
      <c r="F14" s="649"/>
      <c r="G14" s="650"/>
      <c r="H14" s="216"/>
      <c r="I14" s="216"/>
      <c r="J14" s="216"/>
      <c r="K14" s="216"/>
    </row>
    <row r="15" spans="1:11" s="1" customFormat="1" ht="35.25" customHeight="1" x14ac:dyDescent="0.2">
      <c r="A15" s="218">
        <v>2</v>
      </c>
      <c r="B15" s="648" t="s">
        <v>152</v>
      </c>
      <c r="C15" s="648"/>
      <c r="D15" s="648"/>
      <c r="E15" s="370" t="s">
        <v>151</v>
      </c>
      <c r="F15" s="649"/>
      <c r="G15" s="650"/>
    </row>
    <row r="16" spans="1:11" s="1" customFormat="1" ht="35.25" customHeight="1" x14ac:dyDescent="0.2">
      <c r="A16" s="218">
        <v>3</v>
      </c>
      <c r="B16" s="648" t="s">
        <v>153</v>
      </c>
      <c r="C16" s="648"/>
      <c r="D16" s="648"/>
      <c r="E16" s="370" t="s">
        <v>151</v>
      </c>
      <c r="F16" s="649"/>
      <c r="G16" s="650"/>
    </row>
    <row r="17" spans="1:7" s="1" customFormat="1" ht="35.25" customHeight="1" x14ac:dyDescent="0.2">
      <c r="A17" s="218">
        <v>4</v>
      </c>
      <c r="B17" s="648" t="s">
        <v>154</v>
      </c>
      <c r="C17" s="648"/>
      <c r="D17" s="648"/>
      <c r="E17" s="370" t="s">
        <v>151</v>
      </c>
      <c r="F17" s="656"/>
      <c r="G17" s="657"/>
    </row>
    <row r="18" spans="1:7" s="1" customFormat="1" ht="35.25" customHeight="1" x14ac:dyDescent="0.2">
      <c r="A18" s="218">
        <v>5</v>
      </c>
      <c r="B18" s="648" t="s">
        <v>155</v>
      </c>
      <c r="C18" s="648"/>
      <c r="D18" s="648"/>
      <c r="E18" s="370" t="s">
        <v>151</v>
      </c>
      <c r="F18" s="649"/>
      <c r="G18" s="650"/>
    </row>
    <row r="19" spans="1:7" s="1" customFormat="1" ht="35.25" customHeight="1" x14ac:dyDescent="0.2">
      <c r="A19" s="218">
        <v>6</v>
      </c>
      <c r="B19" s="648" t="s">
        <v>156</v>
      </c>
      <c r="C19" s="648"/>
      <c r="D19" s="648"/>
      <c r="E19" s="370" t="s">
        <v>151</v>
      </c>
      <c r="F19" s="649"/>
      <c r="G19" s="650"/>
    </row>
    <row r="20" spans="1:7" s="1" customFormat="1" ht="35.25" customHeight="1" x14ac:dyDescent="0.2">
      <c r="A20" s="218">
        <v>7</v>
      </c>
      <c r="B20" s="648" t="s">
        <v>157</v>
      </c>
      <c r="C20" s="648"/>
      <c r="D20" s="648"/>
      <c r="E20" s="370" t="s">
        <v>151</v>
      </c>
      <c r="F20" s="649"/>
      <c r="G20" s="650"/>
    </row>
    <row r="21" spans="1:7" s="1" customFormat="1" ht="35.25" customHeight="1" x14ac:dyDescent="0.2">
      <c r="A21" s="218">
        <v>8</v>
      </c>
      <c r="B21" s="648" t="s">
        <v>158</v>
      </c>
      <c r="C21" s="648"/>
      <c r="D21" s="648"/>
      <c r="E21" s="370" t="s">
        <v>151</v>
      </c>
      <c r="F21" s="649"/>
      <c r="G21" s="650"/>
    </row>
    <row r="22" spans="1:7" s="1" customFormat="1" ht="35.25" customHeight="1" x14ac:dyDescent="0.2">
      <c r="A22" s="218">
        <v>9</v>
      </c>
      <c r="B22" s="648" t="s">
        <v>159</v>
      </c>
      <c r="C22" s="648"/>
      <c r="D22" s="648"/>
      <c r="E22" s="370" t="s">
        <v>151</v>
      </c>
      <c r="F22" s="649"/>
      <c r="G22" s="650"/>
    </row>
    <row r="23" spans="1:7" s="1" customFormat="1" ht="35.25" customHeight="1" x14ac:dyDescent="0.2">
      <c r="A23" s="218">
        <v>10</v>
      </c>
      <c r="B23" s="648" t="s">
        <v>160</v>
      </c>
      <c r="C23" s="648"/>
      <c r="D23" s="648"/>
      <c r="E23" s="370" t="s">
        <v>151</v>
      </c>
      <c r="F23" s="649"/>
      <c r="G23" s="650"/>
    </row>
    <row r="24" spans="1:7" s="1" customFormat="1" ht="35.25" customHeight="1" x14ac:dyDescent="0.2">
      <c r="A24" s="218">
        <v>11</v>
      </c>
      <c r="B24" s="648" t="s">
        <v>161</v>
      </c>
      <c r="C24" s="648"/>
      <c r="D24" s="648"/>
      <c r="E24" s="370" t="s">
        <v>151</v>
      </c>
      <c r="F24" s="649"/>
      <c r="G24" s="650"/>
    </row>
    <row r="25" spans="1:7" s="204" customFormat="1" ht="35.25" customHeight="1" x14ac:dyDescent="0.2">
      <c r="A25" s="219">
        <v>12</v>
      </c>
      <c r="B25" s="648" t="s">
        <v>162</v>
      </c>
      <c r="C25" s="648"/>
      <c r="D25" s="648"/>
      <c r="E25" s="203" t="s">
        <v>151</v>
      </c>
      <c r="F25" s="649"/>
      <c r="G25" s="650"/>
    </row>
    <row r="26" spans="1:7" s="1" customFormat="1" ht="35.25" customHeight="1" x14ac:dyDescent="0.2">
      <c r="A26" s="218">
        <v>13</v>
      </c>
      <c r="B26" s="648" t="s">
        <v>163</v>
      </c>
      <c r="C26" s="648"/>
      <c r="D26" s="648"/>
      <c r="E26" s="370" t="s">
        <v>151</v>
      </c>
      <c r="F26" s="649"/>
      <c r="G26" s="650"/>
    </row>
    <row r="27" spans="1:7" s="1" customFormat="1" ht="35.25" customHeight="1" x14ac:dyDescent="0.2">
      <c r="A27" s="218">
        <v>14</v>
      </c>
      <c r="B27" s="648" t="s">
        <v>164</v>
      </c>
      <c r="C27" s="648"/>
      <c r="D27" s="648"/>
      <c r="E27" s="370" t="s">
        <v>151</v>
      </c>
      <c r="F27" s="649"/>
      <c r="G27" s="650"/>
    </row>
    <row r="28" spans="1:7" s="1" customFormat="1" ht="54.75" customHeight="1" thickBot="1" x14ac:dyDescent="0.25">
      <c r="A28" s="220">
        <v>15</v>
      </c>
      <c r="B28" s="667" t="s">
        <v>165</v>
      </c>
      <c r="C28" s="667"/>
      <c r="D28" s="667"/>
      <c r="E28" s="371" t="s">
        <v>151</v>
      </c>
      <c r="F28" s="668"/>
      <c r="G28" s="669"/>
    </row>
    <row r="29" spans="1:7" ht="15.75" thickBot="1" x14ac:dyDescent="0.3"/>
    <row r="30" spans="1:7" ht="79.5" thickBot="1" x14ac:dyDescent="0.3">
      <c r="B30" s="2" t="s">
        <v>41</v>
      </c>
      <c r="C30" s="11" t="s">
        <v>100</v>
      </c>
      <c r="D30" s="11" t="s">
        <v>101</v>
      </c>
      <c r="E30" s="2" t="s">
        <v>102</v>
      </c>
      <c r="F30" s="2" t="s">
        <v>103</v>
      </c>
      <c r="G30" s="21" t="s">
        <v>104</v>
      </c>
    </row>
    <row r="31" spans="1:7" ht="15.75" thickBot="1" x14ac:dyDescent="0.3">
      <c r="B31" s="3">
        <f>'CARTA DE CONTROL'!Q161</f>
        <v>93.9</v>
      </c>
      <c r="C31" s="4">
        <f>'CARTA DE CONTROL'!AR161</f>
        <v>0.23</v>
      </c>
      <c r="D31" s="4">
        <f>'CARTA DE CONTROL'!AS161</f>
        <v>-0.23</v>
      </c>
      <c r="E31" s="6">
        <f>'CARTA DE CONTROL'!I161</f>
        <v>1.5</v>
      </c>
      <c r="F31" s="7">
        <f>-('CARTA DE CONTROL'!I161)</f>
        <v>-1.5</v>
      </c>
      <c r="G31" s="5" t="b">
        <f>IF(C31&lt;=0.1,IF(D31&gt;=-0.1,"PASS","NO PASS"))</f>
        <v>0</v>
      </c>
    </row>
    <row r="32" spans="1:7" ht="15.75" thickBot="1" x14ac:dyDescent="0.3">
      <c r="B32" s="3">
        <f>'CARTA DE CONTROL'!Q162</f>
        <v>114.4</v>
      </c>
      <c r="C32" s="4">
        <f>'CARTA DE CONTROL'!AR162</f>
        <v>0.12999999999999148</v>
      </c>
      <c r="D32" s="4">
        <f>'CARTA DE CONTROL'!AS162</f>
        <v>-0.33000000000000851</v>
      </c>
      <c r="E32" s="6">
        <f>'CARTA DE CONTROL'!I162</f>
        <v>1.5</v>
      </c>
      <c r="F32" s="7">
        <f>-('CARTA DE CONTROL'!I162)</f>
        <v>-1.5</v>
      </c>
      <c r="G32" s="5" t="b">
        <f t="shared" ref="G32" si="0">IF(C32&lt;=0.1,IF(D32&gt;=-0.1,"PASS","NO PASS"))</f>
        <v>0</v>
      </c>
    </row>
    <row r="33" spans="1:8" x14ac:dyDescent="0.25">
      <c r="A33" s="1"/>
      <c r="B33" s="1"/>
      <c r="C33" s="1"/>
      <c r="D33" s="1"/>
      <c r="E33" s="1"/>
      <c r="F33" s="1"/>
      <c r="G33" s="1"/>
      <c r="H33" s="1"/>
    </row>
    <row r="34" spans="1:8" x14ac:dyDescent="0.25">
      <c r="A34" s="1"/>
      <c r="B34" s="1"/>
      <c r="C34" s="1"/>
      <c r="D34" s="1"/>
    </row>
    <row r="35" spans="1:8" x14ac:dyDescent="0.25">
      <c r="A35" s="1"/>
      <c r="B35" s="1"/>
      <c r="C35" s="1"/>
      <c r="D35" s="1"/>
    </row>
    <row r="36" spans="1:8" x14ac:dyDescent="0.25">
      <c r="A36" s="1"/>
      <c r="B36" s="1"/>
      <c r="C36" s="1"/>
      <c r="D36" s="1"/>
    </row>
    <row r="37" spans="1:8" x14ac:dyDescent="0.25">
      <c r="A37" s="1"/>
      <c r="B37" s="1"/>
      <c r="C37" s="1"/>
      <c r="D37" s="1"/>
      <c r="E37" s="1"/>
      <c r="F37" s="1"/>
      <c r="G37" s="1"/>
      <c r="H37" s="1"/>
    </row>
    <row r="38" spans="1:8" x14ac:dyDescent="0.25">
      <c r="A38" s="1"/>
      <c r="B38" s="1"/>
      <c r="C38" s="1"/>
      <c r="D38" s="1"/>
      <c r="E38" s="1"/>
      <c r="F38" s="1"/>
      <c r="G38" s="1"/>
      <c r="H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sheetData>
  <mergeCells count="37">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31:G32">
    <cfRule type="cellIs" dxfId="65" priority="2" operator="lessThan">
      <formula>$F$60</formula>
    </cfRule>
    <cfRule type="cellIs" dxfId="64" priority="3" operator="lessThan">
      <formula>0.05</formula>
    </cfRule>
  </conditionalFormatting>
  <conditionalFormatting sqref="G31:G32">
    <cfRule type="cellIs" dxfId="63" priority="1" operator="between">
      <formula>$F$60</formula>
      <formula>$G$60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130" zoomScaleNormal="130" workbookViewId="0">
      <selection sqref="A1:XFD28"/>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246"/>
      <c r="C2" s="246"/>
      <c r="D2" s="246"/>
      <c r="E2" s="225"/>
      <c r="F2" s="246"/>
      <c r="G2" s="246"/>
      <c r="H2" s="246"/>
    </row>
    <row r="3" spans="1:11" ht="15" customHeight="1" x14ac:dyDescent="0.25">
      <c r="B3" s="246"/>
      <c r="C3" s="246"/>
      <c r="D3" s="246"/>
      <c r="E3" s="225"/>
      <c r="F3" s="246"/>
      <c r="G3" s="246"/>
      <c r="H3" s="246"/>
    </row>
    <row r="4" spans="1:11" ht="15" customHeight="1" x14ac:dyDescent="0.25">
      <c r="B4" s="246"/>
      <c r="C4" s="246"/>
      <c r="D4" s="246"/>
      <c r="E4" s="225"/>
      <c r="F4" s="246"/>
      <c r="G4" s="246"/>
      <c r="H4" s="246"/>
    </row>
    <row r="5" spans="1:11" ht="15" customHeight="1" x14ac:dyDescent="0.25">
      <c r="B5" s="246"/>
      <c r="C5" s="246"/>
      <c r="D5" s="246"/>
      <c r="E5" s="225"/>
      <c r="F5" s="246"/>
      <c r="G5" s="246"/>
      <c r="H5" s="246"/>
    </row>
    <row r="6" spans="1:11" ht="15" customHeight="1" x14ac:dyDescent="0.25">
      <c r="B6" s="246"/>
      <c r="C6" s="246"/>
      <c r="D6" s="246"/>
      <c r="E6" s="225"/>
      <c r="F6" s="246"/>
      <c r="G6" s="246"/>
      <c r="H6" s="246"/>
    </row>
    <row r="7" spans="1:11" x14ac:dyDescent="0.25">
      <c r="B7" s="241" t="s">
        <v>175</v>
      </c>
      <c r="C7" s="658" t="str">
        <f>'CARTA DE CONTROL'!B140</f>
        <v>REVOLUCIONES POR MINUTO 2 TIEMPOS</v>
      </c>
      <c r="D7" s="659"/>
      <c r="E7" s="660"/>
    </row>
    <row r="8" spans="1:11" x14ac:dyDescent="0.25">
      <c r="B8" s="241" t="s">
        <v>176</v>
      </c>
      <c r="C8" s="658" t="str">
        <f>'CARTA DE CONTROL'!D140</f>
        <v>TECNIMAQ</v>
      </c>
      <c r="D8" s="659"/>
      <c r="E8" s="660"/>
    </row>
    <row r="9" spans="1:11" x14ac:dyDescent="0.25">
      <c r="B9" s="241" t="s">
        <v>177</v>
      </c>
      <c r="C9" s="658" t="str">
        <f>'CARTA DE CONTROL'!E140</f>
        <v>INTERFAZ RPM 2T/4T</v>
      </c>
      <c r="D9" s="659"/>
      <c r="E9" s="660"/>
    </row>
    <row r="10" spans="1:11" x14ac:dyDescent="0.25">
      <c r="B10" s="241" t="s">
        <v>178</v>
      </c>
      <c r="C10" s="686" t="str">
        <f>'CARTA DE CONTROL'!F140</f>
        <v>TMI-RPM0063</v>
      </c>
      <c r="D10" s="687"/>
      <c r="E10" s="688"/>
    </row>
    <row r="11" spans="1:11" ht="15" customHeight="1" thickBot="1" x14ac:dyDescent="0.3">
      <c r="B11" s="246"/>
      <c r="C11" s="246"/>
      <c r="D11" s="246"/>
      <c r="E11" s="225"/>
      <c r="F11" s="246"/>
      <c r="G11" s="246"/>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50" t="s">
        <v>148</v>
      </c>
      <c r="F13" s="654" t="s">
        <v>149</v>
      </c>
      <c r="G13" s="655"/>
      <c r="H13" s="215"/>
      <c r="I13" s="215"/>
      <c r="J13" s="215"/>
      <c r="K13" s="215"/>
    </row>
    <row r="14" spans="1:11" s="1" customFormat="1" ht="35.25" customHeight="1" x14ac:dyDescent="0.2">
      <c r="A14" s="218">
        <v>1</v>
      </c>
      <c r="B14" s="648" t="s">
        <v>150</v>
      </c>
      <c r="C14" s="648"/>
      <c r="D14" s="648"/>
      <c r="E14" s="249" t="s">
        <v>151</v>
      </c>
      <c r="F14" s="649"/>
      <c r="G14" s="650"/>
      <c r="H14" s="216"/>
      <c r="I14" s="216"/>
      <c r="J14" s="216"/>
      <c r="K14" s="216"/>
    </row>
    <row r="15" spans="1:11" s="1" customFormat="1" ht="35.25" customHeight="1" x14ac:dyDescent="0.2">
      <c r="A15" s="218">
        <v>2</v>
      </c>
      <c r="B15" s="648" t="s">
        <v>152</v>
      </c>
      <c r="C15" s="648"/>
      <c r="D15" s="648"/>
      <c r="E15" s="249" t="s">
        <v>151</v>
      </c>
      <c r="F15" s="649"/>
      <c r="G15" s="650"/>
    </row>
    <row r="16" spans="1:11" s="1" customFormat="1" ht="35.25" customHeight="1" x14ac:dyDescent="0.2">
      <c r="A16" s="218">
        <v>3</v>
      </c>
      <c r="B16" s="648" t="s">
        <v>153</v>
      </c>
      <c r="C16" s="648"/>
      <c r="D16" s="648"/>
      <c r="E16" s="249" t="s">
        <v>151</v>
      </c>
      <c r="F16" s="649"/>
      <c r="G16" s="650"/>
    </row>
    <row r="17" spans="1:11" s="1" customFormat="1" ht="35.25" customHeight="1" x14ac:dyDescent="0.2">
      <c r="A17" s="218">
        <v>4</v>
      </c>
      <c r="B17" s="648" t="s">
        <v>154</v>
      </c>
      <c r="C17" s="648"/>
      <c r="D17" s="648"/>
      <c r="E17" s="249" t="s">
        <v>151</v>
      </c>
      <c r="F17" s="656"/>
      <c r="G17" s="657"/>
    </row>
    <row r="18" spans="1:11" s="1" customFormat="1" ht="35.25" customHeight="1" x14ac:dyDescent="0.2">
      <c r="A18" s="218">
        <v>5</v>
      </c>
      <c r="B18" s="648" t="s">
        <v>155</v>
      </c>
      <c r="C18" s="648"/>
      <c r="D18" s="648"/>
      <c r="E18" s="249" t="s">
        <v>151</v>
      </c>
      <c r="F18" s="649"/>
      <c r="G18" s="650"/>
    </row>
    <row r="19" spans="1:11" s="1" customFormat="1" ht="35.25" customHeight="1" x14ac:dyDescent="0.2">
      <c r="A19" s="218">
        <v>6</v>
      </c>
      <c r="B19" s="648" t="s">
        <v>156</v>
      </c>
      <c r="C19" s="648"/>
      <c r="D19" s="648"/>
      <c r="E19" s="249" t="s">
        <v>151</v>
      </c>
      <c r="F19" s="649"/>
      <c r="G19" s="650"/>
    </row>
    <row r="20" spans="1:11" s="1" customFormat="1" ht="35.25" customHeight="1" x14ac:dyDescent="0.2">
      <c r="A20" s="218">
        <v>7</v>
      </c>
      <c r="B20" s="648" t="s">
        <v>157</v>
      </c>
      <c r="C20" s="648"/>
      <c r="D20" s="648"/>
      <c r="E20" s="249" t="s">
        <v>151</v>
      </c>
      <c r="F20" s="649"/>
      <c r="G20" s="650"/>
    </row>
    <row r="21" spans="1:11" s="1" customFormat="1" ht="35.25" customHeight="1" x14ac:dyDescent="0.2">
      <c r="A21" s="218">
        <v>8</v>
      </c>
      <c r="B21" s="648" t="s">
        <v>158</v>
      </c>
      <c r="C21" s="648"/>
      <c r="D21" s="648"/>
      <c r="E21" s="249" t="s">
        <v>151</v>
      </c>
      <c r="F21" s="649"/>
      <c r="G21" s="650"/>
    </row>
    <row r="22" spans="1:11" s="1" customFormat="1" ht="35.25" customHeight="1" x14ac:dyDescent="0.2">
      <c r="A22" s="218">
        <v>9</v>
      </c>
      <c r="B22" s="648" t="s">
        <v>159</v>
      </c>
      <c r="C22" s="648"/>
      <c r="D22" s="648"/>
      <c r="E22" s="249" t="s">
        <v>151</v>
      </c>
      <c r="F22" s="649"/>
      <c r="G22" s="650"/>
    </row>
    <row r="23" spans="1:11" s="1" customFormat="1" ht="35.25" customHeight="1" x14ac:dyDescent="0.2">
      <c r="A23" s="218">
        <v>10</v>
      </c>
      <c r="B23" s="648" t="s">
        <v>160</v>
      </c>
      <c r="C23" s="648"/>
      <c r="D23" s="648"/>
      <c r="E23" s="249" t="s">
        <v>151</v>
      </c>
      <c r="F23" s="649"/>
      <c r="G23" s="650"/>
    </row>
    <row r="24" spans="1:11" s="1" customFormat="1" ht="35.25" customHeight="1" x14ac:dyDescent="0.2">
      <c r="A24" s="218">
        <v>11</v>
      </c>
      <c r="B24" s="648" t="s">
        <v>161</v>
      </c>
      <c r="C24" s="648"/>
      <c r="D24" s="648"/>
      <c r="E24" s="249"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49" t="s">
        <v>151</v>
      </c>
      <c r="F26" s="649"/>
      <c r="G26" s="650"/>
    </row>
    <row r="27" spans="1:11" s="1" customFormat="1" ht="35.25" customHeight="1" x14ac:dyDescent="0.2">
      <c r="A27" s="218">
        <v>14</v>
      </c>
      <c r="B27" s="648" t="s">
        <v>164</v>
      </c>
      <c r="C27" s="648"/>
      <c r="D27" s="648"/>
      <c r="E27" s="249" t="s">
        <v>151</v>
      </c>
      <c r="F27" s="649"/>
      <c r="G27" s="650"/>
    </row>
    <row r="28" spans="1:11" s="1" customFormat="1" ht="54.75" customHeight="1" thickBot="1" x14ac:dyDescent="0.25">
      <c r="A28" s="220">
        <v>15</v>
      </c>
      <c r="B28" s="667" t="s">
        <v>165</v>
      </c>
      <c r="C28" s="667"/>
      <c r="D28" s="667"/>
      <c r="E28" s="247"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48"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9" spans="1:7" ht="15.75" thickBot="1" x14ac:dyDescent="0.3"/>
    <row r="40" spans="1:7" ht="79.5" thickBot="1" x14ac:dyDescent="0.3">
      <c r="B40" s="2" t="s">
        <v>41</v>
      </c>
      <c r="C40" s="11" t="s">
        <v>100</v>
      </c>
      <c r="D40" s="11" t="s">
        <v>101</v>
      </c>
      <c r="E40" s="2" t="s">
        <v>102</v>
      </c>
      <c r="F40" s="2" t="s">
        <v>103</v>
      </c>
      <c r="G40" s="21" t="s">
        <v>104</v>
      </c>
    </row>
    <row r="41" spans="1:7" ht="15.75" thickBot="1" x14ac:dyDescent="0.3">
      <c r="B41" s="3">
        <f>'CARTA DE CONTROL'!Q140</f>
        <v>600</v>
      </c>
      <c r="C41" s="4">
        <f>'CARTA DE CONTROL'!AR140</f>
        <v>-0.37666666666664395</v>
      </c>
      <c r="D41" s="4">
        <f>'CARTA DE CONTROL'!AS140</f>
        <v>-8.9999999999996222E-2</v>
      </c>
      <c r="E41" s="6">
        <f>'CARTA DE CONTROL'!I77</f>
        <v>2</v>
      </c>
      <c r="F41" s="7">
        <f>-('CARTA DE CONTROL'!I77)</f>
        <v>-2</v>
      </c>
      <c r="G41" s="5" t="str">
        <f>IF(C41&lt;=2,IF(D41&gt;=-2,"PASS","NO PASS"))</f>
        <v>PASS</v>
      </c>
    </row>
    <row r="42" spans="1:7" ht="15.75" thickBot="1" x14ac:dyDescent="0.3">
      <c r="B42" s="3">
        <f>'CARTA DE CONTROL'!Q141</f>
        <v>800</v>
      </c>
      <c r="C42" s="4">
        <f>'CARTA DE CONTROL'!AR141</f>
        <v>0.41999999999997728</v>
      </c>
      <c r="D42" s="4">
        <f>'CARTA DE CONTROL'!AS141</f>
        <v>2.9999999999997157E-2</v>
      </c>
      <c r="E42" s="6">
        <f>'CARTA DE CONTROL'!I88</f>
        <v>2</v>
      </c>
      <c r="F42" s="7">
        <f>-('CARTA DE CONTROL'!I88)</f>
        <v>-2</v>
      </c>
      <c r="G42" s="5" t="str">
        <f t="shared" ref="G42:G48" si="0">IF(C42&lt;=2,IF(D42&gt;=-2,"PASS","NO PASS"))</f>
        <v>PASS</v>
      </c>
    </row>
    <row r="43" spans="1:7" ht="15.75" thickBot="1" x14ac:dyDescent="0.3">
      <c r="B43" s="3">
        <f>'CARTA DE CONTROL'!Q142</f>
        <v>900</v>
      </c>
      <c r="C43" s="4">
        <f>'CARTA DE CONTROL'!AR142</f>
        <v>-0.38222222222219948</v>
      </c>
      <c r="D43" s="4">
        <f>'CARTA DE CONTROL'!AS142</f>
        <v>-6.2222222222219695E-2</v>
      </c>
      <c r="E43" s="6">
        <f>'CARTA DE CONTROL'!I89</f>
        <v>2</v>
      </c>
      <c r="F43" s="7">
        <f>-('CARTA DE CONTROL'!I89)</f>
        <v>-2</v>
      </c>
      <c r="G43" s="5" t="str">
        <f t="shared" si="0"/>
        <v>PASS</v>
      </c>
    </row>
    <row r="44" spans="1:7" ht="15.75" thickBot="1" x14ac:dyDescent="0.3">
      <c r="B44" s="3">
        <f>'CARTA DE CONTROL'!Q143</f>
        <v>1800</v>
      </c>
      <c r="C44" s="4">
        <f>'CARTA DE CONTROL'!AR143</f>
        <v>-0.79388888888884346</v>
      </c>
      <c r="D44" s="4">
        <f>'CARTA DE CONTROL'!AS143</f>
        <v>-5.0555555555553029E-2</v>
      </c>
      <c r="E44" s="6">
        <v>2</v>
      </c>
      <c r="F44" s="7">
        <v>-2</v>
      </c>
      <c r="G44" s="5" t="str">
        <f t="shared" si="0"/>
        <v>PASS</v>
      </c>
    </row>
    <row r="45" spans="1:7" ht="15.75" thickBot="1" x14ac:dyDescent="0.3">
      <c r="B45" s="3">
        <f>'CARTA DE CONTROL'!Q144</f>
        <v>2500</v>
      </c>
      <c r="C45" s="4">
        <f>'CARTA DE CONTROL'!AR144</f>
        <v>-0.1939999999998181</v>
      </c>
      <c r="D45" s="4">
        <f>'CARTA DE CONTROL'!AS144</f>
        <v>-1.3999999999992725E-2</v>
      </c>
      <c r="E45" s="6">
        <v>2</v>
      </c>
      <c r="F45" s="7">
        <v>-2</v>
      </c>
      <c r="G45" s="5" t="str">
        <f t="shared" si="0"/>
        <v>PASS</v>
      </c>
    </row>
    <row r="46" spans="1:7" ht="15.75" thickBot="1" x14ac:dyDescent="0.3">
      <c r="B46" s="3">
        <f>'CARTA DE CONTROL'!Q145</f>
        <v>3500</v>
      </c>
      <c r="C46" s="4">
        <f>'CARTA DE CONTROL'!AR145</f>
        <v>4.0000000000000001E-3</v>
      </c>
      <c r="D46" s="4">
        <f>'CARTA DE CONTROL'!AS145</f>
        <v>-4.0000000000000001E-3</v>
      </c>
      <c r="E46" s="6">
        <v>2</v>
      </c>
      <c r="F46" s="7">
        <v>-2</v>
      </c>
      <c r="G46" s="5" t="str">
        <f t="shared" si="0"/>
        <v>PASS</v>
      </c>
    </row>
    <row r="47" spans="1:7" ht="15.75" thickBot="1" x14ac:dyDescent="0.3">
      <c r="B47" s="3">
        <f>'CARTA DE CONTROL'!Q146</f>
        <v>4000</v>
      </c>
      <c r="C47" s="4">
        <f>'CARTA DE CONTROL'!AR146</f>
        <v>-0.39625000000009097</v>
      </c>
      <c r="D47" s="4">
        <f>'CARTA DE CONTROL'!AS146</f>
        <v>-1.3750000000002274E-2</v>
      </c>
      <c r="E47" s="6">
        <v>2</v>
      </c>
      <c r="F47" s="7">
        <v>-2</v>
      </c>
      <c r="G47" s="5" t="str">
        <f t="shared" si="0"/>
        <v>PASS</v>
      </c>
    </row>
    <row r="48" spans="1:7" ht="15.75" thickBot="1" x14ac:dyDescent="0.3">
      <c r="B48" s="3">
        <f>'CARTA DE CONTROL'!Q147</f>
        <v>9000</v>
      </c>
      <c r="C48" s="4">
        <f>'CARTA DE CONTROL'!AR147</f>
        <v>-0.39822222222185844</v>
      </c>
      <c r="D48" s="4">
        <f>'CARTA DE CONTROL'!AS147</f>
        <v>-6.2222222222181808E-3</v>
      </c>
      <c r="E48" s="6">
        <v>2</v>
      </c>
      <c r="F48" s="7">
        <v>-2</v>
      </c>
      <c r="G48" s="5" t="str">
        <f t="shared" si="0"/>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48">
    <cfRule type="cellIs" dxfId="62" priority="5" operator="lessThan">
      <formula>$F$76</formula>
    </cfRule>
    <cfRule type="cellIs" dxfId="61" priority="6" operator="lessThan">
      <formula>0.05</formula>
    </cfRule>
  </conditionalFormatting>
  <conditionalFormatting sqref="G41:G48">
    <cfRule type="cellIs" dxfId="60" priority="4" operator="between">
      <formula>$F$76</formula>
      <formula>$G$76</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D32" sqref="D32"/>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246"/>
      <c r="C2" s="246"/>
      <c r="D2" s="246"/>
      <c r="E2" s="225"/>
      <c r="F2" s="246"/>
      <c r="G2" s="246"/>
      <c r="H2" s="246"/>
    </row>
    <row r="3" spans="1:11" ht="15" customHeight="1" x14ac:dyDescent="0.25">
      <c r="B3" s="246"/>
      <c r="C3" s="246"/>
      <c r="D3" s="246"/>
      <c r="E3" s="225"/>
      <c r="F3" s="246"/>
      <c r="G3" s="246"/>
      <c r="H3" s="246"/>
    </row>
    <row r="4" spans="1:11" ht="15" customHeight="1" x14ac:dyDescent="0.25">
      <c r="B4" s="246"/>
      <c r="C4" s="246"/>
      <c r="D4" s="246"/>
      <c r="E4" s="225"/>
      <c r="F4" s="246"/>
      <c r="G4" s="246"/>
      <c r="H4" s="246"/>
    </row>
    <row r="5" spans="1:11" ht="15" customHeight="1" x14ac:dyDescent="0.25">
      <c r="B5" s="246"/>
      <c r="C5" s="246"/>
      <c r="D5" s="246"/>
      <c r="E5" s="225"/>
      <c r="F5" s="246"/>
      <c r="G5" s="246"/>
      <c r="H5" s="246"/>
    </row>
    <row r="6" spans="1:11" ht="15" customHeight="1" x14ac:dyDescent="0.25">
      <c r="B6" s="246"/>
      <c r="C6" s="246"/>
      <c r="D6" s="246"/>
      <c r="E6" s="225"/>
      <c r="F6" s="246"/>
      <c r="G6" s="246"/>
      <c r="H6" s="246"/>
    </row>
    <row r="7" spans="1:11" x14ac:dyDescent="0.25">
      <c r="B7" s="241" t="s">
        <v>175</v>
      </c>
      <c r="C7" s="658" t="str">
        <f>'CARTA DE CONTROL'!B148</f>
        <v>PROFUNDIMENTRO</v>
      </c>
      <c r="D7" s="659"/>
      <c r="E7" s="660"/>
    </row>
    <row r="8" spans="1:11" x14ac:dyDescent="0.25">
      <c r="B8" s="241" t="s">
        <v>176</v>
      </c>
      <c r="C8" s="658" t="str">
        <f>'CARTA DE CONTROL'!D148</f>
        <v>FOWLER</v>
      </c>
      <c r="D8" s="659"/>
      <c r="E8" s="660"/>
    </row>
    <row r="9" spans="1:11" x14ac:dyDescent="0.25">
      <c r="B9" s="241" t="s">
        <v>177</v>
      </c>
      <c r="C9" s="658" t="str">
        <f>'CARTA DE CONTROL'!E148</f>
        <v>X-TREAD</v>
      </c>
      <c r="D9" s="659"/>
      <c r="E9" s="660"/>
    </row>
    <row r="10" spans="1:11" x14ac:dyDescent="0.25">
      <c r="B10" s="241" t="s">
        <v>178</v>
      </c>
      <c r="C10" s="686">
        <f>'CARTA DE CONTROL'!F148</f>
        <v>3919</v>
      </c>
      <c r="D10" s="687"/>
      <c r="E10" s="688"/>
    </row>
    <row r="11" spans="1:11" ht="15" customHeight="1" thickBot="1" x14ac:dyDescent="0.3">
      <c r="B11" s="246"/>
      <c r="C11" s="246"/>
      <c r="D11" s="246"/>
      <c r="E11" s="225"/>
      <c r="F11" s="246"/>
      <c r="G11" s="246"/>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50" t="s">
        <v>148</v>
      </c>
      <c r="F13" s="654" t="s">
        <v>149</v>
      </c>
      <c r="G13" s="655"/>
      <c r="H13" s="215"/>
      <c r="I13" s="215"/>
      <c r="J13" s="215"/>
      <c r="K13" s="215"/>
    </row>
    <row r="14" spans="1:11" s="1" customFormat="1" ht="35.25" customHeight="1" x14ac:dyDescent="0.2">
      <c r="A14" s="218">
        <v>1</v>
      </c>
      <c r="B14" s="648" t="s">
        <v>150</v>
      </c>
      <c r="C14" s="648"/>
      <c r="D14" s="648"/>
      <c r="E14" s="249" t="s">
        <v>151</v>
      </c>
      <c r="F14" s="649"/>
      <c r="G14" s="650"/>
      <c r="H14" s="216"/>
      <c r="I14" s="216"/>
      <c r="J14" s="216"/>
      <c r="K14" s="216"/>
    </row>
    <row r="15" spans="1:11" s="1" customFormat="1" ht="35.25" customHeight="1" x14ac:dyDescent="0.2">
      <c r="A15" s="218">
        <v>2</v>
      </c>
      <c r="B15" s="648" t="s">
        <v>152</v>
      </c>
      <c r="C15" s="648"/>
      <c r="D15" s="648"/>
      <c r="E15" s="249" t="s">
        <v>151</v>
      </c>
      <c r="F15" s="649"/>
      <c r="G15" s="650"/>
    </row>
    <row r="16" spans="1:11" s="1" customFormat="1" ht="35.25" customHeight="1" x14ac:dyDescent="0.2">
      <c r="A16" s="218">
        <v>3</v>
      </c>
      <c r="B16" s="648" t="s">
        <v>153</v>
      </c>
      <c r="C16" s="648"/>
      <c r="D16" s="648"/>
      <c r="E16" s="249" t="s">
        <v>151</v>
      </c>
      <c r="F16" s="649"/>
      <c r="G16" s="650"/>
    </row>
    <row r="17" spans="1:7" s="1" customFormat="1" ht="35.25" customHeight="1" x14ac:dyDescent="0.2">
      <c r="A17" s="218">
        <v>4</v>
      </c>
      <c r="B17" s="648" t="s">
        <v>154</v>
      </c>
      <c r="C17" s="648"/>
      <c r="D17" s="648"/>
      <c r="E17" s="249" t="s">
        <v>151</v>
      </c>
      <c r="F17" s="656"/>
      <c r="G17" s="657"/>
    </row>
    <row r="18" spans="1:7" s="1" customFormat="1" ht="35.25" customHeight="1" x14ac:dyDescent="0.2">
      <c r="A18" s="218">
        <v>5</v>
      </c>
      <c r="B18" s="648" t="s">
        <v>155</v>
      </c>
      <c r="C18" s="648"/>
      <c r="D18" s="648"/>
      <c r="E18" s="249" t="s">
        <v>151</v>
      </c>
      <c r="F18" s="649"/>
      <c r="G18" s="650"/>
    </row>
    <row r="19" spans="1:7" s="1" customFormat="1" ht="35.25" customHeight="1" x14ac:dyDescent="0.2">
      <c r="A19" s="218">
        <v>6</v>
      </c>
      <c r="B19" s="648" t="s">
        <v>156</v>
      </c>
      <c r="C19" s="648"/>
      <c r="D19" s="648"/>
      <c r="E19" s="249" t="s">
        <v>151</v>
      </c>
      <c r="F19" s="649"/>
      <c r="G19" s="650"/>
    </row>
    <row r="20" spans="1:7" s="1" customFormat="1" ht="35.25" customHeight="1" x14ac:dyDescent="0.2">
      <c r="A20" s="218">
        <v>7</v>
      </c>
      <c r="B20" s="648" t="s">
        <v>157</v>
      </c>
      <c r="C20" s="648"/>
      <c r="D20" s="648"/>
      <c r="E20" s="249" t="s">
        <v>151</v>
      </c>
      <c r="F20" s="649"/>
      <c r="G20" s="650"/>
    </row>
    <row r="21" spans="1:7" s="1" customFormat="1" ht="35.25" customHeight="1" x14ac:dyDescent="0.2">
      <c r="A21" s="218">
        <v>8</v>
      </c>
      <c r="B21" s="648" t="s">
        <v>158</v>
      </c>
      <c r="C21" s="648"/>
      <c r="D21" s="648"/>
      <c r="E21" s="249" t="s">
        <v>151</v>
      </c>
      <c r="F21" s="649"/>
      <c r="G21" s="650"/>
    </row>
    <row r="22" spans="1:7" s="1" customFormat="1" ht="35.25" customHeight="1" x14ac:dyDescent="0.2">
      <c r="A22" s="218">
        <v>9</v>
      </c>
      <c r="B22" s="648" t="s">
        <v>159</v>
      </c>
      <c r="C22" s="648"/>
      <c r="D22" s="648"/>
      <c r="E22" s="249" t="s">
        <v>151</v>
      </c>
      <c r="F22" s="649"/>
      <c r="G22" s="650"/>
    </row>
    <row r="23" spans="1:7" s="1" customFormat="1" ht="35.25" customHeight="1" x14ac:dyDescent="0.2">
      <c r="A23" s="218">
        <v>10</v>
      </c>
      <c r="B23" s="648" t="s">
        <v>160</v>
      </c>
      <c r="C23" s="648"/>
      <c r="D23" s="648"/>
      <c r="E23" s="249" t="s">
        <v>151</v>
      </c>
      <c r="F23" s="649"/>
      <c r="G23" s="650"/>
    </row>
    <row r="24" spans="1:7" s="1" customFormat="1" ht="35.25" customHeight="1" x14ac:dyDescent="0.2">
      <c r="A24" s="218">
        <v>11</v>
      </c>
      <c r="B24" s="648" t="s">
        <v>161</v>
      </c>
      <c r="C24" s="648"/>
      <c r="D24" s="648"/>
      <c r="E24" s="249" t="s">
        <v>151</v>
      </c>
      <c r="F24" s="649"/>
      <c r="G24" s="650"/>
    </row>
    <row r="25" spans="1:7" s="204" customFormat="1" ht="35.25" customHeight="1" x14ac:dyDescent="0.2">
      <c r="A25" s="219">
        <v>12</v>
      </c>
      <c r="B25" s="648" t="s">
        <v>162</v>
      </c>
      <c r="C25" s="648"/>
      <c r="D25" s="648"/>
      <c r="E25" s="203" t="s">
        <v>151</v>
      </c>
      <c r="F25" s="649"/>
      <c r="G25" s="650"/>
    </row>
    <row r="26" spans="1:7" s="1" customFormat="1" ht="35.25" customHeight="1" x14ac:dyDescent="0.2">
      <c r="A26" s="218">
        <v>13</v>
      </c>
      <c r="B26" s="648" t="s">
        <v>163</v>
      </c>
      <c r="C26" s="648"/>
      <c r="D26" s="648"/>
      <c r="E26" s="249" t="s">
        <v>151</v>
      </c>
      <c r="F26" s="649"/>
      <c r="G26" s="650"/>
    </row>
    <row r="27" spans="1:7" s="1" customFormat="1" ht="35.25" customHeight="1" x14ac:dyDescent="0.2">
      <c r="A27" s="218">
        <v>14</v>
      </c>
      <c r="B27" s="648" t="s">
        <v>164</v>
      </c>
      <c r="C27" s="648"/>
      <c r="D27" s="648"/>
      <c r="E27" s="249" t="s">
        <v>151</v>
      </c>
      <c r="F27" s="649"/>
      <c r="G27" s="650"/>
    </row>
    <row r="28" spans="1:7" s="1" customFormat="1" ht="54.75" customHeight="1" thickBot="1" x14ac:dyDescent="0.25">
      <c r="A28" s="220">
        <v>15</v>
      </c>
      <c r="B28" s="667" t="s">
        <v>165</v>
      </c>
      <c r="C28" s="667"/>
      <c r="D28" s="667"/>
      <c r="E28" s="247" t="s">
        <v>151</v>
      </c>
      <c r="F28" s="668"/>
      <c r="G28" s="669"/>
    </row>
    <row r="30" spans="1:7" ht="15.75" thickBot="1" x14ac:dyDescent="0.3"/>
    <row r="31" spans="1:7" ht="79.5" thickBot="1" x14ac:dyDescent="0.3">
      <c r="B31" s="2" t="s">
        <v>41</v>
      </c>
      <c r="C31" s="11" t="s">
        <v>100</v>
      </c>
      <c r="D31" s="11" t="s">
        <v>101</v>
      </c>
      <c r="E31" s="2" t="s">
        <v>102</v>
      </c>
      <c r="F31" s="2" t="s">
        <v>103</v>
      </c>
      <c r="G31" s="21" t="s">
        <v>104</v>
      </c>
    </row>
    <row r="32" spans="1:7" ht="15.75" thickBot="1" x14ac:dyDescent="0.3">
      <c r="B32" s="3">
        <f>'CARTA DE CONTROL'!Q158</f>
        <v>40</v>
      </c>
      <c r="C32" s="4">
        <f>'CARTA DE CONTROL'!AR158</f>
        <v>3.900000000000003</v>
      </c>
      <c r="D32" s="4">
        <f>'CARTA DE CONTROL'!AS158</f>
        <v>-3.4999999999999973</v>
      </c>
      <c r="E32" s="6">
        <f>'CARTA DE CONTROL'!I74</f>
        <v>5</v>
      </c>
      <c r="F32" s="7">
        <f>-('CARTA DE CONTROL'!I74)</f>
        <v>-5</v>
      </c>
      <c r="G32" s="5" t="b">
        <f>IF(C32&lt;=2,IF(D32&gt;=-2,"PASS","NO PASS"))</f>
        <v>0</v>
      </c>
    </row>
    <row r="33" spans="1:8" ht="15.75" thickBot="1" x14ac:dyDescent="0.3">
      <c r="B33" s="3">
        <f>'CARTA DE CONTROL'!Q159</f>
        <v>60</v>
      </c>
      <c r="C33" s="4">
        <f>'CARTA DE CONTROL'!AR158</f>
        <v>3.900000000000003</v>
      </c>
      <c r="D33" s="4">
        <f>'CARTA DE CONTROL'!AS159</f>
        <v>-2.2666666666666639</v>
      </c>
      <c r="E33" s="6">
        <f>'CARTA DE CONTROL'!I75</f>
        <v>5</v>
      </c>
      <c r="F33" s="7">
        <f>-('CARTA DE CONTROL'!I75)</f>
        <v>-5</v>
      </c>
      <c r="G33" s="5" t="b">
        <f t="shared" ref="G33:G34" si="0">IF(C33&lt;=2,IF(D33&gt;=-2,"PASS","NO PASS"))</f>
        <v>0</v>
      </c>
    </row>
    <row r="34" spans="1:8" ht="15.75" thickBot="1" x14ac:dyDescent="0.3">
      <c r="B34" s="3">
        <f>'CARTA DE CONTROL'!Q160</f>
        <v>100</v>
      </c>
      <c r="C34" s="4">
        <f>'CARTA DE CONTROL'!AR160</f>
        <v>0.28000000000000003</v>
      </c>
      <c r="D34" s="4">
        <f>'CARTA DE CONTROL'!AS160</f>
        <v>-2.2800000000000002</v>
      </c>
      <c r="E34" s="6">
        <f>'CARTA DE CONTROL'!I76</f>
        <v>5</v>
      </c>
      <c r="F34" s="7">
        <f>-('CARTA DE CONTROL'!I76)</f>
        <v>-5</v>
      </c>
      <c r="G34" s="5" t="str">
        <f t="shared" si="0"/>
        <v>NO PASS</v>
      </c>
    </row>
    <row r="35" spans="1:8" x14ac:dyDescent="0.25">
      <c r="A35" s="1"/>
      <c r="B35" s="1"/>
      <c r="C35" s="1"/>
      <c r="D35" s="1"/>
      <c r="E35" s="1"/>
      <c r="F35" s="1"/>
      <c r="G35" s="1"/>
      <c r="H35" s="1"/>
    </row>
    <row r="36" spans="1:8" x14ac:dyDescent="0.25">
      <c r="A36" s="1"/>
      <c r="B36" s="1"/>
      <c r="C36" s="1"/>
      <c r="D36" s="1"/>
    </row>
    <row r="37" spans="1:8" x14ac:dyDescent="0.25">
      <c r="A37" s="1"/>
      <c r="B37" s="1"/>
      <c r="C37" s="1"/>
      <c r="D37" s="1"/>
    </row>
    <row r="38" spans="1:8" x14ac:dyDescent="0.25">
      <c r="A38" s="1"/>
      <c r="B38" s="1"/>
      <c r="C38" s="1"/>
      <c r="D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sheetData>
  <mergeCells count="37">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32">
    <cfRule type="cellIs" dxfId="59" priority="5" operator="lessThan">
      <formula>$F$62</formula>
    </cfRule>
    <cfRule type="cellIs" dxfId="58" priority="6" operator="lessThan">
      <formula>0.05</formula>
    </cfRule>
  </conditionalFormatting>
  <conditionalFormatting sqref="G32">
    <cfRule type="cellIs" dxfId="57" priority="4" operator="between">
      <formula>$F$62</formula>
      <formula>$G$62</formula>
    </cfRule>
  </conditionalFormatting>
  <conditionalFormatting sqref="G33:G34">
    <cfRule type="cellIs" dxfId="56" priority="2" operator="lessThan">
      <formula>$F$62</formula>
    </cfRule>
    <cfRule type="cellIs" dxfId="55" priority="3" operator="lessThan">
      <formula>0.05</formula>
    </cfRule>
  </conditionalFormatting>
  <conditionalFormatting sqref="G33:G34">
    <cfRule type="cellIs" dxfId="54" priority="1" operator="between">
      <formula>$F$62</formula>
      <formula>$G$62</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opLeftCell="A37" workbookViewId="0">
      <selection activeCell="B45" sqref="B45"/>
    </sheetView>
  </sheetViews>
  <sheetFormatPr baseColWidth="10" defaultRowHeight="15" x14ac:dyDescent="0.25"/>
  <cols>
    <col min="1" max="1" width="5.85546875" customWidth="1"/>
    <col min="2" max="2" width="16.5703125" customWidth="1"/>
    <col min="3" max="4" width="21" customWidth="1"/>
    <col min="5" max="5" width="21" style="224" customWidth="1"/>
    <col min="6" max="6" width="22.7109375" customWidth="1"/>
    <col min="8" max="8" width="13.28515625" customWidth="1"/>
  </cols>
  <sheetData>
    <row r="1" spans="1:11" ht="15" customHeight="1" x14ac:dyDescent="0.25"/>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f>
        <v>ANALIZADOR DE GASES 2 TIEMPOS</v>
      </c>
      <c r="D7" s="659"/>
      <c r="E7" s="660"/>
    </row>
    <row r="8" spans="1:11" x14ac:dyDescent="0.25">
      <c r="B8" s="241" t="s">
        <v>176</v>
      </c>
      <c r="C8" s="658" t="str">
        <f>'CARTA DE CONTROL'!D10</f>
        <v>ACTIA</v>
      </c>
      <c r="D8" s="659"/>
      <c r="E8" s="660"/>
    </row>
    <row r="9" spans="1:11" x14ac:dyDescent="0.25">
      <c r="B9" s="241" t="s">
        <v>177</v>
      </c>
      <c r="C9" s="658" t="str">
        <f>'CARTA DE CONTROL'!E10</f>
        <v>AT505</v>
      </c>
      <c r="D9" s="659"/>
      <c r="E9" s="660"/>
    </row>
    <row r="10" spans="1:11" x14ac:dyDescent="0.25">
      <c r="B10" s="241" t="s">
        <v>178</v>
      </c>
      <c r="C10" s="661" t="str">
        <f>'CARTA DE CONTROL'!F10:F41</f>
        <v>021/18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8" spans="1:8" s="1" customFormat="1" ht="12.75" customHeight="1" thickBot="1" x14ac:dyDescent="0.25">
      <c r="E38" s="223"/>
    </row>
    <row r="39" spans="1:8" ht="15.75" thickBot="1" x14ac:dyDescent="0.3">
      <c r="B39" s="681" t="s">
        <v>179</v>
      </c>
      <c r="C39" s="682"/>
      <c r="D39" s="682"/>
      <c r="E39" s="682"/>
      <c r="F39" s="682"/>
      <c r="G39" s="683"/>
    </row>
    <row r="40" spans="1:8" ht="79.5" thickBot="1" x14ac:dyDescent="0.3">
      <c r="B40" s="2" t="s">
        <v>41</v>
      </c>
      <c r="C40" s="11" t="s">
        <v>100</v>
      </c>
      <c r="D40" s="11" t="s">
        <v>101</v>
      </c>
      <c r="E40" s="2" t="s">
        <v>102</v>
      </c>
      <c r="F40" s="2" t="s">
        <v>103</v>
      </c>
      <c r="G40" s="21" t="s">
        <v>104</v>
      </c>
    </row>
    <row r="41" spans="1:8" ht="15.75" thickBot="1" x14ac:dyDescent="0.3">
      <c r="B41" s="3">
        <f>'CARTA DE CONTROL'!Q10</f>
        <v>1.01</v>
      </c>
      <c r="C41" s="4">
        <f>'CARTA DE CONTROL'!AR10</f>
        <v>0</v>
      </c>
      <c r="D41" s="4">
        <f>'CARTA DE CONTROL'!AT10</f>
        <v>0</v>
      </c>
      <c r="E41" s="6">
        <f>'CARTA DE CONTROL'!I10</f>
        <v>0.1</v>
      </c>
      <c r="F41" s="7">
        <f>-('CARTA DE CONTROL'!I10)</f>
        <v>-0.1</v>
      </c>
      <c r="G41" s="5" t="str">
        <f>IF(C41&lt;=0.06,IF(D41&gt;=-0.06,"PASS","NO PASS"))</f>
        <v>PASS</v>
      </c>
    </row>
    <row r="42" spans="1:8" ht="15.75" thickBot="1" x14ac:dyDescent="0.3">
      <c r="B42" s="3">
        <f>'CARTA DE CONTROL'!Q11</f>
        <v>4</v>
      </c>
      <c r="C42" s="4">
        <f>'CARTA DE CONTROL'!AR13</f>
        <v>0</v>
      </c>
      <c r="D42" s="4">
        <f>'CARTA DE CONTROL'!AT13</f>
        <v>0</v>
      </c>
      <c r="E42" s="6">
        <f>'CARTA DE CONTROL'!I13</f>
        <v>0.05</v>
      </c>
      <c r="F42" s="7">
        <f>-('CARTA DE CONTROL'!I13)</f>
        <v>-0.05</v>
      </c>
      <c r="G42" s="5" t="str">
        <f>IF(C42&lt;=0.35,IF(D42&gt;=-0.35,"PASS","NO PASS"))</f>
        <v>PASS</v>
      </c>
    </row>
    <row r="43" spans="1:8" ht="15.75" thickBot="1" x14ac:dyDescent="0.3">
      <c r="B43" s="3">
        <f>'CARTA DE CONTROL'!Q12</f>
        <v>8</v>
      </c>
      <c r="C43" s="4">
        <f>'CARTA DE CONTROL'!AR26</f>
        <v>0</v>
      </c>
      <c r="D43" s="4">
        <f>'CARTA DE CONTROL'!AT26</f>
        <v>0</v>
      </c>
      <c r="E43" s="6">
        <f>'CARTA DE CONTROL'!I26</f>
        <v>0.05</v>
      </c>
      <c r="F43" s="7">
        <f>-('CARTA DE CONTROL'!I26)</f>
        <v>-0.05</v>
      </c>
      <c r="G43" s="5" t="str">
        <f>IF(C43&lt;=0.06,IF(D43&gt;=-0.06,"PASS","NO PASS"))</f>
        <v>PASS</v>
      </c>
    </row>
    <row r="44" spans="1:8" ht="15.75" thickBot="1" x14ac:dyDescent="0.3">
      <c r="B44" s="3">
        <f>'CARTA DE CONTROL'!Q13</f>
        <v>0</v>
      </c>
      <c r="C44" s="4">
        <f>'CARTA DE CONTROL'!AR29</f>
        <v>0</v>
      </c>
      <c r="D44" s="4">
        <f>'CARTA DE CONTROL'!AT29</f>
        <v>0</v>
      </c>
      <c r="E44" s="6">
        <f>'CARTA DE CONTROL'!I29</f>
        <v>0.15</v>
      </c>
      <c r="F44" s="7">
        <f>-('CARTA DE CONTROL'!I29)</f>
        <v>-0.15</v>
      </c>
      <c r="G44" s="5" t="str">
        <f>IF(C44&lt;=0.35,IF(D44&gt;=-0.35,"PASS","NO PASS"))</f>
        <v>PASS</v>
      </c>
    </row>
    <row r="45" spans="1:8" x14ac:dyDescent="0.25">
      <c r="B45" s="1"/>
      <c r="C45" s="1"/>
      <c r="D45" s="1"/>
      <c r="E45" s="223"/>
      <c r="F45" s="1"/>
      <c r="G45" s="1"/>
      <c r="H45" s="1"/>
    </row>
    <row r="46" spans="1:8" x14ac:dyDescent="0.25">
      <c r="B46" s="1"/>
      <c r="C46" s="1"/>
      <c r="D46" s="1"/>
      <c r="E46" s="223"/>
    </row>
    <row r="47" spans="1:8" x14ac:dyDescent="0.25">
      <c r="B47" s="1"/>
      <c r="C47" s="1"/>
      <c r="D47" s="1"/>
      <c r="E47" s="223"/>
    </row>
    <row r="48" spans="1:8" x14ac:dyDescent="0.25">
      <c r="B48" s="1"/>
      <c r="C48" s="1"/>
      <c r="D48" s="1"/>
      <c r="E48" s="223"/>
    </row>
    <row r="49" spans="2:8" x14ac:dyDescent="0.25">
      <c r="B49" s="1"/>
      <c r="C49" s="1"/>
      <c r="D49" s="1"/>
      <c r="E49" s="223"/>
      <c r="F49" s="1"/>
      <c r="G49" s="1"/>
      <c r="H49" s="1"/>
    </row>
    <row r="50" spans="2:8" x14ac:dyDescent="0.25">
      <c r="B50" s="1"/>
      <c r="C50" s="1"/>
      <c r="D50" s="1"/>
      <c r="E50" s="223"/>
      <c r="F50" s="1"/>
      <c r="G50" s="1"/>
      <c r="H50" s="1"/>
    </row>
    <row r="51" spans="2:8" x14ac:dyDescent="0.25">
      <c r="B51" s="1"/>
      <c r="C51" s="1"/>
      <c r="D51" s="1"/>
      <c r="E51" s="223"/>
      <c r="F51" s="1"/>
      <c r="G51" s="1"/>
      <c r="H51" s="1"/>
    </row>
    <row r="52" spans="2:8" x14ac:dyDescent="0.25">
      <c r="B52" s="1"/>
      <c r="C52" s="1"/>
      <c r="D52" s="1"/>
      <c r="E52" s="223"/>
      <c r="F52" s="1"/>
      <c r="G52" s="1"/>
      <c r="H52" s="1"/>
    </row>
    <row r="53" spans="2:8" x14ac:dyDescent="0.25">
      <c r="B53" s="1"/>
      <c r="C53" s="1"/>
      <c r="D53" s="1"/>
      <c r="E53" s="223"/>
      <c r="F53" s="1"/>
      <c r="G53" s="1"/>
      <c r="H53" s="1"/>
    </row>
    <row r="54" spans="2:8" x14ac:dyDescent="0.25">
      <c r="B54" s="1"/>
      <c r="C54" s="1"/>
      <c r="D54" s="1"/>
      <c r="E54" s="223"/>
      <c r="F54" s="1"/>
      <c r="G54" s="1"/>
      <c r="H54" s="1"/>
    </row>
    <row r="55" spans="2:8" x14ac:dyDescent="0.25">
      <c r="B55" s="1"/>
      <c r="C55" s="1"/>
      <c r="D55" s="1"/>
      <c r="E55" s="223"/>
      <c r="F55" s="1"/>
      <c r="G55" s="1"/>
      <c r="H55" s="1"/>
    </row>
    <row r="56" spans="2:8" x14ac:dyDescent="0.25">
      <c r="B56" s="1"/>
      <c r="C56" s="1"/>
      <c r="D56" s="1"/>
      <c r="E56" s="223"/>
      <c r="F56" s="1"/>
      <c r="G56" s="1"/>
      <c r="H56" s="1"/>
    </row>
    <row r="57" spans="2:8" x14ac:dyDescent="0.25">
      <c r="B57" s="1"/>
      <c r="C57" s="1"/>
      <c r="D57" s="1"/>
      <c r="E57" s="223"/>
      <c r="F57" s="1"/>
      <c r="G57" s="1"/>
      <c r="H57" s="1"/>
    </row>
    <row r="58" spans="2:8" x14ac:dyDescent="0.25">
      <c r="B58" s="1"/>
      <c r="C58" s="1"/>
      <c r="D58" s="1"/>
      <c r="E58" s="223"/>
      <c r="F58" s="1"/>
      <c r="G58" s="1"/>
      <c r="H58" s="1"/>
    </row>
    <row r="62" spans="2:8" ht="15.75" thickBot="1" x14ac:dyDescent="0.3"/>
    <row r="63" spans="2:8" ht="15.75" thickBot="1" x14ac:dyDescent="0.3">
      <c r="B63" s="681" t="s">
        <v>90</v>
      </c>
      <c r="C63" s="682"/>
      <c r="D63" s="682"/>
      <c r="E63" s="682"/>
      <c r="F63" s="240"/>
    </row>
    <row r="64" spans="2:8" ht="60.75" thickBot="1" x14ac:dyDescent="0.3">
      <c r="B64" s="2" t="s">
        <v>41</v>
      </c>
      <c r="C64" s="10" t="s">
        <v>91</v>
      </c>
      <c r="D64" s="2" t="s">
        <v>92</v>
      </c>
      <c r="E64" s="21" t="s">
        <v>93</v>
      </c>
    </row>
    <row r="65" spans="2:5" ht="15.75" thickBot="1" x14ac:dyDescent="0.3">
      <c r="B65" s="3">
        <f>'CARTA DE CONTROL'!Q10</f>
        <v>1.01</v>
      </c>
      <c r="C65" s="4">
        <f>'CARTA DE CONTROL'!AN10</f>
        <v>0</v>
      </c>
      <c r="D65" s="6">
        <f>'CARTA DE CONTROL'!M10</f>
        <v>0.04</v>
      </c>
      <c r="E65" s="5" t="str">
        <f>IF(A65&lt;=0.06,IF(B65&gt;=-0.06,"PASS","NO PASS"))</f>
        <v>PASS</v>
      </c>
    </row>
    <row r="66" spans="2:5" ht="15.75" thickBot="1" x14ac:dyDescent="0.3">
      <c r="B66" s="3">
        <f>'CARTA DE CONTROL'!Q13</f>
        <v>0</v>
      </c>
      <c r="C66" s="4">
        <f>'CARTA DE CONTROL'!AN13</f>
        <v>0</v>
      </c>
      <c r="D66" s="6">
        <f>'CARTA DE CONTROL'!M13</f>
        <v>0.02</v>
      </c>
      <c r="E66" s="5" t="str">
        <f>IF(A66&lt;=0.06,IF(B66&gt;=-0.06,"PASS","NO PASS"))</f>
        <v>PASS</v>
      </c>
    </row>
    <row r="67" spans="2:5" ht="15.75" thickBot="1" x14ac:dyDescent="0.3">
      <c r="B67" s="3">
        <f>'CARTA DE CONTROL'!Q26</f>
        <v>1</v>
      </c>
      <c r="C67" s="4">
        <f>'CARTA DE CONTROL'!AN26</f>
        <v>0</v>
      </c>
      <c r="D67" s="6">
        <f>'CARTA DE CONTROL'!M26</f>
        <v>0.02</v>
      </c>
      <c r="E67" s="5" t="str">
        <f>IF(A67&lt;=0.06,IF(B67&gt;=-0.06,"PASS","NO PASS"))</f>
        <v>PASS</v>
      </c>
    </row>
    <row r="68" spans="2:5" ht="15.75" thickBot="1" x14ac:dyDescent="0.3">
      <c r="B68" s="3">
        <f>'CARTA DE CONTROL'!Q29</f>
        <v>8</v>
      </c>
      <c r="C68" s="4">
        <f>'CARTA DE CONTROL'!AN29</f>
        <v>0</v>
      </c>
      <c r="D68" s="6">
        <f>'CARTA DE CONTROL'!M29</f>
        <v>0.16</v>
      </c>
      <c r="E68" s="5" t="str">
        <f>IF(A68&lt;=0.06,IF(B68&gt;=-0.06,"PASS","NO PASS"))</f>
        <v>PASS</v>
      </c>
    </row>
    <row r="81" spans="2:6" ht="15.75" thickBot="1" x14ac:dyDescent="0.3"/>
    <row r="82" spans="2:6" ht="15.75" thickBot="1" x14ac:dyDescent="0.3">
      <c r="B82" s="681" t="s">
        <v>94</v>
      </c>
      <c r="C82" s="682"/>
      <c r="D82" s="682"/>
      <c r="E82" s="682"/>
      <c r="F82" s="240"/>
    </row>
    <row r="83" spans="2:6" ht="60.75" thickBot="1" x14ac:dyDescent="0.3">
      <c r="B83" s="2" t="s">
        <v>41</v>
      </c>
      <c r="C83" s="10" t="s">
        <v>95</v>
      </c>
      <c r="D83" s="2" t="s">
        <v>133</v>
      </c>
      <c r="E83" s="21" t="s">
        <v>93</v>
      </c>
    </row>
    <row r="84" spans="2:6" ht="15.75" thickBot="1" x14ac:dyDescent="0.3">
      <c r="B84" s="3">
        <f>'CARTA DE CONTROL'!Q10</f>
        <v>1.01</v>
      </c>
      <c r="C84" s="4">
        <f>'CARTA DE CONTROL'!AO10</f>
        <v>0</v>
      </c>
      <c r="D84" s="6">
        <f>'CARTA DE CONTROL'!O10</f>
        <v>0.04</v>
      </c>
      <c r="E84" s="5" t="str">
        <f>IF(A84&lt;=0.06,IF(B84&gt;=-0.06,"PASS","NO PASS"))</f>
        <v>PASS</v>
      </c>
    </row>
    <row r="85" spans="2:6" ht="15.75" thickBot="1" x14ac:dyDescent="0.3">
      <c r="B85" s="3">
        <f>'CARTA DE CONTROL'!Q13</f>
        <v>0</v>
      </c>
      <c r="C85" s="4">
        <f>'CARTA DE CONTROL'!AO13</f>
        <v>0</v>
      </c>
      <c r="D85" s="6">
        <f>'CARTA DE CONTROL'!O13</f>
        <v>0.02</v>
      </c>
      <c r="E85" s="5" t="str">
        <f>IF(A85&lt;=0.06,IF(B85&gt;=-0.06,"PASS","NO PASS"))</f>
        <v>PASS</v>
      </c>
    </row>
    <row r="86" spans="2:6" ht="15.75" thickBot="1" x14ac:dyDescent="0.3">
      <c r="B86" s="3">
        <f>'CARTA DE CONTROL'!Q26</f>
        <v>1</v>
      </c>
      <c r="C86" s="4">
        <f>'CARTA DE CONTROL'!AO26</f>
        <v>0</v>
      </c>
      <c r="D86" s="6">
        <f>'CARTA DE CONTROL'!O26</f>
        <v>0.02</v>
      </c>
      <c r="E86" s="5" t="str">
        <f>IF(A86&lt;=0.06,IF(B86&gt;=-0.06,"PASS","NO PASS"))</f>
        <v>PASS</v>
      </c>
    </row>
    <row r="87" spans="2:6" ht="15.75" thickBot="1" x14ac:dyDescent="0.3">
      <c r="B87" s="3">
        <f>'CARTA DE CONTROL'!Q29</f>
        <v>8</v>
      </c>
      <c r="C87" s="4">
        <f>'CARTA DE CONTROL'!AO29</f>
        <v>0</v>
      </c>
      <c r="D87" s="6">
        <f>'CARTA DE CONTROL'!O29</f>
        <v>0.16</v>
      </c>
      <c r="E87" s="5" t="str">
        <f>IF(A87&lt;=0.06,IF(B87&gt;=-0.06,"PASS","NO PASS"))</f>
        <v>PASS</v>
      </c>
    </row>
  </sheetData>
  <mergeCells count="55">
    <mergeCell ref="B63:E63"/>
    <mergeCell ref="B82:E82"/>
    <mergeCell ref="C7:E7"/>
    <mergeCell ref="C8:E8"/>
    <mergeCell ref="C9:E9"/>
    <mergeCell ref="C10:E10"/>
    <mergeCell ref="B13:D13"/>
    <mergeCell ref="B39:G39"/>
    <mergeCell ref="B20:D20"/>
    <mergeCell ref="B21:D21"/>
    <mergeCell ref="B22:D22"/>
    <mergeCell ref="B23:D23"/>
    <mergeCell ref="B24:D24"/>
    <mergeCell ref="B15:D15"/>
    <mergeCell ref="B16:D16"/>
    <mergeCell ref="B17:D17"/>
    <mergeCell ref="B18:D18"/>
    <mergeCell ref="B19:D19"/>
    <mergeCell ref="B14:D14"/>
    <mergeCell ref="A12:G12"/>
    <mergeCell ref="F35:G35"/>
    <mergeCell ref="F32:G32"/>
    <mergeCell ref="F33:G33"/>
    <mergeCell ref="F34:G34"/>
    <mergeCell ref="B32:D32"/>
    <mergeCell ref="B33:D33"/>
    <mergeCell ref="B34:D34"/>
    <mergeCell ref="F28:G28"/>
    <mergeCell ref="F31:G31"/>
    <mergeCell ref="B28:D28"/>
    <mergeCell ref="B31:D31"/>
    <mergeCell ref="A30:G30"/>
    <mergeCell ref="F36:G36"/>
    <mergeCell ref="F37:G37"/>
    <mergeCell ref="B35:D35"/>
    <mergeCell ref="B36:D36"/>
    <mergeCell ref="B37:D37"/>
    <mergeCell ref="F25:G25"/>
    <mergeCell ref="F26:G26"/>
    <mergeCell ref="F27:G27"/>
    <mergeCell ref="B25:D25"/>
    <mergeCell ref="B26:D26"/>
    <mergeCell ref="B27:D27"/>
    <mergeCell ref="F22:G22"/>
    <mergeCell ref="F23:G23"/>
    <mergeCell ref="F24:G24"/>
    <mergeCell ref="F19:G19"/>
    <mergeCell ref="F20:G20"/>
    <mergeCell ref="F21:G21"/>
    <mergeCell ref="F18:G18"/>
    <mergeCell ref="F13:G13"/>
    <mergeCell ref="F14:G14"/>
    <mergeCell ref="F15:G15"/>
    <mergeCell ref="F16:G16"/>
    <mergeCell ref="F17:G17"/>
  </mergeCells>
  <conditionalFormatting sqref="G41:G42">
    <cfRule type="cellIs" dxfId="53" priority="33" operator="lessThan">
      <formula>$H$77</formula>
    </cfRule>
    <cfRule type="cellIs" dxfId="52" priority="34" operator="lessThan">
      <formula>0.05</formula>
    </cfRule>
  </conditionalFormatting>
  <conditionalFormatting sqref="G43:G44">
    <cfRule type="cellIs" dxfId="51" priority="19" operator="lessThan">
      <formula>$H$77</formula>
    </cfRule>
    <cfRule type="cellIs" dxfId="50" priority="20" operator="lessThan">
      <formula>0.05</formula>
    </cfRule>
  </conditionalFormatting>
  <conditionalFormatting sqref="E68">
    <cfRule type="cellIs" dxfId="49" priority="9" operator="lessThan">
      <formula>$H$77</formula>
    </cfRule>
    <cfRule type="cellIs" dxfId="48" priority="10" operator="lessThan">
      <formula>0.05</formula>
    </cfRule>
  </conditionalFormatting>
  <conditionalFormatting sqref="E65">
    <cfRule type="cellIs" dxfId="47" priority="15" operator="lessThan">
      <formula>$H$77</formula>
    </cfRule>
    <cfRule type="cellIs" dxfId="46" priority="16" operator="lessThan">
      <formula>0.05</formula>
    </cfRule>
  </conditionalFormatting>
  <conditionalFormatting sqref="E66">
    <cfRule type="cellIs" dxfId="45" priority="13" operator="lessThan">
      <formula>$H$77</formula>
    </cfRule>
    <cfRule type="cellIs" dxfId="44" priority="14" operator="lessThan">
      <formula>0.05</formula>
    </cfRule>
  </conditionalFormatting>
  <conditionalFormatting sqref="E67">
    <cfRule type="cellIs" dxfId="43" priority="11" operator="lessThan">
      <formula>$H$77</formula>
    </cfRule>
    <cfRule type="cellIs" dxfId="42" priority="12" operator="lessThan">
      <formula>0.05</formula>
    </cfRule>
  </conditionalFormatting>
  <conditionalFormatting sqref="E87">
    <cfRule type="cellIs" dxfId="41" priority="1" operator="lessThan">
      <formula>$H$77</formula>
    </cfRule>
    <cfRule type="cellIs" dxfId="40" priority="2" operator="lessThan">
      <formula>0.05</formula>
    </cfRule>
  </conditionalFormatting>
  <conditionalFormatting sqref="E84">
    <cfRule type="cellIs" dxfId="39" priority="7" operator="lessThan">
      <formula>$H$77</formula>
    </cfRule>
    <cfRule type="cellIs" dxfId="38" priority="8" operator="lessThan">
      <formula>0.05</formula>
    </cfRule>
  </conditionalFormatting>
  <conditionalFormatting sqref="E85">
    <cfRule type="cellIs" dxfId="37" priority="5" operator="lessThan">
      <formula>$H$77</formula>
    </cfRule>
    <cfRule type="cellIs" dxfId="36" priority="6" operator="lessThan">
      <formula>0.05</formula>
    </cfRule>
  </conditionalFormatting>
  <conditionalFormatting sqref="E86">
    <cfRule type="cellIs" dxfId="35" priority="3" operator="lessThan">
      <formula>$H$77</formula>
    </cfRule>
    <cfRule type="cellIs" dxfId="34" priority="4" operator="lessThan">
      <formula>0.05</formula>
    </cfRule>
  </conditionalFormatting>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D31" zoomScale="145" zoomScaleNormal="145" workbookViewId="0">
      <selection activeCell="I10" sqref="I10"/>
    </sheetView>
  </sheetViews>
  <sheetFormatPr baseColWidth="10" defaultRowHeight="15" x14ac:dyDescent="0.25"/>
  <cols>
    <col min="1" max="1" width="4.5703125" customWidth="1"/>
    <col min="2" max="2" width="16.5703125" customWidth="1"/>
    <col min="3" max="3" width="22.85546875" customWidth="1"/>
    <col min="4" max="4" width="21.7109375" customWidth="1"/>
    <col min="5" max="5" width="21" customWidth="1"/>
    <col min="6" max="6" width="22.7109375" customWidth="1"/>
    <col min="9" max="9" width="12.71093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f>
        <v>ANALIZADOR DE GASES 2 TIEMPOS</v>
      </c>
      <c r="D7" s="659"/>
      <c r="E7" s="660"/>
    </row>
    <row r="8" spans="1:11" x14ac:dyDescent="0.25">
      <c r="B8" s="241" t="s">
        <v>176</v>
      </c>
      <c r="C8" s="658" t="str">
        <f>'CARTA DE CONTROL'!D10</f>
        <v>ACTIA</v>
      </c>
      <c r="D8" s="659"/>
      <c r="E8" s="660"/>
    </row>
    <row r="9" spans="1:11" x14ac:dyDescent="0.25">
      <c r="B9" s="241" t="s">
        <v>177</v>
      </c>
      <c r="C9" s="658" t="str">
        <f>'CARTA DE CONTROL'!E10</f>
        <v>AT505</v>
      </c>
      <c r="D9" s="659"/>
      <c r="E9" s="660"/>
    </row>
    <row r="10" spans="1:11" x14ac:dyDescent="0.25">
      <c r="B10" s="241" t="s">
        <v>178</v>
      </c>
      <c r="C10" s="661" t="str">
        <f>'CARTA DE CONTROL'!F10:F41</f>
        <v>021/18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9" s="1" customFormat="1" ht="25.5" customHeight="1" x14ac:dyDescent="0.2">
      <c r="A33" s="226">
        <v>2</v>
      </c>
      <c r="B33" s="675" t="s">
        <v>169</v>
      </c>
      <c r="C33" s="675"/>
      <c r="D33" s="675"/>
      <c r="E33" s="209" t="s">
        <v>168</v>
      </c>
      <c r="F33" s="676"/>
      <c r="G33" s="677"/>
    </row>
    <row r="34" spans="1:9" s="1" customFormat="1" ht="25.5" customHeight="1" x14ac:dyDescent="0.2">
      <c r="A34" s="226">
        <v>3</v>
      </c>
      <c r="B34" s="675" t="s">
        <v>170</v>
      </c>
      <c r="C34" s="675"/>
      <c r="D34" s="675"/>
      <c r="E34" s="209" t="s">
        <v>168</v>
      </c>
      <c r="F34" s="676"/>
      <c r="G34" s="677"/>
    </row>
    <row r="35" spans="1:9" s="1" customFormat="1" ht="25.5" customHeight="1" x14ac:dyDescent="0.2">
      <c r="A35" s="226">
        <v>4</v>
      </c>
      <c r="B35" s="675" t="s">
        <v>171</v>
      </c>
      <c r="C35" s="675"/>
      <c r="D35" s="675"/>
      <c r="E35" s="209" t="s">
        <v>172</v>
      </c>
      <c r="F35" s="676"/>
      <c r="G35" s="677"/>
    </row>
    <row r="36" spans="1:9" s="1" customFormat="1" ht="25.5" customHeight="1" x14ac:dyDescent="0.2">
      <c r="A36" s="226">
        <v>5</v>
      </c>
      <c r="B36" s="675" t="s">
        <v>173</v>
      </c>
      <c r="C36" s="675"/>
      <c r="D36" s="675"/>
      <c r="E36" s="209" t="s">
        <v>172</v>
      </c>
      <c r="F36" s="684"/>
      <c r="G36" s="685"/>
    </row>
    <row r="37" spans="1:9" s="1" customFormat="1" ht="25.5" customHeight="1" thickBot="1" x14ac:dyDescent="0.25">
      <c r="A37" s="227">
        <v>6</v>
      </c>
      <c r="B37" s="678" t="s">
        <v>174</v>
      </c>
      <c r="C37" s="678"/>
      <c r="D37" s="678"/>
      <c r="E37" s="228" t="s">
        <v>172</v>
      </c>
      <c r="F37" s="679"/>
      <c r="G37" s="680"/>
    </row>
    <row r="38" spans="1:9" s="1" customFormat="1" thickBot="1" x14ac:dyDescent="0.25">
      <c r="A38" s="243"/>
      <c r="B38" s="244"/>
      <c r="C38" s="244"/>
      <c r="D38" s="244"/>
      <c r="E38" s="245"/>
      <c r="F38" s="245"/>
      <c r="G38" s="245"/>
    </row>
    <row r="39" spans="1:9" ht="15.75" thickBot="1" x14ac:dyDescent="0.3">
      <c r="B39" s="681" t="s">
        <v>180</v>
      </c>
      <c r="C39" s="682"/>
      <c r="D39" s="682"/>
      <c r="E39" s="682"/>
      <c r="F39" s="682"/>
      <c r="G39" s="683"/>
    </row>
    <row r="40" spans="1:9" ht="79.5" thickBot="1" x14ac:dyDescent="0.3">
      <c r="B40" s="2" t="s">
        <v>41</v>
      </c>
      <c r="C40" s="11" t="s">
        <v>100</v>
      </c>
      <c r="D40" s="11" t="s">
        <v>101</v>
      </c>
      <c r="E40" s="2" t="s">
        <v>102</v>
      </c>
      <c r="F40" s="2" t="s">
        <v>103</v>
      </c>
      <c r="G40" s="21" t="s">
        <v>104</v>
      </c>
    </row>
    <row r="41" spans="1:9" ht="15.75" thickBot="1" x14ac:dyDescent="0.3">
      <c r="B41" s="3">
        <f>'CARTA DE CONTROL'!Q14</f>
        <v>6</v>
      </c>
      <c r="C41" s="4">
        <f>'CARTA DE CONTROL'!AR14</f>
        <v>0</v>
      </c>
      <c r="D41" s="4">
        <f>'CARTA DE CONTROL'!AT14</f>
        <v>0</v>
      </c>
      <c r="E41" s="6">
        <f>'CARTA DE CONTROL'!I14</f>
        <v>0.4</v>
      </c>
      <c r="F41" s="7">
        <f>-('CARTA DE CONTROL'!I14)</f>
        <v>-0.4</v>
      </c>
      <c r="G41" s="5" t="str">
        <f>IF(C41&lt;=0.4,IF(D41&gt;=-0.4,"PASS","NO PASS"))</f>
        <v>PASS</v>
      </c>
    </row>
    <row r="42" spans="1:9" ht="15.75" thickBot="1" x14ac:dyDescent="0.3">
      <c r="B42" s="3">
        <f>'CARTA DE CONTROL'!Q17</f>
        <v>0</v>
      </c>
      <c r="C42" s="4">
        <f>'CARTA DE CONTROL'!AR17</f>
        <v>0</v>
      </c>
      <c r="D42" s="4">
        <f>'CARTA DE CONTROL'!AT17</f>
        <v>0</v>
      </c>
      <c r="E42" s="6">
        <f>'CARTA DE CONTROL'!I17</f>
        <v>0.1</v>
      </c>
      <c r="F42" s="7">
        <f>-('CARTA DE CONTROL'!I17)</f>
        <v>-0.1</v>
      </c>
      <c r="G42" s="5" t="str">
        <f>IF(C42&lt;=0.4,IF(D42&gt;=-0.4,"PASS","NO PASS"))</f>
        <v>PASS</v>
      </c>
    </row>
    <row r="43" spans="1:9" ht="15.75" thickBot="1" x14ac:dyDescent="0.3">
      <c r="B43" s="3">
        <f>'CARTA DE CONTROL'!Q30</f>
        <v>6</v>
      </c>
      <c r="C43" s="4">
        <f>'CARTA DE CONTROL'!AR30</f>
        <v>0</v>
      </c>
      <c r="D43" s="4">
        <f>'CARTA DE CONTROL'!AT30</f>
        <v>0</v>
      </c>
      <c r="E43" s="6">
        <f>'CARTA DE CONTROL'!I30</f>
        <v>0.4</v>
      </c>
      <c r="F43" s="7">
        <f>-('CARTA DE CONTROL'!I30)</f>
        <v>-0.4</v>
      </c>
      <c r="G43" s="5" t="str">
        <f>IF(C43&lt;=0.4,IF(D43&gt;=-0.4,"PASS","NO PASS"))</f>
        <v>PASS</v>
      </c>
    </row>
    <row r="44" spans="1:9" ht="15.75" thickBot="1" x14ac:dyDescent="0.3">
      <c r="B44" s="3">
        <f>'CARTA DE CONTROL'!Q33</f>
        <v>12</v>
      </c>
      <c r="C44" s="4">
        <f>'CARTA DE CONTROL'!AR33</f>
        <v>0</v>
      </c>
      <c r="D44" s="4">
        <f>'CARTA DE CONTROL'!AT33</f>
        <v>0</v>
      </c>
      <c r="E44" s="6">
        <f>'CARTA DE CONTROL'!I33</f>
        <v>0.8</v>
      </c>
      <c r="F44" s="7">
        <f>-('CARTA DE CONTROL'!I33)</f>
        <v>-0.8</v>
      </c>
      <c r="G44" s="5" t="str">
        <f>IF(C44&lt;=0.4,IF(D44&gt;=-0.4,"PASS","NO PASS"))</f>
        <v>PASS</v>
      </c>
    </row>
    <row r="45" spans="1:9" x14ac:dyDescent="0.25">
      <c r="B45" s="1"/>
      <c r="C45" s="1"/>
      <c r="D45" s="1"/>
      <c r="E45" s="1"/>
      <c r="F45" s="1"/>
      <c r="G45" s="1"/>
      <c r="H45" s="1"/>
      <c r="I45" s="1"/>
    </row>
    <row r="46" spans="1:9" x14ac:dyDescent="0.25">
      <c r="B46" s="1"/>
      <c r="C46" s="1"/>
      <c r="D46" s="1"/>
      <c r="E46" s="1"/>
    </row>
    <row r="47" spans="1:9" x14ac:dyDescent="0.25">
      <c r="B47" s="1"/>
      <c r="C47" s="1"/>
      <c r="D47" s="1"/>
      <c r="E47" s="1"/>
    </row>
    <row r="48" spans="1:9" x14ac:dyDescent="0.25">
      <c r="B48" s="1"/>
      <c r="C48" s="1"/>
      <c r="D48" s="1"/>
      <c r="E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62" spans="2:9" ht="15.75" thickBot="1" x14ac:dyDescent="0.3"/>
    <row r="63" spans="2:9" ht="15.75" thickBot="1" x14ac:dyDescent="0.3">
      <c r="C63" s="681" t="s">
        <v>90</v>
      </c>
      <c r="D63" s="682"/>
      <c r="E63" s="682"/>
      <c r="F63" s="683"/>
    </row>
    <row r="64" spans="2:9" ht="45.75" thickBot="1" x14ac:dyDescent="0.3">
      <c r="C64" s="2" t="s">
        <v>41</v>
      </c>
      <c r="D64" s="10" t="s">
        <v>91</v>
      </c>
      <c r="E64" s="2" t="s">
        <v>92</v>
      </c>
      <c r="F64" s="21" t="s">
        <v>93</v>
      </c>
    </row>
    <row r="65" spans="2:6" ht="15.75" thickBot="1" x14ac:dyDescent="0.3">
      <c r="B65" s="242"/>
      <c r="C65" s="3">
        <f>'CARTA DE CONTROL'!Q14</f>
        <v>6</v>
      </c>
      <c r="D65" s="4">
        <f>'CARTA DE CONTROL'!AN14</f>
        <v>0</v>
      </c>
      <c r="E65" s="6">
        <f>'CARTA DE CONTROL'!M14</f>
        <v>0.2</v>
      </c>
      <c r="F65" s="5" t="str">
        <f>IF(D65&lt;=0.02,IF(D65&gt;=-0.02,"PASS","NO PASS"))</f>
        <v>PASS</v>
      </c>
    </row>
    <row r="66" spans="2:6" ht="15.75" thickBot="1" x14ac:dyDescent="0.3">
      <c r="C66" s="3">
        <f>'CARTA DE CONTROL'!Q17</f>
        <v>0</v>
      </c>
      <c r="D66" s="4">
        <f>'CARTA DE CONTROL'!AN17</f>
        <v>0</v>
      </c>
      <c r="E66" s="6">
        <f>'CARTA DE CONTROL'!M17</f>
        <v>0.02</v>
      </c>
      <c r="F66" s="5" t="str">
        <f>IF(D66&lt;=0.02,IF(D66&gt;=-0.02,"PASS","NO PASS"))</f>
        <v>PASS</v>
      </c>
    </row>
    <row r="67" spans="2:6" ht="15.75" thickBot="1" x14ac:dyDescent="0.3">
      <c r="C67" s="3">
        <f>'CARTA DE CONTROL'!Q30</f>
        <v>6</v>
      </c>
      <c r="D67" s="4">
        <f>'CARTA DE CONTROL'!AN30</f>
        <v>0</v>
      </c>
      <c r="E67" s="6">
        <f>'CARTA DE CONTROL'!M30</f>
        <v>0.2</v>
      </c>
      <c r="F67" s="5" t="str">
        <f>IF(D67&lt;=0.02,IF(D67&gt;=-0.02,"PASS","NO PASS"))</f>
        <v>PASS</v>
      </c>
    </row>
    <row r="68" spans="2:6" ht="15.75" thickBot="1" x14ac:dyDescent="0.3">
      <c r="C68" s="3">
        <f>'CARTA DE CONTROL'!Q33</f>
        <v>12</v>
      </c>
      <c r="D68" s="4">
        <f>'CARTA DE CONTROL'!AN33</f>
        <v>0</v>
      </c>
      <c r="E68" s="6">
        <f>'CARTA DE CONTROL'!M33</f>
        <v>0.2</v>
      </c>
      <c r="F68" s="5" t="str">
        <f>IF(D68&lt;=0.02,IF(D68&gt;=-0.02,"PASS","NO PASS"))</f>
        <v>PASS</v>
      </c>
    </row>
    <row r="80" spans="2:6" ht="15.75" thickBot="1" x14ac:dyDescent="0.3"/>
    <row r="81" spans="3:7" ht="15.75" thickBot="1" x14ac:dyDescent="0.3">
      <c r="C81" s="681" t="s">
        <v>94</v>
      </c>
      <c r="D81" s="682"/>
      <c r="E81" s="682"/>
      <c r="F81" s="683"/>
      <c r="G81" s="240"/>
    </row>
    <row r="82" spans="3:7" ht="45.75" thickBot="1" x14ac:dyDescent="0.3">
      <c r="C82" s="2" t="s">
        <v>41</v>
      </c>
      <c r="D82" s="10" t="s">
        <v>95</v>
      </c>
      <c r="E82" s="2" t="s">
        <v>92</v>
      </c>
      <c r="F82" s="21" t="s">
        <v>93</v>
      </c>
    </row>
    <row r="83" spans="3:7" ht="15.75" thickBot="1" x14ac:dyDescent="0.3">
      <c r="C83" s="3">
        <f>'CARTA DE CONTROL'!Q14</f>
        <v>6</v>
      </c>
      <c r="D83" s="4">
        <f>'CARTA DE CONTROL'!AO14</f>
        <v>0</v>
      </c>
      <c r="E83" s="6">
        <f>'CARTA DE CONTROL'!O14</f>
        <v>0.3</v>
      </c>
      <c r="F83" s="5" t="str">
        <f>IF(D83&lt;=0.02,IF(D83&gt;=-0.02,"PASS","NO PASS"))</f>
        <v>PASS</v>
      </c>
    </row>
    <row r="84" spans="3:7" ht="15.75" thickBot="1" x14ac:dyDescent="0.3">
      <c r="C84" s="3">
        <f>'CARTA DE CONTROL'!Q17</f>
        <v>0</v>
      </c>
      <c r="D84" s="4">
        <f>'CARTA DE CONTROL'!AO17</f>
        <v>0</v>
      </c>
      <c r="E84" s="6">
        <f>'CARTA DE CONTROL'!O17</f>
        <v>0.3</v>
      </c>
      <c r="F84" s="5" t="str">
        <f t="shared" ref="F84:F86" si="0">IF(D84&lt;=0.02,IF(D84&gt;=-0.02,"PASS","NO PASS"))</f>
        <v>PASS</v>
      </c>
    </row>
    <row r="85" spans="3:7" ht="15.75" thickBot="1" x14ac:dyDescent="0.3">
      <c r="C85" s="3">
        <f>'CARTA DE CONTROL'!Q14</f>
        <v>6</v>
      </c>
      <c r="D85" s="4">
        <f>'CARTA DE CONTROL'!AO14</f>
        <v>0</v>
      </c>
      <c r="E85" s="6">
        <f>'CARTA DE CONTROL'!O14</f>
        <v>0.3</v>
      </c>
      <c r="F85" s="5" t="str">
        <f t="shared" si="0"/>
        <v>PASS</v>
      </c>
    </row>
    <row r="86" spans="3:7" ht="15.75" thickBot="1" x14ac:dyDescent="0.3">
      <c r="C86" s="3">
        <f>'CARTA DE CONTROL'!Q17</f>
        <v>0</v>
      </c>
      <c r="D86" s="4">
        <f>'CARTA DE CONTROL'!AO17</f>
        <v>0</v>
      </c>
      <c r="E86" s="6">
        <f>'CARTA DE CONTROL'!O17</f>
        <v>0.3</v>
      </c>
      <c r="F86" s="5" t="str">
        <f t="shared" si="0"/>
        <v>PASS</v>
      </c>
    </row>
  </sheetData>
  <mergeCells count="55">
    <mergeCell ref="B37:D37"/>
    <mergeCell ref="F37:G37"/>
    <mergeCell ref="B28:D28"/>
    <mergeCell ref="F28:G28"/>
    <mergeCell ref="B39:G39"/>
    <mergeCell ref="A30:G30"/>
    <mergeCell ref="B31:D31"/>
    <mergeCell ref="F31:G31"/>
    <mergeCell ref="B32:D32"/>
    <mergeCell ref="F32:G32"/>
    <mergeCell ref="B33:D33"/>
    <mergeCell ref="F33:G33"/>
    <mergeCell ref="B34:D34"/>
    <mergeCell ref="F34:G34"/>
    <mergeCell ref="B35:D35"/>
    <mergeCell ref="F35:G35"/>
    <mergeCell ref="B23:D23"/>
    <mergeCell ref="F23:G23"/>
    <mergeCell ref="B24:D24"/>
    <mergeCell ref="F24:G24"/>
    <mergeCell ref="B36:D36"/>
    <mergeCell ref="F36:G36"/>
    <mergeCell ref="B25:D25"/>
    <mergeCell ref="F25:G25"/>
    <mergeCell ref="B26:D26"/>
    <mergeCell ref="F26:G26"/>
    <mergeCell ref="B27:D27"/>
    <mergeCell ref="F27:G27"/>
    <mergeCell ref="B20:D20"/>
    <mergeCell ref="F20:G20"/>
    <mergeCell ref="B21:D21"/>
    <mergeCell ref="F21:G21"/>
    <mergeCell ref="B22:D22"/>
    <mergeCell ref="F22:G22"/>
    <mergeCell ref="F17:G17"/>
    <mergeCell ref="B18:D18"/>
    <mergeCell ref="F18:G18"/>
    <mergeCell ref="B19:D19"/>
    <mergeCell ref="F19:G19"/>
    <mergeCell ref="C63:F63"/>
    <mergeCell ref="C81:F81"/>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G41:G44">
    <cfRule type="cellIs" dxfId="33" priority="17" operator="lessThan">
      <formula>$I$73</formula>
    </cfRule>
    <cfRule type="cellIs" dxfId="32" priority="18" operator="lessThan">
      <formula>0.05</formula>
    </cfRule>
  </conditionalFormatting>
  <conditionalFormatting sqref="F65">
    <cfRule type="cellIs" dxfId="31" priority="15" operator="lessThan">
      <formula>$I$71</formula>
    </cfRule>
    <cfRule type="cellIs" dxfId="30" priority="16" operator="lessThan">
      <formula>0.05</formula>
    </cfRule>
  </conditionalFormatting>
  <conditionalFormatting sqref="F83">
    <cfRule type="cellIs" dxfId="29" priority="13" operator="lessThan">
      <formula>$I$71</formula>
    </cfRule>
    <cfRule type="cellIs" dxfId="28" priority="14" operator="lessThan">
      <formula>0.05</formula>
    </cfRule>
  </conditionalFormatting>
  <conditionalFormatting sqref="F66">
    <cfRule type="cellIs" dxfId="27" priority="7" operator="lessThan">
      <formula>$I$71</formula>
    </cfRule>
    <cfRule type="cellIs" dxfId="26" priority="8" operator="lessThan">
      <formula>0.05</formula>
    </cfRule>
  </conditionalFormatting>
  <conditionalFormatting sqref="F67">
    <cfRule type="cellIs" dxfId="25" priority="5" operator="lessThan">
      <formula>$I$71</formula>
    </cfRule>
    <cfRule type="cellIs" dxfId="24" priority="6" operator="lessThan">
      <formula>0.05</formula>
    </cfRule>
  </conditionalFormatting>
  <conditionalFormatting sqref="F68">
    <cfRule type="cellIs" dxfId="23" priority="3" operator="lessThan">
      <formula>$I$71</formula>
    </cfRule>
    <cfRule type="cellIs" dxfId="22" priority="4" operator="lessThan">
      <formula>0.05</formula>
    </cfRule>
  </conditionalFormatting>
  <conditionalFormatting sqref="F84:F86">
    <cfRule type="cellIs" dxfId="21" priority="1" operator="lessThan">
      <formula>$I$71</formula>
    </cfRule>
    <cfRule type="cellIs" dxfId="20" priority="2" operator="lessThan">
      <formula>0.05</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opLeftCell="C1" zoomScale="160" zoomScaleNormal="160" workbookViewId="0">
      <selection activeCell="D69" sqref="D69"/>
    </sheetView>
  </sheetViews>
  <sheetFormatPr baseColWidth="10" defaultRowHeight="15" x14ac:dyDescent="0.25"/>
  <cols>
    <col min="1" max="1" width="4.28515625" customWidth="1"/>
    <col min="2" max="2" width="16.5703125" customWidth="1"/>
    <col min="3" max="3" width="22.85546875" customWidth="1"/>
    <col min="4" max="4" width="21.7109375" customWidth="1"/>
    <col min="5" max="5" width="21" customWidth="1"/>
    <col min="6" max="6" width="22.7109375" customWidth="1"/>
    <col min="9" max="9" width="13"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f>
        <v>ANALIZADOR DE GASES 2 TIEMPOS</v>
      </c>
      <c r="D7" s="659"/>
      <c r="E7" s="660"/>
    </row>
    <row r="8" spans="1:11" x14ac:dyDescent="0.25">
      <c r="B8" s="241" t="s">
        <v>176</v>
      </c>
      <c r="C8" s="658" t="str">
        <f>'CARTA DE CONTROL'!D10</f>
        <v>ACTIA</v>
      </c>
      <c r="D8" s="659"/>
      <c r="E8" s="660"/>
    </row>
    <row r="9" spans="1:11" x14ac:dyDescent="0.25">
      <c r="B9" s="241" t="s">
        <v>177</v>
      </c>
      <c r="C9" s="658" t="str">
        <f>'CARTA DE CONTROL'!E10</f>
        <v>AT505</v>
      </c>
      <c r="D9" s="659"/>
      <c r="E9" s="660"/>
    </row>
    <row r="10" spans="1:11" x14ac:dyDescent="0.25">
      <c r="B10" s="241" t="s">
        <v>178</v>
      </c>
      <c r="C10" s="661" t="str">
        <f>'CARTA DE CONTROL'!F10</f>
        <v>021/18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9" s="1" customFormat="1" ht="25.5" customHeight="1" x14ac:dyDescent="0.2">
      <c r="A33" s="226">
        <v>2</v>
      </c>
      <c r="B33" s="675" t="s">
        <v>169</v>
      </c>
      <c r="C33" s="675"/>
      <c r="D33" s="675"/>
      <c r="E33" s="209" t="s">
        <v>168</v>
      </c>
      <c r="F33" s="676"/>
      <c r="G33" s="677"/>
    </row>
    <row r="34" spans="1:9" s="1" customFormat="1" ht="25.5" customHeight="1" x14ac:dyDescent="0.2">
      <c r="A34" s="226">
        <v>3</v>
      </c>
      <c r="B34" s="675" t="s">
        <v>170</v>
      </c>
      <c r="C34" s="675"/>
      <c r="D34" s="675"/>
      <c r="E34" s="209" t="s">
        <v>168</v>
      </c>
      <c r="F34" s="676"/>
      <c r="G34" s="677"/>
    </row>
    <row r="35" spans="1:9" s="1" customFormat="1" ht="25.5" customHeight="1" x14ac:dyDescent="0.2">
      <c r="A35" s="226">
        <v>4</v>
      </c>
      <c r="B35" s="675" t="s">
        <v>171</v>
      </c>
      <c r="C35" s="675"/>
      <c r="D35" s="675"/>
      <c r="E35" s="209" t="s">
        <v>172</v>
      </c>
      <c r="F35" s="676"/>
      <c r="G35" s="677"/>
    </row>
    <row r="36" spans="1:9" s="1" customFormat="1" ht="25.5" customHeight="1" x14ac:dyDescent="0.2">
      <c r="A36" s="226">
        <v>5</v>
      </c>
      <c r="B36" s="675" t="s">
        <v>173</v>
      </c>
      <c r="C36" s="675"/>
      <c r="D36" s="675"/>
      <c r="E36" s="209" t="s">
        <v>172</v>
      </c>
      <c r="F36" s="684"/>
      <c r="G36" s="685"/>
    </row>
    <row r="37" spans="1:9" s="1" customFormat="1" ht="25.5" customHeight="1" thickBot="1" x14ac:dyDescent="0.25">
      <c r="A37" s="227">
        <v>6</v>
      </c>
      <c r="B37" s="678" t="s">
        <v>174</v>
      </c>
      <c r="C37" s="678"/>
      <c r="D37" s="678"/>
      <c r="E37" s="228" t="s">
        <v>172</v>
      </c>
      <c r="F37" s="679"/>
      <c r="G37" s="680"/>
    </row>
    <row r="38" spans="1:9" ht="15.75" thickBot="1" x14ac:dyDescent="0.3"/>
    <row r="39" spans="1:9" ht="79.5" thickBot="1" x14ac:dyDescent="0.3">
      <c r="B39" s="2" t="s">
        <v>41</v>
      </c>
      <c r="C39" s="11" t="s">
        <v>100</v>
      </c>
      <c r="D39" s="11" t="s">
        <v>101</v>
      </c>
      <c r="E39" s="2" t="s">
        <v>102</v>
      </c>
      <c r="F39" s="2" t="s">
        <v>103</v>
      </c>
      <c r="G39" s="21" t="s">
        <v>104</v>
      </c>
    </row>
    <row r="40" spans="1:9" ht="15.75" thickBot="1" x14ac:dyDescent="0.3">
      <c r="B40" s="3">
        <f>'CARTA DE CONTROL'!U18</f>
        <v>164</v>
      </c>
      <c r="C40" s="4">
        <f>'CARTA DE CONTROL'!AR18</f>
        <v>0</v>
      </c>
      <c r="D40" s="4">
        <f>'CARTA DE CONTROL'!AS18</f>
        <v>0</v>
      </c>
      <c r="E40" s="6">
        <f>'CARTA DE CONTROL'!I18</f>
        <v>100</v>
      </c>
      <c r="F40" s="7">
        <f>-('CARTA DE CONTROL'!I18)</f>
        <v>-100</v>
      </c>
      <c r="G40" s="5" t="str">
        <f>IF(C40&lt;=100,IF(D40&gt;=-100,"PASS","NO PASS"))</f>
        <v>PASS</v>
      </c>
    </row>
    <row r="41" spans="1:9" ht="15.75" thickBot="1" x14ac:dyDescent="0.3">
      <c r="B41" s="3">
        <f>'CARTA DE CONTROL'!U21</f>
        <v>0</v>
      </c>
      <c r="C41" s="4">
        <f>'CARTA DE CONTROL'!AR21</f>
        <v>0</v>
      </c>
      <c r="D41" s="4">
        <f>'CARTA DE CONTROL'!AS21</f>
        <v>0</v>
      </c>
      <c r="E41" s="6">
        <f>'CARTA DE CONTROL'!I21</f>
        <v>100</v>
      </c>
      <c r="F41" s="7">
        <f>-('CARTA DE CONTROL'!I21)</f>
        <v>-100</v>
      </c>
      <c r="G41" s="5" t="str">
        <f>IF(C41&lt;=200,IF(D41&gt;=-200,"PASS","NO PASS"))</f>
        <v>PASS</v>
      </c>
    </row>
    <row r="42" spans="1:9" ht="15.75" thickBot="1" x14ac:dyDescent="0.3">
      <c r="B42" s="3">
        <f>'CARTA DE CONTROL'!U34</f>
        <v>0</v>
      </c>
      <c r="C42" s="4">
        <f>'CARTA DE CONTROL'!AR34</f>
        <v>0</v>
      </c>
      <c r="D42" s="4">
        <f>'CARTA DE CONTROL'!AS34</f>
        <v>0</v>
      </c>
      <c r="E42" s="6">
        <f>'CARTA DE CONTROL'!I34</f>
        <v>100</v>
      </c>
      <c r="F42" s="7">
        <f>-('CARTA DE CONTROL'!I34)</f>
        <v>-100</v>
      </c>
      <c r="G42" s="5" t="str">
        <f>IF(C42&lt;=100,IF(D42&gt;=-100,"PASS","NO PASS"))</f>
        <v>PASS</v>
      </c>
    </row>
    <row r="43" spans="1:9" ht="15.75" thickBot="1" x14ac:dyDescent="0.3">
      <c r="B43" s="3">
        <f>'CARTA DE CONTROL'!U37</f>
        <v>0</v>
      </c>
      <c r="C43" s="4">
        <f>'CARTA DE CONTROL'!AR37</f>
        <v>0</v>
      </c>
      <c r="D43" s="4">
        <f>'CARTA DE CONTROL'!AS37</f>
        <v>0</v>
      </c>
      <c r="E43" s="6">
        <f>'CARTA DE CONTROL'!I37</f>
        <v>200</v>
      </c>
      <c r="F43" s="7">
        <f>-('CARTA DE CONTROL'!I37)</f>
        <v>-200</v>
      </c>
      <c r="G43" s="5" t="str">
        <f>IF(C43&lt;=200,IF(D43&gt;=-200,"PASS","NO PASS"))</f>
        <v>PASS</v>
      </c>
    </row>
    <row r="44" spans="1:9" x14ac:dyDescent="0.25">
      <c r="B44" s="1"/>
      <c r="C44" s="1"/>
      <c r="D44" s="1"/>
      <c r="E44" s="1"/>
      <c r="F44" s="1"/>
      <c r="G44" s="1"/>
      <c r="H44" s="1"/>
      <c r="I44" s="1"/>
    </row>
    <row r="45" spans="1:9" x14ac:dyDescent="0.25">
      <c r="B45" s="1"/>
      <c r="C45" s="1"/>
      <c r="D45" s="1"/>
      <c r="E45" s="1"/>
    </row>
    <row r="46" spans="1:9" x14ac:dyDescent="0.25">
      <c r="B46" s="1"/>
      <c r="C46" s="1"/>
      <c r="D46" s="1"/>
      <c r="E46" s="1"/>
    </row>
    <row r="47" spans="1:9" x14ac:dyDescent="0.25">
      <c r="B47" s="1"/>
      <c r="C47" s="1"/>
      <c r="D47" s="1"/>
      <c r="E47" s="1"/>
    </row>
    <row r="48" spans="1: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62" spans="2:9" ht="15.75" thickBot="1" x14ac:dyDescent="0.3"/>
    <row r="63" spans="2:9" ht="15.75" thickBot="1" x14ac:dyDescent="0.3">
      <c r="C63" s="689" t="s">
        <v>90</v>
      </c>
      <c r="D63" s="690"/>
      <c r="E63" s="690"/>
      <c r="F63" s="691"/>
    </row>
    <row r="64" spans="2:9" ht="45.75" thickBot="1" x14ac:dyDescent="0.3">
      <c r="C64" s="2" t="s">
        <v>41</v>
      </c>
      <c r="D64" s="10" t="s">
        <v>91</v>
      </c>
      <c r="E64" s="2" t="s">
        <v>92</v>
      </c>
      <c r="F64" s="21" t="s">
        <v>93</v>
      </c>
    </row>
    <row r="65" spans="3:6" ht="15.75" thickBot="1" x14ac:dyDescent="0.3">
      <c r="C65" s="3">
        <f>'CARTA DE CONTROL'!Q18</f>
        <v>159.5</v>
      </c>
      <c r="D65" s="4">
        <f>'CARTA DE CONTROL'!AN18</f>
        <v>0</v>
      </c>
      <c r="E65" s="6">
        <f>'CARTA DE CONTROL'!M18</f>
        <v>16</v>
      </c>
      <c r="F65" s="5" t="str">
        <f>IF(D65&lt;=16,IF(D65&gt;=-16,"PASS","NO PASS"))</f>
        <v>PASS</v>
      </c>
    </row>
    <row r="66" spans="3:6" ht="15.75" thickBot="1" x14ac:dyDescent="0.3">
      <c r="C66" s="3">
        <f>'CARTA DE CONTROL'!Q21</f>
        <v>0</v>
      </c>
      <c r="D66" s="4">
        <f>'CARTA DE CONTROL'!AN21</f>
        <v>0</v>
      </c>
      <c r="E66" s="6">
        <f>'CARTA DE CONTROL'!M21</f>
        <v>16</v>
      </c>
      <c r="F66" s="5" t="str">
        <f>IF(D66&lt;=24,IF(D66&gt;=-24,"PASS","NO PASS"))</f>
        <v>PASS</v>
      </c>
    </row>
    <row r="67" spans="3:6" ht="15.75" thickBot="1" x14ac:dyDescent="0.3">
      <c r="C67" s="3">
        <f>'CARTA DE CONTROL'!Q34</f>
        <v>299</v>
      </c>
      <c r="D67" s="4">
        <f>'CARTA DE CONTROL'!AN34</f>
        <v>0</v>
      </c>
      <c r="E67" s="6">
        <f>'CARTA DE CONTROL'!M34</f>
        <v>16</v>
      </c>
      <c r="F67" s="5" t="str">
        <f>IF(D67&lt;=16,IF(D67&gt;=-16,"PASS","NO PASS"))</f>
        <v>PASS</v>
      </c>
    </row>
    <row r="68" spans="3:6" ht="15.75" thickBot="1" x14ac:dyDescent="0.3">
      <c r="C68" s="3">
        <f>'CARTA DE CONTROL'!Q37</f>
        <v>3201</v>
      </c>
      <c r="D68" s="4">
        <f>'CARTA DE CONTROL'!AN37</f>
        <v>0</v>
      </c>
      <c r="E68" s="6">
        <f>'CARTA DE CONTROL'!M37</f>
        <v>24</v>
      </c>
      <c r="F68" s="5" t="str">
        <f>IF(D68&lt;=24,IF(D68&gt;=-24,"PASS","NO PASS"))</f>
        <v>PASS</v>
      </c>
    </row>
    <row r="79" spans="3:6" ht="15.75" thickBot="1" x14ac:dyDescent="0.3"/>
    <row r="80" spans="3:6" ht="15.75" thickBot="1" x14ac:dyDescent="0.3">
      <c r="C80" s="681" t="s">
        <v>94</v>
      </c>
      <c r="D80" s="682"/>
      <c r="E80" s="682"/>
      <c r="F80" s="683"/>
    </row>
    <row r="81" spans="3:6" ht="45.75" thickBot="1" x14ac:dyDescent="0.3">
      <c r="C81" s="2" t="s">
        <v>41</v>
      </c>
      <c r="D81" s="10" t="s">
        <v>95</v>
      </c>
      <c r="E81" s="2" t="s">
        <v>92</v>
      </c>
      <c r="F81" s="21" t="s">
        <v>93</v>
      </c>
    </row>
    <row r="82" spans="3:6" ht="15.75" thickBot="1" x14ac:dyDescent="0.3">
      <c r="C82" s="3">
        <f>'CARTA DE CONTROL'!Q18</f>
        <v>159.5</v>
      </c>
      <c r="D82" s="4">
        <f>'CARTA DE CONTROL'!AO18</f>
        <v>0</v>
      </c>
      <c r="E82" s="6">
        <f>'CARTA DE CONTROL'!O18</f>
        <v>20</v>
      </c>
      <c r="F82" s="5" t="str">
        <f>IF(D82&lt;=20,IF(D82&gt;=-20,"PASS","NO PASS"))</f>
        <v>PASS</v>
      </c>
    </row>
    <row r="83" spans="3:6" ht="15.75" thickBot="1" x14ac:dyDescent="0.3">
      <c r="C83" s="3">
        <f>'CARTA DE CONTROL'!Q21</f>
        <v>0</v>
      </c>
      <c r="D83" s="4">
        <f>'CARTA DE CONTROL'!AO21</f>
        <v>0</v>
      </c>
      <c r="E83" s="6">
        <f>'CARTA DE CONTROL'!O21</f>
        <v>20</v>
      </c>
      <c r="F83" s="5" t="str">
        <f>IF(D83&lt;=40,IF(D83&gt;=-40,"PASS","NO PASS"))</f>
        <v>PASS</v>
      </c>
    </row>
    <row r="84" spans="3:6" ht="15.75" thickBot="1" x14ac:dyDescent="0.3">
      <c r="C84" s="3">
        <f>'CARTA DE CONTROL'!Q34</f>
        <v>299</v>
      </c>
      <c r="D84" s="4">
        <f>'CARTA DE CONTROL'!AO34</f>
        <v>0</v>
      </c>
      <c r="E84" s="6">
        <f>'CARTA DE CONTROL'!O34</f>
        <v>20</v>
      </c>
      <c r="F84" s="5" t="str">
        <f>IF(D84&lt;=20,IF(D84&gt;=-20,"PASS","NO PASS"))</f>
        <v>PASS</v>
      </c>
    </row>
    <row r="85" spans="3:6" ht="15.75" thickBot="1" x14ac:dyDescent="0.3">
      <c r="C85" s="3">
        <f>'CARTA DE CONTROL'!Q37</f>
        <v>3201</v>
      </c>
      <c r="D85" s="4">
        <f>'CARTA DE CONTROL'!AO37</f>
        <v>0</v>
      </c>
      <c r="E85" s="6">
        <f>'CARTA DE CONTROL'!O37</f>
        <v>40</v>
      </c>
      <c r="F85" s="5" t="str">
        <f>IF(D85&lt;=40,IF(D85&gt;=-40,"PASS","NO PASS"))</f>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C63:F63"/>
    <mergeCell ref="C80:F80"/>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F65:F68">
    <cfRule type="cellIs" dxfId="19" priority="28" operator="lessThan">
      <formula>$I$82</formula>
    </cfRule>
    <cfRule type="cellIs" dxfId="18" priority="29" operator="lessThan">
      <formula>0.05</formula>
    </cfRule>
  </conditionalFormatting>
  <conditionalFormatting sqref="F84:F85">
    <cfRule type="cellIs" dxfId="17" priority="20" operator="lessThan">
      <formula>$I$82</formula>
    </cfRule>
    <cfRule type="cellIs" dxfId="16" priority="21" operator="lessThan">
      <formula>0.05</formula>
    </cfRule>
  </conditionalFormatting>
  <conditionalFormatting sqref="G40:G43">
    <cfRule type="cellIs" dxfId="15" priority="54" operator="lessThan">
      <formula>$G$80</formula>
    </cfRule>
    <cfRule type="cellIs" dxfId="14" priority="55" operator="lessThan">
      <formula>0.05</formula>
    </cfRule>
  </conditionalFormatting>
  <conditionalFormatting sqref="G40:G43">
    <cfRule type="cellIs" dxfId="13" priority="56" operator="between">
      <formula>$G$80</formula>
      <formula>$H$80</formula>
    </cfRule>
  </conditionalFormatting>
  <conditionalFormatting sqref="F82:F83">
    <cfRule type="cellIs" dxfId="12" priority="1" operator="lessThan">
      <formula>$I$82</formula>
    </cfRule>
    <cfRule type="cellIs" dxfId="11" priority="2" operator="lessThan">
      <formula>0.05</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81" zoomScale="120" zoomScaleNormal="120" workbookViewId="0">
      <selection activeCell="B87" sqref="B87"/>
    </sheetView>
  </sheetViews>
  <sheetFormatPr baseColWidth="10" defaultRowHeight="15" x14ac:dyDescent="0.25"/>
  <cols>
    <col min="1" max="1" width="4.28515625" customWidth="1"/>
    <col min="2" max="4" width="21" customWidth="1"/>
    <col min="5" max="5" width="22.7109375" customWidth="1"/>
    <col min="8" max="8" width="13.2851562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CONTROL'!B42</f>
        <v>GASES 4 TIEMPOS</v>
      </c>
      <c r="D7" s="659"/>
      <c r="E7" s="660"/>
    </row>
    <row r="8" spans="1:11" x14ac:dyDescent="0.25">
      <c r="B8" s="241" t="s">
        <v>176</v>
      </c>
      <c r="C8" s="658" t="str">
        <f>'CARTA DE CONTROL'!D42</f>
        <v>ACTIA</v>
      </c>
      <c r="D8" s="659"/>
      <c r="E8" s="660"/>
    </row>
    <row r="9" spans="1:11" x14ac:dyDescent="0.25">
      <c r="B9" s="241" t="s">
        <v>177</v>
      </c>
      <c r="C9" s="658" t="str">
        <f>'CARTA DE CONTROL'!E42</f>
        <v>AT505</v>
      </c>
      <c r="D9" s="659"/>
      <c r="E9" s="660"/>
    </row>
    <row r="10" spans="1:11" x14ac:dyDescent="0.25">
      <c r="B10" s="241" t="s">
        <v>178</v>
      </c>
      <c r="C10" s="661" t="str">
        <f>'CARTA DE CONTROL'!F42</f>
        <v>026/18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9" spans="1:7" ht="15.75" thickBot="1" x14ac:dyDescent="0.3"/>
    <row r="40" spans="1:7" ht="79.5" thickBot="1" x14ac:dyDescent="0.3">
      <c r="B40" s="2" t="s">
        <v>41</v>
      </c>
      <c r="C40" s="11" t="s">
        <v>100</v>
      </c>
      <c r="D40" s="11" t="s">
        <v>101</v>
      </c>
      <c r="E40" s="2" t="s">
        <v>102</v>
      </c>
      <c r="F40" s="2" t="s">
        <v>103</v>
      </c>
      <c r="G40" s="21" t="s">
        <v>104</v>
      </c>
    </row>
    <row r="41" spans="1:7" ht="15.75" thickBot="1" x14ac:dyDescent="0.3">
      <c r="B41" s="3">
        <f>'CARTA DE CONTROL'!R42</f>
        <v>0.99399999999999999</v>
      </c>
      <c r="C41" s="4">
        <f>'CARTA DE CONTROL'!AR42</f>
        <v>1.6999999999999998E-2</v>
      </c>
      <c r="D41" s="4">
        <f>'CARTA DE CONTROL'!AS42</f>
        <v>-2.5000000000000005E-2</v>
      </c>
      <c r="E41" s="6">
        <f>'CARTA DE CONTROL'!I42</f>
        <v>0.1</v>
      </c>
      <c r="F41" s="7">
        <f>-('CARTA DE CONTROL'!I42)</f>
        <v>-0.1</v>
      </c>
      <c r="G41" s="5" t="str">
        <f>IF(C41&lt;=0.1,IF(D41&gt;=-0.1,"PASS","NO PASS"))</f>
        <v>PASS</v>
      </c>
    </row>
    <row r="42" spans="1:7" ht="15.75" thickBot="1" x14ac:dyDescent="0.3">
      <c r="B42" s="3">
        <f>'CARTA DE CONTROL'!R43</f>
        <v>4.01</v>
      </c>
      <c r="C42" s="4">
        <f>'CARTA DE CONTROL'!AR43</f>
        <v>0.13000000000000003</v>
      </c>
      <c r="D42" s="4">
        <f>'CARTA DE CONTROL'!AS43</f>
        <v>-4.9999999999999961E-2</v>
      </c>
      <c r="E42" s="6">
        <f>'CARTA DE CONTROL'!I43</f>
        <v>0.2</v>
      </c>
      <c r="F42" s="7">
        <f>-('CARTA DE CONTROL'!I43)</f>
        <v>-0.2</v>
      </c>
      <c r="G42" s="5" t="str">
        <f>IF(C42&lt;=0.2,IF(D42&gt;=-0.2,"PASS","NO PASS"))</f>
        <v>PASS</v>
      </c>
    </row>
    <row r="43" spans="1:7" ht="15.75" thickBot="1" x14ac:dyDescent="0.3">
      <c r="B43" s="3">
        <f>'CARTA DE CONTROL'!R44</f>
        <v>7.97</v>
      </c>
      <c r="C43" s="4">
        <f>'CARTA DE CONTROL'!AR44</f>
        <v>0.19000000000000047</v>
      </c>
      <c r="D43" s="4">
        <f>'CARTA DE CONTROL'!AS44</f>
        <v>-0.14999999999999955</v>
      </c>
      <c r="E43" s="6">
        <f>'CARTA DE CONTROL'!I44</f>
        <v>0.5</v>
      </c>
      <c r="F43" s="7">
        <f>-('CARTA DE CONTROL'!I44)</f>
        <v>-0.5</v>
      </c>
      <c r="G43" s="5" t="str">
        <f>IF(C43&lt;=0.5,IF(D43&gt;=-0.5,"PASS","NO PASS"))</f>
        <v>PASS</v>
      </c>
    </row>
    <row r="44" spans="1:7" ht="15.75" thickBot="1" x14ac:dyDescent="0.3">
      <c r="B44" s="3">
        <f>'CARTA DE CONTROL'!R45</f>
        <v>0</v>
      </c>
      <c r="C44" s="4">
        <f>'CARTA DE CONTROL'!AR45</f>
        <v>6.0000000000000001E-3</v>
      </c>
      <c r="D44" s="4">
        <f>'CARTA DE CONTROL'!AS45</f>
        <v>-6.0000000000000001E-3</v>
      </c>
      <c r="E44" s="6">
        <f>'CARTA DE CONTROL'!I45</f>
        <v>0.05</v>
      </c>
      <c r="F44" s="7">
        <f>-('CARTA DE CONTROL'!I45)</f>
        <v>-0.05</v>
      </c>
      <c r="G44" s="5" t="str">
        <f>IF(C44&lt;=0.05,IF(D44&gt;=-0.05,"PASS","NO PASS"))</f>
        <v>PASS</v>
      </c>
    </row>
    <row r="45" spans="1:7" ht="15.75" thickBot="1" x14ac:dyDescent="0.3">
      <c r="B45" s="3">
        <f>'CARTA DE CONTROL'!R58</f>
        <v>0.99399999999999999</v>
      </c>
      <c r="C45" s="4">
        <f>'CARTA DE CONTROL'!AR58</f>
        <v>2.1000000000000001E-2</v>
      </c>
      <c r="D45" s="4">
        <f>'CARTA DE CONTROL'!AS58</f>
        <v>-2.1000000000000001E-2</v>
      </c>
      <c r="E45" s="6">
        <f>'CARTA DE CONTROL'!I58</f>
        <v>0.1</v>
      </c>
      <c r="F45" s="7">
        <f>-('CARTA DE CONTROL'!I58)</f>
        <v>-0.1</v>
      </c>
      <c r="G45" s="5" t="str">
        <f>IF(C45&lt;=0.1,IF(D45&gt;=-0.1,"PASS","NO PASS"))</f>
        <v>PASS</v>
      </c>
    </row>
    <row r="46" spans="1:7" ht="15.75" thickBot="1" x14ac:dyDescent="0.3">
      <c r="B46" s="3">
        <f>'CARTA DE CONTROL'!R59</f>
        <v>4.01</v>
      </c>
      <c r="C46" s="4">
        <f>'CARTA DE CONTROL'!AR59</f>
        <v>0.09</v>
      </c>
      <c r="D46" s="4">
        <f>'CARTA DE CONTROL'!AS59</f>
        <v>-0.09</v>
      </c>
      <c r="E46" s="6">
        <f>'CARTA DE CONTROL'!I59</f>
        <v>0.2</v>
      </c>
      <c r="F46" s="7">
        <f>-('CARTA DE CONTROL'!I59)</f>
        <v>-0.2</v>
      </c>
      <c r="G46" s="5" t="str">
        <f>IF(C46&lt;=0.2,IF(D46&gt;=-0.2,"PASS","NO PASS"))</f>
        <v>PASS</v>
      </c>
    </row>
    <row r="47" spans="1:7" ht="15.75" thickBot="1" x14ac:dyDescent="0.3">
      <c r="B47" s="3">
        <f>'CARTA DE CONTROL'!R60</f>
        <v>7.97</v>
      </c>
      <c r="C47" s="4">
        <f>'CARTA DE CONTROL'!AR60</f>
        <v>0.17</v>
      </c>
      <c r="D47" s="4">
        <f>'CARTA DE CONTROL'!AS60</f>
        <v>-0.17</v>
      </c>
      <c r="E47" s="6">
        <f>'CARTA DE CONTROL'!I60</f>
        <v>0.5</v>
      </c>
      <c r="F47" s="7">
        <f>-('CARTA DE CONTROL'!I60)</f>
        <v>-0.5</v>
      </c>
      <c r="G47" s="5" t="str">
        <f>IF(C47&lt;=0.5,IF(D47&gt;=-0.5,"PASS","NO PASS"))</f>
        <v>PASS</v>
      </c>
    </row>
    <row r="48" spans="1:7" ht="15.75" thickBot="1" x14ac:dyDescent="0.3">
      <c r="B48" s="3">
        <f>'CARTA DE CONTROL'!R61</f>
        <v>0</v>
      </c>
      <c r="C48" s="4">
        <f>'CARTA DE CONTROL'!AR61</f>
        <v>6.0000000000000001E-3</v>
      </c>
      <c r="D48" s="4">
        <f>'CARTA DE CONTROL'!AS61</f>
        <v>-6.0000000000000001E-3</v>
      </c>
      <c r="E48" s="6">
        <f>'CARTA DE CONTROL'!I61</f>
        <v>0.05</v>
      </c>
      <c r="F48" s="7">
        <f>-('CARTA DE CONTROL'!I61)</f>
        <v>-0.05</v>
      </c>
      <c r="G48" s="5" t="str">
        <f>IF(C48&lt;=0.05,IF(D48&gt;=-0.05,"PASS","NO PASS"))</f>
        <v>PASS</v>
      </c>
    </row>
    <row r="49" spans="1:8" x14ac:dyDescent="0.25">
      <c r="A49" s="1"/>
      <c r="B49" s="1"/>
      <c r="C49" s="1"/>
      <c r="D49" s="1"/>
    </row>
    <row r="50" spans="1:8" x14ac:dyDescent="0.25">
      <c r="A50" s="1"/>
      <c r="B50" s="1"/>
      <c r="C50" s="1"/>
      <c r="D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6" spans="2:5" ht="15.75" thickBot="1" x14ac:dyDescent="0.3"/>
    <row r="67" spans="2:5" ht="15.75" thickBot="1" x14ac:dyDescent="0.3">
      <c r="B67" s="681" t="s">
        <v>90</v>
      </c>
      <c r="C67" s="682"/>
      <c r="D67" s="682"/>
      <c r="E67" s="683"/>
    </row>
    <row r="68" spans="2:5" ht="45.75" thickBot="1" x14ac:dyDescent="0.3">
      <c r="B68" s="2" t="s">
        <v>41</v>
      </c>
      <c r="C68" s="10" t="s">
        <v>91</v>
      </c>
      <c r="D68" s="2" t="s">
        <v>92</v>
      </c>
      <c r="E68" s="21" t="s">
        <v>93</v>
      </c>
    </row>
    <row r="69" spans="2:5" ht="15.75" thickBot="1" x14ac:dyDescent="0.3">
      <c r="B69" s="3">
        <f>'CARTA DE CONTROL'!R42</f>
        <v>0.99399999999999999</v>
      </c>
      <c r="C69" s="4">
        <f>'CARTA DE CONTROL'!AN42</f>
        <v>0</v>
      </c>
      <c r="D69" s="6">
        <f>'CARTA DE CONTROL'!M42</f>
        <v>0.04</v>
      </c>
      <c r="E69" s="5" t="str">
        <f>IF(C69&lt;=0.04,IF(C69&gt;=-0.04,"PASS","NO PASS"))</f>
        <v>PASS</v>
      </c>
    </row>
    <row r="70" spans="2:5" ht="15.75" thickBot="1" x14ac:dyDescent="0.3">
      <c r="B70" s="3">
        <f>'CARTA DE CONTROL'!R43</f>
        <v>4.01</v>
      </c>
      <c r="C70" s="4">
        <f>'CARTA DE CONTROL'!AN43</f>
        <v>0</v>
      </c>
      <c r="D70" s="6">
        <f>'CARTA DE CONTROL'!M43</f>
        <v>0.08</v>
      </c>
      <c r="E70" s="5" t="str">
        <f>IF(C70&lt;=0.08,IF(C70&gt;=-0.08,"PASS","NO PASS"))</f>
        <v>PASS</v>
      </c>
    </row>
    <row r="71" spans="2:5" ht="15.75" thickBot="1" x14ac:dyDescent="0.3">
      <c r="B71" s="3">
        <f>'CARTA DE CONTROL'!R44</f>
        <v>7.97</v>
      </c>
      <c r="C71" s="4">
        <f>'CARTA DE CONTROL'!AN44</f>
        <v>3.0000000000000001E-3</v>
      </c>
      <c r="D71" s="6">
        <f>'CARTA DE CONTROL'!M44</f>
        <v>0.16</v>
      </c>
      <c r="E71" s="5" t="str">
        <f>IF(C71&lt;=0.16,IF(C71&gt;=-0.16,"PASS","NO PASS"))</f>
        <v>PASS</v>
      </c>
    </row>
    <row r="72" spans="2:5" ht="15.75" thickBot="1" x14ac:dyDescent="0.3">
      <c r="B72" s="3">
        <f>'CARTA DE CONTROL'!R45</f>
        <v>0</v>
      </c>
      <c r="C72" s="4">
        <f>'CARTA DE CONTROL'!AN45</f>
        <v>0</v>
      </c>
      <c r="D72" s="6">
        <f>'CARTA DE CONTROL'!M45</f>
        <v>0.02</v>
      </c>
      <c r="E72" s="5" t="str">
        <f>IF(C72&lt;=0.02,IF(C72&gt;=-0.02,"PASS","NO PASS"))</f>
        <v>PASS</v>
      </c>
    </row>
    <row r="84" spans="2:5" ht="15.75" thickBot="1" x14ac:dyDescent="0.3"/>
    <row r="85" spans="2:5" ht="15.75" thickBot="1" x14ac:dyDescent="0.3">
      <c r="B85" s="681" t="s">
        <v>94</v>
      </c>
      <c r="C85" s="682"/>
      <c r="D85" s="682"/>
      <c r="E85" s="683"/>
    </row>
    <row r="86" spans="2:5" ht="45.75" thickBot="1" x14ac:dyDescent="0.3">
      <c r="B86" s="2" t="s">
        <v>41</v>
      </c>
      <c r="C86" s="10" t="s">
        <v>95</v>
      </c>
      <c r="D86" s="2" t="s">
        <v>133</v>
      </c>
      <c r="E86" s="21" t="s">
        <v>93</v>
      </c>
    </row>
    <row r="87" spans="2:5" ht="15.75" thickBot="1" x14ac:dyDescent="0.3">
      <c r="B87" s="3">
        <f>'CARTA DE CONTROL'!R42</f>
        <v>0.99399999999999999</v>
      </c>
      <c r="C87" s="4">
        <f>'CARTA DE CONTROL'!AO42</f>
        <v>0</v>
      </c>
      <c r="D87" s="6">
        <f>'CARTA DE CONTROL'!O42</f>
        <v>0.04</v>
      </c>
      <c r="E87" s="5" t="str">
        <f>IF(C87&lt;=0.04,IF(C87&gt;=-0.04,"PASS","NO PASS"))</f>
        <v>PASS</v>
      </c>
    </row>
    <row r="88" spans="2:5" ht="15.75" thickBot="1" x14ac:dyDescent="0.3">
      <c r="B88" s="3">
        <f>'CARTA DE CONTROL'!R43</f>
        <v>4.01</v>
      </c>
      <c r="C88" s="4">
        <f>'CARTA DE CONTROL'!AO43</f>
        <v>0</v>
      </c>
      <c r="D88" s="6">
        <f>'CARTA DE CONTROL'!O43</f>
        <v>0.08</v>
      </c>
      <c r="E88" s="5" t="str">
        <f>IF(C88&lt;=0.08,IF(C88&gt;=-0.08,"PASS","NO PASS"))</f>
        <v>PASS</v>
      </c>
    </row>
    <row r="89" spans="2:5" ht="15.75" thickBot="1" x14ac:dyDescent="0.3">
      <c r="B89" s="3">
        <f>'CARTA DE CONTROL'!R44</f>
        <v>7.97</v>
      </c>
      <c r="C89" s="4">
        <f>'CARTA DE CONTROL'!AO44</f>
        <v>0</v>
      </c>
      <c r="D89" s="6">
        <f>'CARTA DE CONTROL'!O44</f>
        <v>0.16</v>
      </c>
      <c r="E89" s="5" t="str">
        <f>IF(C89&lt;=0.16,IF(C89&gt;=-0.16,"PASS","NO PASS"))</f>
        <v>PASS</v>
      </c>
    </row>
    <row r="90" spans="2:5" ht="15.75" thickBot="1" x14ac:dyDescent="0.3">
      <c r="B90" s="3">
        <f>'CARTA DE CONTROL'!R45</f>
        <v>0</v>
      </c>
      <c r="C90" s="4">
        <f>'CARTA DE CONTROL'!AO45</f>
        <v>0</v>
      </c>
      <c r="D90" s="6">
        <f>'CARTA DE CONTROL'!O45</f>
        <v>0.02</v>
      </c>
      <c r="E90" s="5" t="str">
        <f>IF(C90&lt;=0.02,IF(C90&gt;=-0.02,"PASS","NO PASS"))</f>
        <v>PASS</v>
      </c>
    </row>
    <row r="91" spans="2:5" ht="15.75" thickBot="1" x14ac:dyDescent="0.3">
      <c r="B91" s="3">
        <f>'CARTA DE CONTROL'!R58</f>
        <v>0.99399999999999999</v>
      </c>
      <c r="C91" s="4">
        <f>'CARTA DE CONTROL'!AO58</f>
        <v>0</v>
      </c>
      <c r="D91" s="6">
        <f>'CARTA DE CONTROL'!O58</f>
        <v>0.04</v>
      </c>
      <c r="E91" s="5" t="str">
        <f>IF(C91&lt;=0.04,IF(C91&gt;=-0.04,"PASS","NO PASS"))</f>
        <v>PASS</v>
      </c>
    </row>
    <row r="92" spans="2:5" ht="15.75" thickBot="1" x14ac:dyDescent="0.3">
      <c r="B92" s="3">
        <f>'CARTA DE CONTROL'!R59</f>
        <v>4.01</v>
      </c>
      <c r="C92" s="4">
        <f>'CARTA DE CONTROL'!AO59</f>
        <v>0</v>
      </c>
      <c r="D92" s="6">
        <f>'CARTA DE CONTROL'!O59</f>
        <v>0.08</v>
      </c>
      <c r="E92" s="5" t="str">
        <f>IF(C92&lt;=0.08,IF(C92&gt;=-0.08,"PASS","NO PASS"))</f>
        <v>PASS</v>
      </c>
    </row>
    <row r="93" spans="2:5" ht="15.75" thickBot="1" x14ac:dyDescent="0.3">
      <c r="B93" s="3">
        <f>'CARTA DE CONTROL'!R60</f>
        <v>7.97</v>
      </c>
      <c r="C93" s="4">
        <f>'CARTA DE CONTROL'!AO60</f>
        <v>0</v>
      </c>
      <c r="D93" s="6">
        <f>'CARTA DE CONTROL'!O60</f>
        <v>0.16</v>
      </c>
      <c r="E93" s="5" t="str">
        <f>IF(C93&lt;=0.16,IF(C93&gt;=-0.16,"PASS","NO PASS"))</f>
        <v>PASS</v>
      </c>
    </row>
    <row r="94" spans="2:5" ht="15.75" thickBot="1" x14ac:dyDescent="0.3">
      <c r="B94" s="3">
        <f>'CARTA DE CONTROL'!R61</f>
        <v>0</v>
      </c>
      <c r="C94" s="4">
        <f>'CARTA DE CONTROL'!AO61</f>
        <v>0</v>
      </c>
      <c r="D94" s="6">
        <f>'CARTA DE CONTROL'!O61</f>
        <v>0.02</v>
      </c>
      <c r="E94" s="5" t="str">
        <f>IF(C94&lt;=0.02,IF(C94&gt;=-0.02,"PASS","NO PASS"))</f>
        <v>PASS</v>
      </c>
    </row>
  </sheetData>
  <mergeCells count="54">
    <mergeCell ref="B37:D37"/>
    <mergeCell ref="F37:G37"/>
    <mergeCell ref="B85:E85"/>
    <mergeCell ref="B67:E67"/>
    <mergeCell ref="B34:D34"/>
    <mergeCell ref="F34:G34"/>
    <mergeCell ref="B35:D35"/>
    <mergeCell ref="F35:G35"/>
    <mergeCell ref="B36:D36"/>
    <mergeCell ref="F36:G36"/>
    <mergeCell ref="B31:D31"/>
    <mergeCell ref="F31:G31"/>
    <mergeCell ref="B32:D32"/>
    <mergeCell ref="F32:G32"/>
    <mergeCell ref="B33:D33"/>
    <mergeCell ref="F33:G33"/>
    <mergeCell ref="B27:D27"/>
    <mergeCell ref="F27:G27"/>
    <mergeCell ref="B28:D28"/>
    <mergeCell ref="F28:G28"/>
    <mergeCell ref="A30:G30"/>
    <mergeCell ref="B24:D24"/>
    <mergeCell ref="F24:G24"/>
    <mergeCell ref="B25:D25"/>
    <mergeCell ref="F25:G25"/>
    <mergeCell ref="B26:D26"/>
    <mergeCell ref="F26:G26"/>
    <mergeCell ref="B21:D21"/>
    <mergeCell ref="F21:G21"/>
    <mergeCell ref="B22:D22"/>
    <mergeCell ref="F22:G22"/>
    <mergeCell ref="B23:D23"/>
    <mergeCell ref="F23:G23"/>
    <mergeCell ref="B18:D18"/>
    <mergeCell ref="F18:G18"/>
    <mergeCell ref="B19:D19"/>
    <mergeCell ref="F19:G19"/>
    <mergeCell ref="B20:D20"/>
    <mergeCell ref="F20:G20"/>
    <mergeCell ref="C7:E7"/>
    <mergeCell ref="C8:E8"/>
    <mergeCell ref="C9:E9"/>
    <mergeCell ref="C10:E10"/>
    <mergeCell ref="A12:G12"/>
    <mergeCell ref="B16:D16"/>
    <mergeCell ref="F16:G16"/>
    <mergeCell ref="B17:D17"/>
    <mergeCell ref="B13:D13"/>
    <mergeCell ref="F13:G13"/>
    <mergeCell ref="B14:D14"/>
    <mergeCell ref="F14:G14"/>
    <mergeCell ref="B15:D15"/>
    <mergeCell ref="F15:G15"/>
    <mergeCell ref="F17:G17"/>
  </mergeCells>
  <conditionalFormatting sqref="E69:E72">
    <cfRule type="cellIs" dxfId="129" priority="21" operator="lessThan">
      <formula>$H$84</formula>
    </cfRule>
    <cfRule type="cellIs" dxfId="128" priority="22" operator="lessThan">
      <formula>0.05</formula>
    </cfRule>
  </conditionalFormatting>
  <conditionalFormatting sqref="G41:G48">
    <cfRule type="cellIs" dxfId="127" priority="81" operator="lessThan">
      <formula>$H$86</formula>
    </cfRule>
    <cfRule type="cellIs" dxfId="126" priority="82" operator="lessThan">
      <formula>0.05</formula>
    </cfRule>
  </conditionalFormatting>
  <conditionalFormatting sqref="E87:E88">
    <cfRule type="cellIs" dxfId="125" priority="7" operator="lessThan">
      <formula>$H$84</formula>
    </cfRule>
    <cfRule type="cellIs" dxfId="124" priority="8" operator="lessThan">
      <formula>0.05</formula>
    </cfRule>
  </conditionalFormatting>
  <conditionalFormatting sqref="E89:E90">
    <cfRule type="cellIs" dxfId="123" priority="5" operator="lessThan">
      <formula>$H$84</formula>
    </cfRule>
    <cfRule type="cellIs" dxfId="122" priority="6" operator="lessThan">
      <formula>0.05</formula>
    </cfRule>
  </conditionalFormatting>
  <conditionalFormatting sqref="E91:E92">
    <cfRule type="cellIs" dxfId="121" priority="3" operator="lessThan">
      <formula>$H$84</formula>
    </cfRule>
    <cfRule type="cellIs" dxfId="120" priority="4" operator="lessThan">
      <formula>0.05</formula>
    </cfRule>
  </conditionalFormatting>
  <conditionalFormatting sqref="E93:E94">
    <cfRule type="cellIs" dxfId="119" priority="1" operator="lessThan">
      <formula>$H$84</formula>
    </cfRule>
    <cfRule type="cellIs" dxfId="118" priority="2" operator="lessThan">
      <formula>0.05</formula>
    </cfRule>
  </conditionalFormatting>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opLeftCell="C1" zoomScale="115" zoomScaleNormal="115" workbookViewId="0">
      <selection activeCell="D85" sqref="D85"/>
    </sheetView>
  </sheetViews>
  <sheetFormatPr baseColWidth="10" defaultRowHeight="15" x14ac:dyDescent="0.25"/>
  <cols>
    <col min="2" max="2" width="16.5703125" customWidth="1"/>
    <col min="3" max="3" width="22.85546875" customWidth="1"/>
    <col min="4" max="4" width="21.7109375" customWidth="1"/>
    <col min="5" max="5" width="21" customWidth="1"/>
    <col min="6" max="6" width="22.7109375" customWidth="1"/>
    <col min="9" max="9" width="13.2851562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f>
        <v>ANALIZADOR DE GASES 2 TIEMPOS</v>
      </c>
      <c r="D7" s="659"/>
      <c r="E7" s="660"/>
    </row>
    <row r="8" spans="1:11" x14ac:dyDescent="0.25">
      <c r="B8" s="241" t="s">
        <v>176</v>
      </c>
      <c r="C8" s="658" t="str">
        <f>'CARTA DE CONTROL'!D10</f>
        <v>ACTIA</v>
      </c>
      <c r="D8" s="659"/>
      <c r="E8" s="660"/>
    </row>
    <row r="9" spans="1:11" x14ac:dyDescent="0.25">
      <c r="B9" s="241" t="s">
        <v>177</v>
      </c>
      <c r="C9" s="658" t="str">
        <f>'CARTA DE CONTROL'!E10</f>
        <v>AT505</v>
      </c>
      <c r="D9" s="659"/>
      <c r="E9" s="660"/>
    </row>
    <row r="10" spans="1:11" x14ac:dyDescent="0.25">
      <c r="B10" s="241" t="s">
        <v>178</v>
      </c>
      <c r="C10" s="661" t="str">
        <f>'CARTA DE CONTROL'!F10:F41</f>
        <v>021/18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9" s="1" customFormat="1" ht="25.5" customHeight="1" x14ac:dyDescent="0.2">
      <c r="A33" s="226">
        <v>2</v>
      </c>
      <c r="B33" s="675" t="s">
        <v>169</v>
      </c>
      <c r="C33" s="675"/>
      <c r="D33" s="675"/>
      <c r="E33" s="209" t="s">
        <v>168</v>
      </c>
      <c r="F33" s="676"/>
      <c r="G33" s="677"/>
    </row>
    <row r="34" spans="1:9" s="1" customFormat="1" ht="25.5" customHeight="1" x14ac:dyDescent="0.2">
      <c r="A34" s="226">
        <v>3</v>
      </c>
      <c r="B34" s="675" t="s">
        <v>170</v>
      </c>
      <c r="C34" s="675"/>
      <c r="D34" s="675"/>
      <c r="E34" s="209" t="s">
        <v>168</v>
      </c>
      <c r="F34" s="676"/>
      <c r="G34" s="677"/>
    </row>
    <row r="35" spans="1:9" s="1" customFormat="1" ht="25.5" customHeight="1" x14ac:dyDescent="0.2">
      <c r="A35" s="226">
        <v>4</v>
      </c>
      <c r="B35" s="675" t="s">
        <v>171</v>
      </c>
      <c r="C35" s="675"/>
      <c r="D35" s="675"/>
      <c r="E35" s="209" t="s">
        <v>172</v>
      </c>
      <c r="F35" s="676"/>
      <c r="G35" s="677"/>
    </row>
    <row r="36" spans="1:9" s="1" customFormat="1" ht="25.5" customHeight="1" x14ac:dyDescent="0.2">
      <c r="A36" s="226">
        <v>5</v>
      </c>
      <c r="B36" s="675" t="s">
        <v>173</v>
      </c>
      <c r="C36" s="675"/>
      <c r="D36" s="675"/>
      <c r="E36" s="209" t="s">
        <v>172</v>
      </c>
      <c r="F36" s="684"/>
      <c r="G36" s="685"/>
    </row>
    <row r="37" spans="1:9" s="1" customFormat="1" ht="25.5" customHeight="1" thickBot="1" x14ac:dyDescent="0.25">
      <c r="A37" s="227">
        <v>6</v>
      </c>
      <c r="B37" s="678" t="s">
        <v>174</v>
      </c>
      <c r="C37" s="678"/>
      <c r="D37" s="678"/>
      <c r="E37" s="228" t="s">
        <v>172</v>
      </c>
      <c r="F37" s="679"/>
      <c r="G37" s="680"/>
    </row>
    <row r="38" spans="1:9" ht="15.75" thickBot="1" x14ac:dyDescent="0.3"/>
    <row r="39" spans="1:9" ht="79.5" thickBot="1" x14ac:dyDescent="0.3">
      <c r="B39" s="2" t="s">
        <v>41</v>
      </c>
      <c r="C39" s="11" t="s">
        <v>100</v>
      </c>
      <c r="D39" s="11" t="s">
        <v>101</v>
      </c>
      <c r="E39" s="2" t="s">
        <v>102</v>
      </c>
      <c r="F39" s="2" t="s">
        <v>103</v>
      </c>
      <c r="G39" s="21" t="s">
        <v>104</v>
      </c>
    </row>
    <row r="40" spans="1:9" ht="15.75" thickBot="1" x14ac:dyDescent="0.3">
      <c r="B40" s="3">
        <f>'CARTA DE CONTROL'!Q22</f>
        <v>0</v>
      </c>
      <c r="C40" s="4">
        <f>'CARTA DE CONTROL'!AR22</f>
        <v>0</v>
      </c>
      <c r="D40" s="4">
        <f>'CARTA DE CONTROL'!AS22</f>
        <v>0</v>
      </c>
      <c r="E40" s="6">
        <f>'CARTA DE CONTROL'!I22</f>
        <v>0.5</v>
      </c>
      <c r="F40" s="7">
        <f>-('CARTA DE CONTROL'!I22)</f>
        <v>-0.5</v>
      </c>
      <c r="G40" s="5" t="str">
        <f>IF(C40&lt;=0.5,IF(D40&gt;=-0.5,"PASS","NO PASS"))</f>
        <v>PASS</v>
      </c>
    </row>
    <row r="41" spans="1:9" ht="15.75" thickBot="1" x14ac:dyDescent="0.3">
      <c r="B41" s="3" t="str">
        <f>'CARTA DE CONTROL'!Q25</f>
        <v>-</v>
      </c>
      <c r="C41" s="4">
        <f>'CARTA DE CONTROL'!AR25</f>
        <v>0</v>
      </c>
      <c r="D41" s="4">
        <f>'CARTA DE CONTROL'!AS25</f>
        <v>0</v>
      </c>
      <c r="E41" s="6">
        <f>'CARTA DE CONTROL'!I25</f>
        <v>0.5</v>
      </c>
      <c r="F41" s="7">
        <f>-('CARTA DE CONTROL'!I25)</f>
        <v>-0.5</v>
      </c>
      <c r="G41" s="5" t="str">
        <f>IF(C41&lt;=1,IF(D41&gt;=-1,"PASS","NO PASS"))</f>
        <v>PASS</v>
      </c>
    </row>
    <row r="42" spans="1:9" ht="15.75" thickBot="1" x14ac:dyDescent="0.3">
      <c r="B42" s="3">
        <f>'CARTA DE CONTROL'!Q38</f>
        <v>0.03</v>
      </c>
      <c r="C42" s="4">
        <f>'CARTA DE CONTROL'!AR38</f>
        <v>0</v>
      </c>
      <c r="D42" s="4">
        <f>'CARTA DE CONTROL'!AS38</f>
        <v>0</v>
      </c>
      <c r="E42" s="6">
        <f>'CARTA DE CONTROL'!I38</f>
        <v>0.5</v>
      </c>
      <c r="F42" s="7">
        <f>-('CARTA DE CONTROL'!I38)</f>
        <v>-0.5</v>
      </c>
      <c r="G42" s="5" t="str">
        <f>IF(C42&lt;=0.5,IF(D42&gt;=-0.5,"PASS","NO PASS"))</f>
        <v>PASS</v>
      </c>
    </row>
    <row r="43" spans="1:9" ht="15.75" thickBot="1" x14ac:dyDescent="0.3">
      <c r="B43" s="3">
        <f>'CARTA DE CONTROL'!Q41</f>
        <v>20.9</v>
      </c>
      <c r="C43" s="4">
        <f>'CARTA DE CONTROL'!AR41</f>
        <v>0.28000000000000003</v>
      </c>
      <c r="D43" s="4">
        <f>'CARTA DE CONTROL'!AS41</f>
        <v>-0.28000000000000003</v>
      </c>
      <c r="E43" s="6">
        <f>'CARTA DE CONTROL'!I41</f>
        <v>1</v>
      </c>
      <c r="F43" s="7">
        <f>-('CARTA DE CONTROL'!I41)</f>
        <v>-1</v>
      </c>
      <c r="G43" s="5" t="str">
        <f>IF(C43&lt;=1,IF(D43&gt;=-1,"PASS","NO PASS"))</f>
        <v>PASS</v>
      </c>
    </row>
    <row r="44" spans="1:9" x14ac:dyDescent="0.25">
      <c r="B44" s="1"/>
      <c r="C44" s="1"/>
      <c r="D44" s="1"/>
      <c r="E44" s="1"/>
      <c r="F44" s="1"/>
      <c r="G44" s="1"/>
      <c r="H44" s="1"/>
      <c r="I44" s="1"/>
    </row>
    <row r="45" spans="1:9" x14ac:dyDescent="0.25">
      <c r="B45" s="1"/>
      <c r="C45" s="1"/>
      <c r="D45" s="1"/>
      <c r="E45" s="1"/>
    </row>
    <row r="46" spans="1:9" x14ac:dyDescent="0.25">
      <c r="B46" s="1"/>
      <c r="C46" s="1"/>
      <c r="D46" s="1"/>
      <c r="E46" s="1"/>
    </row>
    <row r="47" spans="1:9" x14ac:dyDescent="0.25">
      <c r="B47" s="1"/>
      <c r="C47" s="1"/>
      <c r="D47" s="1"/>
      <c r="E47" s="1"/>
    </row>
    <row r="48" spans="1: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62" spans="2:9" ht="15.75" thickBot="1" x14ac:dyDescent="0.3"/>
    <row r="63" spans="2:9" ht="15.75" thickBot="1" x14ac:dyDescent="0.3">
      <c r="C63" s="681" t="s">
        <v>90</v>
      </c>
      <c r="D63" s="682"/>
      <c r="E63" s="682"/>
      <c r="F63" s="683"/>
    </row>
    <row r="64" spans="2:9" ht="45.75" thickBot="1" x14ac:dyDescent="0.3">
      <c r="C64" s="2" t="s">
        <v>41</v>
      </c>
      <c r="D64" s="10" t="s">
        <v>91</v>
      </c>
      <c r="E64" s="2" t="s">
        <v>92</v>
      </c>
      <c r="F64" s="21" t="s">
        <v>93</v>
      </c>
    </row>
    <row r="65" spans="3:6" ht="15.75" thickBot="1" x14ac:dyDescent="0.3">
      <c r="C65" s="3">
        <f>'CARTA DE CONTROL'!Q22</f>
        <v>0</v>
      </c>
      <c r="D65" s="4">
        <f>'CARTA DE CONTROL'!AN22</f>
        <v>0</v>
      </c>
      <c r="E65" s="6">
        <f>'CARTA DE CONTROL'!M22</f>
        <v>0.3</v>
      </c>
      <c r="F65" s="5" t="str">
        <f>IF(D65&lt;=0.3,IF(D65&gt;=-0.3,"PASS","NO PASS"))</f>
        <v>PASS</v>
      </c>
    </row>
    <row r="66" spans="3:6" ht="15.75" thickBot="1" x14ac:dyDescent="0.3">
      <c r="C66" s="3" t="str">
        <f>'CARTA DE CONTROL'!Q25</f>
        <v>-</v>
      </c>
      <c r="D66" s="4">
        <f>'CARTA DE CONTROL'!AN25</f>
        <v>0</v>
      </c>
      <c r="E66" s="6">
        <f>'CARTA DE CONTROL'!M25</f>
        <v>0.3</v>
      </c>
      <c r="F66" s="5" t="str">
        <f>IF(D66&lt;=0.6,IF(D66&gt;=-0.6,"PASS","NO PASS"))</f>
        <v>PASS</v>
      </c>
    </row>
    <row r="67" spans="3:6" ht="15.75" thickBot="1" x14ac:dyDescent="0.3">
      <c r="C67" s="3">
        <f>'CARTA DE CONTROL'!Q38</f>
        <v>0.03</v>
      </c>
      <c r="D67" s="4">
        <f>'CARTA DE CONTROL'!AN38</f>
        <v>0</v>
      </c>
      <c r="E67" s="6">
        <f>'CARTA DE CONTROL'!M38</f>
        <v>0.3</v>
      </c>
      <c r="F67" s="5" t="str">
        <f>IF(D67&lt;=0.3,IF(D67&gt;=-0.3,"PASS","NO PASS"))</f>
        <v>PASS</v>
      </c>
    </row>
    <row r="68" spans="3:6" ht="15.75" thickBot="1" x14ac:dyDescent="0.3">
      <c r="C68" s="3">
        <f>'CARTA DE CONTROL'!Q41</f>
        <v>20.9</v>
      </c>
      <c r="D68" s="4">
        <f>'CARTA DE CONTROL'!AN41</f>
        <v>0.02</v>
      </c>
      <c r="E68" s="6">
        <f>'CARTA DE CONTROL'!M41</f>
        <v>0.6</v>
      </c>
      <c r="F68" s="5" t="str">
        <f>IF(D68&lt;=0.6,IF(D68&gt;=-0.6,"PASS","NO PASS"))</f>
        <v>PASS</v>
      </c>
    </row>
    <row r="81" spans="3:6" ht="15.75" thickBot="1" x14ac:dyDescent="0.3"/>
    <row r="82" spans="3:6" ht="15.75" thickBot="1" x14ac:dyDescent="0.3">
      <c r="C82" s="237" t="s">
        <v>94</v>
      </c>
      <c r="D82" s="238"/>
      <c r="E82" s="238"/>
      <c r="F82" s="239"/>
    </row>
    <row r="83" spans="3:6" ht="45.75" thickBot="1" x14ac:dyDescent="0.3">
      <c r="C83" s="2" t="s">
        <v>41</v>
      </c>
      <c r="D83" s="10" t="s">
        <v>95</v>
      </c>
      <c r="E83" s="2" t="s">
        <v>133</v>
      </c>
      <c r="F83" s="21" t="s">
        <v>93</v>
      </c>
    </row>
    <row r="84" spans="3:6" ht="15.75" thickBot="1" x14ac:dyDescent="0.3">
      <c r="C84" s="3">
        <f>'CARTA DE CONTROL'!Q22</f>
        <v>0</v>
      </c>
      <c r="D84" s="4">
        <f>'CARTA DE CONTROL'!AO22</f>
        <v>0</v>
      </c>
      <c r="E84" s="6">
        <f>'CARTA DE CONTROL'!O22</f>
        <v>0.4</v>
      </c>
      <c r="F84" s="5" t="str">
        <f>IF(D84&lt;=0.4,IF(D84&gt;=-0.4,"PASS","NO PASS"))</f>
        <v>PASS</v>
      </c>
    </row>
    <row r="85" spans="3:6" ht="15.75" thickBot="1" x14ac:dyDescent="0.3">
      <c r="C85" s="3" t="str">
        <f>'CARTA DE CONTROL'!Q25</f>
        <v>-</v>
      </c>
      <c r="D85" s="4">
        <f>'CARTA DE CONTROL'!AO25</f>
        <v>0</v>
      </c>
      <c r="E85" s="6">
        <f>'CARTA DE CONTROL'!O25</f>
        <v>0.4</v>
      </c>
      <c r="F85" s="5" t="str">
        <f>IF(D85&lt;=1,IF(D85&gt;=-1,"PASS","NO PASS"))</f>
        <v>PASS</v>
      </c>
    </row>
    <row r="86" spans="3:6" ht="15.75" thickBot="1" x14ac:dyDescent="0.3">
      <c r="C86" s="3">
        <f>'CARTA DE CONTROL'!Q38</f>
        <v>0.03</v>
      </c>
      <c r="D86" s="4">
        <f>'CARTA DE CONTROL'!AO38</f>
        <v>0</v>
      </c>
      <c r="E86" s="6">
        <f>'CARTA DE CONTROL'!O38</f>
        <v>0.4</v>
      </c>
      <c r="F86" s="5" t="str">
        <f>IF(D86&lt;=0.4,IF(D86&gt;=-0.4,"PASS","NO PASS"))</f>
        <v>PASS</v>
      </c>
    </row>
    <row r="87" spans="3:6" ht="15.75" thickBot="1" x14ac:dyDescent="0.3">
      <c r="C87" s="3">
        <f>'CARTA DE CONTROL'!Q41</f>
        <v>20.9</v>
      </c>
      <c r="D87" s="4">
        <f>'CARTA DE CONTROL'!AO41</f>
        <v>0</v>
      </c>
      <c r="E87" s="6">
        <f>'CARTA DE CONTROL'!O41</f>
        <v>1</v>
      </c>
      <c r="F87" s="5" t="str">
        <f>IF(D87&lt;=1,IF(D87&gt;=-1,"PASS","NO PASS"))</f>
        <v>PASS</v>
      </c>
    </row>
  </sheetData>
  <mergeCells count="53">
    <mergeCell ref="B37:D37"/>
    <mergeCell ref="F37:G37"/>
    <mergeCell ref="B33:D33"/>
    <mergeCell ref="F33:G33"/>
    <mergeCell ref="B34:D34"/>
    <mergeCell ref="F34:G34"/>
    <mergeCell ref="B35:D35"/>
    <mergeCell ref="F35:G35"/>
    <mergeCell ref="B31:D31"/>
    <mergeCell ref="F31:G31"/>
    <mergeCell ref="B32:D32"/>
    <mergeCell ref="F32:G32"/>
    <mergeCell ref="B36:D36"/>
    <mergeCell ref="F36:G36"/>
    <mergeCell ref="B27:D27"/>
    <mergeCell ref="F27:G27"/>
    <mergeCell ref="B28:D28"/>
    <mergeCell ref="F28:G28"/>
    <mergeCell ref="A30:G30"/>
    <mergeCell ref="B24:D24"/>
    <mergeCell ref="F24:G24"/>
    <mergeCell ref="B25:D25"/>
    <mergeCell ref="F25:G25"/>
    <mergeCell ref="B26:D26"/>
    <mergeCell ref="F26:G26"/>
    <mergeCell ref="B21:D21"/>
    <mergeCell ref="F21:G21"/>
    <mergeCell ref="B22:D22"/>
    <mergeCell ref="F22:G22"/>
    <mergeCell ref="B23:D23"/>
    <mergeCell ref="F23:G23"/>
    <mergeCell ref="B18:D18"/>
    <mergeCell ref="F18:G18"/>
    <mergeCell ref="B19:D19"/>
    <mergeCell ref="F19:G19"/>
    <mergeCell ref="B20:D20"/>
    <mergeCell ref="F20:G20"/>
    <mergeCell ref="C63:F63"/>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s>
  <conditionalFormatting sqref="F84 F65:F68">
    <cfRule type="cellIs" dxfId="10" priority="13" operator="lessThan">
      <formula>$I$85</formula>
    </cfRule>
    <cfRule type="cellIs" dxfId="9" priority="14" operator="lessThan">
      <formula>0.05</formula>
    </cfRule>
  </conditionalFormatting>
  <conditionalFormatting sqref="F85">
    <cfRule type="cellIs" dxfId="8" priority="5" operator="lessThan">
      <formula>$I$85</formula>
    </cfRule>
    <cfRule type="cellIs" dxfId="7" priority="6" operator="lessThan">
      <formula>0.05</formula>
    </cfRule>
  </conditionalFormatting>
  <conditionalFormatting sqref="G40:G43">
    <cfRule type="cellIs" dxfId="6" priority="66" operator="lessThan">
      <formula>$G$82</formula>
    </cfRule>
    <cfRule type="cellIs" dxfId="5" priority="67" operator="lessThan">
      <formula>0.05</formula>
    </cfRule>
  </conditionalFormatting>
  <conditionalFormatting sqref="G40:G43">
    <cfRule type="cellIs" dxfId="4" priority="68" operator="between">
      <formula>$G$82</formula>
      <formula>$H$82</formula>
    </cfRule>
  </conditionalFormatting>
  <conditionalFormatting sqref="F86">
    <cfRule type="cellIs" dxfId="3" priority="3" operator="lessThan">
      <formula>$I$85</formula>
    </cfRule>
    <cfRule type="cellIs" dxfId="2" priority="4" operator="lessThan">
      <formula>0.05</formula>
    </cfRule>
  </conditionalFormatting>
  <conditionalFormatting sqref="F87">
    <cfRule type="cellIs" dxfId="1" priority="1" operator="lessThan">
      <formula>$I$85</formula>
    </cfRule>
    <cfRule type="cellIs" dxfId="0" priority="2" operator="lessThan">
      <formula>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38" zoomScaleNormal="100" workbookViewId="0">
      <selection activeCell="F90" sqref="F90"/>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8" max="8" width="12.71093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CONTROL'!B42</f>
        <v>GASES 4 TIEMPOS</v>
      </c>
      <c r="D7" s="659"/>
      <c r="E7" s="660"/>
    </row>
    <row r="8" spans="1:11" x14ac:dyDescent="0.25">
      <c r="B8" s="241" t="s">
        <v>176</v>
      </c>
      <c r="C8" s="658" t="str">
        <f>'CARTA DE CONTROL'!D42</f>
        <v>ACTIA</v>
      </c>
      <c r="D8" s="659"/>
      <c r="E8" s="660"/>
    </row>
    <row r="9" spans="1:11" x14ac:dyDescent="0.25">
      <c r="B9" s="241" t="s">
        <v>177</v>
      </c>
      <c r="C9" s="658" t="str">
        <f>'CARTA DE CONTROL'!E42</f>
        <v>AT505</v>
      </c>
      <c r="D9" s="659"/>
      <c r="E9" s="660"/>
    </row>
    <row r="10" spans="1:11" x14ac:dyDescent="0.25">
      <c r="B10" s="241" t="s">
        <v>178</v>
      </c>
      <c r="C10" s="661" t="str">
        <f>'CARTA DE CONTROL'!F42</f>
        <v>026/18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0" t="s">
        <v>148</v>
      </c>
      <c r="F13" s="654" t="s">
        <v>149</v>
      </c>
      <c r="G13" s="655"/>
      <c r="H13" s="215"/>
      <c r="I13" s="215"/>
      <c r="J13" s="215"/>
      <c r="K13" s="215"/>
    </row>
    <row r="14" spans="1:11" s="1" customFormat="1" ht="35.25" customHeight="1" x14ac:dyDescent="0.2">
      <c r="A14" s="218">
        <v>1</v>
      </c>
      <c r="B14" s="648" t="s">
        <v>150</v>
      </c>
      <c r="C14" s="648"/>
      <c r="D14" s="648"/>
      <c r="E14" s="201" t="s">
        <v>151</v>
      </c>
      <c r="F14" s="649"/>
      <c r="G14" s="650"/>
      <c r="H14" s="216"/>
      <c r="I14" s="216"/>
      <c r="J14" s="216"/>
      <c r="K14" s="216"/>
    </row>
    <row r="15" spans="1:11" s="1" customFormat="1" ht="35.25" customHeight="1" x14ac:dyDescent="0.2">
      <c r="A15" s="218">
        <v>2</v>
      </c>
      <c r="B15" s="648" t="s">
        <v>152</v>
      </c>
      <c r="C15" s="648"/>
      <c r="D15" s="648"/>
      <c r="E15" s="201" t="s">
        <v>151</v>
      </c>
      <c r="F15" s="649"/>
      <c r="G15" s="650"/>
    </row>
    <row r="16" spans="1:11" s="1" customFormat="1" ht="35.25" customHeight="1" x14ac:dyDescent="0.2">
      <c r="A16" s="218">
        <v>3</v>
      </c>
      <c r="B16" s="648" t="s">
        <v>153</v>
      </c>
      <c r="C16" s="648"/>
      <c r="D16" s="648"/>
      <c r="E16" s="201" t="s">
        <v>151</v>
      </c>
      <c r="F16" s="649"/>
      <c r="G16" s="650"/>
    </row>
    <row r="17" spans="1:11" s="1" customFormat="1" ht="35.25" customHeight="1" x14ac:dyDescent="0.2">
      <c r="A17" s="218">
        <v>4</v>
      </c>
      <c r="B17" s="648" t="s">
        <v>154</v>
      </c>
      <c r="C17" s="648"/>
      <c r="D17" s="648"/>
      <c r="E17" s="201" t="s">
        <v>151</v>
      </c>
      <c r="F17" s="656"/>
      <c r="G17" s="657"/>
    </row>
    <row r="18" spans="1:11" s="1" customFormat="1" ht="35.25" customHeight="1" x14ac:dyDescent="0.2">
      <c r="A18" s="218">
        <v>5</v>
      </c>
      <c r="B18" s="648" t="s">
        <v>155</v>
      </c>
      <c r="C18" s="648"/>
      <c r="D18" s="648"/>
      <c r="E18" s="201" t="s">
        <v>151</v>
      </c>
      <c r="F18" s="649"/>
      <c r="G18" s="650"/>
    </row>
    <row r="19" spans="1:11" s="1" customFormat="1" ht="35.25" customHeight="1" x14ac:dyDescent="0.2">
      <c r="A19" s="218">
        <v>6</v>
      </c>
      <c r="B19" s="648" t="s">
        <v>156</v>
      </c>
      <c r="C19" s="648"/>
      <c r="D19" s="648"/>
      <c r="E19" s="201" t="s">
        <v>151</v>
      </c>
      <c r="F19" s="649"/>
      <c r="G19" s="650"/>
    </row>
    <row r="20" spans="1:11" s="1" customFormat="1" ht="35.25" customHeight="1" x14ac:dyDescent="0.2">
      <c r="A20" s="218">
        <v>7</v>
      </c>
      <c r="B20" s="648" t="s">
        <v>157</v>
      </c>
      <c r="C20" s="648"/>
      <c r="D20" s="648"/>
      <c r="E20" s="201" t="s">
        <v>151</v>
      </c>
      <c r="F20" s="649"/>
      <c r="G20" s="650"/>
    </row>
    <row r="21" spans="1:11" s="1" customFormat="1" ht="35.25" customHeight="1" x14ac:dyDescent="0.2">
      <c r="A21" s="218">
        <v>8</v>
      </c>
      <c r="B21" s="648" t="s">
        <v>158</v>
      </c>
      <c r="C21" s="648"/>
      <c r="D21" s="648"/>
      <c r="E21" s="201" t="s">
        <v>151</v>
      </c>
      <c r="F21" s="649"/>
      <c r="G21" s="650"/>
    </row>
    <row r="22" spans="1:11" s="1" customFormat="1" ht="35.25" customHeight="1" x14ac:dyDescent="0.2">
      <c r="A22" s="218">
        <v>9</v>
      </c>
      <c r="B22" s="648" t="s">
        <v>159</v>
      </c>
      <c r="C22" s="648"/>
      <c r="D22" s="648"/>
      <c r="E22" s="201" t="s">
        <v>151</v>
      </c>
      <c r="F22" s="649"/>
      <c r="G22" s="650"/>
    </row>
    <row r="23" spans="1:11" s="1" customFormat="1" ht="35.25" customHeight="1" x14ac:dyDescent="0.2">
      <c r="A23" s="218">
        <v>10</v>
      </c>
      <c r="B23" s="648" t="s">
        <v>160</v>
      </c>
      <c r="C23" s="648"/>
      <c r="D23" s="648"/>
      <c r="E23" s="201" t="s">
        <v>151</v>
      </c>
      <c r="F23" s="649"/>
      <c r="G23" s="650"/>
    </row>
    <row r="24" spans="1:11" s="1" customFormat="1" ht="35.25" customHeight="1" x14ac:dyDescent="0.2">
      <c r="A24" s="218">
        <v>11</v>
      </c>
      <c r="B24" s="648" t="s">
        <v>161</v>
      </c>
      <c r="C24" s="648"/>
      <c r="D24" s="648"/>
      <c r="E24" s="201"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1" t="s">
        <v>151</v>
      </c>
      <c r="F26" s="649"/>
      <c r="G26" s="650"/>
    </row>
    <row r="27" spans="1:11" s="1" customFormat="1" ht="35.25" customHeight="1" x14ac:dyDescent="0.2">
      <c r="A27" s="218">
        <v>14</v>
      </c>
      <c r="B27" s="648" t="s">
        <v>164</v>
      </c>
      <c r="C27" s="648"/>
      <c r="D27" s="648"/>
      <c r="E27" s="201" t="s">
        <v>151</v>
      </c>
      <c r="F27" s="649"/>
      <c r="G27" s="650"/>
    </row>
    <row r="28" spans="1:11" s="1" customFormat="1" ht="54.75" customHeight="1" thickBot="1" x14ac:dyDescent="0.25">
      <c r="A28" s="220">
        <v>15</v>
      </c>
      <c r="B28" s="667" t="s">
        <v>165</v>
      </c>
      <c r="C28" s="667"/>
      <c r="D28" s="667"/>
      <c r="E28" s="221"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9" spans="1:7" ht="15.75" thickBot="1" x14ac:dyDescent="0.3"/>
    <row r="40" spans="1:7" ht="79.5" thickBot="1" x14ac:dyDescent="0.3">
      <c r="B40" s="2" t="s">
        <v>41</v>
      </c>
      <c r="C40" s="11" t="s">
        <v>100</v>
      </c>
      <c r="D40" s="11" t="s">
        <v>101</v>
      </c>
      <c r="E40" s="2" t="s">
        <v>102</v>
      </c>
      <c r="F40" s="2" t="s">
        <v>103</v>
      </c>
      <c r="G40" s="21" t="s">
        <v>104</v>
      </c>
    </row>
    <row r="41" spans="1:7" ht="15.75" thickBot="1" x14ac:dyDescent="0.3">
      <c r="B41" s="3">
        <f>'CARTA DE CONTROL'!R46</f>
        <v>5.98</v>
      </c>
      <c r="C41" s="4">
        <f>'CARTA DE CONTROL'!AR46</f>
        <v>0.16999999999999982</v>
      </c>
      <c r="D41" s="4">
        <f>'CARTA DE CONTROL'!AT46</f>
        <v>0.16999999999999982</v>
      </c>
      <c r="E41" s="6">
        <f>'CARTA DE CONTROL'!I46</f>
        <v>0.4</v>
      </c>
      <c r="F41" s="7">
        <f>-('CARTA DE CONTROL'!I46)</f>
        <v>-0.4</v>
      </c>
      <c r="G41" s="5" t="str">
        <f>IF(C41&lt;=0.4,IF(D41&gt;=-0.4,"PASS","NO PASS"))</f>
        <v>PASS</v>
      </c>
    </row>
    <row r="42" spans="1:7" ht="15.75" thickBot="1" x14ac:dyDescent="0.3">
      <c r="B42" s="3">
        <f>'CARTA DE CONTROL'!R47</f>
        <v>10.5</v>
      </c>
      <c r="C42" s="4">
        <f>'CARTA DE CONTROL'!AR47</f>
        <v>0.29999999999999966</v>
      </c>
      <c r="D42" s="4">
        <f>'CARTA DE CONTROL'!AT47</f>
        <v>0.29999999999999966</v>
      </c>
      <c r="E42" s="6">
        <f>'CARTA DE CONTROL'!I47</f>
        <v>0.8</v>
      </c>
      <c r="F42" s="7">
        <f>-('CARTA DE CONTROL'!I47)</f>
        <v>-0.8</v>
      </c>
      <c r="G42" s="5" t="str">
        <f t="shared" ref="G42:G44" si="0">IF(C42&lt;=0.4,IF(D42&gt;=-0.4,"PASS","NO PASS"))</f>
        <v>PASS</v>
      </c>
    </row>
    <row r="43" spans="1:7" ht="15.75" thickBot="1" x14ac:dyDescent="0.3">
      <c r="B43" s="3">
        <f>'CARTA DE CONTROL'!R48</f>
        <v>13.02</v>
      </c>
      <c r="C43" s="4">
        <f>'CARTA DE CONTROL'!AR48</f>
        <v>0.15</v>
      </c>
      <c r="D43" s="4">
        <f>'CARTA DE CONTROL'!AT48</f>
        <v>0.15</v>
      </c>
      <c r="E43" s="6">
        <f>'CARTA DE CONTROL'!I48</f>
        <v>0.8</v>
      </c>
      <c r="F43" s="7">
        <f>-('CARTA DE CONTROL'!I48)</f>
        <v>-0.8</v>
      </c>
      <c r="G43" s="5" t="str">
        <f t="shared" si="0"/>
        <v>PASS</v>
      </c>
    </row>
    <row r="44" spans="1:7" ht="15.75" thickBot="1" x14ac:dyDescent="0.3">
      <c r="B44" s="3">
        <f>'CARTA DE CONTROL'!R49</f>
        <v>0</v>
      </c>
      <c r="C44" s="4">
        <f>'CARTA DE CONTROL'!AR49</f>
        <v>5.8000000000000003E-2</v>
      </c>
      <c r="D44" s="4">
        <f>'CARTA DE CONTROL'!AT49</f>
        <v>5.8000000000000003E-2</v>
      </c>
      <c r="E44" s="6">
        <f>'CARTA DE CONTROL'!I49</f>
        <v>0.1</v>
      </c>
      <c r="F44" s="7">
        <f>-('CARTA DE CONTROL'!I49)</f>
        <v>-0.1</v>
      </c>
      <c r="G44" s="5" t="str">
        <f t="shared" si="0"/>
        <v>PASS</v>
      </c>
    </row>
    <row r="45" spans="1:7" ht="15.75" thickBot="1" x14ac:dyDescent="0.3">
      <c r="B45" s="3">
        <f>'CARTA DE CONTROL'!R62</f>
        <v>5.98</v>
      </c>
      <c r="C45" s="4">
        <f>'CARTA DE CONTROL'!AR62</f>
        <v>0.12</v>
      </c>
      <c r="D45" s="4">
        <f>'CARTA DE CONTROL'!AT62</f>
        <v>0.12</v>
      </c>
      <c r="E45" s="6">
        <f>'CARTA DE CONTROL'!I62</f>
        <v>0.4</v>
      </c>
      <c r="F45" s="7">
        <f>-('CARTA DE CONTROL'!I62)</f>
        <v>-0.4</v>
      </c>
      <c r="G45" s="5" t="str">
        <f t="shared" ref="G45" si="1">IF(C45&lt;=0.4,IF(D45&gt;=-0.4,"PASS","NO PASS"))</f>
        <v>PASS</v>
      </c>
    </row>
    <row r="46" spans="1:7" ht="15.75" thickBot="1" x14ac:dyDescent="0.3">
      <c r="B46" s="3">
        <f>'CARTA DE CONTROL'!R63</f>
        <v>10.5</v>
      </c>
      <c r="C46" s="4">
        <f>'CARTA DE CONTROL'!AR63</f>
        <v>0.2</v>
      </c>
      <c r="D46" s="4">
        <f>'CARTA DE CONTROL'!AT63</f>
        <v>0.2</v>
      </c>
      <c r="E46" s="6">
        <f>'CARTA DE CONTROL'!I63</f>
        <v>0.8</v>
      </c>
      <c r="F46" s="7">
        <f>-('CARTA DE CONTROL'!I63)</f>
        <v>-0.8</v>
      </c>
      <c r="G46" s="5" t="str">
        <f>IF(C46&lt;=0.8,IF(D46&gt;=-0.8,"PASS","NO PASS"))</f>
        <v>PASS</v>
      </c>
    </row>
    <row r="47" spans="1:7" ht="15.75" thickBot="1" x14ac:dyDescent="0.3">
      <c r="B47" s="3">
        <f>'CARTA DE CONTROL'!R64</f>
        <v>13.02</v>
      </c>
      <c r="C47" s="4">
        <f>'CARTA DE CONTROL'!AR64</f>
        <v>0.15</v>
      </c>
      <c r="D47" s="4">
        <f>'CARTA DE CONTROL'!AT64</f>
        <v>0.15</v>
      </c>
      <c r="E47" s="6">
        <f>'CARTA DE CONTROL'!I64</f>
        <v>0.8</v>
      </c>
      <c r="F47" s="7">
        <f>-('CARTA DE CONTROL'!I64)</f>
        <v>-0.8</v>
      </c>
      <c r="G47" s="5" t="str">
        <f>IF(C47&lt;=0.4,IF(D47&gt;=-0.4,"PASS","NO PASS"))</f>
        <v>PASS</v>
      </c>
    </row>
    <row r="48" spans="1:7" ht="15.75" thickBot="1" x14ac:dyDescent="0.3">
      <c r="B48" s="3">
        <f>'CARTA DE CONTROL'!R65</f>
        <v>0</v>
      </c>
      <c r="C48" s="4">
        <f>'CARTA DE CONTROL'!AR65</f>
        <v>5.8000000000000003E-2</v>
      </c>
      <c r="D48" s="4">
        <f>'CARTA DE CONTROL'!AT65</f>
        <v>5.8000000000000003E-2</v>
      </c>
      <c r="E48" s="6">
        <f>'CARTA DE CONTROL'!I65</f>
        <v>0.1</v>
      </c>
      <c r="F48" s="7">
        <f>-('CARTA DE CONTROL'!I65)</f>
        <v>-0.1</v>
      </c>
      <c r="G48" s="5" t="str">
        <f>IF(C48&lt;=0.8,IF(D48&gt;=-0.8,"PASS","NO PASS"))</f>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681" t="s">
        <v>90</v>
      </c>
      <c r="C67" s="682"/>
      <c r="D67" s="682"/>
      <c r="E67" s="683"/>
    </row>
    <row r="68" spans="2:5" ht="45.75" thickBot="1" x14ac:dyDescent="0.3">
      <c r="B68" s="2" t="s">
        <v>41</v>
      </c>
      <c r="C68" s="10" t="s">
        <v>91</v>
      </c>
      <c r="D68" s="2" t="s">
        <v>92</v>
      </c>
      <c r="E68" s="21" t="s">
        <v>93</v>
      </c>
    </row>
    <row r="69" spans="2:5" ht="15.75" thickBot="1" x14ac:dyDescent="0.3">
      <c r="B69" s="3">
        <f>'CARTA DE CONTROL'!R46</f>
        <v>5.98</v>
      </c>
      <c r="C69" s="4">
        <f>'CARTA DE CONTROL'!AN46</f>
        <v>0</v>
      </c>
      <c r="D69" s="6">
        <f>'CARTA DE CONTROL'!M46</f>
        <v>0.2</v>
      </c>
      <c r="E69" s="5" t="str">
        <f>IF(C69&lt;=0.2,IF(C69&gt;=-0.2,"PASS","NO PASS"))</f>
        <v>PASS</v>
      </c>
    </row>
    <row r="70" spans="2:5" ht="15.75" thickBot="1" x14ac:dyDescent="0.3">
      <c r="B70" s="3">
        <f>'CARTA DE CONTROL'!R47</f>
        <v>10.5</v>
      </c>
      <c r="C70" s="4">
        <f>'CARTA DE CONTROL'!AN47</f>
        <v>0</v>
      </c>
      <c r="D70" s="6">
        <f>'CARTA DE CONTROL'!M47</f>
        <v>0.2</v>
      </c>
      <c r="E70" s="5" t="str">
        <f t="shared" ref="E70:E72" si="2">IF(C70&lt;=0.2,IF(C70&gt;=-0.2,"PASS","NO PASS"))</f>
        <v>PASS</v>
      </c>
    </row>
    <row r="71" spans="2:5" ht="15.75" thickBot="1" x14ac:dyDescent="0.3">
      <c r="B71" s="3">
        <f>'CARTA DE CONTROL'!R48</f>
        <v>13.02</v>
      </c>
      <c r="C71" s="4">
        <f>'CARTA DE CONTROL'!AN48</f>
        <v>0</v>
      </c>
      <c r="D71" s="6">
        <f>'CARTA DE CONTROL'!M48</f>
        <v>0.2</v>
      </c>
      <c r="E71" s="5" t="str">
        <f t="shared" si="2"/>
        <v>PASS</v>
      </c>
    </row>
    <row r="72" spans="2:5" ht="15.75" thickBot="1" x14ac:dyDescent="0.3">
      <c r="B72" s="3">
        <f>'CARTA DE CONTROL'!R49</f>
        <v>0</v>
      </c>
      <c r="C72" s="4">
        <f>'CARTA DE CONTROL'!AN49</f>
        <v>0</v>
      </c>
      <c r="D72" s="6">
        <f>'CARTA DE CONTROL'!M49</f>
        <v>0.2</v>
      </c>
      <c r="E72" s="5" t="str">
        <f t="shared" si="2"/>
        <v>PASS</v>
      </c>
    </row>
    <row r="82" spans="2:5" ht="15.75" thickBot="1" x14ac:dyDescent="0.3"/>
    <row r="83" spans="2:5" ht="15.75" thickBot="1" x14ac:dyDescent="0.3">
      <c r="B83" s="681" t="s">
        <v>94</v>
      </c>
      <c r="C83" s="682"/>
      <c r="D83" s="682"/>
      <c r="E83" s="683"/>
    </row>
    <row r="84" spans="2:5" ht="45.75" thickBot="1" x14ac:dyDescent="0.3">
      <c r="B84" s="2" t="s">
        <v>41</v>
      </c>
      <c r="C84" s="10" t="s">
        <v>95</v>
      </c>
      <c r="D84" s="2" t="s">
        <v>133</v>
      </c>
      <c r="E84" s="21" t="s">
        <v>93</v>
      </c>
    </row>
    <row r="85" spans="2:5" ht="15.75" thickBot="1" x14ac:dyDescent="0.3">
      <c r="B85" s="3">
        <f>'CARTA DE CONTROL'!R46</f>
        <v>5.98</v>
      </c>
      <c r="C85" s="4">
        <f>'CARTA DE CONTROL'!AO46</f>
        <v>0</v>
      </c>
      <c r="D85" s="6">
        <f>'CARTA DE CONTROL'!O46</f>
        <v>0.3</v>
      </c>
      <c r="E85" s="5" t="str">
        <f>IF(C85&lt;=0.3,IF(C85&gt;=-0.3,"PASS","NO PASS"))</f>
        <v>PASS</v>
      </c>
    </row>
    <row r="86" spans="2:5" ht="15.75" thickBot="1" x14ac:dyDescent="0.3">
      <c r="B86" s="3">
        <f>'CARTA DE CONTROL'!R47</f>
        <v>10.5</v>
      </c>
      <c r="C86" s="4">
        <f>'CARTA DE CONTROL'!AO47</f>
        <v>0</v>
      </c>
      <c r="D86" s="6">
        <f>'CARTA DE CONTROL'!O47</f>
        <v>0.3</v>
      </c>
      <c r="E86" s="5" t="str">
        <f t="shared" ref="E86:E88" si="3">IF(C86&lt;=0.3,IF(C86&gt;=-0.3,"PASS","NO PASS"))</f>
        <v>PASS</v>
      </c>
    </row>
    <row r="87" spans="2:5" ht="15.75" thickBot="1" x14ac:dyDescent="0.3">
      <c r="B87" s="3">
        <f>'CARTA DE CONTROL'!R48</f>
        <v>13.02</v>
      </c>
      <c r="C87" s="4">
        <f>'CARTA DE CONTROL'!AO48</f>
        <v>0</v>
      </c>
      <c r="D87" s="6">
        <f>'CARTA DE CONTROL'!O48</f>
        <v>0.3</v>
      </c>
      <c r="E87" s="5" t="str">
        <f t="shared" si="3"/>
        <v>PASS</v>
      </c>
    </row>
    <row r="88" spans="2:5" ht="15.75" thickBot="1" x14ac:dyDescent="0.3">
      <c r="B88" s="3">
        <f>'CARTA DE CONTROL'!R49</f>
        <v>0</v>
      </c>
      <c r="C88" s="4">
        <f>'CARTA DE CONTROL'!AO49</f>
        <v>0</v>
      </c>
      <c r="D88" s="6">
        <f>'CARTA DE CONTROL'!O49</f>
        <v>0.3</v>
      </c>
      <c r="E88" s="5" t="str">
        <f t="shared" si="3"/>
        <v>PASS</v>
      </c>
    </row>
    <row r="89" spans="2:5" ht="15.75" thickBot="1" x14ac:dyDescent="0.3">
      <c r="B89" s="3">
        <f>'CARTA DE CONTROL'!R62</f>
        <v>5.98</v>
      </c>
      <c r="C89" s="4">
        <f>'CARTA DE CONTROL'!AO62</f>
        <v>0</v>
      </c>
      <c r="D89" s="6">
        <f>'CARTA DE CONTROL'!O62</f>
        <v>0.3</v>
      </c>
      <c r="E89" s="5" t="str">
        <f t="shared" ref="E89" si="4">IF(C89&lt;=0.3,IF(C89&gt;=-0.3,"PASS","NO PASS"))</f>
        <v>PASS</v>
      </c>
    </row>
    <row r="90" spans="2:5" ht="15.75" thickBot="1" x14ac:dyDescent="0.3">
      <c r="B90" s="3">
        <f>'CARTA DE CONTROL'!R63</f>
        <v>10.5</v>
      </c>
      <c r="C90" s="4">
        <f>'CARTA DE CONTROL'!AO63</f>
        <v>0</v>
      </c>
      <c r="D90" s="6">
        <f>'CARTA DE CONTROL'!O63</f>
        <v>0.3</v>
      </c>
      <c r="E90" s="5" t="str">
        <f t="shared" ref="E90:E92" si="5">IF(C90&lt;=0.3,IF(C90&gt;=-0.3,"PASS","NO PASS"))</f>
        <v>PASS</v>
      </c>
    </row>
    <row r="91" spans="2:5" ht="15.75" thickBot="1" x14ac:dyDescent="0.3">
      <c r="B91" s="3">
        <f>'CARTA DE CONTROL'!R64</f>
        <v>13.02</v>
      </c>
      <c r="C91" s="4">
        <f>'CARTA DE CONTROL'!AO64</f>
        <v>0</v>
      </c>
      <c r="D91" s="6">
        <f>'CARTA DE CONTROL'!O64</f>
        <v>0.3</v>
      </c>
      <c r="E91" s="5" t="str">
        <f t="shared" si="5"/>
        <v>PASS</v>
      </c>
    </row>
    <row r="92" spans="2:5" ht="15.75" thickBot="1" x14ac:dyDescent="0.3">
      <c r="B92" s="3">
        <f>'CARTA DE CONTROL'!R65</f>
        <v>0</v>
      </c>
      <c r="C92" s="4">
        <f>'CARTA DE CONTROL'!AO65</f>
        <v>0</v>
      </c>
      <c r="D92" s="6">
        <f>'CARTA DE CONTROL'!O65</f>
        <v>0.3</v>
      </c>
      <c r="E92" s="5" t="str">
        <f t="shared" si="5"/>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B67:E67"/>
    <mergeCell ref="B83:E83"/>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E69:E72 E85:E92">
    <cfRule type="cellIs" dxfId="117" priority="21" operator="lessThan">
      <formula>$H$84</formula>
    </cfRule>
    <cfRule type="cellIs" dxfId="116" priority="22" operator="lessThan">
      <formula>0.05</formula>
    </cfRule>
  </conditionalFormatting>
  <conditionalFormatting sqref="G41:G44 G46:G48">
    <cfRule type="cellIs" dxfId="115" priority="83" operator="lessThan">
      <formula>$H$86</formula>
    </cfRule>
    <cfRule type="cellIs" dxfId="114" priority="84" operator="lessThan">
      <formula>0.05</formula>
    </cfRule>
  </conditionalFormatting>
  <conditionalFormatting sqref="G45">
    <cfRule type="cellIs" dxfId="113" priority="1" operator="lessThan">
      <formula>$H$86</formula>
    </cfRule>
    <cfRule type="cellIs" dxfId="112" priority="2" operator="lessThan">
      <formula>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60" zoomScale="130" zoomScaleNormal="130" workbookViewId="0">
      <selection activeCell="H89" sqref="H89"/>
    </sheetView>
  </sheetViews>
  <sheetFormatPr baseColWidth="10" defaultRowHeight="15" x14ac:dyDescent="0.25"/>
  <cols>
    <col min="1" max="1" width="5.57031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CONTROL'!B42</f>
        <v>GASES 4 TIEMPOS</v>
      </c>
      <c r="D7" s="659"/>
      <c r="E7" s="660"/>
    </row>
    <row r="8" spans="1:11" x14ac:dyDescent="0.25">
      <c r="B8" s="241" t="s">
        <v>176</v>
      </c>
      <c r="C8" s="658" t="str">
        <f>'CARTA DE CONTROL'!D42</f>
        <v>ACTIA</v>
      </c>
      <c r="D8" s="659"/>
      <c r="E8" s="660"/>
    </row>
    <row r="9" spans="1:11" x14ac:dyDescent="0.25">
      <c r="B9" s="241" t="s">
        <v>177</v>
      </c>
      <c r="C9" s="658" t="str">
        <f>'CARTA DE CONTROL'!E42</f>
        <v>AT505</v>
      </c>
      <c r="D9" s="659"/>
      <c r="E9" s="660"/>
    </row>
    <row r="10" spans="1:11" x14ac:dyDescent="0.25">
      <c r="B10" s="241" t="s">
        <v>178</v>
      </c>
      <c r="C10" s="661" t="str">
        <f>'CARTA DE CONTROL'!F42</f>
        <v>026/18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8" spans="1:8" ht="15.75" thickBot="1" x14ac:dyDescent="0.3"/>
    <row r="39" spans="1:8" ht="79.5" thickBot="1" x14ac:dyDescent="0.3">
      <c r="B39" s="2" t="s">
        <v>41</v>
      </c>
      <c r="C39" s="11" t="s">
        <v>100</v>
      </c>
      <c r="D39" s="11" t="s">
        <v>101</v>
      </c>
      <c r="E39" s="2" t="s">
        <v>102</v>
      </c>
      <c r="F39" s="2" t="s">
        <v>103</v>
      </c>
      <c r="G39" s="21" t="s">
        <v>104</v>
      </c>
    </row>
    <row r="40" spans="1:8" ht="15.75" thickBot="1" x14ac:dyDescent="0.3">
      <c r="B40" s="3">
        <f>'CARTA DE CONTROL'!R50</f>
        <v>158.5</v>
      </c>
      <c r="C40" s="4">
        <f>'CARTA DE CONTROL'!AR50</f>
        <v>3.3</v>
      </c>
      <c r="D40" s="4">
        <f>'CARTA DE CONTROL'!AS50</f>
        <v>-3.3</v>
      </c>
      <c r="E40" s="6">
        <f>'CARTA DE CONTROL'!I50</f>
        <v>50</v>
      </c>
      <c r="F40" s="7">
        <f>-('CARTA DE CONTROL'!I50)</f>
        <v>-50</v>
      </c>
      <c r="G40" s="5" t="str">
        <f>IF(C40&lt;=50,IF(D40&gt;=-50,"PASS","NO PASS"))</f>
        <v>PASS</v>
      </c>
    </row>
    <row r="41" spans="1:8" ht="15.75" thickBot="1" x14ac:dyDescent="0.3">
      <c r="B41" s="3">
        <f>'CARTA DE CONTROL'!R51</f>
        <v>640</v>
      </c>
      <c r="C41" s="4">
        <f>'CARTA DE CONTROL'!AR51</f>
        <v>13</v>
      </c>
      <c r="D41" s="4">
        <f>'CARTA DE CONTROL'!AS51</f>
        <v>-13</v>
      </c>
      <c r="E41" s="6">
        <f>'CARTA DE CONTROL'!I51</f>
        <v>50</v>
      </c>
      <c r="F41" s="7">
        <f>-('CARTA DE CONTROL'!I51)</f>
        <v>-50</v>
      </c>
      <c r="G41" s="5" t="str">
        <f t="shared" ref="G41:G43" si="0">IF(C41&lt;=50,IF(D41&gt;=-50,"PASS","NO PASS"))</f>
        <v>PASS</v>
      </c>
    </row>
    <row r="42" spans="1:8" ht="15.75" thickBot="1" x14ac:dyDescent="0.3">
      <c r="B42" s="3">
        <f>'CARTA DE CONTROL'!R52</f>
        <v>1708</v>
      </c>
      <c r="C42" s="4">
        <f>'CARTA DE CONTROL'!AR52</f>
        <v>35</v>
      </c>
      <c r="D42" s="4">
        <f>'CARTA DE CONTROL'!AS52</f>
        <v>-35</v>
      </c>
      <c r="E42" s="6">
        <f>'CARTA DE CONTROL'!I52</f>
        <v>100</v>
      </c>
      <c r="F42" s="7">
        <f>-('CARTA DE CONTROL'!I52)</f>
        <v>-100</v>
      </c>
      <c r="G42" s="5" t="str">
        <f t="shared" si="0"/>
        <v>PASS</v>
      </c>
    </row>
    <row r="43" spans="1:8" ht="15.75" thickBot="1" x14ac:dyDescent="0.3">
      <c r="B43" s="3">
        <f>'CARTA DE CONTROL'!R53</f>
        <v>0</v>
      </c>
      <c r="C43" s="4">
        <f>'CARTA DE CONTROL'!AR53</f>
        <v>0.57999999999999996</v>
      </c>
      <c r="D43" s="4">
        <f>'CARTA DE CONTROL'!AS53</f>
        <v>-0.57999999999999996</v>
      </c>
      <c r="E43" s="6">
        <f>'CARTA DE CONTROL'!I53</f>
        <v>50</v>
      </c>
      <c r="F43" s="7">
        <f>-('CARTA DE CONTROL'!I53)</f>
        <v>-50</v>
      </c>
      <c r="G43" s="5" t="str">
        <f t="shared" si="0"/>
        <v>PASS</v>
      </c>
    </row>
    <row r="44" spans="1:8" ht="15.75" thickBot="1" x14ac:dyDescent="0.3">
      <c r="A44" s="1"/>
      <c r="B44" s="3">
        <f>'CARTA DE CONTROL'!R66</f>
        <v>158.5</v>
      </c>
      <c r="C44" s="4">
        <f>'CARTA DE CONTROL'!AR66</f>
        <v>3.3</v>
      </c>
      <c r="D44" s="4">
        <f>'CARTA DE CONTROL'!AS66</f>
        <v>-3.3</v>
      </c>
      <c r="E44" s="6">
        <f>'CARTA DE CONTROL'!I66</f>
        <v>50</v>
      </c>
      <c r="F44" s="7">
        <f>-('CARTA DE CONTROL'!I66)</f>
        <v>-50</v>
      </c>
      <c r="G44" s="5" t="str">
        <f>IF(C44&lt;=50,IF(D44&gt;=-50,"PASS","NO PASS"))</f>
        <v>PASS</v>
      </c>
      <c r="H44" s="1"/>
    </row>
    <row r="45" spans="1:8" ht="15.75" thickBot="1" x14ac:dyDescent="0.3">
      <c r="A45" s="1"/>
      <c r="B45" s="3">
        <f>'CARTA DE CONTROL'!R67</f>
        <v>640</v>
      </c>
      <c r="C45" s="4">
        <f>'CARTA DE CONTROL'!AR67</f>
        <v>13</v>
      </c>
      <c r="D45" s="4">
        <f>'CARTA DE CONTROL'!AS67</f>
        <v>-13</v>
      </c>
      <c r="E45" s="6">
        <f>'CARTA DE CONTROL'!I67</f>
        <v>50</v>
      </c>
      <c r="F45" s="7">
        <f>-('CARTA DE CONTROL'!I67)</f>
        <v>-50</v>
      </c>
      <c r="G45" s="5" t="str">
        <f t="shared" ref="G45:G47" si="1">IF(C45&lt;=50,IF(D45&gt;=-50,"PASS","NO PASS"))</f>
        <v>PASS</v>
      </c>
    </row>
    <row r="46" spans="1:8" ht="15.75" thickBot="1" x14ac:dyDescent="0.3">
      <c r="A46" s="1"/>
      <c r="B46" s="3">
        <f>'CARTA DE CONTROL'!R68</f>
        <v>1708</v>
      </c>
      <c r="C46" s="4">
        <f>'CARTA DE CONTROL'!AR68</f>
        <v>35</v>
      </c>
      <c r="D46" s="4">
        <f>'CARTA DE CONTROL'!AS68</f>
        <v>-35</v>
      </c>
      <c r="E46" s="6">
        <f>'CARTA DE CONTROL'!I68</f>
        <v>100</v>
      </c>
      <c r="F46" s="7">
        <f>-('CARTA DE CONTROL'!I68)</f>
        <v>-100</v>
      </c>
      <c r="G46" s="5" t="str">
        <f t="shared" si="1"/>
        <v>PASS</v>
      </c>
    </row>
    <row r="47" spans="1:8" ht="15.75" thickBot="1" x14ac:dyDescent="0.3">
      <c r="A47" s="1"/>
      <c r="B47" s="3">
        <f>'CARTA DE CONTROL'!R69</f>
        <v>0</v>
      </c>
      <c r="C47" s="4">
        <f>'CARTA DE CONTROL'!AR69</f>
        <v>0.57999999999999996</v>
      </c>
      <c r="D47" s="4">
        <f>'CARTA DE CONTROL'!AS69</f>
        <v>-0.57999999999999996</v>
      </c>
      <c r="E47" s="6">
        <f>'CARTA DE CONTROL'!I69</f>
        <v>50</v>
      </c>
      <c r="F47" s="7">
        <f>-('CARTA DE CONTROL'!I69)</f>
        <v>-50</v>
      </c>
      <c r="G47" s="5" t="str">
        <f t="shared" si="1"/>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61" spans="1:8" ht="15.75" thickBot="1" x14ac:dyDescent="0.3"/>
    <row r="62" spans="1:8" ht="15.75" thickBot="1" x14ac:dyDescent="0.3">
      <c r="B62" s="681" t="s">
        <v>90</v>
      </c>
      <c r="C62" s="682"/>
      <c r="D62" s="682"/>
      <c r="E62" s="683"/>
    </row>
    <row r="63" spans="1:8" ht="45.75" thickBot="1" x14ac:dyDescent="0.3">
      <c r="B63" s="2" t="s">
        <v>41</v>
      </c>
      <c r="C63" s="10" t="s">
        <v>91</v>
      </c>
      <c r="D63" s="2" t="s">
        <v>92</v>
      </c>
      <c r="E63" s="21" t="s">
        <v>93</v>
      </c>
    </row>
    <row r="64" spans="1:8" ht="15.75" thickBot="1" x14ac:dyDescent="0.3">
      <c r="B64" s="3">
        <f>'CARTA DE CONTROL'!Q50</f>
        <v>159.5</v>
      </c>
      <c r="C64" s="4">
        <f>'CARTA DE CONTROL'!AN50</f>
        <v>0.6</v>
      </c>
      <c r="D64" s="6">
        <f>'CARTA DE CONTROL'!M50</f>
        <v>8</v>
      </c>
      <c r="E64" s="5" t="str">
        <f>IF(C64&lt;=8,IF(C64&gt;=-8,"PASS","NO PASS"))</f>
        <v>PASS</v>
      </c>
    </row>
    <row r="65" spans="2:5" ht="15.75" thickBot="1" x14ac:dyDescent="0.3">
      <c r="B65" s="3">
        <f>'CARTA DE CONTROL'!Q51</f>
        <v>635</v>
      </c>
      <c r="C65" s="4">
        <f>'CARTA DE CONTROL'!AN51</f>
        <v>0</v>
      </c>
      <c r="D65" s="6">
        <f>'CARTA DE CONTROL'!M51</f>
        <v>8</v>
      </c>
      <c r="E65" s="5" t="str">
        <f t="shared" ref="E65:E67" si="2">IF(C65&lt;=8,IF(C65&gt;=-8,"PASS","NO PASS"))</f>
        <v>PASS</v>
      </c>
    </row>
    <row r="66" spans="2:5" ht="15.75" thickBot="1" x14ac:dyDescent="0.3">
      <c r="B66" s="3">
        <f>'CARTA DE CONTROL'!Q52</f>
        <v>1691</v>
      </c>
      <c r="C66" s="4">
        <f>'CARTA DE CONTROL'!AN52</f>
        <v>0</v>
      </c>
      <c r="D66" s="6">
        <f>'CARTA DE CONTROL'!M52</f>
        <v>16</v>
      </c>
      <c r="E66" s="5" t="str">
        <f t="shared" si="2"/>
        <v>PASS</v>
      </c>
    </row>
    <row r="67" spans="2:5" ht="15.75" thickBot="1" x14ac:dyDescent="0.3">
      <c r="B67" s="3">
        <f>'CARTA DE CONTROL'!Q53</f>
        <v>0</v>
      </c>
      <c r="C67" s="4">
        <f>'CARTA DE CONTROL'!AN53</f>
        <v>0</v>
      </c>
      <c r="D67" s="6">
        <f>'CARTA DE CONTROL'!M53</f>
        <v>8</v>
      </c>
      <c r="E67" s="5" t="str">
        <f t="shared" si="2"/>
        <v>PASS</v>
      </c>
    </row>
    <row r="81" spans="2:5" ht="15.75" thickBot="1" x14ac:dyDescent="0.3"/>
    <row r="82" spans="2:5" ht="15.75" thickBot="1" x14ac:dyDescent="0.3">
      <c r="B82" s="681" t="s">
        <v>94</v>
      </c>
      <c r="C82" s="682"/>
      <c r="D82" s="682"/>
      <c r="E82" s="683"/>
    </row>
    <row r="83" spans="2:5" ht="45.75" thickBot="1" x14ac:dyDescent="0.3">
      <c r="B83" s="2" t="s">
        <v>41</v>
      </c>
      <c r="C83" s="10" t="s">
        <v>95</v>
      </c>
      <c r="D83" s="2" t="s">
        <v>92</v>
      </c>
      <c r="E83" s="21" t="s">
        <v>93</v>
      </c>
    </row>
    <row r="84" spans="2:5" ht="15.75" thickBot="1" x14ac:dyDescent="0.3">
      <c r="B84" s="3">
        <f>'CARTA DE CONTROL'!R50</f>
        <v>158.5</v>
      </c>
      <c r="C84" s="4">
        <f>'CARTA DE CONTROL'!AO50</f>
        <v>1</v>
      </c>
      <c r="D84" s="6">
        <f>'CARTA DE CONTROL'!O50</f>
        <v>10</v>
      </c>
      <c r="E84" s="5" t="str">
        <f>IF(C84&lt;=10,IF(C84&gt;=-10,"PASS","NO PASS"))</f>
        <v>PASS</v>
      </c>
    </row>
    <row r="85" spans="2:5" ht="15.75" thickBot="1" x14ac:dyDescent="0.3">
      <c r="B85" s="3">
        <f>'CARTA DE CONTROL'!R51</f>
        <v>640</v>
      </c>
      <c r="C85" s="4">
        <f>'CARTA DE CONTROL'!AO51</f>
        <v>0</v>
      </c>
      <c r="D85" s="6">
        <f>'CARTA DE CONTROL'!O51</f>
        <v>10</v>
      </c>
      <c r="E85" s="5" t="str">
        <f t="shared" ref="E85:E91" si="3">IF(C85&lt;=10,IF(C85&gt;=-10,"PASS","NO PASS"))</f>
        <v>PASS</v>
      </c>
    </row>
    <row r="86" spans="2:5" ht="15.75" thickBot="1" x14ac:dyDescent="0.3">
      <c r="B86" s="3">
        <f>'CARTA DE CONTROL'!R52</f>
        <v>1708</v>
      </c>
      <c r="C86" s="4">
        <f>'CARTA DE CONTROL'!AO52</f>
        <v>0</v>
      </c>
      <c r="D86" s="6">
        <f>'CARTA DE CONTROL'!O52</f>
        <v>20</v>
      </c>
      <c r="E86" s="5" t="str">
        <f t="shared" si="3"/>
        <v>PASS</v>
      </c>
    </row>
    <row r="87" spans="2:5" ht="15.75" thickBot="1" x14ac:dyDescent="0.3">
      <c r="B87" s="3">
        <f>'CARTA DE CONTROL'!R53</f>
        <v>0</v>
      </c>
      <c r="C87" s="4">
        <f>'CARTA DE CONTROL'!AO53</f>
        <v>0</v>
      </c>
      <c r="D87" s="6">
        <f>'CARTA DE CONTROL'!O53</f>
        <v>10</v>
      </c>
      <c r="E87" s="5" t="str">
        <f t="shared" si="3"/>
        <v>PASS</v>
      </c>
    </row>
    <row r="88" spans="2:5" ht="15.75" thickBot="1" x14ac:dyDescent="0.3">
      <c r="B88" s="3">
        <f>'CARTA DE CONTROL'!R66</f>
        <v>158.5</v>
      </c>
      <c r="C88" s="4">
        <f>'CARTA DE CONTROL'!AO66</f>
        <v>0</v>
      </c>
      <c r="D88" s="6">
        <f>'CARTA DE CONTROL'!O66</f>
        <v>10</v>
      </c>
      <c r="E88" s="5" t="str">
        <f t="shared" si="3"/>
        <v>PASS</v>
      </c>
    </row>
    <row r="89" spans="2:5" ht="15.75" thickBot="1" x14ac:dyDescent="0.3">
      <c r="B89" s="3">
        <f>'CARTA DE CONTROL'!R67</f>
        <v>640</v>
      </c>
      <c r="C89" s="4">
        <f>'CARTA DE CONTROL'!AO67</f>
        <v>0</v>
      </c>
      <c r="D89" s="6">
        <f>'CARTA DE CONTROL'!O67</f>
        <v>10</v>
      </c>
      <c r="E89" s="5" t="str">
        <f t="shared" si="3"/>
        <v>PASS</v>
      </c>
    </row>
    <row r="90" spans="2:5" ht="15.75" thickBot="1" x14ac:dyDescent="0.3">
      <c r="B90" s="3">
        <f>'CARTA DE CONTROL'!R68</f>
        <v>1708</v>
      </c>
      <c r="C90" s="4">
        <f>'CARTA DE CONTROL'!AO68</f>
        <v>0</v>
      </c>
      <c r="D90" s="6">
        <f>'CARTA DE CONTROL'!O68</f>
        <v>20</v>
      </c>
      <c r="E90" s="5" t="str">
        <f t="shared" si="3"/>
        <v>PASS</v>
      </c>
    </row>
    <row r="91" spans="2:5" ht="15.75" thickBot="1" x14ac:dyDescent="0.3">
      <c r="B91" s="3">
        <f>'CARTA DE CONTROL'!R69</f>
        <v>0</v>
      </c>
      <c r="C91" s="4">
        <f>'CARTA DE CONTROL'!AO69</f>
        <v>0</v>
      </c>
      <c r="D91" s="6">
        <f>'CARTA DE CONTROL'!O69</f>
        <v>10</v>
      </c>
      <c r="E91" s="5" t="str">
        <f t="shared" si="3"/>
        <v>PASS</v>
      </c>
    </row>
  </sheetData>
  <mergeCells count="54">
    <mergeCell ref="B62:E62"/>
    <mergeCell ref="B82:E82"/>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E64:E67 E84:E91">
    <cfRule type="cellIs" dxfId="111" priority="11" operator="lessThan">
      <formula>$H$83</formula>
    </cfRule>
    <cfRule type="cellIs" dxfId="110" priority="12" operator="lessThan">
      <formula>0.05</formula>
    </cfRule>
  </conditionalFormatting>
  <conditionalFormatting sqref="G40:G47">
    <cfRule type="cellIs" dxfId="109" priority="89" operator="lessThan">
      <formula>$F$81</formula>
    </cfRule>
    <cfRule type="cellIs" dxfId="108" priority="90" operator="lessThan">
      <formula>0.05</formula>
    </cfRule>
  </conditionalFormatting>
  <conditionalFormatting sqref="G40:G47">
    <cfRule type="cellIs" dxfId="107" priority="91" operator="between">
      <formula>$F$81</formula>
      <formula>$G$81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94" workbookViewId="0">
      <selection activeCell="H94" sqref="H94"/>
    </sheetView>
  </sheetViews>
  <sheetFormatPr baseColWidth="10" defaultRowHeight="15" x14ac:dyDescent="0.25"/>
  <cols>
    <col min="1" max="1" width="4" customWidth="1"/>
    <col min="2" max="2" width="22.85546875" customWidth="1"/>
    <col min="3" max="3" width="21.7109375" customWidth="1"/>
    <col min="4" max="4" width="21" customWidth="1"/>
    <col min="5" max="5" width="22.7109375" customWidth="1"/>
    <col min="8" max="8" width="13.2851562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CONTROL'!B42</f>
        <v>GASES 4 TIEMPOS</v>
      </c>
      <c r="D7" s="659"/>
      <c r="E7" s="660"/>
    </row>
    <row r="8" spans="1:11" x14ac:dyDescent="0.25">
      <c r="B8" s="241" t="s">
        <v>176</v>
      </c>
      <c r="C8" s="658" t="str">
        <f>'CARTA DE CONTROL'!D42</f>
        <v>ACTIA</v>
      </c>
      <c r="D8" s="659"/>
      <c r="E8" s="660"/>
    </row>
    <row r="9" spans="1:11" x14ac:dyDescent="0.25">
      <c r="B9" s="241" t="s">
        <v>177</v>
      </c>
      <c r="C9" s="658" t="str">
        <f>'CARTA DE CONTROL'!E42</f>
        <v>AT505</v>
      </c>
      <c r="D9" s="659"/>
      <c r="E9" s="660"/>
    </row>
    <row r="10" spans="1:11" x14ac:dyDescent="0.25">
      <c r="B10" s="241" t="s">
        <v>178</v>
      </c>
      <c r="C10" s="661" t="str">
        <f>'CARTA DE CONTROL'!F42</f>
        <v>026/18</v>
      </c>
      <c r="D10" s="662"/>
      <c r="E10" s="663"/>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8" spans="1:8" ht="15.75" thickBot="1" x14ac:dyDescent="0.3"/>
    <row r="39" spans="1:8" ht="79.5" thickBot="1" x14ac:dyDescent="0.3">
      <c r="B39" s="2" t="s">
        <v>41</v>
      </c>
      <c r="C39" s="11" t="s">
        <v>100</v>
      </c>
      <c r="D39" s="11" t="s">
        <v>101</v>
      </c>
      <c r="E39" s="2" t="s">
        <v>102</v>
      </c>
      <c r="F39" s="2" t="s">
        <v>103</v>
      </c>
      <c r="G39" s="21" t="s">
        <v>104</v>
      </c>
    </row>
    <row r="40" spans="1:8" ht="15.75" thickBot="1" x14ac:dyDescent="0.3">
      <c r="B40" s="251">
        <f>'CARTA DE CONTROL'!R54</f>
        <v>0</v>
      </c>
      <c r="C40" s="252">
        <f>'CARTA DE CONTROL'!AR54</f>
        <v>5.8000000000000003E-2</v>
      </c>
      <c r="D40" s="252">
        <f>'CARTA DE CONTROL'!AS54</f>
        <v>-5.8000000000000003E-2</v>
      </c>
      <c r="E40" s="253">
        <f>'CARTA DE CONTROL'!I54</f>
        <v>0.5</v>
      </c>
      <c r="F40" s="253">
        <f>-('CARTA DE CONTROL'!I54)</f>
        <v>-0.5</v>
      </c>
      <c r="G40" s="254" t="str">
        <f>IF(C40&lt;=0.5,IF(D40&gt;=-0.5,"PASS","NO PASS"))</f>
        <v>PASS</v>
      </c>
    </row>
    <row r="41" spans="1:8" ht="15.75" thickBot="1" x14ac:dyDescent="0.3">
      <c r="B41" s="251">
        <f>'CARTA DE CONTROL'!R55</f>
        <v>0</v>
      </c>
      <c r="C41" s="252">
        <f>'CARTA DE CONTROL'!AR55</f>
        <v>5.8000000000000003E-2</v>
      </c>
      <c r="D41" s="252">
        <f>'CARTA DE CONTROL'!AS55</f>
        <v>-5.8000000000000003E-2</v>
      </c>
      <c r="E41" s="253">
        <f>'CARTA DE CONTROL'!I55</f>
        <v>0.5</v>
      </c>
      <c r="F41" s="253">
        <f>-('CARTA DE CONTROL'!I55)</f>
        <v>-0.5</v>
      </c>
      <c r="G41" s="254" t="str">
        <f t="shared" ref="G41:G43" si="0">IF(C41&lt;=0.5,IF(D41&gt;=-0.5,"PASS","NO PASS"))</f>
        <v>PASS</v>
      </c>
    </row>
    <row r="42" spans="1:8" ht="15.75" thickBot="1" x14ac:dyDescent="0.3">
      <c r="B42" s="251">
        <f>'CARTA DE CONTROL'!R56</f>
        <v>0</v>
      </c>
      <c r="C42" s="252">
        <f>'CARTA DE CONTROL'!AR56</f>
        <v>5.8000000000000003E-2</v>
      </c>
      <c r="D42" s="252">
        <f>'CARTA DE CONTROL'!AS56</f>
        <v>-5.8000000000000003E-2</v>
      </c>
      <c r="E42" s="253">
        <f>'CARTA DE CONTROL'!I56</f>
        <v>0.5</v>
      </c>
      <c r="F42" s="253">
        <f>-('CARTA DE CONTROL'!I56)</f>
        <v>-0.5</v>
      </c>
      <c r="G42" s="254" t="str">
        <f t="shared" si="0"/>
        <v>PASS</v>
      </c>
    </row>
    <row r="43" spans="1:8" ht="15.75" thickBot="1" x14ac:dyDescent="0.3">
      <c r="B43" s="251">
        <f>'CARTA DE CONTROL'!R57</f>
        <v>0</v>
      </c>
      <c r="C43" s="252">
        <f>'CARTA DE CONTROL'!AR57</f>
        <v>5.8000000000000003E-2</v>
      </c>
      <c r="D43" s="252">
        <f>'CARTA DE CONTROL'!AS57</f>
        <v>-5.8000000000000003E-2</v>
      </c>
      <c r="E43" s="253">
        <f>'CARTA DE CONTROL'!I57</f>
        <v>0.5</v>
      </c>
      <c r="F43" s="253">
        <f>-('CARTA DE CONTROL'!I57)</f>
        <v>-0.5</v>
      </c>
      <c r="G43" s="254" t="str">
        <f t="shared" si="0"/>
        <v>PASS</v>
      </c>
    </row>
    <row r="44" spans="1:8" ht="15.75" thickBot="1" x14ac:dyDescent="0.3">
      <c r="A44" s="1"/>
      <c r="B44" s="251">
        <f>'CARTA DE CONTROL'!R70</f>
        <v>0</v>
      </c>
      <c r="C44" s="252">
        <f>'CARTA DE CONTROL'!AR70</f>
        <v>5.8000000000000003E-2</v>
      </c>
      <c r="D44" s="252">
        <f>'CARTA DE CONTROL'!AS70</f>
        <v>-5.8000000000000003E-2</v>
      </c>
      <c r="E44" s="253">
        <f>'CARTA DE CONTROL'!I70</f>
        <v>0.5</v>
      </c>
      <c r="F44" s="253">
        <f>-('CARTA DE CONTROL'!I70)</f>
        <v>-0.5</v>
      </c>
      <c r="G44" s="254" t="str">
        <f t="shared" ref="G44" si="1">IF(C44&lt;=0.5,IF(D44&gt;=-0.5,"PASS","NO PASS"))</f>
        <v>PASS</v>
      </c>
      <c r="H44" s="1"/>
    </row>
    <row r="45" spans="1:8" ht="15.75" thickBot="1" x14ac:dyDescent="0.3">
      <c r="A45" s="1"/>
      <c r="B45" s="251">
        <f>'CARTA DE CONTROL'!R71</f>
        <v>0</v>
      </c>
      <c r="C45" s="252">
        <f>'CARTA DE CONTROL'!AR71</f>
        <v>5.8000000000000003E-2</v>
      </c>
      <c r="D45" s="252">
        <f>'CARTA DE CONTROL'!AS71</f>
        <v>-5.8000000000000003E-2</v>
      </c>
      <c r="E45" s="253">
        <f>'CARTA DE CONTROL'!I71</f>
        <v>0.5</v>
      </c>
      <c r="F45" s="253">
        <f>-('CARTA DE CONTROL'!I71)</f>
        <v>-0.5</v>
      </c>
      <c r="G45" s="254" t="str">
        <f t="shared" ref="G45:G47" si="2">IF(C45&lt;=0.5,IF(D45&gt;=-0.5,"PASS","NO PASS"))</f>
        <v>PASS</v>
      </c>
    </row>
    <row r="46" spans="1:8" ht="15.75" thickBot="1" x14ac:dyDescent="0.3">
      <c r="A46" s="1"/>
      <c r="B46" s="251">
        <f>'CARTA DE CONTROL'!R72</f>
        <v>0</v>
      </c>
      <c r="C46" s="252">
        <f>'CARTA DE CONTROL'!AR72</f>
        <v>5.8000000000000003E-2</v>
      </c>
      <c r="D46" s="252">
        <f>'CARTA DE CONTROL'!AS72</f>
        <v>-5.8000000000000003E-2</v>
      </c>
      <c r="E46" s="253">
        <f>'CARTA DE CONTROL'!I72</f>
        <v>0.5</v>
      </c>
      <c r="F46" s="253">
        <f>-('CARTA DE CONTROL'!I72)</f>
        <v>-0.5</v>
      </c>
      <c r="G46" s="254" t="str">
        <f t="shared" si="2"/>
        <v>PASS</v>
      </c>
    </row>
    <row r="47" spans="1:8" ht="15.75" thickBot="1" x14ac:dyDescent="0.3">
      <c r="A47" s="1"/>
      <c r="B47" s="251">
        <f>'CARTA DE CONTROL'!R73</f>
        <v>0</v>
      </c>
      <c r="C47" s="252">
        <f>'CARTA DE CONTROL'!AR73</f>
        <v>5.8000000000000003E-2</v>
      </c>
      <c r="D47" s="252">
        <f>'CARTA DE CONTROL'!AS73</f>
        <v>-5.8000000000000003E-2</v>
      </c>
      <c r="E47" s="253">
        <f>'CARTA DE CONTROL'!I73</f>
        <v>0.5</v>
      </c>
      <c r="F47" s="253">
        <f>-('CARTA DE CONTROL'!I73)</f>
        <v>-0.5</v>
      </c>
      <c r="G47" s="254" t="str">
        <f t="shared" si="2"/>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6" spans="2:5" ht="15.75" thickBot="1" x14ac:dyDescent="0.3"/>
    <row r="67" spans="2:5" ht="15.75" thickBot="1" x14ac:dyDescent="0.3">
      <c r="B67" s="681" t="s">
        <v>90</v>
      </c>
      <c r="C67" s="682"/>
      <c r="D67" s="682"/>
      <c r="E67" s="683"/>
    </row>
    <row r="68" spans="2:5" ht="45.75" thickBot="1" x14ac:dyDescent="0.3">
      <c r="B68" s="2" t="s">
        <v>41</v>
      </c>
      <c r="C68" s="10" t="s">
        <v>91</v>
      </c>
      <c r="D68" s="2" t="s">
        <v>92</v>
      </c>
      <c r="E68" s="21" t="s">
        <v>93</v>
      </c>
    </row>
    <row r="69" spans="2:5" ht="15.75" thickBot="1" x14ac:dyDescent="0.3">
      <c r="B69" s="3">
        <f>'CARTA DE CONTROL'!R54</f>
        <v>0</v>
      </c>
      <c r="C69" s="4">
        <f>'CARTA DE CONTROL'!AN54</f>
        <v>0</v>
      </c>
      <c r="D69" s="6">
        <f>'CARTA DE CONTROL'!M54</f>
        <v>0.3</v>
      </c>
      <c r="E69" s="5" t="str">
        <f>IF(C69&lt;=0.3,IF(C69&gt;=-0.3,"PASS","NO PASS"))</f>
        <v>PASS</v>
      </c>
    </row>
    <row r="70" spans="2:5" ht="15.75" thickBot="1" x14ac:dyDescent="0.3">
      <c r="B70" s="3">
        <f>'CARTA DE CONTROL'!R55</f>
        <v>0</v>
      </c>
      <c r="C70" s="4">
        <f>'CARTA DE CONTROL'!AN55</f>
        <v>0</v>
      </c>
      <c r="D70" s="6">
        <f>'CARTA DE CONTROL'!M55</f>
        <v>0.3</v>
      </c>
      <c r="E70" s="5" t="str">
        <f>IF(C70&lt;=0.6,IF(C70&gt;=-0.6,"PASS","NO PASS"))</f>
        <v>PASS</v>
      </c>
    </row>
    <row r="71" spans="2:5" ht="15.75" thickBot="1" x14ac:dyDescent="0.3">
      <c r="B71" s="3">
        <f>'CARTA DE CONTROL'!R56</f>
        <v>0</v>
      </c>
      <c r="C71" s="4">
        <f>'CARTA DE CONTROL'!AN56</f>
        <v>4.0000000000000001E-3</v>
      </c>
      <c r="D71" s="6">
        <f>'CARTA DE CONTROL'!M56</f>
        <v>0.3</v>
      </c>
      <c r="E71" s="5" t="str">
        <f>IF(C71&lt;=0.3,IF(C71&gt;=-0.3,"PASS","NO PASS"))</f>
        <v>PASS</v>
      </c>
    </row>
    <row r="72" spans="2:5" ht="15.75" thickBot="1" x14ac:dyDescent="0.3">
      <c r="B72" s="3">
        <f>'CARTA DE CONTROL'!R57</f>
        <v>0</v>
      </c>
      <c r="C72" s="4">
        <f>'CARTA DE CONTROL'!AN57</f>
        <v>0</v>
      </c>
      <c r="D72" s="6">
        <f>'CARTA DE CONTROL'!M57</f>
        <v>0.3</v>
      </c>
      <c r="E72" s="5" t="str">
        <f>IF(C72&lt;=0.6,IF(C72&gt;=-0.6,"PASS","NO PASS"))</f>
        <v>PASS</v>
      </c>
    </row>
    <row r="86" spans="2:5" ht="15.75" thickBot="1" x14ac:dyDescent="0.3"/>
    <row r="87" spans="2:5" ht="15.75" thickBot="1" x14ac:dyDescent="0.3">
      <c r="B87" s="681" t="s">
        <v>94</v>
      </c>
      <c r="C87" s="682"/>
      <c r="D87" s="682"/>
      <c r="E87" s="683"/>
    </row>
    <row r="88" spans="2:5" ht="45.75" thickBot="1" x14ac:dyDescent="0.3">
      <c r="B88" s="2" t="s">
        <v>41</v>
      </c>
      <c r="C88" s="10" t="s">
        <v>95</v>
      </c>
      <c r="D88" s="2" t="s">
        <v>92</v>
      </c>
      <c r="E88" s="21" t="s">
        <v>93</v>
      </c>
    </row>
    <row r="89" spans="2:5" ht="15.75" thickBot="1" x14ac:dyDescent="0.3">
      <c r="B89" s="3">
        <f>'CARTA DE CONTROL'!R54</f>
        <v>0</v>
      </c>
      <c r="C89" s="4">
        <f>'CARTA DE CONTROL'!AO54</f>
        <v>0</v>
      </c>
      <c r="D89" s="6">
        <f>'CARTA DE CONTROL'!O54</f>
        <v>0.4</v>
      </c>
      <c r="E89" s="5" t="str">
        <f>IF(C89&lt;=0.4,IF(C89&gt;=-0.4,"PASS","NO PASS"))</f>
        <v>PASS</v>
      </c>
    </row>
    <row r="90" spans="2:5" ht="15.75" thickBot="1" x14ac:dyDescent="0.3">
      <c r="B90" s="3">
        <f>'CARTA DE CONTROL'!R55</f>
        <v>0</v>
      </c>
      <c r="C90" s="4">
        <f>'CARTA DE CONTROL'!AO55</f>
        <v>0</v>
      </c>
      <c r="D90" s="6">
        <f>'CARTA DE CONTROL'!O55</f>
        <v>0.4</v>
      </c>
      <c r="E90" s="5" t="str">
        <f t="shared" ref="E90:E96" si="3">IF(C90&lt;=0.4,IF(C90&gt;=-0.4,"PASS","NO PASS"))</f>
        <v>PASS</v>
      </c>
    </row>
    <row r="91" spans="2:5" ht="15.75" thickBot="1" x14ac:dyDescent="0.3">
      <c r="B91" s="3">
        <f>'CARTA DE CONTROL'!R56</f>
        <v>0</v>
      </c>
      <c r="C91" s="4">
        <f>'CARTA DE CONTROL'!AO56</f>
        <v>0</v>
      </c>
      <c r="D91" s="6">
        <f>'CARTA DE CONTROL'!O56</f>
        <v>0.4</v>
      </c>
      <c r="E91" s="5" t="str">
        <f t="shared" si="3"/>
        <v>PASS</v>
      </c>
    </row>
    <row r="92" spans="2:5" ht="15.75" thickBot="1" x14ac:dyDescent="0.3">
      <c r="B92" s="3">
        <f>'CARTA DE CONTROL'!R57</f>
        <v>0</v>
      </c>
      <c r="C92" s="4">
        <f>'CARTA DE CONTROL'!AO57</f>
        <v>0</v>
      </c>
      <c r="D92" s="6">
        <f>'CARTA DE CONTROL'!O57</f>
        <v>0.4</v>
      </c>
      <c r="E92" s="5" t="str">
        <f t="shared" si="3"/>
        <v>PASS</v>
      </c>
    </row>
    <row r="93" spans="2:5" ht="15.75" thickBot="1" x14ac:dyDescent="0.3">
      <c r="B93" s="3">
        <f>'CARTA DE CONTROL'!R70</f>
        <v>0</v>
      </c>
      <c r="C93" s="4">
        <f>'CARTA DE CONTROL'!AO70</f>
        <v>0</v>
      </c>
      <c r="D93" s="6">
        <f>'CARTA DE CONTROL'!O70</f>
        <v>0.4</v>
      </c>
      <c r="E93" s="5" t="str">
        <f t="shared" si="3"/>
        <v>PASS</v>
      </c>
    </row>
    <row r="94" spans="2:5" ht="15.75" thickBot="1" x14ac:dyDescent="0.3">
      <c r="B94" s="3">
        <f>'CARTA DE CONTROL'!R71</f>
        <v>0</v>
      </c>
      <c r="C94" s="4">
        <f>'CARTA DE CONTROL'!AO71</f>
        <v>0</v>
      </c>
      <c r="D94" s="6">
        <f>'CARTA DE CONTROL'!O71</f>
        <v>0.4</v>
      </c>
      <c r="E94" s="5" t="str">
        <f t="shared" si="3"/>
        <v>PASS</v>
      </c>
    </row>
    <row r="95" spans="2:5" ht="15.75" thickBot="1" x14ac:dyDescent="0.3">
      <c r="B95" s="3">
        <f>'CARTA DE CONTROL'!R72</f>
        <v>0</v>
      </c>
      <c r="C95" s="4">
        <f>'CARTA DE CONTROL'!AO72</f>
        <v>0</v>
      </c>
      <c r="D95" s="6">
        <f>'CARTA DE CONTROL'!O72</f>
        <v>0.4</v>
      </c>
      <c r="E95" s="5" t="str">
        <f t="shared" si="3"/>
        <v>PASS</v>
      </c>
    </row>
    <row r="96" spans="2:5" ht="15.75" thickBot="1" x14ac:dyDescent="0.3">
      <c r="B96" s="3">
        <f>'CARTA DE CONTROL'!R73</f>
        <v>0</v>
      </c>
      <c r="C96" s="4">
        <f>'CARTA DE CONTROL'!AO73</f>
        <v>0.01</v>
      </c>
      <c r="D96" s="6">
        <f>'CARTA DE CONTROL'!O73</f>
        <v>0.4</v>
      </c>
      <c r="E96" s="5" t="str">
        <f t="shared" si="3"/>
        <v>PASS</v>
      </c>
    </row>
  </sheetData>
  <mergeCells count="54">
    <mergeCell ref="B67:E67"/>
    <mergeCell ref="B87:E8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E69:E72 E89:E96">
    <cfRule type="cellIs" dxfId="106" priority="26" operator="lessThan">
      <formula>$H$88</formula>
    </cfRule>
    <cfRule type="cellIs" dxfId="105" priority="27" operator="lessThan">
      <formula>0.05</formula>
    </cfRule>
  </conditionalFormatting>
  <conditionalFormatting sqref="G40:G47">
    <cfRule type="cellIs" dxfId="104" priority="100" operator="lessThan">
      <formula>#REF!</formula>
    </cfRule>
    <cfRule type="cellIs" dxfId="103" priority="101" operator="lessThan">
      <formula>0.05</formula>
    </cfRule>
  </conditionalFormatting>
  <conditionalFormatting sqref="G40:G47">
    <cfRule type="cellIs" dxfId="102" priority="102" operator="between">
      <formula>#REF!</formula>
      <formula>#REF!</formula>
    </cfRule>
  </conditionalFormatting>
  <pageMargins left="0.7" right="0.7" top="0.75" bottom="0.75" header="0.3" footer="0.3"/>
  <pageSetup paperSize="1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70" workbookViewId="0">
      <selection activeCell="E43" sqref="E43"/>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CONTROL'!B74</f>
        <v>TEMPERATURA 4 TIEMPOS</v>
      </c>
      <c r="D7" s="659"/>
      <c r="E7" s="660"/>
    </row>
    <row r="8" spans="1:11" x14ac:dyDescent="0.25">
      <c r="B8" s="241" t="s">
        <v>176</v>
      </c>
      <c r="C8" s="658" t="str">
        <f>'CARTA DE CONTROL'!D74</f>
        <v>BRAIN BEE</v>
      </c>
      <c r="D8" s="659"/>
      <c r="E8" s="660"/>
    </row>
    <row r="9" spans="1:11" x14ac:dyDescent="0.25">
      <c r="B9" s="241" t="s">
        <v>177</v>
      </c>
      <c r="C9" s="658" t="str">
        <f>'CARTA DE CONTROL'!E74</f>
        <v xml:space="preserve"> MGT 300 EVO</v>
      </c>
      <c r="D9" s="659"/>
      <c r="E9" s="660"/>
    </row>
    <row r="10" spans="1:11" x14ac:dyDescent="0.25">
      <c r="B10" s="241" t="s">
        <v>178</v>
      </c>
      <c r="C10" s="686">
        <f>'CARTA DE CONTROL'!F74</f>
        <v>170228000012</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8" s="1" customFormat="1" ht="25.5" customHeight="1" x14ac:dyDescent="0.2">
      <c r="A33" s="226">
        <v>2</v>
      </c>
      <c r="B33" s="675" t="s">
        <v>169</v>
      </c>
      <c r="C33" s="675"/>
      <c r="D33" s="675"/>
      <c r="E33" s="209" t="s">
        <v>168</v>
      </c>
      <c r="F33" s="676"/>
      <c r="G33" s="677"/>
    </row>
    <row r="34" spans="1:8" s="1" customFormat="1" ht="25.5" customHeight="1" x14ac:dyDescent="0.2">
      <c r="A34" s="226">
        <v>3</v>
      </c>
      <c r="B34" s="675" t="s">
        <v>170</v>
      </c>
      <c r="C34" s="675"/>
      <c r="D34" s="675"/>
      <c r="E34" s="209" t="s">
        <v>168</v>
      </c>
      <c r="F34" s="676"/>
      <c r="G34" s="677"/>
    </row>
    <row r="35" spans="1:8" s="1" customFormat="1" ht="25.5" customHeight="1" x14ac:dyDescent="0.2">
      <c r="A35" s="226">
        <v>4</v>
      </c>
      <c r="B35" s="675" t="s">
        <v>171</v>
      </c>
      <c r="C35" s="675"/>
      <c r="D35" s="675"/>
      <c r="E35" s="209" t="s">
        <v>172</v>
      </c>
      <c r="F35" s="676"/>
      <c r="G35" s="677"/>
    </row>
    <row r="36" spans="1:8" s="1" customFormat="1" ht="25.5" customHeight="1" x14ac:dyDescent="0.2">
      <c r="A36" s="226">
        <v>5</v>
      </c>
      <c r="B36" s="675" t="s">
        <v>173</v>
      </c>
      <c r="C36" s="675"/>
      <c r="D36" s="675"/>
      <c r="E36" s="209" t="s">
        <v>172</v>
      </c>
      <c r="F36" s="684"/>
      <c r="G36" s="685"/>
    </row>
    <row r="37" spans="1:8" s="1" customFormat="1" ht="25.5" customHeight="1" thickBot="1" x14ac:dyDescent="0.25">
      <c r="A37" s="227">
        <v>6</v>
      </c>
      <c r="B37" s="678" t="s">
        <v>174</v>
      </c>
      <c r="C37" s="678"/>
      <c r="D37" s="678"/>
      <c r="E37" s="228" t="s">
        <v>172</v>
      </c>
      <c r="F37" s="679"/>
      <c r="G37" s="680"/>
    </row>
    <row r="38" spans="1:8" ht="15.75" thickBot="1" x14ac:dyDescent="0.3"/>
    <row r="39" spans="1:8" ht="79.5" thickBot="1" x14ac:dyDescent="0.3">
      <c r="B39" s="2" t="s">
        <v>41</v>
      </c>
      <c r="C39" s="11" t="s">
        <v>100</v>
      </c>
      <c r="D39" s="11" t="s">
        <v>101</v>
      </c>
      <c r="E39" s="2" t="s">
        <v>102</v>
      </c>
      <c r="F39" s="2" t="s">
        <v>103</v>
      </c>
      <c r="G39" s="21" t="s">
        <v>104</v>
      </c>
    </row>
    <row r="40" spans="1:8" ht="15.75" thickBot="1" x14ac:dyDescent="0.3">
      <c r="B40" s="3">
        <f>'CARTA DE CONTROL'!R74</f>
        <v>39.76</v>
      </c>
      <c r="C40" s="4">
        <f>'CARTA DE CONTROL'!AR74</f>
        <v>3.066571288823674</v>
      </c>
      <c r="D40" s="4">
        <f>'CARTA DE CONTROL'!AS74</f>
        <v>-1.2865712888236729</v>
      </c>
      <c r="E40" s="6">
        <f>'CARTA DE CONTROL'!I74</f>
        <v>5</v>
      </c>
      <c r="F40" s="7">
        <f>-('CARTA DE CONTROL'!I74)</f>
        <v>-5</v>
      </c>
      <c r="G40" s="5" t="str">
        <f>IF(C40&lt;=5,IF(D40&gt;=-5,"PASS","NO PASS"))</f>
        <v>PASS</v>
      </c>
    </row>
    <row r="41" spans="1:8" ht="15.75" thickBot="1" x14ac:dyDescent="0.3">
      <c r="B41" s="3">
        <f>'CARTA DE CONTROL'!R75</f>
        <v>59.71</v>
      </c>
      <c r="C41" s="4">
        <f>'CARTA DE CONTROL'!AR75</f>
        <v>1.4275668449197894</v>
      </c>
      <c r="D41" s="4">
        <f>'CARTA DE CONTROL'!AS75</f>
        <v>-1.7475668449197825</v>
      </c>
      <c r="E41" s="6">
        <f>'CARTA DE CONTROL'!I75</f>
        <v>5</v>
      </c>
      <c r="F41" s="7">
        <f>-('CARTA DE CONTROL'!I75)</f>
        <v>-5</v>
      </c>
      <c r="G41" s="5" t="str">
        <f t="shared" ref="G41:G42" si="0">IF(C41&lt;=5,IF(D41&gt;=-5,"PASS","NO PASS"))</f>
        <v>PASS</v>
      </c>
    </row>
    <row r="42" spans="1:8" ht="15.75" thickBot="1" x14ac:dyDescent="0.3">
      <c r="B42" s="3">
        <f>'CARTA DE CONTROL'!R76</f>
        <v>99.5</v>
      </c>
      <c r="C42" s="4">
        <f>'CARTA DE CONTROL'!AR76</f>
        <v>1.092735745064642</v>
      </c>
      <c r="D42" s="4">
        <f>'CARTA DE CONTROL'!AS76</f>
        <v>-1.5127357450646295</v>
      </c>
      <c r="E42" s="6">
        <f>'CARTA DE CONTROL'!I76</f>
        <v>5</v>
      </c>
      <c r="F42" s="7">
        <f>-('CARTA DE CONTROL'!I76)</f>
        <v>-5</v>
      </c>
      <c r="G42" s="5" t="str">
        <f t="shared" si="0"/>
        <v>PASS</v>
      </c>
    </row>
    <row r="43" spans="1:8" x14ac:dyDescent="0.25">
      <c r="A43" s="1"/>
      <c r="B43" s="1"/>
      <c r="C43" s="1"/>
      <c r="D43" s="1"/>
      <c r="E43" s="1"/>
      <c r="F43" s="1"/>
      <c r="G43" s="1"/>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4:D34"/>
    <mergeCell ref="F34:G34"/>
    <mergeCell ref="B35:D35"/>
    <mergeCell ref="F35:G35"/>
    <mergeCell ref="B36:D36"/>
    <mergeCell ref="F36:G36"/>
  </mergeCells>
  <conditionalFormatting sqref="G40">
    <cfRule type="cellIs" dxfId="101" priority="8" operator="lessThan">
      <formula>$F$70</formula>
    </cfRule>
    <cfRule type="cellIs" dxfId="100" priority="9" operator="lessThan">
      <formula>0.05</formula>
    </cfRule>
  </conditionalFormatting>
  <conditionalFormatting sqref="G40">
    <cfRule type="cellIs" dxfId="99" priority="7" operator="between">
      <formula>$F$70</formula>
      <formula>$G$70</formula>
    </cfRule>
  </conditionalFormatting>
  <conditionalFormatting sqref="G41:G42">
    <cfRule type="cellIs" dxfId="98" priority="2" operator="lessThan">
      <formula>$F$70</formula>
    </cfRule>
    <cfRule type="cellIs" dxfId="97" priority="3" operator="lessThan">
      <formula>0.05</formula>
    </cfRule>
  </conditionalFormatting>
  <conditionalFormatting sqref="G41:G42">
    <cfRule type="cellIs" dxfId="96" priority="1" operator="between">
      <formula>$F$70</formula>
      <formula>$G$70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49" workbookViewId="0">
      <selection activeCell="E42" sqref="E42"/>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CONTROL'!B77</f>
        <v>REVOLUCIONES POR MINUTO 4 TIEMPOS</v>
      </c>
      <c r="D7" s="659"/>
      <c r="E7" s="660"/>
    </row>
    <row r="8" spans="1:11" x14ac:dyDescent="0.25">
      <c r="B8" s="241" t="s">
        <v>176</v>
      </c>
      <c r="C8" s="658" t="str">
        <f>'CARTA DE CONTROL'!D74</f>
        <v>BRAIN BEE</v>
      </c>
      <c r="D8" s="659"/>
      <c r="E8" s="660"/>
    </row>
    <row r="9" spans="1:11" x14ac:dyDescent="0.25">
      <c r="B9" s="241" t="s">
        <v>177</v>
      </c>
      <c r="C9" s="658" t="str">
        <f>'CARTA DE CONTROL'!E74</f>
        <v xml:space="preserve"> MGT 300 EVO</v>
      </c>
      <c r="D9" s="659"/>
      <c r="E9" s="660"/>
    </row>
    <row r="10" spans="1:11" x14ac:dyDescent="0.25">
      <c r="B10" s="241" t="s">
        <v>178</v>
      </c>
      <c r="C10" s="686">
        <f>'CARTA DE CONTROL'!F74</f>
        <v>170228000012</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8" spans="1:7" s="1" customFormat="1" ht="25.5" customHeight="1" thickBot="1" x14ac:dyDescent="0.25">
      <c r="A38" s="205"/>
      <c r="B38" s="206"/>
      <c r="C38" s="206"/>
      <c r="D38" s="206"/>
      <c r="E38" s="207"/>
      <c r="F38" s="364"/>
      <c r="G38" s="364"/>
    </row>
    <row r="39" spans="1:7" ht="15.75" thickBot="1" x14ac:dyDescent="0.3">
      <c r="B39" s="681" t="s">
        <v>187</v>
      </c>
      <c r="C39" s="682"/>
      <c r="D39" s="682"/>
      <c r="E39" s="682"/>
      <c r="F39" s="682"/>
      <c r="G39" s="683"/>
    </row>
    <row r="40" spans="1:7" ht="79.5" thickBot="1" x14ac:dyDescent="0.3">
      <c r="B40" s="2" t="s">
        <v>41</v>
      </c>
      <c r="C40" s="11" t="s">
        <v>100</v>
      </c>
      <c r="D40" s="11" t="s">
        <v>101</v>
      </c>
      <c r="E40" s="2" t="s">
        <v>102</v>
      </c>
      <c r="F40" s="2" t="s">
        <v>103</v>
      </c>
      <c r="G40" s="21" t="s">
        <v>104</v>
      </c>
    </row>
    <row r="41" spans="1:7" ht="15.75" thickBot="1" x14ac:dyDescent="0.3">
      <c r="B41" s="3">
        <f>'CARTA DE CONTROL'!R77</f>
        <v>399.4</v>
      </c>
      <c r="C41" s="4">
        <f>'CARTA DE CONTROL'!AR77</f>
        <v>1.6274411617426197</v>
      </c>
      <c r="D41" s="4">
        <f>'CARTA DE CONTROL'!AS77</f>
        <v>-1.3269904857285872</v>
      </c>
      <c r="E41" s="6">
        <f>'CARTA DE CONTROL'!I77</f>
        <v>2</v>
      </c>
      <c r="F41" s="7">
        <f>-('CARTA DE CONTROL'!I77)</f>
        <v>-2</v>
      </c>
      <c r="G41" s="5" t="str">
        <f>IF(C41&lt;=2,IF(D41&gt;=-2,"PASS","NO PASS"))</f>
        <v>PASS</v>
      </c>
    </row>
    <row r="42" spans="1:7" ht="15.75" thickBot="1" x14ac:dyDescent="0.3">
      <c r="B42" s="3">
        <f>'CARTA DE CONTROL'!R78</f>
        <v>498.8</v>
      </c>
      <c r="C42" s="4">
        <f>'CARTA DE CONTROL'!AR78</f>
        <v>1.4434643143544483</v>
      </c>
      <c r="D42" s="4">
        <f>'CARTA DE CONTROL'!AS78</f>
        <v>-0.96230954290296944</v>
      </c>
      <c r="E42" s="6">
        <f>'CARTA DE CONTROL'!I79</f>
        <v>2</v>
      </c>
      <c r="F42" s="7">
        <f>-('CARTA DE CONTROL'!I79)</f>
        <v>-2</v>
      </c>
      <c r="G42" s="5" t="str">
        <f t="shared" ref="G42:G49" si="0">IF(C42&lt;=2,IF(D42&gt;=-2,"PASS","NO PASS"))</f>
        <v>PASS</v>
      </c>
    </row>
    <row r="43" spans="1:7" ht="15.75" thickBot="1" x14ac:dyDescent="0.3">
      <c r="B43" s="3">
        <f>'CARTA DE CONTROL'!R80</f>
        <v>800.7</v>
      </c>
      <c r="C43" s="4">
        <f>'CARTA DE CONTROL'!AR80</f>
        <v>0.72436617959285055</v>
      </c>
      <c r="D43" s="4">
        <f>'CARTA DE CONTROL'!AS80</f>
        <v>-0.89921318846010301</v>
      </c>
      <c r="E43" s="6">
        <f>'CARTA DE CONTROL'!I80</f>
        <v>2</v>
      </c>
      <c r="F43" s="7">
        <f>-('CARTA DE CONTROL'!I80)</f>
        <v>-2</v>
      </c>
      <c r="G43" s="5" t="str">
        <f t="shared" si="0"/>
        <v>PASS</v>
      </c>
    </row>
    <row r="44" spans="1:7" ht="15.75" thickBot="1" x14ac:dyDescent="0.3">
      <c r="B44" s="3">
        <f>'CARTA DE CONTROL'!R81</f>
        <v>997.5</v>
      </c>
      <c r="C44" s="4">
        <f>'CARTA DE CONTROL'!AR81</f>
        <v>0.95238095238095233</v>
      </c>
      <c r="D44" s="4">
        <f>'CARTA DE CONTROL'!AS81</f>
        <v>-0.45112781954887216</v>
      </c>
      <c r="E44" s="6">
        <f>'CARTA DE CONTROL'!I81</f>
        <v>2</v>
      </c>
      <c r="F44" s="7">
        <f>-('CARTA DE CONTROL'!I81)</f>
        <v>-2</v>
      </c>
      <c r="G44" s="5" t="str">
        <f t="shared" si="0"/>
        <v>PASS</v>
      </c>
    </row>
    <row r="45" spans="1:7" ht="15.75" thickBot="1" x14ac:dyDescent="0.3">
      <c r="B45" s="3">
        <f>'CARTA DE CONTROL'!R82</f>
        <v>1800</v>
      </c>
      <c r="C45" s="4">
        <f>'CARTA DE CONTROL'!AR82</f>
        <v>0.51111111111111107</v>
      </c>
      <c r="D45" s="4">
        <f>'CARTA DE CONTROL'!AS82</f>
        <v>-0.51111111111111107</v>
      </c>
      <c r="E45" s="6">
        <f>'CARTA DE CONTROL'!I82</f>
        <v>2</v>
      </c>
      <c r="F45" s="7">
        <f>-('CARTA DE CONTROL'!I82)</f>
        <v>-2</v>
      </c>
      <c r="G45" s="5" t="str">
        <f t="shared" si="0"/>
        <v>PASS</v>
      </c>
    </row>
    <row r="46" spans="1:7" ht="15.75" thickBot="1" x14ac:dyDescent="0.3">
      <c r="B46" s="3">
        <f>'CARTA DE CONTROL'!R83</f>
        <v>2499</v>
      </c>
      <c r="C46" s="4">
        <f>'CARTA DE CONTROL'!AR83</f>
        <v>0.52020808323329326</v>
      </c>
      <c r="D46" s="4">
        <f>'CARTA DE CONTROL'!AS83</f>
        <v>-0.44017607042817125</v>
      </c>
      <c r="E46" s="6">
        <f>'CARTA DE CONTROL'!I83</f>
        <v>2</v>
      </c>
      <c r="F46" s="7">
        <f>-('CARTA DE CONTROL'!I83)</f>
        <v>-2</v>
      </c>
      <c r="G46" s="5" t="str">
        <f t="shared" si="0"/>
        <v>PASS</v>
      </c>
    </row>
    <row r="47" spans="1:7" ht="15.75" thickBot="1" x14ac:dyDescent="0.3">
      <c r="B47" s="3">
        <f>'CARTA DE CONTROL'!R84</f>
        <v>3000</v>
      </c>
      <c r="C47" s="4">
        <f>'CARTA DE CONTROL'!AR84</f>
        <v>0.43333333333333335</v>
      </c>
      <c r="D47" s="4">
        <f>'CARTA DE CONTROL'!AS84</f>
        <v>-0.43333333333333335</v>
      </c>
      <c r="E47" s="6">
        <f>'CARTA DE CONTROL'!I84</f>
        <v>2</v>
      </c>
      <c r="F47" s="7">
        <f>-('CARTA DE CONTROL'!I84)</f>
        <v>-2</v>
      </c>
      <c r="G47" s="5" t="str">
        <f t="shared" si="0"/>
        <v>PASS</v>
      </c>
    </row>
    <row r="48" spans="1:7" ht="15.75" thickBot="1" x14ac:dyDescent="0.3">
      <c r="B48" s="3">
        <f>'CARTA DE CONTROL'!R85</f>
        <v>3999</v>
      </c>
      <c r="C48" s="4">
        <f>'CARTA DE CONTROL'!AR85</f>
        <v>0.45011252813203301</v>
      </c>
      <c r="D48" s="4">
        <f>'CARTA DE CONTROL'!AS85</f>
        <v>-0.40010002500625158</v>
      </c>
      <c r="E48" s="6">
        <f>'CARTA DE CONTROL'!I85</f>
        <v>2</v>
      </c>
      <c r="F48" s="7">
        <f>-('CARTA DE CONTROL'!I85)</f>
        <v>-2</v>
      </c>
      <c r="G48" s="5" t="str">
        <f t="shared" si="0"/>
        <v>PASS</v>
      </c>
    </row>
    <row r="49" spans="1:8" ht="15.75" thickBot="1" x14ac:dyDescent="0.3">
      <c r="B49" s="3">
        <f>'CARTA DE CONTROL'!R86</f>
        <v>7001</v>
      </c>
      <c r="C49" s="4">
        <f>'CARTA DE CONTROL'!AR86</f>
        <v>0.39994286530495643</v>
      </c>
      <c r="D49" s="4">
        <f>'CARTA DE CONTROL'!AS86</f>
        <v>-0.42851021282673901</v>
      </c>
      <c r="E49" s="6">
        <f>'CARTA DE CONTROL'!I86</f>
        <v>2</v>
      </c>
      <c r="F49" s="7">
        <f>-('CARTA DE CONTROL'!I86)</f>
        <v>-2</v>
      </c>
      <c r="G49" s="5" t="str">
        <f t="shared" si="0"/>
        <v>PASS</v>
      </c>
    </row>
    <row r="50" spans="1:8" ht="15.75" thickBot="1" x14ac:dyDescent="0.3">
      <c r="B50" s="3">
        <f>'CARTA DE CONTROL'!R88</f>
        <v>9004</v>
      </c>
      <c r="C50" s="4">
        <f>'CARTA DE CONTROL'!AR88</f>
        <v>0.36650377609951135</v>
      </c>
      <c r="D50" s="4">
        <f>'CARTA DE CONTROL'!AS88</f>
        <v>-0.45535317636605954</v>
      </c>
      <c r="E50" s="6">
        <f>'CARTA DE CONTROL'!I88</f>
        <v>2</v>
      </c>
      <c r="F50" s="7">
        <f>-('CARTA DE CONTROL'!I88)</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9:G39"/>
    <mergeCell ref="B37:D37"/>
    <mergeCell ref="F37:G37"/>
    <mergeCell ref="B34:D34"/>
    <mergeCell ref="F34:G34"/>
    <mergeCell ref="B35:D35"/>
    <mergeCell ref="F35:G35"/>
    <mergeCell ref="B36:D36"/>
    <mergeCell ref="F36:G36"/>
  </mergeCells>
  <conditionalFormatting sqref="G41:G50">
    <cfRule type="cellIs" dxfId="95" priority="2" operator="lessThan">
      <formula>$F$78</formula>
    </cfRule>
    <cfRule type="cellIs" dxfId="94" priority="3" operator="lessThan">
      <formula>0.05</formula>
    </cfRule>
  </conditionalFormatting>
  <conditionalFormatting sqref="G41:G50">
    <cfRule type="cellIs" dxfId="93" priority="1" operator="between">
      <formula>$F$78</formula>
      <formula>$G$78</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52" workbookViewId="0">
      <selection activeCell="F43" sqref="F43"/>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24"/>
    </row>
    <row r="2" spans="1:11" ht="15" customHeight="1" x14ac:dyDescent="0.25">
      <c r="B2" s="319"/>
      <c r="C2" s="319"/>
      <c r="D2" s="319"/>
      <c r="E2" s="225"/>
      <c r="F2" s="319"/>
      <c r="G2" s="319"/>
      <c r="H2" s="319"/>
    </row>
    <row r="3" spans="1:11" ht="15" customHeight="1" x14ac:dyDescent="0.25">
      <c r="B3" s="319"/>
      <c r="C3" s="319"/>
      <c r="D3" s="319"/>
      <c r="E3" s="225"/>
      <c r="F3" s="319"/>
      <c r="G3" s="319"/>
      <c r="H3" s="319"/>
    </row>
    <row r="4" spans="1:11" ht="15" customHeight="1" x14ac:dyDescent="0.25">
      <c r="B4" s="319"/>
      <c r="C4" s="319"/>
      <c r="D4" s="319"/>
      <c r="E4" s="225"/>
      <c r="F4" s="319"/>
      <c r="G4" s="319"/>
      <c r="H4" s="319"/>
    </row>
    <row r="5" spans="1:11" ht="15" customHeight="1" x14ac:dyDescent="0.25">
      <c r="B5" s="319"/>
      <c r="C5" s="319"/>
      <c r="D5" s="319"/>
      <c r="E5" s="225"/>
      <c r="F5" s="319"/>
      <c r="G5" s="319"/>
      <c r="H5" s="319"/>
    </row>
    <row r="6" spans="1:11" ht="15" customHeight="1" x14ac:dyDescent="0.25">
      <c r="B6" s="319"/>
      <c r="C6" s="319"/>
      <c r="D6" s="319"/>
      <c r="E6" s="225"/>
      <c r="F6" s="319"/>
      <c r="G6" s="319"/>
      <c r="H6" s="319"/>
    </row>
    <row r="7" spans="1:11" x14ac:dyDescent="0.25">
      <c r="B7" s="241" t="s">
        <v>175</v>
      </c>
      <c r="C7" s="658" t="str">
        <f>'CARTA DE CONTROL'!B90</f>
        <v>REVOLUCIONES POR MINUTO 4 TIEMPOS</v>
      </c>
      <c r="D7" s="659"/>
      <c r="E7" s="660"/>
    </row>
    <row r="8" spans="1:11" x14ac:dyDescent="0.25">
      <c r="B8" s="241" t="s">
        <v>176</v>
      </c>
      <c r="C8" s="658" t="str">
        <f>'CARTA DE CONTROL'!D90</f>
        <v>BRAIN BEE</v>
      </c>
      <c r="D8" s="659"/>
      <c r="E8" s="660"/>
    </row>
    <row r="9" spans="1:11" x14ac:dyDescent="0.25">
      <c r="B9" s="241" t="s">
        <v>177</v>
      </c>
      <c r="C9" s="658" t="str">
        <f>'CARTA DE CONTROL'!E90</f>
        <v xml:space="preserve"> MGT 300 EVO</v>
      </c>
      <c r="D9" s="659"/>
      <c r="E9" s="660"/>
    </row>
    <row r="10" spans="1:11" x14ac:dyDescent="0.25">
      <c r="B10" s="241" t="s">
        <v>178</v>
      </c>
      <c r="C10" s="686">
        <f>'CARTA DE CONTROL'!F90</f>
        <v>170228000012</v>
      </c>
      <c r="D10" s="687"/>
      <c r="E10" s="688"/>
    </row>
    <row r="11" spans="1:11" ht="15" customHeight="1" thickBot="1" x14ac:dyDescent="0.3">
      <c r="B11" s="319"/>
      <c r="C11" s="319"/>
      <c r="D11" s="319"/>
      <c r="E11" s="225"/>
      <c r="F11" s="319"/>
      <c r="G11" s="31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321" t="s">
        <v>148</v>
      </c>
      <c r="F13" s="654" t="s">
        <v>149</v>
      </c>
      <c r="G13" s="655"/>
      <c r="H13" s="215"/>
      <c r="I13" s="215"/>
      <c r="J13" s="215"/>
      <c r="K13" s="215"/>
    </row>
    <row r="14" spans="1:11" s="1" customFormat="1" ht="35.25" customHeight="1" x14ac:dyDescent="0.2">
      <c r="A14" s="218">
        <v>1</v>
      </c>
      <c r="B14" s="648" t="s">
        <v>150</v>
      </c>
      <c r="C14" s="648"/>
      <c r="D14" s="648"/>
      <c r="E14" s="320" t="s">
        <v>151</v>
      </c>
      <c r="F14" s="649"/>
      <c r="G14" s="650"/>
      <c r="H14" s="216"/>
      <c r="I14" s="216"/>
      <c r="J14" s="216"/>
      <c r="K14" s="216"/>
    </row>
    <row r="15" spans="1:11" s="1" customFormat="1" ht="35.25" customHeight="1" x14ac:dyDescent="0.2">
      <c r="A15" s="218">
        <v>2</v>
      </c>
      <c r="B15" s="648" t="s">
        <v>152</v>
      </c>
      <c r="C15" s="648"/>
      <c r="D15" s="648"/>
      <c r="E15" s="320" t="s">
        <v>151</v>
      </c>
      <c r="F15" s="649"/>
      <c r="G15" s="650"/>
    </row>
    <row r="16" spans="1:11" s="1" customFormat="1" ht="35.25" customHeight="1" x14ac:dyDescent="0.2">
      <c r="A16" s="218">
        <v>3</v>
      </c>
      <c r="B16" s="648" t="s">
        <v>153</v>
      </c>
      <c r="C16" s="648"/>
      <c r="D16" s="648"/>
      <c r="E16" s="320" t="s">
        <v>151</v>
      </c>
      <c r="F16" s="649"/>
      <c r="G16" s="650"/>
    </row>
    <row r="17" spans="1:11" s="1" customFormat="1" ht="35.25" customHeight="1" x14ac:dyDescent="0.2">
      <c r="A17" s="218">
        <v>4</v>
      </c>
      <c r="B17" s="648" t="s">
        <v>154</v>
      </c>
      <c r="C17" s="648"/>
      <c r="D17" s="648"/>
      <c r="E17" s="320" t="s">
        <v>151</v>
      </c>
      <c r="F17" s="656"/>
      <c r="G17" s="657"/>
    </row>
    <row r="18" spans="1:11" s="1" customFormat="1" ht="35.25" customHeight="1" x14ac:dyDescent="0.2">
      <c r="A18" s="218">
        <v>5</v>
      </c>
      <c r="B18" s="648" t="s">
        <v>155</v>
      </c>
      <c r="C18" s="648"/>
      <c r="D18" s="648"/>
      <c r="E18" s="320" t="s">
        <v>151</v>
      </c>
      <c r="F18" s="649"/>
      <c r="G18" s="650"/>
    </row>
    <row r="19" spans="1:11" s="1" customFormat="1" ht="35.25" customHeight="1" x14ac:dyDescent="0.2">
      <c r="A19" s="218">
        <v>6</v>
      </c>
      <c r="B19" s="648" t="s">
        <v>156</v>
      </c>
      <c r="C19" s="648"/>
      <c r="D19" s="648"/>
      <c r="E19" s="320" t="s">
        <v>151</v>
      </c>
      <c r="F19" s="649"/>
      <c r="G19" s="650"/>
    </row>
    <row r="20" spans="1:11" s="1" customFormat="1" ht="35.25" customHeight="1" x14ac:dyDescent="0.2">
      <c r="A20" s="218">
        <v>7</v>
      </c>
      <c r="B20" s="648" t="s">
        <v>157</v>
      </c>
      <c r="C20" s="648"/>
      <c r="D20" s="648"/>
      <c r="E20" s="320" t="s">
        <v>151</v>
      </c>
      <c r="F20" s="649"/>
      <c r="G20" s="650"/>
    </row>
    <row r="21" spans="1:11" s="1" customFormat="1" ht="35.25" customHeight="1" x14ac:dyDescent="0.2">
      <c r="A21" s="218">
        <v>8</v>
      </c>
      <c r="B21" s="648" t="s">
        <v>158</v>
      </c>
      <c r="C21" s="648"/>
      <c r="D21" s="648"/>
      <c r="E21" s="320" t="s">
        <v>151</v>
      </c>
      <c r="F21" s="649"/>
      <c r="G21" s="650"/>
    </row>
    <row r="22" spans="1:11" s="1" customFormat="1" ht="35.25" customHeight="1" x14ac:dyDescent="0.2">
      <c r="A22" s="218">
        <v>9</v>
      </c>
      <c r="B22" s="648" t="s">
        <v>159</v>
      </c>
      <c r="C22" s="648"/>
      <c r="D22" s="648"/>
      <c r="E22" s="320" t="s">
        <v>151</v>
      </c>
      <c r="F22" s="649"/>
      <c r="G22" s="650"/>
    </row>
    <row r="23" spans="1:11" s="1" customFormat="1" ht="35.25" customHeight="1" x14ac:dyDescent="0.2">
      <c r="A23" s="218">
        <v>10</v>
      </c>
      <c r="B23" s="648" t="s">
        <v>160</v>
      </c>
      <c r="C23" s="648"/>
      <c r="D23" s="648"/>
      <c r="E23" s="320" t="s">
        <v>151</v>
      </c>
      <c r="F23" s="649"/>
      <c r="G23" s="650"/>
    </row>
    <row r="24" spans="1:11" s="1" customFormat="1" ht="35.25" customHeight="1" x14ac:dyDescent="0.2">
      <c r="A24" s="218">
        <v>11</v>
      </c>
      <c r="B24" s="648" t="s">
        <v>161</v>
      </c>
      <c r="C24" s="648"/>
      <c r="D24" s="648"/>
      <c r="E24" s="320"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320" t="s">
        <v>151</v>
      </c>
      <c r="F26" s="649"/>
      <c r="G26" s="650"/>
    </row>
    <row r="27" spans="1:11" s="1" customFormat="1" ht="35.25" customHeight="1" x14ac:dyDescent="0.2">
      <c r="A27" s="218">
        <v>14</v>
      </c>
      <c r="B27" s="648" t="s">
        <v>164</v>
      </c>
      <c r="C27" s="648"/>
      <c r="D27" s="648"/>
      <c r="E27" s="320" t="s">
        <v>151</v>
      </c>
      <c r="F27" s="649"/>
      <c r="G27" s="650"/>
    </row>
    <row r="28" spans="1:11" s="1" customFormat="1" ht="54.75" customHeight="1" thickBot="1" x14ac:dyDescent="0.25">
      <c r="A28" s="220">
        <v>15</v>
      </c>
      <c r="B28" s="667" t="s">
        <v>165</v>
      </c>
      <c r="C28" s="667"/>
      <c r="D28" s="667"/>
      <c r="E28" s="3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323"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8" spans="1:7" s="1" customFormat="1" ht="25.5" customHeight="1" thickBot="1" x14ac:dyDescent="0.25">
      <c r="A38" s="205"/>
      <c r="B38" s="206"/>
      <c r="C38" s="206"/>
      <c r="D38" s="206"/>
      <c r="E38" s="207"/>
      <c r="F38" s="364"/>
      <c r="G38" s="364"/>
    </row>
    <row r="39" spans="1:7" ht="15.75" thickBot="1" x14ac:dyDescent="0.3">
      <c r="B39" s="681" t="s">
        <v>187</v>
      </c>
      <c r="C39" s="682"/>
      <c r="D39" s="682"/>
      <c r="E39" s="682"/>
      <c r="F39" s="682"/>
      <c r="G39" s="683"/>
    </row>
    <row r="40" spans="1:7" ht="79.5" thickBot="1" x14ac:dyDescent="0.3">
      <c r="B40" s="2" t="s">
        <v>41</v>
      </c>
      <c r="C40" s="11" t="s">
        <v>100</v>
      </c>
      <c r="D40" s="11" t="s">
        <v>101</v>
      </c>
      <c r="E40" s="2" t="s">
        <v>102</v>
      </c>
      <c r="F40" s="2" t="s">
        <v>103</v>
      </c>
      <c r="G40" s="21" t="s">
        <v>104</v>
      </c>
    </row>
    <row r="41" spans="1:7" ht="15.75" thickBot="1" x14ac:dyDescent="0.3">
      <c r="B41" s="3">
        <f>'CARTA DE CONTROL'!R90</f>
        <v>399.4</v>
      </c>
      <c r="C41" s="4">
        <f>'CARTA DE CONTROL'!AR90</f>
        <v>1.6274411617426197</v>
      </c>
      <c r="D41" s="4">
        <f>'CARTA DE CONTROL'!AS90</f>
        <v>-1.3269904857285872</v>
      </c>
      <c r="E41" s="6">
        <f>'CARTA DE CONTROL'!I90</f>
        <v>2</v>
      </c>
      <c r="F41" s="7">
        <f>-('CARTA DE CONTROL'!I90)</f>
        <v>-2</v>
      </c>
      <c r="G41" s="5" t="str">
        <f>IF(C41&lt;=2,IF(D41&gt;=-2,"PASS","NO PASS"))</f>
        <v>PASS</v>
      </c>
    </row>
    <row r="42" spans="1:7" ht="15.75" thickBot="1" x14ac:dyDescent="0.3">
      <c r="B42" s="3">
        <f>'CARTA DE CONTROL'!R91</f>
        <v>500.6</v>
      </c>
      <c r="C42" s="4">
        <f>'CARTA DE CONTROL'!AR91</f>
        <v>1.0787055533359922</v>
      </c>
      <c r="D42" s="4">
        <f>'CARTA DE CONTROL'!AS91</f>
        <v>-1.3184178985217783</v>
      </c>
      <c r="E42" s="6">
        <f>'CARTA DE CONTROL'!I92</f>
        <v>2</v>
      </c>
      <c r="F42" s="7">
        <f>-('CARTA DE CONTROL'!I92)</f>
        <v>-2</v>
      </c>
      <c r="G42" s="5" t="str">
        <f t="shared" ref="G42:G48" si="0">IF(C42&lt;=2,IF(D42&gt;=-2,"PASS","NO PASS"))</f>
        <v>PASS</v>
      </c>
    </row>
    <row r="43" spans="1:7" ht="15.75" thickBot="1" x14ac:dyDescent="0.3">
      <c r="B43" s="3">
        <f>'CARTA DE CONTROL'!R93</f>
        <v>800.7</v>
      </c>
      <c r="C43" s="4">
        <f>'CARTA DE CONTROL'!AR93</f>
        <v>0.72436617959285055</v>
      </c>
      <c r="D43" s="4">
        <f>'CARTA DE CONTROL'!AS93</f>
        <v>-0.89921318846010301</v>
      </c>
      <c r="E43" s="6">
        <f>'CARTA DE CONTROL'!I93</f>
        <v>2</v>
      </c>
      <c r="F43" s="7">
        <f>-('CARTA DE CONTROL'!I93)</f>
        <v>-2</v>
      </c>
      <c r="G43" s="5" t="str">
        <f t="shared" si="0"/>
        <v>PASS</v>
      </c>
    </row>
    <row r="44" spans="1:7" ht="15.75" thickBot="1" x14ac:dyDescent="0.3">
      <c r="B44" s="3">
        <f>'CARTA DE CONTROL'!R94</f>
        <v>997.5</v>
      </c>
      <c r="C44" s="4">
        <f>'CARTA DE CONTROL'!AR94</f>
        <v>0.95238095238095233</v>
      </c>
      <c r="D44" s="4">
        <f>'CARTA DE CONTROL'!AS94</f>
        <v>-0.45112781954887216</v>
      </c>
      <c r="E44" s="6">
        <f>'CARTA DE CONTROL'!I94</f>
        <v>2</v>
      </c>
      <c r="F44" s="7">
        <f>-('CARTA DE CONTROL'!I94)</f>
        <v>-2</v>
      </c>
      <c r="G44" s="5" t="str">
        <f t="shared" si="0"/>
        <v>PASS</v>
      </c>
    </row>
    <row r="45" spans="1:7" ht="15.75" thickBot="1" x14ac:dyDescent="0.3">
      <c r="B45" s="3">
        <f>'CARTA DE CONTROL'!R95</f>
        <v>1800</v>
      </c>
      <c r="C45" s="4">
        <f>'CARTA DE CONTROL'!AR95</f>
        <v>1.6277777777777778</v>
      </c>
      <c r="D45" s="4">
        <f>'CARTA DE CONTROL'!AS95</f>
        <v>0.59444444444444444</v>
      </c>
      <c r="E45" s="6">
        <f>'CARTA DE CONTROL'!I95</f>
        <v>2</v>
      </c>
      <c r="F45" s="7">
        <f>-('CARTA DE CONTROL'!I95)</f>
        <v>-2</v>
      </c>
      <c r="G45" s="5" t="str">
        <f t="shared" si="0"/>
        <v>PASS</v>
      </c>
    </row>
    <row r="46" spans="1:7" ht="15.75" thickBot="1" x14ac:dyDescent="0.3">
      <c r="B46" s="3">
        <f>'CARTA DE CONTROL'!R96</f>
        <v>2499</v>
      </c>
      <c r="C46" s="4">
        <f>'CARTA DE CONTROL'!AR96</f>
        <v>1.720688275310124</v>
      </c>
      <c r="D46" s="4">
        <f>'CARTA DE CONTROL'!AS96</f>
        <v>0.76030412164865957</v>
      </c>
      <c r="E46" s="6">
        <f>'CARTA DE CONTROL'!I96</f>
        <v>2</v>
      </c>
      <c r="F46" s="7">
        <f>-('CARTA DE CONTROL'!I96)</f>
        <v>-2</v>
      </c>
      <c r="G46" s="5" t="str">
        <f t="shared" si="0"/>
        <v>PASS</v>
      </c>
    </row>
    <row r="47" spans="1:7" ht="15.75" thickBot="1" x14ac:dyDescent="0.3">
      <c r="B47" s="3">
        <f>'CARTA DE CONTROL'!R97</f>
        <v>3000</v>
      </c>
      <c r="C47" s="4">
        <f>'CARTA DE CONTROL'!AR97</f>
        <v>1.7999999999999998</v>
      </c>
      <c r="D47" s="4">
        <f>'CARTA DE CONTROL'!AS97</f>
        <v>0.86666666666666659</v>
      </c>
      <c r="E47" s="6">
        <f>'CARTA DE CONTROL'!I97</f>
        <v>2</v>
      </c>
      <c r="F47" s="7">
        <f>-('CARTA DE CONTROL'!I97)</f>
        <v>-2</v>
      </c>
      <c r="G47" s="5" t="str">
        <f t="shared" si="0"/>
        <v>PASS</v>
      </c>
    </row>
    <row r="48" spans="1:7" ht="15.75" thickBot="1" x14ac:dyDescent="0.3">
      <c r="B48" s="3">
        <f>'CARTA DE CONTROL'!R98</f>
        <v>3999</v>
      </c>
      <c r="C48" s="4">
        <f>'CARTA DE CONTROL'!AR98</f>
        <v>1.7004251062765692</v>
      </c>
      <c r="D48" s="4">
        <f>'CARTA DE CONTROL'!AS98</f>
        <v>0.8502125531382847</v>
      </c>
      <c r="E48" s="6">
        <f>'CARTA DE CONTROL'!I98</f>
        <v>2</v>
      </c>
      <c r="F48" s="7">
        <f>-('CARTA DE CONTROL'!I98)</f>
        <v>-2</v>
      </c>
      <c r="G48" s="5" t="str">
        <f t="shared" si="0"/>
        <v>PASS</v>
      </c>
    </row>
    <row r="49" spans="1:8" ht="15.75" thickBot="1" x14ac:dyDescent="0.3">
      <c r="B49" s="3">
        <f>'CARTA DE CONTROL'!R99</f>
        <v>7001</v>
      </c>
      <c r="C49" s="4">
        <f>'CARTA DE CONTROL'!AR99</f>
        <v>0.82845307813169544</v>
      </c>
      <c r="D49" s="4">
        <f>'CARTA DE CONTROL'!AS99</f>
        <v>0</v>
      </c>
      <c r="E49" s="6">
        <f>'CARTA DE CONTROL'!I99</f>
        <v>2</v>
      </c>
      <c r="F49" s="7">
        <f>-('CARTA DE CONTROL'!I99)</f>
        <v>-2</v>
      </c>
      <c r="G49" s="5" t="str">
        <f>IF(C49&lt;=2,IF(D49&gt;=-2,"PASS","NO PASS"))</f>
        <v>PASS</v>
      </c>
    </row>
    <row r="50" spans="1:8" ht="15.75" thickBot="1" x14ac:dyDescent="0.3">
      <c r="B50" s="3">
        <f>'CARTA DE CONTROL'!R101</f>
        <v>9004</v>
      </c>
      <c r="C50" s="4">
        <f>'CARTA DE CONTROL'!AR101</f>
        <v>0.69968902709906711</v>
      </c>
      <c r="D50" s="4">
        <f>'CARTA DE CONTROL'!AS101</f>
        <v>-0.12216792536650378</v>
      </c>
      <c r="E50" s="6">
        <f>'CARTA DE CONTROL'!I101</f>
        <v>2</v>
      </c>
      <c r="F50" s="7">
        <f>-('CARTA DE CONTROL'!I101)</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9:G39"/>
    <mergeCell ref="B34:D34"/>
    <mergeCell ref="F34:G34"/>
    <mergeCell ref="B35:D35"/>
    <mergeCell ref="F35:G35"/>
    <mergeCell ref="B36:D36"/>
    <mergeCell ref="F36:G36"/>
  </mergeCells>
  <conditionalFormatting sqref="G41:G50">
    <cfRule type="cellIs" dxfId="92" priority="103" operator="lessThan">
      <formula>$F$78</formula>
    </cfRule>
    <cfRule type="cellIs" dxfId="91" priority="104" operator="lessThan">
      <formula>0.05</formula>
    </cfRule>
  </conditionalFormatting>
  <conditionalFormatting sqref="G41:G50">
    <cfRule type="cellIs" dxfId="90" priority="107" operator="between">
      <formula>$F$78</formula>
      <formula>$G$78</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79" workbookViewId="0">
      <selection activeCell="B76" sqref="B76"/>
    </sheetView>
  </sheetViews>
  <sheetFormatPr baseColWidth="10" defaultRowHeight="15" x14ac:dyDescent="0.25"/>
  <cols>
    <col min="1" max="1" width="7" customWidth="1"/>
    <col min="2" max="2" width="22.85546875" customWidth="1"/>
    <col min="3" max="3" width="21.7109375" customWidth="1"/>
    <col min="4" max="4" width="21" customWidth="1"/>
    <col min="5" max="5" width="22.7109375" customWidth="1"/>
  </cols>
  <sheetData>
    <row r="1" spans="1:11" ht="15" customHeight="1" x14ac:dyDescent="0.25">
      <c r="E1" s="224"/>
    </row>
    <row r="2" spans="1:11" ht="15" customHeight="1" x14ac:dyDescent="0.25">
      <c r="B2" s="199"/>
      <c r="C2" s="199"/>
      <c r="D2" s="199"/>
      <c r="E2" s="225"/>
      <c r="F2" s="199"/>
      <c r="G2" s="199"/>
      <c r="H2" s="199"/>
    </row>
    <row r="3" spans="1:11" ht="15" customHeight="1" x14ac:dyDescent="0.25">
      <c r="B3" s="199"/>
      <c r="C3" s="199"/>
      <c r="D3" s="199"/>
      <c r="E3" s="225"/>
      <c r="F3" s="199"/>
      <c r="G3" s="199"/>
      <c r="H3" s="199"/>
    </row>
    <row r="4" spans="1:11" ht="15" customHeight="1" x14ac:dyDescent="0.25">
      <c r="B4" s="199"/>
      <c r="C4" s="199"/>
      <c r="D4" s="199"/>
      <c r="E4" s="225"/>
      <c r="F4" s="199"/>
      <c r="G4" s="199"/>
      <c r="H4" s="199"/>
    </row>
    <row r="5" spans="1:11" ht="15" customHeight="1" x14ac:dyDescent="0.25">
      <c r="B5" s="199"/>
      <c r="C5" s="199"/>
      <c r="D5" s="199"/>
      <c r="E5" s="225"/>
      <c r="F5" s="199"/>
      <c r="G5" s="199"/>
      <c r="H5" s="199"/>
    </row>
    <row r="6" spans="1:11" ht="15" customHeight="1" x14ac:dyDescent="0.25">
      <c r="B6" s="199"/>
      <c r="C6" s="199"/>
      <c r="D6" s="199"/>
      <c r="E6" s="225"/>
      <c r="F6" s="199"/>
      <c r="G6" s="199"/>
      <c r="H6" s="199"/>
    </row>
    <row r="7" spans="1:11" x14ac:dyDescent="0.25">
      <c r="B7" s="241" t="s">
        <v>175</v>
      </c>
      <c r="C7" s="658" t="str">
        <f>'CARTA DE CONTROL'!B103</f>
        <v>FRENOMETRO MOTOS</v>
      </c>
      <c r="D7" s="659"/>
      <c r="E7" s="660"/>
    </row>
    <row r="8" spans="1:11" x14ac:dyDescent="0.25">
      <c r="B8" s="241" t="s">
        <v>176</v>
      </c>
      <c r="C8" s="658" t="str">
        <f>'CARTA DE CONTROL'!D103</f>
        <v>VAMAG</v>
      </c>
      <c r="D8" s="659"/>
      <c r="E8" s="660"/>
    </row>
    <row r="9" spans="1:11" x14ac:dyDescent="0.25">
      <c r="B9" s="241" t="s">
        <v>177</v>
      </c>
      <c r="C9" s="658" t="str">
        <f>'CARTA DE CONTROL'!E103</f>
        <v>RBT 1000 PN FW</v>
      </c>
      <c r="D9" s="659"/>
      <c r="E9" s="660"/>
    </row>
    <row r="10" spans="1:11" x14ac:dyDescent="0.25">
      <c r="B10" s="241" t="s">
        <v>178</v>
      </c>
      <c r="C10" s="686">
        <f>'CARTA DE CONTROL'!F103</f>
        <v>18062312</v>
      </c>
      <c r="D10" s="687"/>
      <c r="E10" s="688"/>
    </row>
    <row r="11" spans="1:11" ht="15" customHeight="1" thickBot="1" x14ac:dyDescent="0.3">
      <c r="B11" s="199"/>
      <c r="C11" s="199"/>
      <c r="D11" s="199"/>
      <c r="E11" s="225"/>
      <c r="F11" s="199"/>
      <c r="G11" s="199"/>
      <c r="H11" s="212"/>
      <c r="I11" s="213"/>
      <c r="J11" s="213"/>
      <c r="K11" s="213"/>
    </row>
    <row r="12" spans="1:11" s="200" customFormat="1" ht="34.5" customHeight="1" x14ac:dyDescent="0.2">
      <c r="A12" s="664" t="s">
        <v>145</v>
      </c>
      <c r="B12" s="665"/>
      <c r="C12" s="665"/>
      <c r="D12" s="665"/>
      <c r="E12" s="665"/>
      <c r="F12" s="665"/>
      <c r="G12" s="666"/>
      <c r="H12" s="214"/>
      <c r="I12" s="214"/>
      <c r="J12" s="214"/>
      <c r="K12" s="214"/>
    </row>
    <row r="13" spans="1:11" s="200" customFormat="1" ht="15" customHeight="1" x14ac:dyDescent="0.2">
      <c r="A13" s="217" t="s">
        <v>146</v>
      </c>
      <c r="B13" s="651" t="s">
        <v>147</v>
      </c>
      <c r="C13" s="652"/>
      <c r="D13" s="653"/>
      <c r="E13" s="211" t="s">
        <v>148</v>
      </c>
      <c r="F13" s="654" t="s">
        <v>149</v>
      </c>
      <c r="G13" s="655"/>
      <c r="H13" s="215"/>
      <c r="I13" s="215"/>
      <c r="J13" s="215"/>
      <c r="K13" s="215"/>
    </row>
    <row r="14" spans="1:11" s="1" customFormat="1" ht="35.25" customHeight="1" x14ac:dyDescent="0.2">
      <c r="A14" s="218">
        <v>1</v>
      </c>
      <c r="B14" s="648" t="s">
        <v>150</v>
      </c>
      <c r="C14" s="648"/>
      <c r="D14" s="648"/>
      <c r="E14" s="202" t="s">
        <v>151</v>
      </c>
      <c r="F14" s="649"/>
      <c r="G14" s="650"/>
      <c r="H14" s="216"/>
      <c r="I14" s="216"/>
      <c r="J14" s="216"/>
      <c r="K14" s="216"/>
    </row>
    <row r="15" spans="1:11" s="1" customFormat="1" ht="35.25" customHeight="1" x14ac:dyDescent="0.2">
      <c r="A15" s="218">
        <v>2</v>
      </c>
      <c r="B15" s="648" t="s">
        <v>152</v>
      </c>
      <c r="C15" s="648"/>
      <c r="D15" s="648"/>
      <c r="E15" s="202" t="s">
        <v>151</v>
      </c>
      <c r="F15" s="649"/>
      <c r="G15" s="650"/>
    </row>
    <row r="16" spans="1:11" s="1" customFormat="1" ht="35.25" customHeight="1" x14ac:dyDescent="0.2">
      <c r="A16" s="218">
        <v>3</v>
      </c>
      <c r="B16" s="648" t="s">
        <v>153</v>
      </c>
      <c r="C16" s="648"/>
      <c r="D16" s="648"/>
      <c r="E16" s="202" t="s">
        <v>151</v>
      </c>
      <c r="F16" s="649"/>
      <c r="G16" s="650"/>
    </row>
    <row r="17" spans="1:11" s="1" customFormat="1" ht="35.25" customHeight="1" x14ac:dyDescent="0.2">
      <c r="A17" s="218">
        <v>4</v>
      </c>
      <c r="B17" s="648" t="s">
        <v>154</v>
      </c>
      <c r="C17" s="648"/>
      <c r="D17" s="648"/>
      <c r="E17" s="202" t="s">
        <v>151</v>
      </c>
      <c r="F17" s="656"/>
      <c r="G17" s="657"/>
    </row>
    <row r="18" spans="1:11" s="1" customFormat="1" ht="35.25" customHeight="1" x14ac:dyDescent="0.2">
      <c r="A18" s="218">
        <v>5</v>
      </c>
      <c r="B18" s="648" t="s">
        <v>155</v>
      </c>
      <c r="C18" s="648"/>
      <c r="D18" s="648"/>
      <c r="E18" s="202" t="s">
        <v>151</v>
      </c>
      <c r="F18" s="649"/>
      <c r="G18" s="650"/>
    </row>
    <row r="19" spans="1:11" s="1" customFormat="1" ht="35.25" customHeight="1" x14ac:dyDescent="0.2">
      <c r="A19" s="218">
        <v>6</v>
      </c>
      <c r="B19" s="648" t="s">
        <v>156</v>
      </c>
      <c r="C19" s="648"/>
      <c r="D19" s="648"/>
      <c r="E19" s="202" t="s">
        <v>151</v>
      </c>
      <c r="F19" s="649"/>
      <c r="G19" s="650"/>
    </row>
    <row r="20" spans="1:11" s="1" customFormat="1" ht="35.25" customHeight="1" x14ac:dyDescent="0.2">
      <c r="A20" s="218">
        <v>7</v>
      </c>
      <c r="B20" s="648" t="s">
        <v>157</v>
      </c>
      <c r="C20" s="648"/>
      <c r="D20" s="648"/>
      <c r="E20" s="202" t="s">
        <v>151</v>
      </c>
      <c r="F20" s="649"/>
      <c r="G20" s="650"/>
    </row>
    <row r="21" spans="1:11" s="1" customFormat="1" ht="35.25" customHeight="1" x14ac:dyDescent="0.2">
      <c r="A21" s="218">
        <v>8</v>
      </c>
      <c r="B21" s="648" t="s">
        <v>158</v>
      </c>
      <c r="C21" s="648"/>
      <c r="D21" s="648"/>
      <c r="E21" s="202" t="s">
        <v>151</v>
      </c>
      <c r="F21" s="649"/>
      <c r="G21" s="650"/>
    </row>
    <row r="22" spans="1:11" s="1" customFormat="1" ht="35.25" customHeight="1" x14ac:dyDescent="0.2">
      <c r="A22" s="218">
        <v>9</v>
      </c>
      <c r="B22" s="648" t="s">
        <v>159</v>
      </c>
      <c r="C22" s="648"/>
      <c r="D22" s="648"/>
      <c r="E22" s="202" t="s">
        <v>151</v>
      </c>
      <c r="F22" s="649"/>
      <c r="G22" s="650"/>
    </row>
    <row r="23" spans="1:11" s="1" customFormat="1" ht="35.25" customHeight="1" x14ac:dyDescent="0.2">
      <c r="A23" s="218">
        <v>10</v>
      </c>
      <c r="B23" s="648" t="s">
        <v>160</v>
      </c>
      <c r="C23" s="648"/>
      <c r="D23" s="648"/>
      <c r="E23" s="202" t="s">
        <v>151</v>
      </c>
      <c r="F23" s="649"/>
      <c r="G23" s="650"/>
    </row>
    <row r="24" spans="1:11" s="1" customFormat="1" ht="35.25" customHeight="1" x14ac:dyDescent="0.2">
      <c r="A24" s="218">
        <v>11</v>
      </c>
      <c r="B24" s="648" t="s">
        <v>161</v>
      </c>
      <c r="C24" s="648"/>
      <c r="D24" s="648"/>
      <c r="E24" s="202" t="s">
        <v>151</v>
      </c>
      <c r="F24" s="649"/>
      <c r="G24" s="650"/>
    </row>
    <row r="25" spans="1:11" s="204" customFormat="1" ht="35.25" customHeight="1" x14ac:dyDescent="0.2">
      <c r="A25" s="219">
        <v>12</v>
      </c>
      <c r="B25" s="648" t="s">
        <v>162</v>
      </c>
      <c r="C25" s="648"/>
      <c r="D25" s="648"/>
      <c r="E25" s="203" t="s">
        <v>151</v>
      </c>
      <c r="F25" s="649"/>
      <c r="G25" s="650"/>
    </row>
    <row r="26" spans="1:11" s="1" customFormat="1" ht="35.25" customHeight="1" x14ac:dyDescent="0.2">
      <c r="A26" s="218">
        <v>13</v>
      </c>
      <c r="B26" s="648" t="s">
        <v>163</v>
      </c>
      <c r="C26" s="648"/>
      <c r="D26" s="648"/>
      <c r="E26" s="202" t="s">
        <v>151</v>
      </c>
      <c r="F26" s="649"/>
      <c r="G26" s="650"/>
    </row>
    <row r="27" spans="1:11" s="1" customFormat="1" ht="35.25" customHeight="1" x14ac:dyDescent="0.2">
      <c r="A27" s="218">
        <v>14</v>
      </c>
      <c r="B27" s="648" t="s">
        <v>164</v>
      </c>
      <c r="C27" s="648"/>
      <c r="D27" s="648"/>
      <c r="E27" s="202" t="s">
        <v>151</v>
      </c>
      <c r="F27" s="649"/>
      <c r="G27" s="650"/>
    </row>
    <row r="28" spans="1:11" s="1" customFormat="1" ht="54.75" customHeight="1" thickBot="1" x14ac:dyDescent="0.25">
      <c r="A28" s="220">
        <v>15</v>
      </c>
      <c r="B28" s="667" t="s">
        <v>165</v>
      </c>
      <c r="C28" s="667"/>
      <c r="D28" s="667"/>
      <c r="E28" s="222" t="s">
        <v>151</v>
      </c>
      <c r="F28" s="668"/>
      <c r="G28" s="669"/>
    </row>
    <row r="29" spans="1:11" s="208" customFormat="1" ht="21" customHeight="1" thickBot="1" x14ac:dyDescent="0.25">
      <c r="B29" s="205"/>
      <c r="C29" s="206"/>
      <c r="D29" s="206"/>
      <c r="E29" s="205"/>
      <c r="F29" s="206"/>
      <c r="G29" s="206"/>
      <c r="H29" s="207"/>
      <c r="I29" s="207"/>
    </row>
    <row r="30" spans="1:11" s="229" customFormat="1" ht="15" customHeight="1" x14ac:dyDescent="0.2">
      <c r="A30" s="670" t="s">
        <v>166</v>
      </c>
      <c r="B30" s="671"/>
      <c r="C30" s="671"/>
      <c r="D30" s="671"/>
      <c r="E30" s="671"/>
      <c r="F30" s="671"/>
      <c r="G30" s="672"/>
      <c r="H30" s="232"/>
      <c r="I30" s="233"/>
      <c r="J30" s="233"/>
      <c r="K30" s="233"/>
    </row>
    <row r="31" spans="1:11" s="229" customFormat="1" ht="15" customHeight="1" x14ac:dyDescent="0.2">
      <c r="A31" s="230" t="s">
        <v>146</v>
      </c>
      <c r="B31" s="673" t="s">
        <v>147</v>
      </c>
      <c r="C31" s="673"/>
      <c r="D31" s="673"/>
      <c r="E31" s="231" t="s">
        <v>148</v>
      </c>
      <c r="F31" s="673" t="s">
        <v>149</v>
      </c>
      <c r="G31" s="674"/>
      <c r="H31" s="234"/>
      <c r="I31" s="235"/>
      <c r="J31" s="235"/>
      <c r="K31" s="235"/>
    </row>
    <row r="32" spans="1:11" s="1" customFormat="1" ht="55.5" customHeight="1" x14ac:dyDescent="0.2">
      <c r="A32" s="226">
        <v>1</v>
      </c>
      <c r="B32" s="675" t="s">
        <v>167</v>
      </c>
      <c r="C32" s="675"/>
      <c r="D32" s="675"/>
      <c r="E32" s="209" t="s">
        <v>168</v>
      </c>
      <c r="F32" s="676"/>
      <c r="G32" s="677"/>
      <c r="H32" s="236"/>
      <c r="I32" s="216"/>
      <c r="J32" s="216"/>
      <c r="K32" s="216"/>
    </row>
    <row r="33" spans="1:7" s="1" customFormat="1" ht="25.5" customHeight="1" x14ac:dyDescent="0.2">
      <c r="A33" s="226">
        <v>2</v>
      </c>
      <c r="B33" s="675" t="s">
        <v>169</v>
      </c>
      <c r="C33" s="675"/>
      <c r="D33" s="675"/>
      <c r="E33" s="209" t="s">
        <v>168</v>
      </c>
      <c r="F33" s="676"/>
      <c r="G33" s="677"/>
    </row>
    <row r="34" spans="1:7" s="1" customFormat="1" ht="25.5" customHeight="1" x14ac:dyDescent="0.2">
      <c r="A34" s="226">
        <v>3</v>
      </c>
      <c r="B34" s="675" t="s">
        <v>170</v>
      </c>
      <c r="C34" s="675"/>
      <c r="D34" s="675"/>
      <c r="E34" s="209" t="s">
        <v>168</v>
      </c>
      <c r="F34" s="676"/>
      <c r="G34" s="677"/>
    </row>
    <row r="35" spans="1:7" s="1" customFormat="1" ht="25.5" customHeight="1" x14ac:dyDescent="0.2">
      <c r="A35" s="226">
        <v>4</v>
      </c>
      <c r="B35" s="675" t="s">
        <v>171</v>
      </c>
      <c r="C35" s="675"/>
      <c r="D35" s="675"/>
      <c r="E35" s="209" t="s">
        <v>172</v>
      </c>
      <c r="F35" s="676"/>
      <c r="G35" s="677"/>
    </row>
    <row r="36" spans="1:7" s="1" customFormat="1" ht="25.5" customHeight="1" x14ac:dyDescent="0.2">
      <c r="A36" s="226">
        <v>5</v>
      </c>
      <c r="B36" s="675" t="s">
        <v>173</v>
      </c>
      <c r="C36" s="675"/>
      <c r="D36" s="675"/>
      <c r="E36" s="209" t="s">
        <v>172</v>
      </c>
      <c r="F36" s="684"/>
      <c r="G36" s="685"/>
    </row>
    <row r="37" spans="1:7" s="1" customFormat="1" ht="25.5" customHeight="1" thickBot="1" x14ac:dyDescent="0.25">
      <c r="A37" s="227">
        <v>6</v>
      </c>
      <c r="B37" s="678" t="s">
        <v>174</v>
      </c>
      <c r="C37" s="678"/>
      <c r="D37" s="678"/>
      <c r="E37" s="228" t="s">
        <v>172</v>
      </c>
      <c r="F37" s="679"/>
      <c r="G37" s="680"/>
    </row>
    <row r="39" spans="1:7" ht="15.75" thickBot="1" x14ac:dyDescent="0.3"/>
    <row r="40" spans="1:7" ht="72.75" thickBot="1" x14ac:dyDescent="0.3">
      <c r="B40" s="2" t="s">
        <v>190</v>
      </c>
      <c r="C40" s="11" t="s">
        <v>106</v>
      </c>
      <c r="D40" s="11" t="s">
        <v>107</v>
      </c>
      <c r="E40" s="22" t="s">
        <v>108</v>
      </c>
      <c r="F40" s="22" t="s">
        <v>109</v>
      </c>
      <c r="G40" s="22" t="s">
        <v>40</v>
      </c>
    </row>
    <row r="41" spans="1:7" ht="15.75" thickBot="1" x14ac:dyDescent="0.3">
      <c r="B41" s="3">
        <f>'CARTA DE CONTROL'!R103</f>
        <v>0</v>
      </c>
      <c r="C41" s="4">
        <f>'CARTA DE CONTROL'!AR103</f>
        <v>0.6</v>
      </c>
      <c r="D41" s="4">
        <f>'CARTA DE CONTROL'!AS103</f>
        <v>-0.6</v>
      </c>
      <c r="E41" s="6">
        <f>'CARTA DE CONTROL'!I103</f>
        <v>3</v>
      </c>
      <c r="F41" s="7">
        <f>-('CARTA DE CONTROL'!I103)</f>
        <v>-3</v>
      </c>
      <c r="G41" s="5" t="str">
        <f>IF(C41&lt;=2,IF(D41&gt;=-2,"PASS","NO PASS"))</f>
        <v>PASS</v>
      </c>
    </row>
    <row r="42" spans="1:7" ht="15.75" thickBot="1" x14ac:dyDescent="0.3">
      <c r="B42" s="3">
        <f>'CARTA DE CONTROL'!R104</f>
        <v>49.3</v>
      </c>
      <c r="C42" s="4">
        <f>'CARTA DE CONTROL'!AR104</f>
        <v>0.11000000000000018</v>
      </c>
      <c r="D42" s="4">
        <f>'CARTA DE CONTROL'!AS104</f>
        <v>1.666666666666685E-2</v>
      </c>
      <c r="E42" s="6">
        <f>'CARTA DE CONTROL'!I104</f>
        <v>3</v>
      </c>
      <c r="F42" s="7">
        <f>-('CARTA DE CONTROL'!I104)</f>
        <v>-3</v>
      </c>
      <c r="G42" s="5" t="str">
        <f t="shared" ref="G42:G48" si="0">IF(C42&lt;=2,IF(D42&gt;=-2,"PASS","NO PASS"))</f>
        <v>PASS</v>
      </c>
    </row>
    <row r="43" spans="1:7" ht="15.75" thickBot="1" x14ac:dyDescent="0.3">
      <c r="B43" s="3">
        <f>'CARTA DE CONTROL'!R105</f>
        <v>246.5</v>
      </c>
      <c r="C43" s="4">
        <f>'CARTA DE CONTROL'!AR105</f>
        <v>9.6666666666667039E-2</v>
      </c>
      <c r="D43" s="4">
        <f>'CARTA DE CONTROL'!AS105</f>
        <v>-0.2099999999999996</v>
      </c>
      <c r="E43" s="6">
        <f>'CARTA DE CONTROL'!I105</f>
        <v>3</v>
      </c>
      <c r="F43" s="7">
        <f>-('CARTA DE CONTROL'!I105)</f>
        <v>-3</v>
      </c>
      <c r="G43" s="5" t="str">
        <f t="shared" si="0"/>
        <v>PASS</v>
      </c>
    </row>
    <row r="44" spans="1:7" ht="15.75" thickBot="1" x14ac:dyDescent="0.3">
      <c r="B44" s="3">
        <f>'CARTA DE CONTROL'!R106</f>
        <v>493</v>
      </c>
      <c r="C44" s="4">
        <f>'CARTA DE CONTROL'!AR106</f>
        <v>0.11666666666666667</v>
      </c>
      <c r="D44" s="4">
        <f>'CARTA DE CONTROL'!AS106</f>
        <v>-0.44999999999999996</v>
      </c>
      <c r="E44" s="6">
        <f>'CARTA DE CONTROL'!I106</f>
        <v>3</v>
      </c>
      <c r="F44" s="7">
        <f>-('CARTA DE CONTROL'!I106)</f>
        <v>-3</v>
      </c>
      <c r="G44" s="5" t="str">
        <f t="shared" si="0"/>
        <v>PASS</v>
      </c>
    </row>
    <row r="45" spans="1:7" ht="15.75" thickBot="1" x14ac:dyDescent="0.3">
      <c r="B45" s="3">
        <f>'CARTA DE CONTROL'!R107</f>
        <v>986</v>
      </c>
      <c r="C45" s="4">
        <f>'CARTA DE CONTROL'!AR107</f>
        <v>0.36666666666666664</v>
      </c>
      <c r="D45" s="4">
        <f>'CARTA DE CONTROL'!AS107</f>
        <v>-0.76666666666666661</v>
      </c>
      <c r="E45" s="6">
        <f>'CARTA DE CONTROL'!I107</f>
        <v>3</v>
      </c>
      <c r="F45" s="7">
        <f>-('CARTA DE CONTROL'!I107)</f>
        <v>-3</v>
      </c>
      <c r="G45" s="5" t="str">
        <f t="shared" si="0"/>
        <v>PASS</v>
      </c>
    </row>
    <row r="46" spans="1:7" ht="15.75" thickBot="1" x14ac:dyDescent="0.3">
      <c r="B46" s="3">
        <f>'CARTA DE CONTROL'!R108</f>
        <v>1972</v>
      </c>
      <c r="C46" s="4">
        <f>'CARTA DE CONTROL'!AR108</f>
        <v>1</v>
      </c>
      <c r="D46" s="4">
        <f>'CARTA DE CONTROL'!AS108</f>
        <v>-1.2000000000000002</v>
      </c>
      <c r="E46" s="6">
        <f>'CARTA DE CONTROL'!I108</f>
        <v>3</v>
      </c>
      <c r="F46" s="7">
        <f>-('CARTA DE CONTROL'!I108)</f>
        <v>-3</v>
      </c>
      <c r="G46" s="5" t="str">
        <f t="shared" si="0"/>
        <v>PASS</v>
      </c>
    </row>
    <row r="47" spans="1:7" ht="15.75" thickBot="1" x14ac:dyDescent="0.3">
      <c r="B47" s="3">
        <f>'CARTA DE CONTROL'!R109</f>
        <v>2943</v>
      </c>
      <c r="C47" s="4">
        <f>'CARTA DE CONTROL'!AR109</f>
        <v>1.6333333333333333</v>
      </c>
      <c r="D47" s="4">
        <f>'CARTA DE CONTROL'!AS109</f>
        <v>-1.6333333333333333</v>
      </c>
      <c r="E47" s="6">
        <f>'CARTA DE CONTROL'!I109</f>
        <v>3</v>
      </c>
      <c r="F47" s="7">
        <f>-('CARTA DE CONTROL'!I109)</f>
        <v>-3</v>
      </c>
      <c r="G47" s="5" t="str">
        <f t="shared" si="0"/>
        <v>PASS</v>
      </c>
    </row>
    <row r="48" spans="1:7" ht="15.75" thickBot="1" x14ac:dyDescent="0.3">
      <c r="B48" s="3">
        <f>'CARTA DE CONTROL'!R110</f>
        <v>3007</v>
      </c>
      <c r="C48" s="4">
        <f>'CARTA DE CONTROL'!AR110</f>
        <v>1.2666666666666666</v>
      </c>
      <c r="D48" s="4">
        <f>'CARTA DE CONTROL'!AS110</f>
        <v>-2</v>
      </c>
      <c r="E48" s="6">
        <f>'CARTA DE CONTROL'!I110</f>
        <v>3</v>
      </c>
      <c r="F48" s="7">
        <f>-('CARTA DE CONTROL'!I110)</f>
        <v>-3</v>
      </c>
      <c r="G48" s="5" t="str">
        <f t="shared" si="0"/>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681" t="s">
        <v>96</v>
      </c>
      <c r="C67" s="682"/>
      <c r="D67" s="682"/>
      <c r="E67" s="683"/>
    </row>
    <row r="68" spans="2:5" ht="34.5" thickBot="1" x14ac:dyDescent="0.3">
      <c r="B68" s="2" t="s">
        <v>41</v>
      </c>
      <c r="C68" s="10" t="s">
        <v>97</v>
      </c>
      <c r="D68" s="2" t="s">
        <v>99</v>
      </c>
      <c r="E68" s="21" t="s">
        <v>98</v>
      </c>
    </row>
    <row r="69" spans="2:5" ht="15.75" thickBot="1" x14ac:dyDescent="0.3">
      <c r="B69" s="3">
        <f>'CARTA DE CONTROL'!R103</f>
        <v>0</v>
      </c>
      <c r="C69" s="4">
        <f>'CARTA DE CONTROL'!AM103</f>
        <v>0</v>
      </c>
      <c r="D69" s="6">
        <f>'CARTA DE CONTROL'!K103</f>
        <v>2</v>
      </c>
      <c r="E69" s="5" t="str">
        <f>IF(C69&lt;=2,IF(C69&gt;=-2,"PASS","NO PASS"))</f>
        <v>PASS</v>
      </c>
    </row>
    <row r="70" spans="2:5" ht="15.75" thickBot="1" x14ac:dyDescent="0.3">
      <c r="B70" s="3">
        <f>'CARTA DE CONTROL'!R104</f>
        <v>49.3</v>
      </c>
      <c r="C70" s="4">
        <f>'CARTA DE CONTROL'!AM104</f>
        <v>2.6666666666666668E-2</v>
      </c>
      <c r="D70" s="6">
        <f>'CARTA DE CONTROL'!K104</f>
        <v>2</v>
      </c>
      <c r="E70" s="5" t="str">
        <f t="shared" ref="E70:E76" si="1">IF(C70&lt;=2,IF(C70&gt;=-2,"PASS","NO PASS"))</f>
        <v>PASS</v>
      </c>
    </row>
    <row r="71" spans="2:5" ht="15.75" thickBot="1" x14ac:dyDescent="0.3">
      <c r="B71" s="3">
        <f>'CARTA DE CONTROL'!R105</f>
        <v>246.5</v>
      </c>
      <c r="C71" s="4">
        <f>'CARTA DE CONTROL'!AM105</f>
        <v>0.08</v>
      </c>
      <c r="D71" s="6">
        <f>'CARTA DE CONTROL'!K105</f>
        <v>2</v>
      </c>
      <c r="E71" s="5" t="str">
        <f t="shared" si="1"/>
        <v>PASS</v>
      </c>
    </row>
    <row r="72" spans="2:5" ht="15.75" thickBot="1" x14ac:dyDescent="0.3">
      <c r="B72" s="3">
        <f>'CARTA DE CONTROL'!R106</f>
        <v>493</v>
      </c>
      <c r="C72" s="4">
        <f>'CARTA DE CONTROL'!AM106</f>
        <v>7.0000000000000007E-2</v>
      </c>
      <c r="D72" s="6">
        <f>'CARTA DE CONTROL'!K106</f>
        <v>2</v>
      </c>
      <c r="E72" s="5" t="str">
        <f t="shared" si="1"/>
        <v>PASS</v>
      </c>
    </row>
    <row r="73" spans="2:5" ht="15.75" thickBot="1" x14ac:dyDescent="0.3">
      <c r="B73" s="3">
        <f>'CARTA DE CONTROL'!R107</f>
        <v>986</v>
      </c>
      <c r="C73" s="4">
        <f>'CARTA DE CONTROL'!AM107</f>
        <v>0.13333333333333333</v>
      </c>
      <c r="D73" s="6">
        <f>'CARTA DE CONTROL'!K107</f>
        <v>2</v>
      </c>
      <c r="E73" s="5" t="str">
        <f t="shared" si="1"/>
        <v>PASS</v>
      </c>
    </row>
    <row r="74" spans="2:5" ht="15.75" thickBot="1" x14ac:dyDescent="0.3">
      <c r="B74" s="3">
        <f>'CARTA DE CONTROL'!R108</f>
        <v>1972</v>
      </c>
      <c r="C74" s="4">
        <f>'CARTA DE CONTROL'!AM108</f>
        <v>0.04</v>
      </c>
      <c r="D74" s="6">
        <f>'CARTA DE CONTROL'!K108</f>
        <v>2</v>
      </c>
      <c r="E74" s="5" t="str">
        <f t="shared" si="1"/>
        <v>PASS</v>
      </c>
    </row>
    <row r="75" spans="2:5" ht="15.75" thickBot="1" x14ac:dyDescent="0.3">
      <c r="B75" s="3">
        <f>'CARTA DE CONTROL'!R109</f>
        <v>2943</v>
      </c>
      <c r="C75" s="4">
        <f>'CARTA DE CONTROL'!AM109</f>
        <v>4.3333333333333335E-2</v>
      </c>
      <c r="D75" s="6">
        <f>'CARTA DE CONTROL'!K109</f>
        <v>2</v>
      </c>
      <c r="E75" s="5" t="str">
        <f t="shared" si="1"/>
        <v>PASS</v>
      </c>
    </row>
    <row r="76" spans="2:5" ht="15.75" thickBot="1" x14ac:dyDescent="0.3">
      <c r="B76" s="3">
        <f>'CARTA DE CONTROL'!R110</f>
        <v>3007</v>
      </c>
      <c r="C76" s="4">
        <f>'CARTA DE CONTROL'!AM110</f>
        <v>7.3333333333333348E-2</v>
      </c>
      <c r="D76" s="6">
        <f>'CARTA DE CONTROL'!K110</f>
        <v>2</v>
      </c>
      <c r="E76" s="5" t="str">
        <f t="shared" si="1"/>
        <v>PASS</v>
      </c>
    </row>
  </sheetData>
  <mergeCells count="53">
    <mergeCell ref="B67:E6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G41:G48">
    <cfRule type="cellIs" dxfId="89" priority="20" operator="lessThan">
      <formula>$F$77</formula>
    </cfRule>
    <cfRule type="cellIs" dxfId="88" priority="21" operator="lessThan">
      <formula>0.05</formula>
    </cfRule>
  </conditionalFormatting>
  <conditionalFormatting sqref="G41:G48">
    <cfRule type="cellIs" dxfId="87" priority="19" operator="between">
      <formula>$F$77</formula>
      <formula>$G$77</formula>
    </cfRule>
  </conditionalFormatting>
  <conditionalFormatting sqref="E69:E76">
    <cfRule type="cellIs" dxfId="86" priority="5" operator="lessThan">
      <formula>$H$77</formula>
    </cfRule>
    <cfRule type="cellIs" dxfId="85" priority="6" operator="lessThan">
      <formula>0.05</formula>
    </cfRule>
  </conditionalFormatting>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CARTA DE CONTROL</vt:lpstr>
      <vt:lpstr>MONOXIDO (CO) 4T </vt:lpstr>
      <vt:lpstr>DIOXIDO (CO2) 4T </vt:lpstr>
      <vt:lpstr>HIDROCARBUROS (HC) 4T </vt:lpstr>
      <vt:lpstr>OXIGENO (O2) 4T </vt:lpstr>
      <vt:lpstr>TEMPERATURA (TEM) 4T</vt:lpstr>
      <vt:lpstr>VIBRACION RPM</vt:lpstr>
      <vt:lpstr>BATERIA RPM </vt:lpstr>
      <vt:lpstr>FRENOMETRO (FUERZA)</vt:lpstr>
      <vt:lpstr>FRENOMETRO (PESO)</vt:lpstr>
      <vt:lpstr>LUXOMETRO (INTENSIDAD)</vt:lpstr>
      <vt:lpstr>LUXOMETRO (INCLINACION)</vt:lpstr>
      <vt:lpstr>PROFUNDIMETRO</vt:lpstr>
      <vt:lpstr>SONOMETRO</vt:lpstr>
      <vt:lpstr>REVOLUCIONES POR MINUTO 2T</vt:lpstr>
      <vt:lpstr>TEMPERATURA (TEM) 2T</vt:lpstr>
      <vt:lpstr>MONOXIDO (CO) 2T</vt:lpstr>
      <vt:lpstr>DIOXIDO (CO2) 2T</vt:lpstr>
      <vt:lpstr>HIDROCARBUROS (HC) 2T </vt:lpstr>
      <vt:lpstr>OXIGENO (O2) 2T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CITB</cp:lastModifiedBy>
  <cp:lastPrinted>2021-09-22T18:28:49Z</cp:lastPrinted>
  <dcterms:created xsi:type="dcterms:W3CDTF">2016-03-20T03:06:20Z</dcterms:created>
  <dcterms:modified xsi:type="dcterms:W3CDTF">2021-10-07T16:46:20Z</dcterms:modified>
</cp:coreProperties>
</file>