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880" windowHeight="10290" tabRatio="827"/>
  </bookViews>
  <sheets>
    <sheet name="2017年度运营目标计划" sheetId="2" r:id="rId1"/>
    <sheet name="年度营销计划" sheetId="3" r:id="rId2"/>
    <sheet name="周运营计划" sheetId="9" r:id="rId3"/>
    <sheet name="人员架构" sheetId="6" r:id="rId4"/>
    <sheet name="人员工资配置" sheetId="8" r:id="rId5"/>
    <sheet name="工资计算" sheetId="7" r:id="rId6"/>
  </sheets>
  <calcPr calcId="125725"/>
</workbook>
</file>

<file path=xl/calcChain.xml><?xml version="1.0" encoding="utf-8"?>
<calcChain xmlns="http://schemas.openxmlformats.org/spreadsheetml/2006/main">
  <c r="O11" i="2"/>
  <c r="O5"/>
  <c r="G6" l="1"/>
  <c r="F14" i="7" l="1"/>
  <c r="B14"/>
  <c r="B13"/>
  <c r="F12"/>
  <c r="B12"/>
  <c r="B11"/>
  <c r="B10"/>
  <c r="X10" s="1"/>
  <c r="L9"/>
  <c r="F9"/>
  <c r="B9"/>
  <c r="X9" s="1"/>
  <c r="L8"/>
  <c r="F8"/>
  <c r="B8"/>
  <c r="X8" s="1"/>
  <c r="B7"/>
  <c r="X7" s="1"/>
  <c r="B6"/>
  <c r="X6" s="1"/>
  <c r="L5"/>
  <c r="F5"/>
  <c r="B5"/>
  <c r="X5" s="1"/>
  <c r="L4"/>
  <c r="F4"/>
  <c r="B4"/>
  <c r="X4" s="1"/>
  <c r="B3"/>
  <c r="X3" s="1"/>
  <c r="T23" i="8"/>
  <c r="U15"/>
  <c r="S15"/>
  <c r="R15"/>
  <c r="Q15"/>
  <c r="O15"/>
  <c r="K15"/>
  <c r="V14"/>
  <c r="X14" s="1"/>
  <c r="T14"/>
  <c r="L14"/>
  <c r="M14" s="1"/>
  <c r="I14"/>
  <c r="J14" s="1"/>
  <c r="H14"/>
  <c r="P14" s="1"/>
  <c r="E14"/>
  <c r="D14"/>
  <c r="C14"/>
  <c r="G14" s="1"/>
  <c r="B14"/>
  <c r="F14" s="1"/>
  <c r="X13"/>
  <c r="V13"/>
  <c r="F13"/>
  <c r="B13"/>
  <c r="I13" s="1"/>
  <c r="J13" s="1"/>
  <c r="X12"/>
  <c r="V12"/>
  <c r="I12"/>
  <c r="J12" s="1"/>
  <c r="E12"/>
  <c r="C12"/>
  <c r="B12"/>
  <c r="L12" s="1"/>
  <c r="M12" s="1"/>
  <c r="V11"/>
  <c r="X11" s="1"/>
  <c r="T11"/>
  <c r="L11"/>
  <c r="M11" s="1"/>
  <c r="H11"/>
  <c r="N11" s="1"/>
  <c r="F11"/>
  <c r="D11"/>
  <c r="C11"/>
  <c r="B11"/>
  <c r="V10"/>
  <c r="X10" s="1"/>
  <c r="T10"/>
  <c r="L10"/>
  <c r="M10" s="1"/>
  <c r="I10"/>
  <c r="J10" s="1"/>
  <c r="H10"/>
  <c r="P10" s="1"/>
  <c r="E10"/>
  <c r="G10" s="1"/>
  <c r="D10"/>
  <c r="C10"/>
  <c r="B10"/>
  <c r="F10" s="1"/>
  <c r="X9"/>
  <c r="V9"/>
  <c r="B9"/>
  <c r="E9" s="1"/>
  <c r="X8"/>
  <c r="V8"/>
  <c r="L8"/>
  <c r="M8" s="1"/>
  <c r="J8"/>
  <c r="I8"/>
  <c r="F8"/>
  <c r="E8"/>
  <c r="C8"/>
  <c r="B8"/>
  <c r="V7"/>
  <c r="X7" s="1"/>
  <c r="L7"/>
  <c r="M7" s="1"/>
  <c r="F7"/>
  <c r="B7"/>
  <c r="H7" s="1"/>
  <c r="V6"/>
  <c r="X6" s="1"/>
  <c r="M6"/>
  <c r="L6"/>
  <c r="I6"/>
  <c r="J6" s="1"/>
  <c r="H6"/>
  <c r="P6" s="1"/>
  <c r="E6"/>
  <c r="D6"/>
  <c r="C6"/>
  <c r="B6"/>
  <c r="F6" s="1"/>
  <c r="G6" s="1"/>
  <c r="V5"/>
  <c r="X5" s="1"/>
  <c r="I5"/>
  <c r="J5" s="1"/>
  <c r="E5"/>
  <c r="D5"/>
  <c r="B5"/>
  <c r="F5" s="1"/>
  <c r="X4"/>
  <c r="V4"/>
  <c r="L4"/>
  <c r="M4" s="1"/>
  <c r="F4"/>
  <c r="B4"/>
  <c r="I4" s="1"/>
  <c r="J4" s="1"/>
  <c r="X3"/>
  <c r="V3"/>
  <c r="B3"/>
  <c r="Z28" i="2"/>
  <c r="Y28"/>
  <c r="X28"/>
  <c r="U23"/>
  <c r="T23"/>
  <c r="S23"/>
  <c r="R23"/>
  <c r="Q23"/>
  <c r="P23"/>
  <c r="O23"/>
  <c r="N23"/>
  <c r="M23"/>
  <c r="L23"/>
  <c r="K23"/>
  <c r="J23"/>
  <c r="I23"/>
  <c r="H23"/>
  <c r="G23"/>
  <c r="U21"/>
  <c r="T21"/>
  <c r="S21"/>
  <c r="R21"/>
  <c r="Q21"/>
  <c r="P21"/>
  <c r="O21"/>
  <c r="N21"/>
  <c r="M21"/>
  <c r="L21"/>
  <c r="K21"/>
  <c r="J21"/>
  <c r="I21"/>
  <c r="H21"/>
  <c r="G21"/>
  <c r="T17"/>
  <c r="R17"/>
  <c r="P17"/>
  <c r="N17"/>
  <c r="L17"/>
  <c r="J17"/>
  <c r="I17"/>
  <c r="H17"/>
  <c r="U16"/>
  <c r="T16"/>
  <c r="S16"/>
  <c r="R16"/>
  <c r="Q16"/>
  <c r="P16"/>
  <c r="O16"/>
  <c r="N16"/>
  <c r="M16"/>
  <c r="L16"/>
  <c r="K16"/>
  <c r="J16"/>
  <c r="I16"/>
  <c r="H16"/>
  <c r="V16" s="1"/>
  <c r="G16"/>
  <c r="T15"/>
  <c r="P15"/>
  <c r="N15"/>
  <c r="L15"/>
  <c r="J15"/>
  <c r="I15"/>
  <c r="H15"/>
  <c r="U14"/>
  <c r="T14"/>
  <c r="S14"/>
  <c r="R14"/>
  <c r="Q14"/>
  <c r="P14"/>
  <c r="O14"/>
  <c r="N14"/>
  <c r="M14"/>
  <c r="L14"/>
  <c r="K14"/>
  <c r="J14"/>
  <c r="I14"/>
  <c r="V14" s="1"/>
  <c r="H14"/>
  <c r="G14"/>
  <c r="U13"/>
  <c r="T13"/>
  <c r="S13"/>
  <c r="R13"/>
  <c r="Q13"/>
  <c r="P13"/>
  <c r="O13"/>
  <c r="N13"/>
  <c r="M13"/>
  <c r="L13"/>
  <c r="K13"/>
  <c r="J13"/>
  <c r="I13"/>
  <c r="H13"/>
  <c r="G13"/>
  <c r="T12"/>
  <c r="S12"/>
  <c r="Q12"/>
  <c r="P12"/>
  <c r="L12"/>
  <c r="H12"/>
  <c r="G12"/>
  <c r="T11"/>
  <c r="R11"/>
  <c r="P11"/>
  <c r="N11"/>
  <c r="M11"/>
  <c r="L11"/>
  <c r="H11"/>
  <c r="U10"/>
  <c r="U12" s="1"/>
  <c r="T10"/>
  <c r="S10"/>
  <c r="R10"/>
  <c r="R12" s="1"/>
  <c r="Q10"/>
  <c r="Q11" s="1"/>
  <c r="P10"/>
  <c r="O10"/>
  <c r="O12" s="1"/>
  <c r="N10"/>
  <c r="N12" s="1"/>
  <c r="M10"/>
  <c r="M17" s="1"/>
  <c r="L10"/>
  <c r="K10"/>
  <c r="J10"/>
  <c r="J12" s="1"/>
  <c r="I10"/>
  <c r="I11" s="1"/>
  <c r="H10"/>
  <c r="G10"/>
  <c r="V8"/>
  <c r="U6"/>
  <c r="U15" s="1"/>
  <c r="T6"/>
  <c r="S6"/>
  <c r="S15" s="1"/>
  <c r="R6"/>
  <c r="R15" s="1"/>
  <c r="Q6"/>
  <c r="Q15" s="1"/>
  <c r="P6"/>
  <c r="O6"/>
  <c r="O15" s="1"/>
  <c r="N6"/>
  <c r="M6"/>
  <c r="M15" s="1"/>
  <c r="L6"/>
  <c r="K6"/>
  <c r="K15" s="1"/>
  <c r="J6"/>
  <c r="I6"/>
  <c r="H6"/>
  <c r="G15"/>
  <c r="U5"/>
  <c r="N5"/>
  <c r="I5"/>
  <c r="V4"/>
  <c r="G5" s="1"/>
  <c r="J5" l="1"/>
  <c r="S5"/>
  <c r="C13"/>
  <c r="V13"/>
  <c r="V15"/>
  <c r="G11" i="8"/>
  <c r="X15"/>
  <c r="N7"/>
  <c r="T7"/>
  <c r="P7"/>
  <c r="I3"/>
  <c r="E3"/>
  <c r="X11" i="7"/>
  <c r="L11"/>
  <c r="M12" i="2"/>
  <c r="I9" i="8"/>
  <c r="J9" s="1"/>
  <c r="F11" i="7"/>
  <c r="T5" i="2"/>
  <c r="P5"/>
  <c r="L5"/>
  <c r="H5"/>
  <c r="K5"/>
  <c r="Q5"/>
  <c r="V10"/>
  <c r="J11"/>
  <c r="U11"/>
  <c r="I12"/>
  <c r="V12" s="1"/>
  <c r="Q17"/>
  <c r="D3" i="8"/>
  <c r="C4"/>
  <c r="T6"/>
  <c r="C7"/>
  <c r="G7" s="1"/>
  <c r="H8"/>
  <c r="D8"/>
  <c r="G8" s="1"/>
  <c r="N10"/>
  <c r="W10" s="1"/>
  <c r="I11"/>
  <c r="J11" s="1"/>
  <c r="E11"/>
  <c r="F12"/>
  <c r="D13"/>
  <c r="L3" i="7"/>
  <c r="F6"/>
  <c r="L7"/>
  <c r="F10"/>
  <c r="X12"/>
  <c r="L12"/>
  <c r="X14"/>
  <c r="L14"/>
  <c r="L9" i="8"/>
  <c r="M9" s="1"/>
  <c r="C9"/>
  <c r="H9"/>
  <c r="V15"/>
  <c r="X13" i="7"/>
  <c r="L13"/>
  <c r="U17" i="2"/>
  <c r="C3" i="8"/>
  <c r="H3"/>
  <c r="H4"/>
  <c r="D4"/>
  <c r="N6"/>
  <c r="W6" s="1"/>
  <c r="I7"/>
  <c r="J7" s="1"/>
  <c r="E7"/>
  <c r="D9"/>
  <c r="L13"/>
  <c r="M13" s="1"/>
  <c r="C13"/>
  <c r="H13"/>
  <c r="F3" i="7"/>
  <c r="F7"/>
  <c r="F13"/>
  <c r="M5" i="2"/>
  <c r="R5"/>
  <c r="G17"/>
  <c r="G11"/>
  <c r="K17"/>
  <c r="K11"/>
  <c r="V11" s="1"/>
  <c r="O17"/>
  <c r="S17"/>
  <c r="S11"/>
  <c r="C11"/>
  <c r="K12"/>
  <c r="F3" i="8"/>
  <c r="F15" s="1"/>
  <c r="L3"/>
  <c r="E4"/>
  <c r="L5"/>
  <c r="M5" s="1"/>
  <c r="C5"/>
  <c r="G5" s="1"/>
  <c r="H5"/>
  <c r="D7"/>
  <c r="F9"/>
  <c r="P11"/>
  <c r="W11" s="1"/>
  <c r="H12"/>
  <c r="D12"/>
  <c r="G12" s="1"/>
  <c r="E13"/>
  <c r="N14"/>
  <c r="W14" s="1"/>
  <c r="B15"/>
  <c r="L6" i="7"/>
  <c r="L10"/>
  <c r="V5" i="2" l="1"/>
  <c r="V17"/>
  <c r="C12" s="1"/>
  <c r="C15" s="1"/>
  <c r="C15" i="8"/>
  <c r="G3"/>
  <c r="E15"/>
  <c r="W7"/>
  <c r="T13"/>
  <c r="P13"/>
  <c r="N13"/>
  <c r="T4"/>
  <c r="N4"/>
  <c r="W4" s="1"/>
  <c r="P4"/>
  <c r="T9"/>
  <c r="P9"/>
  <c r="N9"/>
  <c r="W9" s="1"/>
  <c r="G4"/>
  <c r="I15"/>
  <c r="J3"/>
  <c r="J15" s="1"/>
  <c r="T5"/>
  <c r="N5"/>
  <c r="P5"/>
  <c r="L15"/>
  <c r="M3"/>
  <c r="M15" s="1"/>
  <c r="N12"/>
  <c r="T12"/>
  <c r="P12"/>
  <c r="G13"/>
  <c r="N3"/>
  <c r="T3"/>
  <c r="P3"/>
  <c r="P15" s="1"/>
  <c r="H15"/>
  <c r="G9"/>
  <c r="P8"/>
  <c r="N8"/>
  <c r="T8"/>
  <c r="D15"/>
  <c r="C14" i="2" l="1"/>
  <c r="W8" i="8"/>
  <c r="W3"/>
  <c r="N15"/>
  <c r="W12"/>
  <c r="W5"/>
  <c r="G15"/>
  <c r="T15"/>
  <c r="W13"/>
  <c r="W15" l="1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更多表格找：709653655</t>
        </r>
      </text>
    </comment>
    <comment ref="E13" authorId="1">
      <text>
        <r>
          <rPr>
            <sz val="9"/>
            <rFont val="宋体"/>
            <charset val="134"/>
          </rPr>
          <t xml:space="preserve">人力成本:指员工工资支出15%
</t>
        </r>
      </text>
    </comment>
    <comment ref="E14" authorId="1">
      <text>
        <r>
          <rPr>
            <sz val="9"/>
            <rFont val="宋体"/>
            <charset val="134"/>
          </rPr>
          <t xml:space="preserve">物流成本:指打包物料和运费支出 10%
</t>
        </r>
      </text>
    </comment>
    <comment ref="E15" authorId="1">
      <text>
        <r>
          <rPr>
            <sz val="9"/>
            <rFont val="宋体"/>
            <charset val="134"/>
          </rPr>
          <t xml:space="preserve">办公成本:杂费5%
</t>
        </r>
      </text>
    </comment>
    <comment ref="E16" authorId="1">
      <text>
        <r>
          <rPr>
            <sz val="9"/>
            <rFont val="宋体"/>
            <charset val="134"/>
          </rPr>
          <t xml:space="preserve">货品成本:指库存产品的成本金额30%
</t>
        </r>
      </text>
    </comment>
    <comment ref="V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总投入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作者</author>
  </authors>
  <commentLis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  <comment ref="X2" authorId="1">
      <text>
        <r>
          <rPr>
            <sz val="9"/>
            <rFont val="宋体"/>
            <charset val="134"/>
          </rPr>
          <t>每个人每月绩效工资：500</t>
        </r>
        <r>
          <rPr>
            <sz val="9"/>
            <rFont val="宋体"/>
            <charset val="134"/>
          </rPr>
          <t>*</t>
        </r>
        <r>
          <rPr>
            <sz val="9"/>
            <rFont val="宋体"/>
            <charset val="134"/>
          </rPr>
          <t>当月绩效比例（绩效分所对应的比例）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500*0.5-1</t>
        </r>
      </text>
    </comment>
    <comment ref="N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500*0.5-1</t>
        </r>
      </text>
    </comment>
    <comment ref="T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500*0.5-1</t>
        </r>
      </text>
    </comment>
    <comment ref="Z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500*0.5-1</t>
        </r>
      </text>
    </commen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H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N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T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  <comment ref="Z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=500* 0.5-1</t>
        </r>
      </text>
    </comment>
  </commentList>
</comments>
</file>

<file path=xl/sharedStrings.xml><?xml version="1.0" encoding="utf-8"?>
<sst xmlns="http://schemas.openxmlformats.org/spreadsheetml/2006/main" count="585" uniqueCount="394">
  <si>
    <t>序号</t>
  </si>
  <si>
    <t>人员配置</t>
  </si>
  <si>
    <t>月份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</si>
  <si>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</si>
  <si>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</si>
  <si>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</si>
  <si>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</si>
  <si>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</si>
  <si>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</si>
  <si>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</si>
  <si>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</si>
  <si>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</si>
  <si>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</si>
  <si>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</si>
  <si>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</si>
  <si>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共计</t>
  </si>
  <si>
    <t>店长</t>
  </si>
  <si>
    <t>李丹</t>
  </si>
  <si>
    <t>11月日常</t>
  </si>
  <si>
    <t>12月日常</t>
  </si>
  <si>
    <t>每月销售额</t>
  </si>
  <si>
    <t>主管</t>
  </si>
  <si>
    <t>全年占比</t>
  </si>
  <si>
    <t>运营目标</t>
  </si>
  <si>
    <t>流量(UV)</t>
  </si>
  <si>
    <t>运营</t>
  </si>
  <si>
    <t>小江</t>
  </si>
  <si>
    <t>转化率</t>
  </si>
  <si>
    <t>客服-售前</t>
  </si>
  <si>
    <t>小欣</t>
  </si>
  <si>
    <t>客单价</t>
  </si>
  <si>
    <t>客服-售后</t>
  </si>
  <si>
    <t>小钱</t>
  </si>
  <si>
    <t>公式:</t>
  </si>
  <si>
    <t>销售额=流量(访客数)*转化率（全店成交转化率）*客单价</t>
  </si>
  <si>
    <t>设计师</t>
  </si>
  <si>
    <t>老张/啊彪</t>
  </si>
  <si>
    <t>预计广告投入（20%）</t>
  </si>
  <si>
    <t>货品</t>
  </si>
  <si>
    <t>年度目标销量：</t>
  </si>
  <si>
    <t>直通车（80%）</t>
  </si>
  <si>
    <t>总盈利：</t>
  </si>
  <si>
    <t>钻展（20%）</t>
  </si>
  <si>
    <t>总销售额：</t>
  </si>
  <si>
    <t>人力成本</t>
  </si>
  <si>
    <t>成本费用率：</t>
  </si>
  <si>
    <t>物流成本</t>
  </si>
  <si>
    <t>净利润率：</t>
  </si>
  <si>
    <t>杂费</t>
  </si>
  <si>
    <t>货品成本</t>
  </si>
  <si>
    <t>平均每日费用</t>
  </si>
  <si>
    <t>运营/推广</t>
  </si>
  <si>
    <t>美工</t>
  </si>
  <si>
    <t>客服</t>
  </si>
  <si>
    <t>客服人均日接单</t>
  </si>
  <si>
    <t>仓库</t>
  </si>
  <si>
    <t>人均日发单量</t>
  </si>
  <si>
    <t>运营阶段销售额</t>
  </si>
  <si>
    <t>第一阶段准备期：销售目标58万元</t>
  </si>
  <si>
    <t>第二阶段发展期：销售目标130万元</t>
  </si>
  <si>
    <t>第三阶段优化期销售目标110万元</t>
  </si>
  <si>
    <t>第四阶段爆发期销售目标580万元</t>
  </si>
  <si>
    <t>发货</t>
  </si>
  <si>
    <t>品牌推广方向</t>
  </si>
  <si>
    <t>做流量、找主推产品</t>
  </si>
  <si>
    <t>依托线下和微商品牌积累做爆款</t>
  </si>
  <si>
    <t>依托品牌活动、做爆款</t>
  </si>
  <si>
    <t>线上线下整合转播、做销量</t>
  </si>
  <si>
    <t>产品推广方向</t>
  </si>
  <si>
    <t>体验品口碑产品引流量</t>
  </si>
  <si>
    <t>打造符合品牌定位的爆品</t>
  </si>
  <si>
    <t>主推热卖特惠套组</t>
  </si>
  <si>
    <t>主推爆款、特惠套装</t>
  </si>
  <si>
    <t>营销策略</t>
  </si>
  <si>
    <t>1、梳理现有产品线， 并做好角色定位；
2、针对行业、类目、子类目、竞争对手进行分析；
3、优化页面，提高转化率；
4、充份利用免费活动以及有限的付费流量；
5、积极计划参加第三方和U站活动，打开流量瓶颈；
6、直通车、钻展、淘客等工具正式运用；
7、官方活动报名：聚划算、淘抢购、
6、目前店铺销量有一定积累，可以报名官方的活动，多报名一些活动，聚集人气，积累销量</t>
  </si>
  <si>
    <t xml:space="preserve">1、优化关联营销、提高客单价；
2、设置淘客联盟多渠、多维度增加流量引入；
3、策划展开第三方活动，官方活动申报
4、优化宝贝，提升页面停留时间，提升转化率；
5、老顾客唤醒，达成二次购买；
</t>
  </si>
  <si>
    <t>1、总结活动达成效果，并找出提升空间
2、活动准备以及关联营销设置；
3、配合活动展增推广力度，提升推广转化率；
4、拟订岗位活动流程表，简化、降低错误操作；
7、扩展天猫产品线。
8、为天猫双十一活动报名做准备</t>
  </si>
  <si>
    <t>1、【双11仅天猫参加，双12淘宝店参加】
2、培养第二阶梯产品，抢占类目排行（三款产品进入自然搜索前三）
3、加大广告投放，为双11,12等大促活动抢占有资源。配合淘宝促销环境，抢夺更多销售额。</t>
  </si>
  <si>
    <t>其他</t>
  </si>
  <si>
    <t>合计</t>
  </si>
  <si>
    <t>阶段概述</t>
  </si>
  <si>
    <t xml:space="preserve">1、分析市场行情，根据消费者市场调整产品上下架时间、价格、属性等基本信息。
2、根据市场行情，结合现有的产品，找出潜在的爆款、次爆款。
3、通过刷单的方式，突破销量为0的限制，达到月销30，评价10的门槛。
4、报名官方、淘金币等活动，冲刺一下销量
5、及时更新手机店铺，做一些手机店铺的活动，提升客户粘度，提升店铺人气                                             6、店铺活动、动态及时更新至微淘，获取微淘的优质客户                                                                       7、销售产品的时候，使用满赠【有门槛优惠劵】的方式，尽可能让已经购买的客户回头再次购买                8、使用好评有礼的方式，赠送无门槛优惠劵，让客户评价的时候尽可能打5分，提升整个店铺三项动态评分DSR  </t>
  </si>
  <si>
    <t xml:space="preserve">1、结合店铺实际情况（运费、客单价等）做店铺包邮活动，提升客单价。
3、产品属于快消品，消费者再次购买几率大，设计合适的CRM客户管理体系，为以后的老客户营销做准备。
4、6.18是淘宝年中大促活动，淘宝店铺、天猫店铺因资历限制，暂时不能参加主会场，届时试试其他办法从其他方面获取一些活动流量来提高销售                
5、推广方面：随时关注店铺资质，当能直通车、钻展、淘宝客的时候，第一时间开通推广。                                       
6、6月5日开始准备活动，包括店铺首页海报、手机端海报、微淘广播及时更新。6.18年中大促、端午节、父亲节、夏至节，以及活动优惠方式。                  
                                              </t>
  </si>
  <si>
    <t xml:space="preserve">1、店铺运营到此时，销量人气达到一个相对稳定的阶段，接下来的工作重点是维护好老客户，让更多的老客户再次回头购买。
2、加大推广力度，增加店铺曝光量
3、店铺设置一些新老客户互动活动，增加店铺粘度。
4、推出组合新品，如几种产品组合，前期通过返利方式达到预定销量，后期报名聚划算  
5、推出新款                                                     6、维护店铺销量基础，尝试提升销量，为双十一购物高峰打基础。
</t>
  </si>
  <si>
    <t xml:space="preserve">
1、确认双11活动商品以及计划
2、确认双12活动计划                                                                                                       3、双11活动预热                                   
 4、双11。
5、双12活动预热
6、双12。
7、年底天猫及淘宝其他各种类目资源活动
8、此阶段快递出货量大，各地爆仓严重，建议更换成顺丰特惠（陆运，费用比较便宜）     
9、阿底提电商2018年计划</t>
  </si>
  <si>
    <t>日期</t>
  </si>
  <si>
    <t>节日名称</t>
  </si>
  <si>
    <t>季度</t>
  </si>
  <si>
    <t>Q</t>
  </si>
  <si>
    <t>Q1</t>
  </si>
  <si>
    <t>Q2</t>
  </si>
  <si>
    <t>Q3</t>
  </si>
  <si>
    <t>Q4</t>
  </si>
  <si>
    <t>元旦</t>
  </si>
  <si>
    <t>1月（春节）</t>
  </si>
  <si>
    <t>2月（元宵）</t>
  </si>
  <si>
    <t>3月（妇女）</t>
  </si>
  <si>
    <t>4月（清明）</t>
  </si>
  <si>
    <t>5月（劳动节）</t>
  </si>
  <si>
    <t>6月（年中）</t>
  </si>
  <si>
    <t>7月（清仓）</t>
  </si>
  <si>
    <t>8月（七夕）</t>
  </si>
  <si>
    <t>9月（教师）</t>
  </si>
  <si>
    <t>10月（国庆）</t>
  </si>
  <si>
    <t>世界湿地日</t>
  </si>
  <si>
    <t>品牌活动推广</t>
  </si>
  <si>
    <t>好面膜
XX的</t>
  </si>
  <si>
    <t>白美人真心话大冒险</t>
  </si>
  <si>
    <t>十分关爱女性基金启动</t>
  </si>
  <si>
    <t>XX宣言：妈妈永不老</t>
  </si>
  <si>
    <t>经典美白
十年见证</t>
  </si>
  <si>
    <t>美白一夏</t>
  </si>
  <si>
    <t>XX，真的在乎你</t>
  </si>
  <si>
    <t>十分关爱
——送温暖活动</t>
  </si>
  <si>
    <t>魅力XX闪耀十月</t>
  </si>
  <si>
    <t>全年聚惠</t>
  </si>
  <si>
    <t>召集闺蜜，血拼有你</t>
  </si>
  <si>
    <t>主题产品</t>
  </si>
  <si>
    <t>电商库存产品</t>
  </si>
  <si>
    <t>茶花系列、 调理霜</t>
  </si>
  <si>
    <t>面膜、调理霜、茶花系列</t>
  </si>
  <si>
    <t xml:space="preserve">  面膜、
水肌源</t>
  </si>
  <si>
    <t>防晒、茶花系列</t>
  </si>
  <si>
    <t>调理霜、茶花系列</t>
  </si>
  <si>
    <t>防晒、面膜、去黑头</t>
  </si>
  <si>
    <t>面膜、茶花系列</t>
  </si>
  <si>
    <t>茶花系列、调理霜</t>
  </si>
  <si>
    <t>防晒、旅行套组</t>
  </si>
  <si>
    <t>爆款、套装</t>
  </si>
  <si>
    <t>年度畅销明星产品</t>
  </si>
  <si>
    <t>店内活动</t>
  </si>
  <si>
    <t>双十二</t>
  </si>
  <si>
    <t>跨年盛典</t>
  </si>
  <si>
    <t>元宵</t>
  </si>
  <si>
    <t>38女神节</t>
  </si>
  <si>
    <t>劳动节</t>
  </si>
  <si>
    <t>年中大促</t>
  </si>
  <si>
    <t>清仓</t>
  </si>
  <si>
    <t>七夕</t>
  </si>
  <si>
    <t>开学季</t>
  </si>
  <si>
    <t>国庆</t>
  </si>
  <si>
    <t>双十一</t>
  </si>
  <si>
    <t>情人节</t>
  </si>
  <si>
    <t>圣诞</t>
  </si>
  <si>
    <t>年货节</t>
  </si>
  <si>
    <t>母亲节</t>
  </si>
  <si>
    <t>66大促</t>
  </si>
  <si>
    <t>中秋</t>
  </si>
  <si>
    <t>全国爱耳日</t>
  </si>
  <si>
    <t>全网活动</t>
  </si>
  <si>
    <t>全网</t>
  </si>
  <si>
    <t>春节不打烊</t>
  </si>
  <si>
    <t>闹元宵</t>
  </si>
  <si>
    <t>3.8女神节</t>
  </si>
  <si>
    <t>51扫码季</t>
  </si>
  <si>
    <t>618年中大促</t>
  </si>
  <si>
    <t>狂暑促</t>
  </si>
  <si>
    <t>青年志愿者服务日</t>
  </si>
  <si>
    <t>日常</t>
  </si>
  <si>
    <t>待定</t>
  </si>
  <si>
    <t>国际妇女节</t>
  </si>
  <si>
    <t>第三方</t>
  </si>
  <si>
    <t>折800/返利</t>
  </si>
  <si>
    <t>保护母亲河日</t>
  </si>
  <si>
    <t>官方活动</t>
  </si>
  <si>
    <t>淘抢购</t>
  </si>
  <si>
    <t>聚划算</t>
  </si>
  <si>
    <t>天天特价</t>
  </si>
  <si>
    <t>淘金币</t>
  </si>
  <si>
    <t>中国植树节</t>
  </si>
  <si>
    <t>白色情人节</t>
  </si>
  <si>
    <t>国际警察日</t>
  </si>
  <si>
    <t>世界消费者权益日</t>
  </si>
  <si>
    <t>世界森林日</t>
  </si>
  <si>
    <t>世界睡眠日</t>
  </si>
  <si>
    <t>世界水日</t>
  </si>
  <si>
    <t>世界气象日</t>
  </si>
  <si>
    <t>世界防治结核病日</t>
  </si>
  <si>
    <t>愚人节</t>
  </si>
  <si>
    <t>清明节</t>
  </si>
  <si>
    <t>世界卫生日</t>
  </si>
  <si>
    <t>世界地球日</t>
  </si>
  <si>
    <t>世界知识产权日</t>
  </si>
  <si>
    <t>国际劳动节</t>
  </si>
  <si>
    <t>世界哮喘日</t>
  </si>
  <si>
    <t>中国青年节</t>
  </si>
  <si>
    <t>世界红十字日</t>
  </si>
  <si>
    <t>国际护士节</t>
  </si>
  <si>
    <t>国际家庭日</t>
  </si>
  <si>
    <t>世界电信日</t>
  </si>
  <si>
    <t>全国学生营养日</t>
  </si>
  <si>
    <t>国际牛奶日</t>
  </si>
  <si>
    <t>世界无烟日</t>
  </si>
  <si>
    <t>国际儿童节</t>
  </si>
  <si>
    <t>世界环境日</t>
  </si>
  <si>
    <t>全国爱眼日</t>
  </si>
  <si>
    <t>世界防治荒漠化和干旱日</t>
  </si>
  <si>
    <t>国际奥林匹克日</t>
  </si>
  <si>
    <t>全国土地日</t>
  </si>
  <si>
    <t>国际禁毒日</t>
  </si>
  <si>
    <t>中国共产党诞生日</t>
  </si>
  <si>
    <t>国际建筑日</t>
  </si>
  <si>
    <t>7-9 - 7.20</t>
  </si>
  <si>
    <t>中国人民抗日战争纪念日</t>
  </si>
  <si>
    <t>世界人口日</t>
  </si>
  <si>
    <t>中国人民解放军建军节</t>
  </si>
  <si>
    <t>国际青年节</t>
  </si>
  <si>
    <t>国际扫盲日</t>
  </si>
  <si>
    <t>中国教师节</t>
  </si>
  <si>
    <t>中国脑健康日</t>
  </si>
  <si>
    <t>国际臭氧层保护日</t>
  </si>
  <si>
    <t>全国爱牙日</t>
  </si>
  <si>
    <t>世界停火日</t>
  </si>
  <si>
    <t>世界旅游日</t>
  </si>
  <si>
    <t>中华人民共和国国庆节</t>
  </si>
  <si>
    <t>国际音乐日</t>
  </si>
  <si>
    <t>国际老年人日</t>
  </si>
  <si>
    <t>世界动物日</t>
  </si>
  <si>
    <t>世界教师日</t>
  </si>
  <si>
    <t>全国高血压日</t>
  </si>
  <si>
    <t>世界邮政日</t>
  </si>
  <si>
    <t>世界精神卫生日</t>
  </si>
  <si>
    <t>世界标准日</t>
  </si>
  <si>
    <t>国际盲人节</t>
  </si>
  <si>
    <t>世界农村妇女日</t>
  </si>
  <si>
    <t>世界粮食日</t>
  </si>
  <si>
    <t>国际消除贫困日</t>
  </si>
  <si>
    <t>联合国日</t>
  </si>
  <si>
    <t>世界发展新闻日</t>
  </si>
  <si>
    <t>中国男性健康日</t>
  </si>
  <si>
    <t>国际生物多样性日</t>
  </si>
  <si>
    <t>万圣节</t>
  </si>
  <si>
    <t>中国记者节</t>
  </si>
  <si>
    <t>消防宣传日</t>
  </si>
  <si>
    <t>世界糖尿病日</t>
  </si>
  <si>
    <t>国际大学生节</t>
  </si>
  <si>
    <t>国际消除对妇女的暴力日</t>
  </si>
  <si>
    <t>世界爱滋病日</t>
  </si>
  <si>
    <t>世界残疾人日</t>
  </si>
  <si>
    <t>全国法制宣传日</t>
  </si>
  <si>
    <t>世界足球日</t>
  </si>
  <si>
    <t>圣诞节</t>
  </si>
  <si>
    <t>1月最后一个星期日</t>
  </si>
  <si>
    <t>国际麻风节</t>
  </si>
  <si>
    <t>3月最后一个完整周的星期一</t>
  </si>
  <si>
    <t>中小学生安全教育日</t>
  </si>
  <si>
    <t>春分月圆后的第一个星期日</t>
  </si>
  <si>
    <t>复活节(一般是3月22日-4月25日间的任一天)</t>
  </si>
  <si>
    <t>5月第二个星期日</t>
  </si>
  <si>
    <t>5月第三个星期日</t>
  </si>
  <si>
    <t>全国助残日</t>
  </si>
  <si>
    <t>6月第三个星期日</t>
  </si>
  <si>
    <t>父亲节</t>
  </si>
  <si>
    <t>9月第三个星期二</t>
  </si>
  <si>
    <t>国际和平日</t>
  </si>
  <si>
    <t>9月第三个星期六</t>
  </si>
  <si>
    <t>全国国防教育日</t>
  </si>
  <si>
    <t>9月第四个星期日</t>
  </si>
  <si>
    <t>国际聋人节</t>
  </si>
  <si>
    <t>10月的第一个星期一</t>
  </si>
  <si>
    <t>世界住房日</t>
  </si>
  <si>
    <t>10月的第二个星斯一</t>
  </si>
  <si>
    <t>加拿大感恩节</t>
  </si>
  <si>
    <t>10月第二个星期三</t>
  </si>
  <si>
    <t>国际减轻自然灾害日</t>
  </si>
  <si>
    <t>10月第二个星期四</t>
  </si>
  <si>
    <t>世界爱眼日</t>
  </si>
  <si>
    <t>11月最后一个星期四</t>
  </si>
  <si>
    <t>美国感恩节</t>
  </si>
  <si>
    <t>农历节日</t>
  </si>
  <si>
    <t>农历正月初一</t>
  </si>
  <si>
    <t>春节</t>
  </si>
  <si>
    <t>农历正月十五</t>
  </si>
  <si>
    <t>元宵节</t>
  </si>
  <si>
    <t>春节前24左右到元宵期间</t>
  </si>
  <si>
    <t>农历五月初五</t>
  </si>
  <si>
    <t>端午节</t>
  </si>
  <si>
    <t>农历七月初七</t>
  </si>
  <si>
    <t>七夕节(中国情人节)</t>
  </si>
  <si>
    <t>农历八月十五</t>
  </si>
  <si>
    <t>中秋节</t>
  </si>
  <si>
    <t>农历九月初九</t>
  </si>
  <si>
    <t>重阳节</t>
  </si>
  <si>
    <t>农历腊月初八</t>
  </si>
  <si>
    <t>腊八节</t>
  </si>
  <si>
    <t>农历腊月二十四</t>
  </si>
  <si>
    <t>传统扫房日</t>
  </si>
  <si>
    <t>农历腊月廿九或三十</t>
  </si>
  <si>
    <t>除夕</t>
  </si>
  <si>
    <t>目标</t>
  </si>
  <si>
    <t>投入</t>
  </si>
  <si>
    <t>目标毛利</t>
  </si>
  <si>
    <t>运营成本</t>
  </si>
  <si>
    <t>基础目标</t>
  </si>
  <si>
    <t>产品费用（30%）</t>
  </si>
  <si>
    <t>广告(20%）</t>
  </si>
  <si>
    <t>物流成本（10%）</t>
  </si>
  <si>
    <t>工资（15%）</t>
  </si>
  <si>
    <t>销售利润(20%)</t>
  </si>
  <si>
    <t>杂费（5%）</t>
  </si>
  <si>
    <t>物流均价（6）</t>
  </si>
  <si>
    <t>单数</t>
  </si>
  <si>
    <t>运营（0.125提成）</t>
  </si>
  <si>
    <t>人数</t>
  </si>
  <si>
    <t>设计（0.075提成）</t>
  </si>
  <si>
    <t>客服（个人销售1%）</t>
  </si>
  <si>
    <t>仓库（0.025提成）</t>
  </si>
  <si>
    <t>提成工资</t>
  </si>
  <si>
    <t>绩效工资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</si>
  <si>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</si>
  <si>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</si>
  <si>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</si>
  <si>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</si>
  <si>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</si>
  <si>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</si>
  <si>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</si>
  <si>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</si>
  <si>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</si>
  <si>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</si>
  <si>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</si>
  <si>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</si>
  <si>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设计</t>
  </si>
  <si>
    <t>销售总额</t>
  </si>
  <si>
    <t>底薪</t>
  </si>
  <si>
    <t>基本工资</t>
  </si>
  <si>
    <t>KIP</t>
  </si>
  <si>
    <t>绩效</t>
  </si>
  <si>
    <t>薪酬</t>
  </si>
  <si>
    <t>仓管（0.025提成）</t>
  </si>
  <si>
    <t>5000-8000</t>
  </si>
  <si>
    <t>-</t>
  </si>
  <si>
    <t>4500-8000</t>
  </si>
  <si>
    <t>2500-4500</t>
  </si>
  <si>
    <t>天猫旗舰店
2017年全年规划</t>
    <phoneticPr fontId="33" type="noConversion"/>
  </si>
  <si>
    <t>天猫旗舰店年度营销计划</t>
    <phoneticPr fontId="33" type="noConversion"/>
  </si>
  <si>
    <t>天猫2017年度运营目标计划表</t>
    <phoneticPr fontId="33" type="noConversion"/>
  </si>
  <si>
    <t>表格为全自动公式，填写销售额即可</t>
    <phoneticPr fontId="33" type="noConversion"/>
  </si>
  <si>
    <t>清明</t>
    <phoneticPr fontId="33" type="noConversion"/>
  </si>
  <si>
    <t>更多干货表格找QQ178455216</t>
    <phoneticPr fontId="33" type="noConversion"/>
  </si>
  <si>
    <t>X月销售计划</t>
  </si>
  <si>
    <t>一、销售目标及拆解</t>
  </si>
  <si>
    <t>品牌</t>
  </si>
  <si>
    <t>X月目标</t>
  </si>
  <si>
    <t>业绩</t>
  </si>
  <si>
    <t>UV</t>
  </si>
  <si>
    <t>毛利</t>
  </si>
  <si>
    <t>费用</t>
  </si>
  <si>
    <t>净利</t>
  </si>
  <si>
    <t>预计</t>
  </si>
  <si>
    <t>实际</t>
  </si>
  <si>
    <t>差异</t>
  </si>
  <si>
    <t>第一周</t>
  </si>
  <si>
    <t>第二周</t>
  </si>
  <si>
    <t>第三周</t>
  </si>
  <si>
    <t>第四周</t>
  </si>
  <si>
    <t>第五周</t>
  </si>
  <si>
    <t>第六周</t>
  </si>
  <si>
    <t>第七周</t>
  </si>
  <si>
    <t>销售目标</t>
  </si>
  <si>
    <t>转化</t>
  </si>
  <si>
    <t>客单</t>
  </si>
  <si>
    <t>活动</t>
  </si>
  <si>
    <t>广告</t>
  </si>
  <si>
    <t>目前问题和改进建议</t>
  </si>
  <si>
    <t>待做事宜:</t>
  </si>
  <si>
    <t>遇到问题:</t>
  </si>
  <si>
    <t>目前问题</t>
  </si>
  <si>
    <t>问题详述</t>
  </si>
  <si>
    <t>XXXX的修改方案</t>
  </si>
  <si>
    <t>方案执行</t>
  </si>
  <si>
    <t>预计完成时间</t>
  </si>
  <si>
    <t>一.店铺装修</t>
  </si>
  <si>
    <t>1.主体框架</t>
  </si>
  <si>
    <t>店铺装修类</t>
  </si>
  <si>
    <t>2.产品描述</t>
  </si>
  <si>
    <t>3.自定义页面</t>
  </si>
  <si>
    <t>4.促销区活动页面</t>
  </si>
  <si>
    <t>店铺推广类</t>
  </si>
  <si>
    <t>二.主题活动</t>
  </si>
  <si>
    <t>1.广告素材.</t>
  </si>
  <si>
    <t>2.广告方案</t>
  </si>
  <si>
    <t>3.主题页面</t>
  </si>
  <si>
    <t>平台规则类</t>
  </si>
  <si>
    <t>三.产品</t>
  </si>
  <si>
    <t>1.主推产品系列</t>
  </si>
  <si>
    <t>2.主打产品</t>
  </si>
  <si>
    <t>四.广告计划</t>
  </si>
  <si>
    <t>1.直通车</t>
  </si>
  <si>
    <t>2.钻展</t>
  </si>
  <si>
    <t>3.淘客</t>
  </si>
  <si>
    <t>五.数据分析</t>
  </si>
  <si>
    <t>1.量子恒道分析</t>
  </si>
  <si>
    <t>2.广告点击分析</t>
  </si>
  <si>
    <t>3.销售结果分析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</si>
</sst>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&quot;￥&quot;#,##0;&quot;￥&quot;\-#,##0"/>
    <numFmt numFmtId="177" formatCode="0_ "/>
    <numFmt numFmtId="178" formatCode="#,##0_ "/>
    <numFmt numFmtId="179" formatCode="0.0;[Red]0.0"/>
    <numFmt numFmtId="180" formatCode="0_);[Red]\(0\)"/>
  </numFmts>
  <fonts count="46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</font>
    <font>
      <b/>
      <sz val="18"/>
      <color indexed="9"/>
      <name val="宋体"/>
      <charset val="134"/>
    </font>
    <font>
      <sz val="11"/>
      <color indexed="8"/>
      <name val="宋体"/>
      <charset val="134"/>
    </font>
    <font>
      <b/>
      <sz val="12"/>
      <color indexed="49"/>
      <name val="微软雅黑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0"/>
      <color indexed="63"/>
      <name val="Microsoft yahei"/>
      <charset val="134"/>
    </font>
    <font>
      <sz val="10"/>
      <color indexed="8"/>
      <name val="Microsoft yahei"/>
      <charset val="134"/>
    </font>
    <font>
      <b/>
      <sz val="10"/>
      <color indexed="10"/>
      <name val="宋体"/>
      <charset val="134"/>
    </font>
    <font>
      <sz val="36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0"/>
      <name val="宋体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2"/>
      <color indexed="8"/>
      <name val="宋体"/>
      <charset val="134"/>
    </font>
    <font>
      <sz val="12"/>
      <name val="微软雅黑"/>
      <charset val="134"/>
    </font>
    <font>
      <sz val="12"/>
      <color indexed="49"/>
      <name val="微软雅黑"/>
      <charset val="134"/>
    </font>
    <font>
      <b/>
      <sz val="10"/>
      <color indexed="10"/>
      <name val="微软雅黑"/>
      <charset val="134"/>
    </font>
    <font>
      <sz val="10"/>
      <name val="微软雅黑"/>
      <charset val="134"/>
    </font>
    <font>
      <sz val="10"/>
      <color indexed="60"/>
      <name val="宋体"/>
      <charset val="134"/>
    </font>
    <font>
      <b/>
      <sz val="12"/>
      <color rgb="FFFF0000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36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28"/>
      <color rgb="FFFF0000"/>
      <name val="宋体"/>
      <family val="3"/>
      <charset val="134"/>
    </font>
    <font>
      <b/>
      <sz val="11"/>
      <color theme="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indexed="60"/>
      <name val="宋体"/>
      <charset val="134"/>
    </font>
    <font>
      <sz val="9"/>
      <name val="宋体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15" fontId="30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0" borderId="0" applyProtection="0">
      <alignment vertical="center"/>
    </xf>
    <xf numFmtId="43" fontId="30" fillId="0" borderId="0" applyFont="0" applyFill="0" applyBorder="0" applyAlignment="0" applyProtection="0"/>
    <xf numFmtId="0" fontId="3" fillId="0" borderId="0">
      <alignment vertical="center"/>
    </xf>
    <xf numFmtId="0" fontId="44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4" fillId="27" borderId="0" applyNumberFormat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1" fontId="4" fillId="3" borderId="5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8" fontId="5" fillId="2" borderId="1" xfId="4" applyNumberFormat="1" applyFont="1" applyFill="1" applyBorder="1" applyAlignment="1">
      <alignment horizontal="right" vertical="center"/>
    </xf>
    <xf numFmtId="41" fontId="4" fillId="3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5" fillId="2" borderId="1" xfId="4" applyFont="1" applyFill="1" applyBorder="1">
      <alignment vertical="center"/>
    </xf>
    <xf numFmtId="0" fontId="5" fillId="2" borderId="1" xfId="4" applyFont="1" applyFill="1" applyBorder="1" applyAlignment="1">
      <alignment horizontal="center" vertical="center"/>
    </xf>
    <xf numFmtId="0" fontId="5" fillId="6" borderId="1" xfId="6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6" borderId="1" xfId="6" applyFont="1" applyFill="1" applyBorder="1" applyAlignment="1">
      <alignment horizontal="center" vertical="center" wrapText="1"/>
    </xf>
    <xf numFmtId="178" fontId="5" fillId="4" borderId="1" xfId="3" applyNumberFormat="1" applyFont="1" applyFill="1" applyBorder="1" applyAlignment="1">
      <alignment horizontal="right" vertical="center"/>
    </xf>
    <xf numFmtId="178" fontId="5" fillId="4" borderId="1" xfId="3" applyNumberFormat="1" applyFont="1" applyFill="1" applyBorder="1">
      <alignment vertical="center"/>
    </xf>
    <xf numFmtId="178" fontId="5" fillId="6" borderId="1" xfId="6" applyNumberFormat="1" applyFont="1" applyFill="1" applyBorder="1">
      <alignment vertical="center"/>
    </xf>
    <xf numFmtId="0" fontId="6" fillId="2" borderId="1" xfId="4" applyFont="1" applyFill="1" applyBorder="1" applyAlignment="1">
      <alignment horizontal="center" vertical="center"/>
    </xf>
    <xf numFmtId="178" fontId="6" fillId="2" borderId="1" xfId="4" applyNumberFormat="1" applyFont="1" applyFill="1" applyBorder="1">
      <alignment vertical="center"/>
    </xf>
    <xf numFmtId="178" fontId="6" fillId="4" borderId="1" xfId="3" applyNumberFormat="1" applyFont="1" applyFill="1" applyBorder="1">
      <alignment vertical="center"/>
    </xf>
    <xf numFmtId="178" fontId="6" fillId="6" borderId="1" xfId="6" applyNumberFormat="1" applyFont="1" applyFill="1" applyBorder="1">
      <alignment vertical="center"/>
    </xf>
    <xf numFmtId="178" fontId="3" fillId="0" borderId="1" xfId="0" applyNumberFormat="1" applyFont="1" applyFill="1" applyBorder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8" fontId="3" fillId="7" borderId="1" xfId="0" applyNumberFormat="1" applyFont="1" applyFill="1" applyBorder="1" applyAlignment="1">
      <alignment horizontal="right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1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7" fontId="7" fillId="0" borderId="1" xfId="0" applyNumberFormat="1" applyFont="1" applyFill="1" applyBorder="1" applyAlignment="1">
      <alignment horizontal="center" vertical="center"/>
    </xf>
    <xf numFmtId="179" fontId="11" fillId="0" borderId="1" xfId="0" applyNumberFormat="1" applyFont="1" applyFill="1" applyBorder="1" applyAlignment="1">
      <alignment horizontal="center" vertical="center" wrapText="1"/>
    </xf>
    <xf numFmtId="179" fontId="12" fillId="0" borderId="1" xfId="0" applyNumberFormat="1" applyFont="1" applyFill="1" applyBorder="1" applyAlignment="1">
      <alignment horizontal="center" vertical="center" wrapText="1"/>
    </xf>
    <xf numFmtId="57" fontId="7" fillId="0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9" fontId="11" fillId="0" borderId="1" xfId="0" applyNumberFormat="1" applyFont="1" applyFill="1" applyBorder="1" applyAlignment="1">
      <alignment horizontal="left" vertical="center" wrapText="1"/>
    </xf>
    <xf numFmtId="58" fontId="7" fillId="0" borderId="0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58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58" fontId="9" fillId="9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180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80" fontId="7" fillId="0" borderId="10" xfId="0" applyNumberFormat="1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10" fontId="7" fillId="0" borderId="12" xfId="0" applyNumberFormat="1" applyFont="1" applyFill="1" applyBorder="1" applyAlignment="1">
      <alignment horizontal="center" vertical="center"/>
    </xf>
    <xf numFmtId="177" fontId="20" fillId="8" borderId="12" xfId="0" applyNumberFormat="1" applyFont="1" applyFill="1" applyBorder="1" applyAlignment="1">
      <alignment horizontal="center" vertical="center"/>
    </xf>
    <xf numFmtId="177" fontId="20" fillId="0" borderId="12" xfId="0" applyNumberFormat="1" applyFont="1" applyFill="1" applyBorder="1" applyAlignment="1">
      <alignment horizontal="center" vertical="center"/>
    </xf>
    <xf numFmtId="10" fontId="20" fillId="0" borderId="12" xfId="0" applyNumberFormat="1" applyFont="1" applyFill="1" applyBorder="1" applyAlignment="1">
      <alignment horizontal="center" vertical="center"/>
    </xf>
    <xf numFmtId="0" fontId="20" fillId="8" borderId="1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0" borderId="18" xfId="0" applyNumberFormat="1" applyFont="1" applyFill="1" applyBorder="1" applyAlignment="1">
      <alignment horizontal="center" vertical="center"/>
    </xf>
    <xf numFmtId="0" fontId="3" fillId="11" borderId="0" xfId="0" applyFont="1" applyFill="1" applyBorder="1" applyAlignment="1"/>
    <xf numFmtId="0" fontId="21" fillId="0" borderId="0" xfId="0" applyFont="1" applyFill="1" applyBorder="1" applyAlignment="1">
      <alignment vertical="center"/>
    </xf>
    <xf numFmtId="176" fontId="21" fillId="0" borderId="0" xfId="0" applyNumberFormat="1" applyFont="1" applyFill="1" applyBorder="1" applyAlignment="1">
      <alignment horizontal="left" vertical="center"/>
    </xf>
    <xf numFmtId="0" fontId="20" fillId="0" borderId="21" xfId="0" applyNumberFormat="1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19" fillId="13" borderId="0" xfId="2" applyNumberFormat="1" applyFont="1" applyFill="1" applyBorder="1" applyAlignment="1">
      <alignment vertical="center"/>
    </xf>
    <xf numFmtId="0" fontId="19" fillId="12" borderId="0" xfId="2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horizontal="left" vertical="center"/>
    </xf>
    <xf numFmtId="0" fontId="19" fillId="15" borderId="0" xfId="2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177" fontId="23" fillId="3" borderId="20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7" fillId="0" borderId="27" xfId="0" applyFont="1" applyFill="1" applyBorder="1" applyAlignment="1">
      <alignment horizontal="center" vertical="center"/>
    </xf>
    <xf numFmtId="0" fontId="19" fillId="13" borderId="1" xfId="2" applyNumberFormat="1" applyFont="1" applyFill="1" applyBorder="1" applyAlignment="1">
      <alignment horizontal="center" vertical="center"/>
    </xf>
    <xf numFmtId="177" fontId="20" fillId="0" borderId="2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6" fillId="19" borderId="1" xfId="1" applyFont="1" applyFill="1" applyBorder="1" applyAlignment="1">
      <alignment horizontal="center" vertical="center"/>
    </xf>
    <xf numFmtId="180" fontId="7" fillId="0" borderId="30" xfId="0" applyNumberFormat="1" applyFont="1" applyFill="1" applyBorder="1" applyAlignment="1">
      <alignment horizontal="center" vertical="center"/>
    </xf>
    <xf numFmtId="176" fontId="27" fillId="0" borderId="1" xfId="0" applyNumberFormat="1" applyFont="1" applyFill="1" applyBorder="1" applyAlignment="1">
      <alignment horizontal="left" vertical="center"/>
    </xf>
    <xf numFmtId="180" fontId="25" fillId="0" borderId="4" xfId="0" applyNumberFormat="1" applyFont="1" applyFill="1" applyBorder="1" applyAlignment="1">
      <alignment horizontal="center" vertical="center"/>
    </xf>
    <xf numFmtId="180" fontId="26" fillId="19" borderId="1" xfId="1" applyNumberFormat="1" applyFont="1" applyFill="1" applyBorder="1" applyAlignment="1">
      <alignment horizontal="center" vertical="center"/>
    </xf>
    <xf numFmtId="10" fontId="7" fillId="0" borderId="31" xfId="0" applyNumberFormat="1" applyFont="1" applyFill="1" applyBorder="1" applyAlignment="1">
      <alignment horizontal="center" vertical="center"/>
    </xf>
    <xf numFmtId="9" fontId="20" fillId="0" borderId="1" xfId="0" applyNumberFormat="1" applyFont="1" applyFill="1" applyBorder="1" applyAlignment="1">
      <alignment horizontal="center" vertical="center"/>
    </xf>
    <xf numFmtId="177" fontId="20" fillId="0" borderId="31" xfId="0" applyNumberFormat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177" fontId="25" fillId="0" borderId="4" xfId="0" applyNumberFormat="1" applyFont="1" applyFill="1" applyBorder="1" applyAlignment="1">
      <alignment horizontal="center" vertical="center"/>
    </xf>
    <xf numFmtId="177" fontId="26" fillId="19" borderId="1" xfId="1" applyNumberFormat="1" applyFont="1" applyFill="1" applyBorder="1" applyAlignment="1">
      <alignment horizontal="center" vertical="center"/>
    </xf>
    <xf numFmtId="10" fontId="20" fillId="0" borderId="31" xfId="0" applyNumberFormat="1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177" fontId="20" fillId="0" borderId="6" xfId="0" applyNumberFormat="1" applyFont="1" applyFill="1" applyBorder="1" applyAlignment="1">
      <alignment horizontal="center" vertical="center"/>
    </xf>
    <xf numFmtId="0" fontId="20" fillId="0" borderId="33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34" xfId="0" applyNumberFormat="1" applyFont="1" applyFill="1" applyBorder="1" applyAlignment="1">
      <alignment horizontal="center" vertical="center"/>
    </xf>
    <xf numFmtId="177" fontId="20" fillId="0" borderId="3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6" fillId="19" borderId="35" xfId="1" applyFont="1" applyFill="1" applyBorder="1" applyAlignment="1">
      <alignment horizontal="center" vertical="center"/>
    </xf>
    <xf numFmtId="180" fontId="26" fillId="19" borderId="35" xfId="1" applyNumberFormat="1" applyFont="1" applyFill="1" applyBorder="1" applyAlignment="1">
      <alignment horizontal="center" vertical="center"/>
    </xf>
    <xf numFmtId="177" fontId="26" fillId="19" borderId="35" xfId="1" applyNumberFormat="1" applyFont="1" applyFill="1" applyBorder="1" applyAlignment="1">
      <alignment horizontal="center" vertical="center"/>
    </xf>
    <xf numFmtId="0" fontId="3" fillId="0" borderId="0" xfId="9" applyAlignment="1"/>
    <xf numFmtId="0" fontId="7" fillId="0" borderId="0" xfId="9" applyFont="1" applyBorder="1" applyAlignment="1">
      <alignment vertical="center"/>
    </xf>
    <xf numFmtId="0" fontId="7" fillId="29" borderId="36" xfId="9" applyFont="1" applyFill="1" applyBorder="1" applyAlignment="1">
      <alignment vertical="center"/>
    </xf>
    <xf numFmtId="0" fontId="7" fillId="0" borderId="0" xfId="9" applyFont="1" applyAlignment="1">
      <alignment vertical="center"/>
    </xf>
    <xf numFmtId="0" fontId="42" fillId="8" borderId="1" xfId="9" applyFont="1" applyFill="1" applyBorder="1" applyAlignment="1">
      <alignment horizontal="left" vertical="center"/>
    </xf>
    <xf numFmtId="0" fontId="42" fillId="8" borderId="1" xfId="9" applyFont="1" applyFill="1" applyBorder="1" applyAlignment="1">
      <alignment horizontal="center" vertical="center"/>
    </xf>
    <xf numFmtId="0" fontId="42" fillId="26" borderId="1" xfId="9" applyFont="1" applyFill="1" applyBorder="1" applyAlignment="1">
      <alignment horizontal="center" vertical="center"/>
    </xf>
    <xf numFmtId="3" fontId="43" fillId="26" borderId="1" xfId="9" applyNumberFormat="1" applyFont="1" applyFill="1" applyBorder="1" applyAlignment="1">
      <alignment horizontal="center" vertical="center"/>
    </xf>
    <xf numFmtId="177" fontId="43" fillId="26" borderId="1" xfId="9" applyNumberFormat="1" applyFont="1" applyFill="1" applyBorder="1" applyAlignment="1">
      <alignment horizontal="center" vertical="center"/>
    </xf>
    <xf numFmtId="10" fontId="43" fillId="26" borderId="1" xfId="9" applyNumberFormat="1" applyFont="1" applyFill="1" applyBorder="1" applyAlignment="1">
      <alignment horizontal="center" vertical="center"/>
    </xf>
    <xf numFmtId="0" fontId="41" fillId="30" borderId="1" xfId="9" applyFont="1" applyFill="1" applyBorder="1" applyAlignment="1">
      <alignment vertical="center"/>
    </xf>
    <xf numFmtId="0" fontId="42" fillId="25" borderId="1" xfId="9" applyFont="1" applyFill="1" applyBorder="1" applyAlignment="1">
      <alignment horizontal="center" vertical="center"/>
    </xf>
    <xf numFmtId="0" fontId="43" fillId="0" borderId="1" xfId="9" applyFont="1" applyFill="1" applyBorder="1" applyAlignment="1">
      <alignment horizontal="center" vertical="center"/>
    </xf>
    <xf numFmtId="0" fontId="43" fillId="25" borderId="1" xfId="9" applyFont="1" applyFill="1" applyBorder="1" applyAlignment="1">
      <alignment horizontal="center" vertical="center"/>
    </xf>
    <xf numFmtId="0" fontId="42" fillId="0" borderId="1" xfId="9" applyFont="1" applyFill="1" applyBorder="1" applyAlignment="1">
      <alignment horizontal="center" vertical="center"/>
    </xf>
    <xf numFmtId="0" fontId="42" fillId="29" borderId="36" xfId="9" applyFont="1" applyFill="1" applyBorder="1" applyAlignment="1">
      <alignment horizontal="left" vertical="center"/>
    </xf>
    <xf numFmtId="0" fontId="42" fillId="28" borderId="37" xfId="9" applyFont="1" applyFill="1" applyBorder="1" applyAlignment="1">
      <alignment horizontal="center" vertical="center"/>
    </xf>
    <xf numFmtId="0" fontId="42" fillId="28" borderId="28" xfId="9" applyFont="1" applyFill="1" applyBorder="1" applyAlignment="1">
      <alignment horizontal="center" vertical="center"/>
    </xf>
    <xf numFmtId="0" fontId="41" fillId="0" borderId="4" xfId="9" applyFont="1" applyFill="1" applyBorder="1" applyAlignment="1">
      <alignment horizontal="center" vertical="center"/>
    </xf>
    <xf numFmtId="0" fontId="41" fillId="0" borderId="4" xfId="9" applyFont="1" applyFill="1" applyBorder="1" applyAlignment="1" applyProtection="1">
      <alignment horizontal="center"/>
      <protection locked="0"/>
    </xf>
    <xf numFmtId="0" fontId="41" fillId="0" borderId="38" xfId="9" applyFont="1" applyFill="1" applyBorder="1" applyAlignment="1" applyProtection="1">
      <alignment horizontal="center"/>
      <protection locked="0"/>
    </xf>
    <xf numFmtId="0" fontId="42" fillId="8" borderId="1" xfId="9" applyFont="1" applyFill="1" applyBorder="1" applyAlignment="1">
      <alignment vertical="center"/>
    </xf>
    <xf numFmtId="0" fontId="43" fillId="26" borderId="1" xfId="9" applyFont="1" applyFill="1" applyBorder="1" applyAlignment="1">
      <alignment horizontal="center" vertical="center"/>
    </xf>
    <xf numFmtId="10" fontId="41" fillId="26" borderId="1" xfId="9" applyNumberFormat="1" applyFont="1" applyFill="1" applyBorder="1" applyAlignment="1">
      <alignment horizontal="center" vertical="center"/>
    </xf>
    <xf numFmtId="0" fontId="41" fillId="29" borderId="36" xfId="9" applyFont="1" applyFill="1" applyBorder="1" applyAlignment="1" applyProtection="1">
      <protection locked="0"/>
    </xf>
    <xf numFmtId="0" fontId="41" fillId="0" borderId="1" xfId="9" applyFont="1" applyFill="1" applyBorder="1" applyAlignment="1" applyProtection="1">
      <protection locked="0"/>
    </xf>
    <xf numFmtId="0" fontId="41" fillId="0" borderId="2" xfId="9" applyFont="1" applyFill="1" applyBorder="1" applyAlignment="1" applyProtection="1">
      <protection locked="0"/>
    </xf>
    <xf numFmtId="0" fontId="41" fillId="0" borderId="39" xfId="9" applyFont="1" applyFill="1" applyBorder="1" applyAlignment="1" applyProtection="1">
      <protection locked="0"/>
    </xf>
    <xf numFmtId="0" fontId="41" fillId="0" borderId="40" xfId="9" applyFont="1" applyFill="1" applyBorder="1" applyAlignment="1" applyProtection="1">
      <protection locked="0"/>
    </xf>
    <xf numFmtId="0" fontId="42" fillId="0" borderId="0" xfId="9" applyFont="1" applyFill="1" applyBorder="1" applyAlignment="1">
      <alignment vertical="center"/>
    </xf>
    <xf numFmtId="0" fontId="7" fillId="29" borderId="41" xfId="9" applyFont="1" applyFill="1" applyBorder="1" applyAlignment="1">
      <alignment vertical="center" wrapText="1"/>
    </xf>
    <xf numFmtId="0" fontId="42" fillId="0" borderId="0" xfId="9" applyFont="1" applyFill="1" applyBorder="1" applyAlignment="1">
      <alignment horizontal="center" vertical="center"/>
    </xf>
    <xf numFmtId="0" fontId="7" fillId="0" borderId="8" xfId="9" applyFont="1" applyBorder="1" applyAlignment="1">
      <alignment vertical="center" wrapText="1"/>
    </xf>
    <xf numFmtId="0" fontId="41" fillId="0" borderId="35" xfId="9" applyFont="1" applyFill="1" applyBorder="1" applyAlignment="1" applyProtection="1">
      <protection locked="0"/>
    </xf>
    <xf numFmtId="0" fontId="41" fillId="0" borderId="0" xfId="9" applyFont="1" applyFill="1" applyBorder="1" applyAlignment="1" applyProtection="1">
      <protection locked="0"/>
    </xf>
    <xf numFmtId="0" fontId="7" fillId="0" borderId="1" xfId="9" applyFont="1" applyBorder="1" applyAlignment="1">
      <alignment vertical="center" wrapText="1"/>
    </xf>
    <xf numFmtId="0" fontId="41" fillId="0" borderId="42" xfId="9" applyFont="1" applyFill="1" applyBorder="1" applyAlignment="1" applyProtection="1">
      <protection locked="0"/>
    </xf>
    <xf numFmtId="0" fontId="7" fillId="0" borderId="0" xfId="9" applyFont="1" applyBorder="1" applyAlignment="1">
      <alignment vertical="center" wrapText="1"/>
    </xf>
    <xf numFmtId="0" fontId="38" fillId="10" borderId="0" xfId="0" applyFont="1" applyFill="1" applyBorder="1" applyAlignment="1">
      <alignment horizontal="center" vertical="center"/>
    </xf>
    <xf numFmtId="0" fontId="38" fillId="10" borderId="27" xfId="0" applyFont="1" applyFill="1" applyBorder="1" applyAlignment="1">
      <alignment horizontal="center" vertical="center"/>
    </xf>
    <xf numFmtId="0" fontId="40" fillId="10" borderId="0" xfId="0" applyFont="1" applyFill="1" applyBorder="1" applyAlignment="1">
      <alignment horizontal="center" vertical="center" wrapText="1"/>
    </xf>
    <xf numFmtId="0" fontId="40" fillId="10" borderId="27" xfId="0" applyFont="1" applyFill="1" applyBorder="1" applyAlignment="1">
      <alignment horizontal="center" vertical="center" wrapText="1"/>
    </xf>
    <xf numFmtId="0" fontId="39" fillId="11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4" fillId="17" borderId="29" xfId="0" applyFont="1" applyFill="1" applyBorder="1" applyAlignment="1">
      <alignment horizontal="center" vertical="center"/>
    </xf>
    <xf numFmtId="0" fontId="19" fillId="13" borderId="1" xfId="2" applyNumberFormat="1" applyFont="1" applyFill="1" applyBorder="1" applyAlignment="1">
      <alignment horizontal="center" vertical="center"/>
    </xf>
    <xf numFmtId="0" fontId="19" fillId="13" borderId="16" xfId="2" applyNumberFormat="1" applyFont="1" applyFill="1" applyBorder="1" applyAlignment="1">
      <alignment horizontal="center" vertical="center"/>
    </xf>
    <xf numFmtId="0" fontId="19" fillId="13" borderId="15" xfId="2" applyNumberFormat="1" applyFont="1" applyFill="1" applyBorder="1" applyAlignment="1">
      <alignment horizontal="center" vertical="center"/>
    </xf>
    <xf numFmtId="180" fontId="20" fillId="8" borderId="9" xfId="0" applyNumberFormat="1" applyFont="1" applyFill="1" applyBorder="1" applyAlignment="1">
      <alignment horizontal="center" vertical="center"/>
    </xf>
    <xf numFmtId="180" fontId="20" fillId="8" borderId="10" xfId="0" applyNumberFormat="1" applyFont="1" applyFill="1" applyBorder="1" applyAlignment="1">
      <alignment horizontal="center" vertical="center"/>
    </xf>
    <xf numFmtId="0" fontId="19" fillId="12" borderId="1" xfId="2" applyNumberFormat="1" applyFont="1" applyFill="1" applyBorder="1" applyAlignment="1">
      <alignment horizontal="center" vertical="center"/>
    </xf>
    <xf numFmtId="0" fontId="19" fillId="15" borderId="1" xfId="2" applyNumberFormat="1" applyFont="1" applyFill="1" applyBorder="1" applyAlignment="1">
      <alignment horizontal="center" vertical="center"/>
    </xf>
    <xf numFmtId="0" fontId="19" fillId="16" borderId="1" xfId="2" applyNumberFormat="1" applyFont="1" applyFill="1" applyBorder="1" applyAlignment="1">
      <alignment horizontal="center" vertical="center"/>
    </xf>
    <xf numFmtId="0" fontId="19" fillId="18" borderId="6" xfId="2" applyNumberFormat="1" applyFont="1" applyFill="1" applyBorder="1" applyAlignment="1">
      <alignment horizontal="center" vertical="center"/>
    </xf>
    <xf numFmtId="0" fontId="19" fillId="18" borderId="8" xfId="2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2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2" fillId="8" borderId="20" xfId="0" applyNumberFormat="1" applyFont="1" applyFill="1" applyBorder="1" applyAlignment="1">
      <alignment horizontal="center" vertical="center"/>
    </xf>
    <xf numFmtId="0" fontId="22" fillId="8" borderId="21" xfId="0" applyNumberFormat="1" applyFont="1" applyFill="1" applyBorder="1" applyAlignment="1">
      <alignment horizontal="center" vertical="center"/>
    </xf>
    <xf numFmtId="0" fontId="22" fillId="14" borderId="20" xfId="0" applyNumberFormat="1" applyFont="1" applyFill="1" applyBorder="1" applyAlignment="1">
      <alignment horizontal="center" vertical="center"/>
    </xf>
    <xf numFmtId="0" fontId="22" fillId="14" borderId="21" xfId="0" applyNumberFormat="1" applyFont="1" applyFill="1" applyBorder="1" applyAlignment="1">
      <alignment horizontal="center" vertical="center"/>
    </xf>
    <xf numFmtId="0" fontId="23" fillId="3" borderId="20" xfId="0" applyNumberFormat="1" applyFont="1" applyFill="1" applyBorder="1" applyAlignment="1">
      <alignment horizontal="center" vertical="center"/>
    </xf>
    <xf numFmtId="0" fontId="23" fillId="3" borderId="21" xfId="0" applyNumberFormat="1" applyFont="1" applyFill="1" applyBorder="1" applyAlignment="1">
      <alignment horizontal="center" vertical="center"/>
    </xf>
    <xf numFmtId="0" fontId="23" fillId="3" borderId="22" xfId="0" applyNumberFormat="1" applyFont="1" applyFill="1" applyBorder="1" applyAlignment="1">
      <alignment horizontal="center" vertical="center"/>
    </xf>
    <xf numFmtId="0" fontId="23" fillId="3" borderId="2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10" borderId="4" xfId="2" applyNumberFormat="1" applyFont="1" applyFill="1" applyBorder="1" applyAlignment="1">
      <alignment horizontal="center" vertical="center"/>
    </xf>
    <xf numFmtId="0" fontId="19" fillId="10" borderId="1" xfId="2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17" fillId="1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80" fontId="7" fillId="0" borderId="6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20" fillId="0" borderId="20" xfId="0" applyNumberFormat="1" applyFont="1" applyFill="1" applyBorder="1" applyAlignment="1">
      <alignment horizontal="center" vertical="center"/>
    </xf>
    <xf numFmtId="0" fontId="20" fillId="0" borderId="21" xfId="0" applyNumberFormat="1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12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0" fillId="0" borderId="19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20" fillId="8" borderId="11" xfId="0" applyFont="1" applyFill="1" applyBorder="1" applyAlignment="1">
      <alignment horizontal="center" vertical="center" wrapText="1"/>
    </xf>
    <xf numFmtId="0" fontId="20" fillId="8" borderId="13" xfId="0" applyFont="1" applyFill="1" applyBorder="1" applyAlignment="1">
      <alignment horizontal="center" vertical="center" wrapText="1"/>
    </xf>
    <xf numFmtId="0" fontId="19" fillId="12" borderId="6" xfId="2" applyNumberFormat="1" applyFont="1" applyFill="1" applyBorder="1" applyAlignment="1">
      <alignment horizontal="center" vertical="center"/>
    </xf>
    <xf numFmtId="0" fontId="19" fillId="12" borderId="8" xfId="2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18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42" fillId="25" borderId="2" xfId="9" applyFont="1" applyFill="1" applyBorder="1" applyAlignment="1">
      <alignment horizontal="center" vertical="center"/>
    </xf>
    <xf numFmtId="0" fontId="42" fillId="25" borderId="3" xfId="9" applyFont="1" applyFill="1" applyBorder="1" applyAlignment="1">
      <alignment horizontal="center" vertical="center"/>
    </xf>
    <xf numFmtId="0" fontId="42" fillId="25" borderId="4" xfId="9" applyFont="1" applyFill="1" applyBorder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8" borderId="1" xfId="9" applyFont="1" applyFill="1" applyBorder="1" applyAlignment="1">
      <alignment horizontal="left" vertical="center"/>
    </xf>
    <xf numFmtId="0" fontId="42" fillId="26" borderId="1" xfId="9" applyFont="1" applyFill="1" applyBorder="1" applyAlignment="1">
      <alignment horizontal="center" vertical="center"/>
    </xf>
    <xf numFmtId="0" fontId="7" fillId="29" borderId="45" xfId="9" applyFont="1" applyFill="1" applyBorder="1" applyAlignment="1">
      <alignment horizontal="center" vertical="center" wrapText="1"/>
    </xf>
    <xf numFmtId="0" fontId="7" fillId="29" borderId="50" xfId="9" applyFont="1" applyFill="1" applyBorder="1" applyAlignment="1">
      <alignment horizontal="center" vertical="center" wrapText="1"/>
    </xf>
    <xf numFmtId="0" fontId="42" fillId="28" borderId="24" xfId="9" applyFont="1" applyFill="1" applyBorder="1" applyAlignment="1">
      <alignment horizontal="center" vertical="center"/>
    </xf>
    <xf numFmtId="0" fontId="42" fillId="28" borderId="28" xfId="9" applyFont="1" applyFill="1" applyBorder="1" applyAlignment="1">
      <alignment horizontal="center" vertical="center"/>
    </xf>
    <xf numFmtId="0" fontId="42" fillId="28" borderId="43" xfId="9" applyFont="1" applyFill="1" applyBorder="1" applyAlignment="1">
      <alignment horizontal="center" vertical="center"/>
    </xf>
    <xf numFmtId="0" fontId="41" fillId="0" borderId="2" xfId="9" applyFont="1" applyFill="1" applyBorder="1" applyAlignment="1">
      <alignment horizontal="center" vertical="center"/>
    </xf>
    <xf numFmtId="0" fontId="41" fillId="0" borderId="3" xfId="9" applyFont="1" applyFill="1" applyBorder="1" applyAlignment="1">
      <alignment horizontal="center" vertical="center"/>
    </xf>
    <xf numFmtId="0" fontId="41" fillId="0" borderId="4" xfId="9" applyFont="1" applyFill="1" applyBorder="1" applyAlignment="1">
      <alignment horizontal="center" vertical="center"/>
    </xf>
    <xf numFmtId="0" fontId="7" fillId="0" borderId="8" xfId="9" applyFont="1" applyBorder="1" applyAlignment="1">
      <alignment horizontal="center" vertical="center" wrapText="1"/>
    </xf>
    <xf numFmtId="0" fontId="7" fillId="0" borderId="1" xfId="9" applyFont="1" applyBorder="1" applyAlignment="1">
      <alignment horizontal="center" vertical="center" wrapText="1"/>
    </xf>
    <xf numFmtId="0" fontId="42" fillId="29" borderId="44" xfId="9" applyFont="1" applyFill="1" applyBorder="1" applyAlignment="1">
      <alignment horizontal="left" vertical="center"/>
    </xf>
    <xf numFmtId="0" fontId="42" fillId="29" borderId="36" xfId="9" applyFont="1" applyFill="1" applyBorder="1" applyAlignment="1">
      <alignment horizontal="left" vertical="center"/>
    </xf>
    <xf numFmtId="0" fontId="42" fillId="8" borderId="1" xfId="9" applyFont="1" applyFill="1" applyBorder="1" applyAlignment="1">
      <alignment horizontal="center" vertical="center"/>
    </xf>
    <xf numFmtId="0" fontId="43" fillId="25" borderId="6" xfId="9" applyFont="1" applyFill="1" applyBorder="1" applyAlignment="1">
      <alignment horizontal="center" vertical="center"/>
    </xf>
    <xf numFmtId="0" fontId="43" fillId="25" borderId="8" xfId="9" applyFont="1" applyFill="1" applyBorder="1" applyAlignment="1">
      <alignment horizontal="center" vertical="center"/>
    </xf>
    <xf numFmtId="0" fontId="41" fillId="0" borderId="47" xfId="9" applyFont="1" applyFill="1" applyBorder="1" applyAlignment="1">
      <alignment horizontal="center" vertical="center"/>
    </xf>
    <xf numFmtId="0" fontId="41" fillId="0" borderId="48" xfId="9" applyFont="1" applyFill="1" applyBorder="1" applyAlignment="1">
      <alignment horizontal="center" vertical="center"/>
    </xf>
    <xf numFmtId="0" fontId="41" fillId="0" borderId="37" xfId="9" applyFont="1" applyFill="1" applyBorder="1" applyAlignment="1">
      <alignment horizontal="center" vertical="center"/>
    </xf>
    <xf numFmtId="0" fontId="41" fillId="0" borderId="47" xfId="9" applyFont="1" applyFill="1" applyBorder="1" applyAlignment="1" applyProtection="1">
      <alignment horizontal="center"/>
      <protection locked="0"/>
    </xf>
    <xf numFmtId="0" fontId="41" fillId="0" borderId="49" xfId="9" applyFont="1" applyFill="1" applyBorder="1" applyAlignment="1" applyProtection="1">
      <alignment horizontal="center"/>
      <protection locked="0"/>
    </xf>
    <xf numFmtId="0" fontId="41" fillId="0" borderId="2" xfId="9" applyFont="1" applyFill="1" applyBorder="1" applyAlignment="1" applyProtection="1">
      <alignment horizontal="center"/>
      <protection locked="0"/>
    </xf>
    <xf numFmtId="0" fontId="41" fillId="0" borderId="3" xfId="9" applyFont="1" applyFill="1" applyBorder="1" applyAlignment="1" applyProtection="1">
      <alignment horizontal="center"/>
      <protection locked="0"/>
    </xf>
    <xf numFmtId="0" fontId="41" fillId="0" borderId="4" xfId="9" applyFont="1" applyFill="1" applyBorder="1" applyAlignment="1" applyProtection="1">
      <alignment horizontal="center"/>
      <protection locked="0"/>
    </xf>
    <xf numFmtId="0" fontId="41" fillId="0" borderId="40" xfId="9" applyFont="1" applyFill="1" applyBorder="1" applyAlignment="1" applyProtection="1">
      <alignment horizontal="center"/>
      <protection locked="0"/>
    </xf>
    <xf numFmtId="0" fontId="41" fillId="0" borderId="46" xfId="9" applyFont="1" applyFill="1" applyBorder="1" applyAlignment="1" applyProtection="1">
      <alignment horizontal="center"/>
      <protection locked="0"/>
    </xf>
    <xf numFmtId="0" fontId="41" fillId="0" borderId="38" xfId="9" applyFont="1" applyFill="1" applyBorder="1" applyAlignment="1" applyProtection="1">
      <alignment horizontal="center"/>
      <protection locked="0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3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/>
    </xf>
    <xf numFmtId="0" fontId="2" fillId="5" borderId="1" xfId="5" applyFont="1" applyFill="1" applyBorder="1" applyAlignment="1">
      <alignment horizontal="center" vertical="center"/>
    </xf>
    <xf numFmtId="0" fontId="2" fillId="6" borderId="1" xfId="6" applyFont="1" applyFill="1" applyBorder="1" applyAlignment="1">
      <alignment horizontal="center" vertical="center"/>
    </xf>
  </cellXfs>
  <cellStyles count="13">
    <cellStyle name="差" xfId="1" builtinId="27"/>
    <cellStyle name="差 2" xfId="10"/>
    <cellStyle name="常规" xfId="0" builtinId="0"/>
    <cellStyle name="常规 2" xfId="7"/>
    <cellStyle name="常规 3" xfId="9"/>
    <cellStyle name="常规 8" xfId="2"/>
    <cellStyle name="普通" xfId="11"/>
    <cellStyle name="千位分隔 2" xfId="8"/>
    <cellStyle name="强调文字颜色 1" xfId="4" builtinId="29"/>
    <cellStyle name="强调文字颜色 2" xfId="3" builtinId="33"/>
    <cellStyle name="强调文字颜色 3" xfId="5" builtinId="37"/>
    <cellStyle name="强调文字颜色 4" xfId="6" builtinId="41"/>
    <cellStyle name="适中 2" xfId="1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95250</xdr:rowOff>
    </xdr:from>
    <xdr:to>
      <xdr:col>13</xdr:col>
      <xdr:colOff>742950</xdr:colOff>
      <xdr:row>33</xdr:row>
      <xdr:rowOff>66675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438650"/>
          <a:ext cx="11591925" cy="619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635</xdr:rowOff>
    </xdr:from>
    <xdr:to>
      <xdr:col>17</xdr:col>
      <xdr:colOff>532765</xdr:colOff>
      <xdr:row>24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5" y="635"/>
          <a:ext cx="12190730" cy="4133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Z54"/>
  <sheetViews>
    <sheetView showGridLines="0" tabSelected="1" workbookViewId="0">
      <selection activeCell="H60" sqref="H60"/>
    </sheetView>
  </sheetViews>
  <sheetFormatPr defaultColWidth="9" defaultRowHeight="24" customHeight="1"/>
  <cols>
    <col min="1" max="1" width="4.125" style="36" customWidth="1"/>
    <col min="2" max="2" width="16.375" style="36" customWidth="1"/>
    <col min="3" max="3" width="17.625" style="36" customWidth="1"/>
    <col min="4" max="4" width="4.875" style="36" customWidth="1"/>
    <col min="5" max="5" width="7.75" style="32" customWidth="1"/>
    <col min="6" max="6" width="10.375" style="32" customWidth="1"/>
    <col min="7" max="13" width="10.625" style="32" customWidth="1"/>
    <col min="14" max="14" width="13.5" style="32" customWidth="1"/>
    <col min="15" max="15" width="13" style="32" customWidth="1"/>
    <col min="16" max="17" width="10.625" style="32" customWidth="1"/>
    <col min="18" max="21" width="8.5" style="32" customWidth="1"/>
    <col min="22" max="22" width="14.25" style="32" customWidth="1"/>
    <col min="23" max="26" width="9" style="32" hidden="1" customWidth="1"/>
    <col min="27" max="27" width="6.375" style="32" customWidth="1"/>
    <col min="28" max="260" width="9" style="32"/>
    <col min="261" max="16384" width="9" style="36"/>
  </cols>
  <sheetData>
    <row r="1" spans="1:26" ht="24" customHeight="1">
      <c r="A1" s="202" t="s">
        <v>333</v>
      </c>
      <c r="B1" s="203"/>
      <c r="C1" s="203"/>
      <c r="D1" s="190" t="s">
        <v>0</v>
      </c>
      <c r="E1" s="152" t="s">
        <v>335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4" t="s">
        <v>1</v>
      </c>
      <c r="X1" s="154"/>
      <c r="Y1" s="154"/>
      <c r="Z1" s="154"/>
    </row>
    <row r="2" spans="1:26" ht="18" customHeight="1">
      <c r="A2" s="203"/>
      <c r="B2" s="203"/>
      <c r="C2" s="203"/>
      <c r="D2" s="190"/>
      <c r="E2" s="185" t="s">
        <v>2</v>
      </c>
      <c r="F2" s="186"/>
      <c r="G2" s="217" t="s">
        <v>3</v>
      </c>
      <c r="H2" s="160" t="s">
        <v>4</v>
      </c>
      <c r="I2" s="160" t="s">
        <v>5</v>
      </c>
      <c r="J2" s="160" t="s">
        <v>6</v>
      </c>
      <c r="K2" s="161" t="s">
        <v>7</v>
      </c>
      <c r="L2" s="161" t="s">
        <v>8</v>
      </c>
      <c r="M2" s="161" t="s">
        <v>9</v>
      </c>
      <c r="N2" s="162" t="s">
        <v>10</v>
      </c>
      <c r="O2" s="162" t="s">
        <v>11</v>
      </c>
      <c r="P2" s="155" t="s">
        <v>12</v>
      </c>
      <c r="Q2" s="155" t="s">
        <v>13</v>
      </c>
      <c r="R2" s="155" t="s">
        <v>14</v>
      </c>
      <c r="S2" s="155"/>
      <c r="T2" s="156" t="s">
        <v>3</v>
      </c>
      <c r="U2" s="157"/>
      <c r="V2" s="163" t="s">
        <v>15</v>
      </c>
      <c r="W2" s="87" t="s">
        <v>16</v>
      </c>
      <c r="X2" s="88" t="s">
        <v>17</v>
      </c>
      <c r="Y2" s="88"/>
      <c r="Z2" s="107"/>
    </row>
    <row r="3" spans="1:26" ht="24" customHeight="1">
      <c r="A3" s="203"/>
      <c r="B3" s="203"/>
      <c r="C3" s="203"/>
      <c r="D3" s="190"/>
      <c r="E3" s="185"/>
      <c r="F3" s="186"/>
      <c r="G3" s="218"/>
      <c r="H3" s="160"/>
      <c r="I3" s="160"/>
      <c r="J3" s="160"/>
      <c r="K3" s="161"/>
      <c r="L3" s="161"/>
      <c r="M3" s="161"/>
      <c r="N3" s="162"/>
      <c r="O3" s="162"/>
      <c r="P3" s="155"/>
      <c r="Q3" s="155"/>
      <c r="R3" s="84" t="s">
        <v>18</v>
      </c>
      <c r="S3" s="84">
        <v>11.11</v>
      </c>
      <c r="T3" s="84" t="s">
        <v>19</v>
      </c>
      <c r="U3" s="84">
        <v>12.12</v>
      </c>
      <c r="V3" s="164"/>
      <c r="W3" s="87"/>
      <c r="X3" s="88"/>
      <c r="Y3" s="88"/>
      <c r="Z3" s="107"/>
    </row>
    <row r="4" spans="1:26" s="58" customFormat="1" ht="24" customHeight="1">
      <c r="A4" s="203"/>
      <c r="B4" s="203"/>
      <c r="C4" s="203"/>
      <c r="D4" s="191">
        <v>1</v>
      </c>
      <c r="E4" s="158" t="s">
        <v>20</v>
      </c>
      <c r="F4" s="159"/>
      <c r="G4" s="60">
        <v>100000</v>
      </c>
      <c r="H4" s="60">
        <v>80000</v>
      </c>
      <c r="I4" s="60">
        <v>100000</v>
      </c>
      <c r="J4" s="60">
        <v>300000</v>
      </c>
      <c r="K4" s="60">
        <v>300000</v>
      </c>
      <c r="L4" s="60">
        <v>400000</v>
      </c>
      <c r="M4" s="60">
        <v>600000</v>
      </c>
      <c r="N4" s="60">
        <v>500000</v>
      </c>
      <c r="O4" s="60">
        <v>600000</v>
      </c>
      <c r="P4" s="60">
        <v>800000</v>
      </c>
      <c r="Q4" s="60">
        <v>1000000</v>
      </c>
      <c r="R4" s="60">
        <v>1500000</v>
      </c>
      <c r="S4" s="60">
        <v>1000000</v>
      </c>
      <c r="T4" s="60">
        <v>1000000</v>
      </c>
      <c r="U4" s="89">
        <v>500000</v>
      </c>
      <c r="V4" s="90">
        <f>SUM(G4:U4)-S4-U4</f>
        <v>7280000</v>
      </c>
      <c r="W4" s="91" t="s">
        <v>21</v>
      </c>
      <c r="X4" s="92"/>
      <c r="Y4" s="92"/>
      <c r="Z4" s="108"/>
    </row>
    <row r="5" spans="1:26" ht="24" customHeight="1">
      <c r="A5" s="203"/>
      <c r="B5" s="203"/>
      <c r="C5" s="203"/>
      <c r="D5" s="191"/>
      <c r="E5" s="197" t="s">
        <v>22</v>
      </c>
      <c r="F5" s="198"/>
      <c r="G5" s="62">
        <f>G4/$V$4</f>
        <v>1.3736263736263736E-2</v>
      </c>
      <c r="H5" s="62">
        <f>H4/$V$4</f>
        <v>1.098901098901099E-2</v>
      </c>
      <c r="I5" s="62">
        <f t="shared" ref="I5:U5" si="0">I4/$V$4</f>
        <v>1.3736263736263736E-2</v>
      </c>
      <c r="J5" s="62">
        <f t="shared" si="0"/>
        <v>4.1208791208791208E-2</v>
      </c>
      <c r="K5" s="62">
        <f t="shared" si="0"/>
        <v>4.1208791208791208E-2</v>
      </c>
      <c r="L5" s="62">
        <f t="shared" si="0"/>
        <v>5.4945054945054944E-2</v>
      </c>
      <c r="M5" s="62">
        <f t="shared" si="0"/>
        <v>8.2417582417582416E-2</v>
      </c>
      <c r="N5" s="62">
        <f t="shared" si="0"/>
        <v>6.8681318681318687E-2</v>
      </c>
      <c r="O5" s="62">
        <f>O4/$V$4</f>
        <v>8.2417582417582416E-2</v>
      </c>
      <c r="P5" s="62">
        <f t="shared" si="0"/>
        <v>0.10989010989010989</v>
      </c>
      <c r="Q5" s="62">
        <f t="shared" si="0"/>
        <v>0.13736263736263737</v>
      </c>
      <c r="R5" s="62">
        <f t="shared" si="0"/>
        <v>0.20604395604395603</v>
      </c>
      <c r="S5" s="62">
        <f t="shared" si="0"/>
        <v>0.13736263736263737</v>
      </c>
      <c r="T5" s="62">
        <f t="shared" si="0"/>
        <v>0.13736263736263737</v>
      </c>
      <c r="U5" s="93">
        <f t="shared" si="0"/>
        <v>6.8681318681318687E-2</v>
      </c>
      <c r="V5" s="94">
        <f>SUM(G5:Q5)+SUM(R5+T5)</f>
        <v>0.99999999999999989</v>
      </c>
      <c r="W5" s="87"/>
      <c r="X5" s="88"/>
      <c r="Y5" s="88"/>
      <c r="Z5" s="107"/>
    </row>
    <row r="6" spans="1:26" s="59" customFormat="1" ht="24" customHeight="1">
      <c r="A6" s="203"/>
      <c r="B6" s="203"/>
      <c r="C6" s="203"/>
      <c r="D6" s="191"/>
      <c r="E6" s="215" t="s">
        <v>23</v>
      </c>
      <c r="F6" s="63" t="s">
        <v>24</v>
      </c>
      <c r="G6" s="64">
        <f>G4/G8/G7</f>
        <v>50000</v>
      </c>
      <c r="H6" s="64">
        <f t="shared" ref="H6:I6" si="1">H4/H8/H7</f>
        <v>40000</v>
      </c>
      <c r="I6" s="64">
        <f t="shared" si="1"/>
        <v>33333.333333333336</v>
      </c>
      <c r="J6" s="64">
        <f t="shared" ref="J6:U6" si="2">J4/J8/J7</f>
        <v>60000</v>
      </c>
      <c r="K6" s="64">
        <f t="shared" si="2"/>
        <v>54545.454545454544</v>
      </c>
      <c r="L6" s="64">
        <f t="shared" si="2"/>
        <v>60606.060606060608</v>
      </c>
      <c r="M6" s="64">
        <f t="shared" si="2"/>
        <v>77922.077922077922</v>
      </c>
      <c r="N6" s="64">
        <f t="shared" si="2"/>
        <v>83333.333333333343</v>
      </c>
      <c r="O6" s="64">
        <f t="shared" si="2"/>
        <v>100000</v>
      </c>
      <c r="P6" s="64">
        <f t="shared" si="2"/>
        <v>111111.11111111112</v>
      </c>
      <c r="Q6" s="64">
        <f t="shared" si="2"/>
        <v>104166.66666666667</v>
      </c>
      <c r="R6" s="64">
        <f t="shared" si="2"/>
        <v>125000</v>
      </c>
      <c r="S6" s="64">
        <f t="shared" si="2"/>
        <v>41666.666666666664</v>
      </c>
      <c r="T6" s="64">
        <f t="shared" si="2"/>
        <v>83333.333333333328</v>
      </c>
      <c r="U6" s="95">
        <f t="shared" si="2"/>
        <v>20833.333333333332</v>
      </c>
      <c r="V6" s="96"/>
      <c r="W6" s="97" t="s">
        <v>25</v>
      </c>
      <c r="X6" s="98" t="s">
        <v>26</v>
      </c>
      <c r="Y6" s="98"/>
      <c r="Z6" s="109"/>
    </row>
    <row r="7" spans="1:26" ht="24" customHeight="1">
      <c r="A7" s="203"/>
      <c r="B7" s="203"/>
      <c r="C7" s="203"/>
      <c r="D7" s="191"/>
      <c r="E7" s="215"/>
      <c r="F7" s="61" t="s">
        <v>27</v>
      </c>
      <c r="G7" s="65">
        <v>0.02</v>
      </c>
      <c r="H7" s="65">
        <v>0.02</v>
      </c>
      <c r="I7" s="65">
        <v>0.03</v>
      </c>
      <c r="J7" s="65">
        <v>0.05</v>
      </c>
      <c r="K7" s="65">
        <v>0.05</v>
      </c>
      <c r="L7" s="65">
        <v>0.06</v>
      </c>
      <c r="M7" s="65">
        <v>7.0000000000000007E-2</v>
      </c>
      <c r="N7" s="65">
        <v>0.06</v>
      </c>
      <c r="O7" s="65">
        <v>0.06</v>
      </c>
      <c r="P7" s="65">
        <v>0.06</v>
      </c>
      <c r="Q7" s="65">
        <v>0.08</v>
      </c>
      <c r="R7" s="65">
        <v>0.1</v>
      </c>
      <c r="S7" s="65">
        <v>0.2</v>
      </c>
      <c r="T7" s="65">
        <v>0.1</v>
      </c>
      <c r="U7" s="99">
        <v>0.2</v>
      </c>
      <c r="V7" s="86"/>
      <c r="W7" s="87" t="s">
        <v>28</v>
      </c>
      <c r="X7" s="88" t="s">
        <v>29</v>
      </c>
      <c r="Y7" s="88"/>
      <c r="Z7" s="107"/>
    </row>
    <row r="8" spans="1:26" ht="24" customHeight="1">
      <c r="A8" s="203"/>
      <c r="B8" s="203"/>
      <c r="C8" s="203"/>
      <c r="D8" s="191"/>
      <c r="E8" s="216"/>
      <c r="F8" s="66" t="s">
        <v>30</v>
      </c>
      <c r="G8" s="67">
        <v>100</v>
      </c>
      <c r="H8" s="67">
        <v>100</v>
      </c>
      <c r="I8" s="67">
        <v>100</v>
      </c>
      <c r="J8" s="67">
        <v>100</v>
      </c>
      <c r="K8" s="67">
        <v>110</v>
      </c>
      <c r="L8" s="67">
        <v>110</v>
      </c>
      <c r="M8" s="67">
        <v>110</v>
      </c>
      <c r="N8" s="67">
        <v>100</v>
      </c>
      <c r="O8" s="67">
        <v>100</v>
      </c>
      <c r="P8" s="67">
        <v>120</v>
      </c>
      <c r="Q8" s="67">
        <v>120</v>
      </c>
      <c r="R8" s="67">
        <v>120</v>
      </c>
      <c r="S8" s="67">
        <v>120</v>
      </c>
      <c r="T8" s="67">
        <v>120</v>
      </c>
      <c r="U8" s="100">
        <v>120</v>
      </c>
      <c r="V8" s="101">
        <f>AVERAGE(G8:S8)</f>
        <v>108.46153846153847</v>
      </c>
      <c r="W8" s="87" t="s">
        <v>31</v>
      </c>
      <c r="X8" s="88" t="s">
        <v>32</v>
      </c>
      <c r="Y8" s="88"/>
      <c r="Z8" s="107"/>
    </row>
    <row r="9" spans="1:26" ht="24" customHeight="1">
      <c r="A9" s="203"/>
      <c r="B9" s="203"/>
      <c r="C9" s="203"/>
      <c r="D9" s="192"/>
      <c r="E9" s="199" t="s">
        <v>33</v>
      </c>
      <c r="F9" s="200"/>
      <c r="G9" s="68"/>
      <c r="H9" s="200" t="s">
        <v>34</v>
      </c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68"/>
      <c r="W9" s="87" t="s">
        <v>35</v>
      </c>
      <c r="X9" s="88" t="s">
        <v>36</v>
      </c>
      <c r="Y9" s="88"/>
      <c r="Z9" s="107"/>
    </row>
    <row r="10" spans="1:26" ht="24" customHeight="1">
      <c r="A10" s="203"/>
      <c r="B10" s="203"/>
      <c r="C10" s="203"/>
      <c r="D10" s="193">
        <v>2</v>
      </c>
      <c r="E10" s="219" t="s">
        <v>37</v>
      </c>
      <c r="F10" s="220"/>
      <c r="G10" s="69">
        <f>G4*50%</f>
        <v>50000</v>
      </c>
      <c r="H10" s="69">
        <f>H4*30%</f>
        <v>24000</v>
      </c>
      <c r="I10" s="69">
        <f>I4*30%</f>
        <v>30000</v>
      </c>
      <c r="J10" s="69">
        <f>J4*20%</f>
        <v>60000</v>
      </c>
      <c r="K10" s="69">
        <f t="shared" ref="K10:U10" si="3">K4*20%</f>
        <v>60000</v>
      </c>
      <c r="L10" s="69">
        <f t="shared" si="3"/>
        <v>80000</v>
      </c>
      <c r="M10" s="69">
        <f t="shared" si="3"/>
        <v>120000</v>
      </c>
      <c r="N10" s="69">
        <f t="shared" si="3"/>
        <v>100000</v>
      </c>
      <c r="O10" s="69">
        <f t="shared" si="3"/>
        <v>120000</v>
      </c>
      <c r="P10" s="69">
        <f t="shared" si="3"/>
        <v>160000</v>
      </c>
      <c r="Q10" s="69">
        <f t="shared" si="3"/>
        <v>200000</v>
      </c>
      <c r="R10" s="69">
        <f t="shared" si="3"/>
        <v>300000</v>
      </c>
      <c r="S10" s="69">
        <f t="shared" si="3"/>
        <v>200000</v>
      </c>
      <c r="T10" s="69">
        <f t="shared" si="3"/>
        <v>200000</v>
      </c>
      <c r="U10" s="102">
        <f t="shared" si="3"/>
        <v>100000</v>
      </c>
      <c r="V10" s="103">
        <f>SUM(H10:U10)</f>
        <v>1754000</v>
      </c>
      <c r="W10" s="87" t="s">
        <v>38</v>
      </c>
      <c r="X10" s="88" t="s">
        <v>17</v>
      </c>
      <c r="Y10" s="88"/>
      <c r="Z10" s="88"/>
    </row>
    <row r="11" spans="1:26" ht="24" customHeight="1">
      <c r="A11" s="70"/>
      <c r="B11" s="71" t="s">
        <v>39</v>
      </c>
      <c r="C11" s="72">
        <f>V4/V8</f>
        <v>67120.567375886516</v>
      </c>
      <c r="D11" s="194"/>
      <c r="E11" s="195" t="s">
        <v>40</v>
      </c>
      <c r="F11" s="196"/>
      <c r="G11" s="73">
        <f>G10*80%</f>
        <v>40000</v>
      </c>
      <c r="H11" s="73">
        <f t="shared" ref="H11:U11" si="4">H10*80%</f>
        <v>19200</v>
      </c>
      <c r="I11" s="73">
        <f t="shared" si="4"/>
        <v>24000</v>
      </c>
      <c r="J11" s="73">
        <f t="shared" si="4"/>
        <v>48000</v>
      </c>
      <c r="K11" s="73">
        <f t="shared" si="4"/>
        <v>48000</v>
      </c>
      <c r="L11" s="73">
        <f t="shared" si="4"/>
        <v>64000</v>
      </c>
      <c r="M11" s="73">
        <f t="shared" si="4"/>
        <v>96000</v>
      </c>
      <c r="N11" s="73">
        <f t="shared" si="4"/>
        <v>80000</v>
      </c>
      <c r="O11" s="73">
        <f>O10*80%</f>
        <v>96000</v>
      </c>
      <c r="P11" s="73">
        <f t="shared" si="4"/>
        <v>128000</v>
      </c>
      <c r="Q11" s="73">
        <f t="shared" si="4"/>
        <v>160000</v>
      </c>
      <c r="R11" s="73">
        <f t="shared" si="4"/>
        <v>240000</v>
      </c>
      <c r="S11" s="73">
        <f t="shared" si="4"/>
        <v>160000</v>
      </c>
      <c r="T11" s="73">
        <f t="shared" si="4"/>
        <v>160000</v>
      </c>
      <c r="U11" s="104">
        <f t="shared" si="4"/>
        <v>80000</v>
      </c>
      <c r="V11" s="81">
        <f t="shared" ref="V11:V16" si="5">SUM(H11:U11)</f>
        <v>1403200</v>
      </c>
      <c r="W11" s="87"/>
      <c r="X11" s="88"/>
      <c r="Y11" s="88"/>
      <c r="Z11" s="88"/>
    </row>
    <row r="12" spans="1:26" ht="24" customHeight="1">
      <c r="A12" s="74"/>
      <c r="B12" s="71" t="s">
        <v>41</v>
      </c>
      <c r="C12" s="72">
        <f>V4-V17</f>
        <v>702207.43145743199</v>
      </c>
      <c r="D12" s="194"/>
      <c r="E12" s="195" t="s">
        <v>42</v>
      </c>
      <c r="F12" s="196"/>
      <c r="G12" s="73">
        <f>G10*0.2</f>
        <v>10000</v>
      </c>
      <c r="H12" s="73">
        <f t="shared" ref="H12:U12" si="6">H10*0.2</f>
        <v>4800</v>
      </c>
      <c r="I12" s="73">
        <f t="shared" si="6"/>
        <v>6000</v>
      </c>
      <c r="J12" s="73">
        <f t="shared" si="6"/>
        <v>12000</v>
      </c>
      <c r="K12" s="73">
        <f t="shared" si="6"/>
        <v>12000</v>
      </c>
      <c r="L12" s="73">
        <f t="shared" si="6"/>
        <v>16000</v>
      </c>
      <c r="M12" s="73">
        <f t="shared" si="6"/>
        <v>24000</v>
      </c>
      <c r="N12" s="73">
        <f t="shared" si="6"/>
        <v>20000</v>
      </c>
      <c r="O12" s="73">
        <f t="shared" si="6"/>
        <v>24000</v>
      </c>
      <c r="P12" s="73">
        <f t="shared" si="6"/>
        <v>32000</v>
      </c>
      <c r="Q12" s="73">
        <f t="shared" si="6"/>
        <v>40000</v>
      </c>
      <c r="R12" s="73">
        <f t="shared" si="6"/>
        <v>60000</v>
      </c>
      <c r="S12" s="73">
        <f t="shared" si="6"/>
        <v>40000</v>
      </c>
      <c r="T12" s="73">
        <f t="shared" si="6"/>
        <v>40000</v>
      </c>
      <c r="U12" s="104">
        <f t="shared" si="6"/>
        <v>20000</v>
      </c>
      <c r="V12" s="81">
        <f t="shared" si="5"/>
        <v>350800</v>
      </c>
      <c r="W12" s="87"/>
      <c r="X12" s="88"/>
      <c r="Y12" s="88"/>
      <c r="Z12" s="88"/>
    </row>
    <row r="13" spans="1:26" ht="24" customHeight="1">
      <c r="A13" s="75"/>
      <c r="B13" s="71" t="s">
        <v>43</v>
      </c>
      <c r="C13" s="72">
        <f>V4</f>
        <v>7280000</v>
      </c>
      <c r="D13" s="194"/>
      <c r="E13" s="178" t="s">
        <v>44</v>
      </c>
      <c r="F13" s="179"/>
      <c r="G13" s="73">
        <f>G4*0.15</f>
        <v>15000</v>
      </c>
      <c r="H13" s="73">
        <f t="shared" ref="H13:U13" si="7">H4*0.15</f>
        <v>12000</v>
      </c>
      <c r="I13" s="73">
        <f t="shared" si="7"/>
        <v>15000</v>
      </c>
      <c r="J13" s="73">
        <f t="shared" si="7"/>
        <v>45000</v>
      </c>
      <c r="K13" s="73">
        <f t="shared" si="7"/>
        <v>45000</v>
      </c>
      <c r="L13" s="73">
        <f t="shared" si="7"/>
        <v>60000</v>
      </c>
      <c r="M13" s="73">
        <f t="shared" si="7"/>
        <v>90000</v>
      </c>
      <c r="N13" s="73">
        <f t="shared" si="7"/>
        <v>75000</v>
      </c>
      <c r="O13" s="73">
        <f t="shared" si="7"/>
        <v>90000</v>
      </c>
      <c r="P13" s="73">
        <f t="shared" si="7"/>
        <v>120000</v>
      </c>
      <c r="Q13" s="73">
        <f t="shared" si="7"/>
        <v>150000</v>
      </c>
      <c r="R13" s="73">
        <f t="shared" si="7"/>
        <v>225000</v>
      </c>
      <c r="S13" s="73">
        <f t="shared" si="7"/>
        <v>150000</v>
      </c>
      <c r="T13" s="73">
        <f t="shared" si="7"/>
        <v>150000</v>
      </c>
      <c r="U13" s="104">
        <f t="shared" si="7"/>
        <v>75000</v>
      </c>
      <c r="V13" s="81">
        <f t="shared" si="5"/>
        <v>1302000</v>
      </c>
      <c r="W13" s="87"/>
      <c r="X13" s="88"/>
      <c r="Y13" s="88"/>
      <c r="Z13" s="88"/>
    </row>
    <row r="14" spans="1:26" ht="24" customHeight="1">
      <c r="A14" s="76"/>
      <c r="B14" s="71" t="s">
        <v>45</v>
      </c>
      <c r="C14" s="77">
        <f>V17/V4</f>
        <v>0.90354293523936369</v>
      </c>
      <c r="D14" s="194"/>
      <c r="E14" s="176" t="s">
        <v>46</v>
      </c>
      <c r="F14" s="177"/>
      <c r="G14" s="73">
        <f>G4*0.1</f>
        <v>10000</v>
      </c>
      <c r="H14" s="73">
        <f t="shared" ref="H14:U14" si="8">H4*0.1</f>
        <v>8000</v>
      </c>
      <c r="I14" s="73">
        <f t="shared" si="8"/>
        <v>10000</v>
      </c>
      <c r="J14" s="73">
        <f t="shared" si="8"/>
        <v>30000</v>
      </c>
      <c r="K14" s="73">
        <f t="shared" si="8"/>
        <v>30000</v>
      </c>
      <c r="L14" s="73">
        <f t="shared" si="8"/>
        <v>40000</v>
      </c>
      <c r="M14" s="73">
        <f t="shared" si="8"/>
        <v>60000</v>
      </c>
      <c r="N14" s="73">
        <f t="shared" si="8"/>
        <v>50000</v>
      </c>
      <c r="O14" s="73">
        <f t="shared" si="8"/>
        <v>60000</v>
      </c>
      <c r="P14" s="73">
        <f t="shared" si="8"/>
        <v>80000</v>
      </c>
      <c r="Q14" s="73">
        <f t="shared" si="8"/>
        <v>100000</v>
      </c>
      <c r="R14" s="73">
        <f t="shared" si="8"/>
        <v>150000</v>
      </c>
      <c r="S14" s="73">
        <f t="shared" si="8"/>
        <v>100000</v>
      </c>
      <c r="T14" s="73">
        <f t="shared" si="8"/>
        <v>100000</v>
      </c>
      <c r="U14" s="104">
        <f t="shared" si="8"/>
        <v>50000</v>
      </c>
      <c r="V14" s="81">
        <f t="shared" si="5"/>
        <v>868000</v>
      </c>
      <c r="W14" s="87"/>
      <c r="X14" s="88"/>
      <c r="Y14" s="88"/>
      <c r="Z14" s="88"/>
    </row>
    <row r="15" spans="1:26" ht="24" customHeight="1">
      <c r="A15" s="78"/>
      <c r="B15" s="71" t="s">
        <v>47</v>
      </c>
      <c r="C15" s="77">
        <f>C12/V4</f>
        <v>9.6457064760636257E-2</v>
      </c>
      <c r="D15" s="194"/>
      <c r="E15" s="178" t="s">
        <v>48</v>
      </c>
      <c r="F15" s="179"/>
      <c r="G15" s="73">
        <f>G6*0.05</f>
        <v>2500</v>
      </c>
      <c r="H15" s="73">
        <f t="shared" ref="H15:U15" si="9">H6*0.05</f>
        <v>2000</v>
      </c>
      <c r="I15" s="73">
        <f t="shared" si="9"/>
        <v>1666.666666666667</v>
      </c>
      <c r="J15" s="73">
        <f t="shared" si="9"/>
        <v>3000</v>
      </c>
      <c r="K15" s="85">
        <f t="shared" si="9"/>
        <v>2727.2727272727275</v>
      </c>
      <c r="L15" s="85">
        <f t="shared" si="9"/>
        <v>3030.3030303030305</v>
      </c>
      <c r="M15" s="85">
        <f t="shared" si="9"/>
        <v>3896.1038961038962</v>
      </c>
      <c r="N15" s="85">
        <f t="shared" si="9"/>
        <v>4166.666666666667</v>
      </c>
      <c r="O15" s="85">
        <f t="shared" si="9"/>
        <v>5000</v>
      </c>
      <c r="P15" s="85">
        <f t="shared" si="9"/>
        <v>5555.5555555555566</v>
      </c>
      <c r="Q15" s="85">
        <f t="shared" si="9"/>
        <v>5208.3333333333339</v>
      </c>
      <c r="R15" s="85">
        <f t="shared" si="9"/>
        <v>6250</v>
      </c>
      <c r="S15" s="85">
        <f t="shared" si="9"/>
        <v>2083.3333333333335</v>
      </c>
      <c r="T15" s="85">
        <f t="shared" si="9"/>
        <v>4166.666666666667</v>
      </c>
      <c r="U15" s="105">
        <f t="shared" si="9"/>
        <v>1041.6666666666667</v>
      </c>
      <c r="V15" s="105">
        <f t="shared" si="5"/>
        <v>49792.568542568544</v>
      </c>
      <c r="W15" s="87"/>
      <c r="X15" s="88"/>
      <c r="Y15" s="88"/>
      <c r="Z15" s="88"/>
    </row>
    <row r="16" spans="1:26" ht="24" customHeight="1">
      <c r="A16" s="71"/>
      <c r="B16" s="71"/>
      <c r="C16" s="79"/>
      <c r="D16" s="194"/>
      <c r="E16" s="176" t="s">
        <v>49</v>
      </c>
      <c r="F16" s="177"/>
      <c r="G16" s="73">
        <f>G4*0.3</f>
        <v>30000</v>
      </c>
      <c r="H16" s="73">
        <f t="shared" ref="H16:U16" si="10">H4*0.3</f>
        <v>24000</v>
      </c>
      <c r="I16" s="73">
        <f t="shared" si="10"/>
        <v>30000</v>
      </c>
      <c r="J16" s="73">
        <f t="shared" si="10"/>
        <v>90000</v>
      </c>
      <c r="K16" s="73">
        <f t="shared" si="10"/>
        <v>90000</v>
      </c>
      <c r="L16" s="73">
        <f t="shared" si="10"/>
        <v>120000</v>
      </c>
      <c r="M16" s="73">
        <f t="shared" si="10"/>
        <v>180000</v>
      </c>
      <c r="N16" s="73">
        <f t="shared" si="10"/>
        <v>150000</v>
      </c>
      <c r="O16" s="73">
        <f t="shared" si="10"/>
        <v>180000</v>
      </c>
      <c r="P16" s="73">
        <f t="shared" si="10"/>
        <v>240000</v>
      </c>
      <c r="Q16" s="73">
        <f t="shared" si="10"/>
        <v>300000</v>
      </c>
      <c r="R16" s="73">
        <f t="shared" si="10"/>
        <v>450000</v>
      </c>
      <c r="S16" s="73">
        <f t="shared" si="10"/>
        <v>300000</v>
      </c>
      <c r="T16" s="73">
        <f t="shared" si="10"/>
        <v>300000</v>
      </c>
      <c r="U16" s="104">
        <f t="shared" si="10"/>
        <v>150000</v>
      </c>
      <c r="V16" s="81">
        <f t="shared" si="5"/>
        <v>2604000</v>
      </c>
      <c r="W16" s="87"/>
      <c r="X16" s="88"/>
      <c r="Y16" s="88"/>
      <c r="Z16" s="88"/>
    </row>
    <row r="17" spans="1:26" ht="24" customHeight="1">
      <c r="A17" s="79"/>
      <c r="C17" s="79"/>
      <c r="D17" s="194"/>
      <c r="E17" s="195" t="s">
        <v>50</v>
      </c>
      <c r="F17" s="196"/>
      <c r="G17" s="73">
        <f t="shared" ref="G17:J17" si="11">G10/31</f>
        <v>1612.9032258064517</v>
      </c>
      <c r="H17" s="73">
        <f t="shared" si="11"/>
        <v>774.19354838709683</v>
      </c>
      <c r="I17" s="73">
        <f>I10/28</f>
        <v>1071.4285714285713</v>
      </c>
      <c r="J17" s="73">
        <f t="shared" si="11"/>
        <v>1935.483870967742</v>
      </c>
      <c r="K17" s="73">
        <f t="shared" ref="K17:P17" si="12">K10/30</f>
        <v>2000</v>
      </c>
      <c r="L17" s="73">
        <f>L10/31</f>
        <v>2580.6451612903224</v>
      </c>
      <c r="M17" s="73">
        <f t="shared" si="12"/>
        <v>4000</v>
      </c>
      <c r="N17" s="73">
        <f t="shared" ref="N17:Q17" si="13">N10/31</f>
        <v>3225.8064516129034</v>
      </c>
      <c r="O17" s="73">
        <f t="shared" si="13"/>
        <v>3870.9677419354839</v>
      </c>
      <c r="P17" s="73">
        <f t="shared" si="12"/>
        <v>5333.333333333333</v>
      </c>
      <c r="Q17" s="73">
        <f t="shared" si="13"/>
        <v>6451.6129032258068</v>
      </c>
      <c r="R17" s="73">
        <f>R10/29</f>
        <v>10344.827586206897</v>
      </c>
      <c r="S17" s="73">
        <f>S10/1</f>
        <v>200000</v>
      </c>
      <c r="T17" s="73">
        <f>T10/30</f>
        <v>6666.666666666667</v>
      </c>
      <c r="U17" s="104">
        <f>U10/1</f>
        <v>100000</v>
      </c>
      <c r="V17" s="90">
        <f>SUM(V11:V16)</f>
        <v>6577792.568542568</v>
      </c>
      <c r="W17" s="87"/>
      <c r="X17" s="88"/>
      <c r="Y17" s="88"/>
      <c r="Z17" s="88"/>
    </row>
    <row r="18" spans="1:26" ht="24" customHeight="1">
      <c r="A18" s="79"/>
      <c r="B18" s="71"/>
      <c r="C18" s="79"/>
      <c r="D18" s="201">
        <v>3</v>
      </c>
      <c r="E18" s="176" t="s">
        <v>51</v>
      </c>
      <c r="F18" s="177"/>
      <c r="G18" s="73">
        <v>3</v>
      </c>
      <c r="H18" s="73">
        <v>3</v>
      </c>
      <c r="I18" s="73">
        <v>3</v>
      </c>
      <c r="J18" s="73">
        <v>3</v>
      </c>
      <c r="K18" s="73">
        <v>4</v>
      </c>
      <c r="L18" s="73">
        <v>4</v>
      </c>
      <c r="M18" s="73">
        <v>4</v>
      </c>
      <c r="N18" s="73">
        <v>4</v>
      </c>
      <c r="O18" s="73">
        <v>4</v>
      </c>
      <c r="P18" s="73">
        <v>5</v>
      </c>
      <c r="Q18" s="73">
        <v>5</v>
      </c>
      <c r="R18" s="73">
        <v>5</v>
      </c>
      <c r="S18" s="73">
        <v>5</v>
      </c>
      <c r="T18" s="73">
        <v>5</v>
      </c>
      <c r="U18" s="104">
        <v>5</v>
      </c>
      <c r="V18" s="81"/>
      <c r="W18" s="87"/>
      <c r="X18" s="88"/>
      <c r="Y18" s="88"/>
      <c r="Z18" s="88"/>
    </row>
    <row r="19" spans="1:26" ht="24" customHeight="1">
      <c r="A19" s="150" t="s">
        <v>336</v>
      </c>
      <c r="B19" s="150"/>
      <c r="C19" s="151"/>
      <c r="D19" s="201"/>
      <c r="E19" s="178" t="s">
        <v>52</v>
      </c>
      <c r="F19" s="179"/>
      <c r="G19" s="73">
        <v>3</v>
      </c>
      <c r="H19" s="73">
        <v>3</v>
      </c>
      <c r="I19" s="73">
        <v>3</v>
      </c>
      <c r="J19" s="73">
        <v>3</v>
      </c>
      <c r="K19" s="73">
        <v>3</v>
      </c>
      <c r="L19" s="73">
        <v>3</v>
      </c>
      <c r="M19" s="73">
        <v>3</v>
      </c>
      <c r="N19" s="73">
        <v>4</v>
      </c>
      <c r="O19" s="73">
        <v>4</v>
      </c>
      <c r="P19" s="73">
        <v>4</v>
      </c>
      <c r="Q19" s="73">
        <v>4</v>
      </c>
      <c r="R19" s="73">
        <v>4</v>
      </c>
      <c r="S19" s="73">
        <v>4</v>
      </c>
      <c r="T19" s="73">
        <v>4</v>
      </c>
      <c r="U19" s="104">
        <v>4</v>
      </c>
      <c r="V19" s="81"/>
      <c r="W19" s="87"/>
      <c r="X19" s="88"/>
      <c r="Y19" s="88"/>
      <c r="Z19" s="88"/>
    </row>
    <row r="20" spans="1:26" ht="24" customHeight="1">
      <c r="A20" s="79"/>
      <c r="C20" s="71"/>
      <c r="D20" s="201"/>
      <c r="E20" s="176" t="s">
        <v>53</v>
      </c>
      <c r="F20" s="177"/>
      <c r="G20" s="73">
        <v>2</v>
      </c>
      <c r="H20" s="73">
        <v>2</v>
      </c>
      <c r="I20" s="73">
        <v>2</v>
      </c>
      <c r="J20" s="73">
        <v>3</v>
      </c>
      <c r="K20" s="73">
        <v>3</v>
      </c>
      <c r="L20" s="73">
        <v>4</v>
      </c>
      <c r="M20" s="73">
        <v>4</v>
      </c>
      <c r="N20" s="73">
        <v>4</v>
      </c>
      <c r="O20" s="73">
        <v>4</v>
      </c>
      <c r="P20" s="73">
        <v>5</v>
      </c>
      <c r="Q20" s="73">
        <v>5</v>
      </c>
      <c r="R20" s="73">
        <v>6</v>
      </c>
      <c r="S20" s="73">
        <v>6</v>
      </c>
      <c r="T20" s="73">
        <v>6</v>
      </c>
      <c r="U20" s="104">
        <v>6</v>
      </c>
      <c r="V20" s="81"/>
      <c r="W20" s="87"/>
      <c r="X20" s="88"/>
      <c r="Y20" s="88"/>
      <c r="Z20" s="88"/>
    </row>
    <row r="21" spans="1:26" ht="24" customHeight="1">
      <c r="A21" s="79"/>
      <c r="C21" s="71"/>
      <c r="D21" s="201"/>
      <c r="E21" s="180" t="s">
        <v>54</v>
      </c>
      <c r="F21" s="181"/>
      <c r="G21" s="80">
        <f>G4/108/30/G20</f>
        <v>15.4320987654321</v>
      </c>
      <c r="H21" s="80">
        <f>H4/108/30/H20</f>
        <v>12.345679012345679</v>
      </c>
      <c r="I21" s="80">
        <f t="shared" ref="I21:T21" si="14">I4/108/30/I20</f>
        <v>15.4320987654321</v>
      </c>
      <c r="J21" s="80">
        <f t="shared" si="14"/>
        <v>30.8641975308642</v>
      </c>
      <c r="K21" s="80">
        <f t="shared" si="14"/>
        <v>30.8641975308642</v>
      </c>
      <c r="L21" s="80">
        <f t="shared" si="14"/>
        <v>30.8641975308642</v>
      </c>
      <c r="M21" s="80">
        <f t="shared" si="14"/>
        <v>46.296296296296298</v>
      </c>
      <c r="N21" s="80">
        <f t="shared" si="14"/>
        <v>38.580246913580247</v>
      </c>
      <c r="O21" s="80">
        <f t="shared" si="14"/>
        <v>46.296296296296298</v>
      </c>
      <c r="P21" s="80">
        <f t="shared" si="14"/>
        <v>49.382716049382722</v>
      </c>
      <c r="Q21" s="80">
        <f t="shared" si="14"/>
        <v>61.728395061728392</v>
      </c>
      <c r="R21" s="80">
        <f t="shared" si="14"/>
        <v>77.160493827160494</v>
      </c>
      <c r="S21" s="80">
        <f>S4/108/1/S20</f>
        <v>1543.2098765432099</v>
      </c>
      <c r="T21" s="80">
        <f t="shared" si="14"/>
        <v>51.440329218106996</v>
      </c>
      <c r="U21" s="80">
        <f>U4/108/1/U20</f>
        <v>771.60493827160496</v>
      </c>
      <c r="V21" s="81"/>
      <c r="W21" s="87"/>
      <c r="X21" s="88"/>
      <c r="Y21" s="88"/>
      <c r="Z21" s="88"/>
    </row>
    <row r="22" spans="1:26" ht="24" customHeight="1">
      <c r="A22" s="79"/>
      <c r="C22" s="71"/>
      <c r="D22" s="201"/>
      <c r="E22" s="178" t="s">
        <v>55</v>
      </c>
      <c r="F22" s="179"/>
      <c r="G22" s="73">
        <v>1</v>
      </c>
      <c r="H22" s="73">
        <v>1</v>
      </c>
      <c r="I22" s="73">
        <v>2</v>
      </c>
      <c r="J22" s="73">
        <v>2</v>
      </c>
      <c r="K22" s="73">
        <v>3</v>
      </c>
      <c r="L22" s="73">
        <v>3</v>
      </c>
      <c r="M22" s="73">
        <v>3</v>
      </c>
      <c r="N22" s="73">
        <v>4</v>
      </c>
      <c r="O22" s="73">
        <v>4</v>
      </c>
      <c r="P22" s="73">
        <v>5</v>
      </c>
      <c r="Q22" s="73">
        <v>5</v>
      </c>
      <c r="R22" s="73">
        <v>5</v>
      </c>
      <c r="S22" s="73">
        <v>5</v>
      </c>
      <c r="T22" s="73">
        <v>5</v>
      </c>
      <c r="U22" s="104">
        <v>5</v>
      </c>
      <c r="V22" s="81"/>
      <c r="W22" s="87"/>
      <c r="X22" s="88"/>
      <c r="Y22" s="88"/>
      <c r="Z22" s="88"/>
    </row>
    <row r="23" spans="1:26" ht="24" customHeight="1">
      <c r="A23" s="79"/>
      <c r="C23" s="71"/>
      <c r="D23" s="201"/>
      <c r="E23" s="182" t="s">
        <v>56</v>
      </c>
      <c r="F23" s="183"/>
      <c r="G23" s="80">
        <f>G4/108/30/G22</f>
        <v>30.8641975308642</v>
      </c>
      <c r="H23" s="80">
        <f t="shared" ref="H23:T23" si="15">H4/108/30/H22</f>
        <v>24.691358024691358</v>
      </c>
      <c r="I23" s="80">
        <f t="shared" si="15"/>
        <v>15.4320987654321</v>
      </c>
      <c r="J23" s="80">
        <f t="shared" si="15"/>
        <v>46.296296296296298</v>
      </c>
      <c r="K23" s="80">
        <f t="shared" si="15"/>
        <v>30.8641975308642</v>
      </c>
      <c r="L23" s="80">
        <f t="shared" si="15"/>
        <v>41.152263374485599</v>
      </c>
      <c r="M23" s="80">
        <f t="shared" si="15"/>
        <v>61.728395061728399</v>
      </c>
      <c r="N23" s="80">
        <f t="shared" si="15"/>
        <v>38.580246913580247</v>
      </c>
      <c r="O23" s="80">
        <f t="shared" si="15"/>
        <v>46.296296296296298</v>
      </c>
      <c r="P23" s="80">
        <f t="shared" si="15"/>
        <v>49.382716049382722</v>
      </c>
      <c r="Q23" s="80">
        <f t="shared" si="15"/>
        <v>61.728395061728392</v>
      </c>
      <c r="R23" s="80">
        <f t="shared" si="15"/>
        <v>92.592592592592581</v>
      </c>
      <c r="S23" s="80">
        <f>S4/108/1/S22</f>
        <v>1851.8518518518517</v>
      </c>
      <c r="T23" s="80">
        <f t="shared" si="15"/>
        <v>61.728395061728392</v>
      </c>
      <c r="U23" s="80">
        <f>U4/108/1/U22</f>
        <v>925.92592592592587</v>
      </c>
      <c r="V23" s="81"/>
      <c r="W23" s="87"/>
      <c r="X23" s="88"/>
      <c r="Y23" s="88"/>
      <c r="Z23" s="88"/>
    </row>
    <row r="24" spans="1:26" ht="24" customHeight="1">
      <c r="A24" s="79"/>
      <c r="C24" s="71"/>
      <c r="D24" s="201">
        <v>4</v>
      </c>
      <c r="E24" s="166" t="s">
        <v>57</v>
      </c>
      <c r="F24" s="168"/>
      <c r="G24" s="175" t="s">
        <v>58</v>
      </c>
      <c r="H24" s="175"/>
      <c r="I24" s="175"/>
      <c r="J24" s="175"/>
      <c r="K24" s="166" t="s">
        <v>59</v>
      </c>
      <c r="L24" s="167"/>
      <c r="M24" s="167"/>
      <c r="N24" s="166" t="s">
        <v>60</v>
      </c>
      <c r="O24" s="167"/>
      <c r="P24" s="166" t="s">
        <v>61</v>
      </c>
      <c r="Q24" s="167"/>
      <c r="R24" s="167"/>
      <c r="S24" s="167"/>
      <c r="T24" s="167"/>
      <c r="U24" s="168"/>
      <c r="V24" s="106"/>
      <c r="W24" s="87" t="s">
        <v>62</v>
      </c>
      <c r="X24" s="88"/>
      <c r="Y24" s="88"/>
      <c r="Z24" s="88"/>
    </row>
    <row r="25" spans="1:26" ht="24" customHeight="1">
      <c r="A25" s="79"/>
      <c r="C25" s="71"/>
      <c r="D25" s="201"/>
      <c r="E25" s="169" t="s">
        <v>63</v>
      </c>
      <c r="F25" s="170"/>
      <c r="G25" s="171" t="s">
        <v>64</v>
      </c>
      <c r="H25" s="171"/>
      <c r="I25" s="171"/>
      <c r="J25" s="171"/>
      <c r="K25" s="165" t="s">
        <v>65</v>
      </c>
      <c r="L25" s="165"/>
      <c r="M25" s="165"/>
      <c r="N25" s="165" t="s">
        <v>66</v>
      </c>
      <c r="O25" s="165"/>
      <c r="P25" s="172" t="s">
        <v>67</v>
      </c>
      <c r="Q25" s="173"/>
      <c r="R25" s="173"/>
      <c r="S25" s="173"/>
      <c r="T25" s="173"/>
      <c r="U25" s="174"/>
      <c r="V25" s="83"/>
      <c r="W25" s="87"/>
      <c r="X25" s="88"/>
      <c r="Y25" s="88"/>
      <c r="Z25" s="88"/>
    </row>
    <row r="26" spans="1:26" ht="24" customHeight="1">
      <c r="A26" s="79"/>
      <c r="D26" s="201"/>
      <c r="E26" s="169" t="s">
        <v>68</v>
      </c>
      <c r="F26" s="170"/>
      <c r="G26" s="171" t="s">
        <v>69</v>
      </c>
      <c r="H26" s="171"/>
      <c r="I26" s="171"/>
      <c r="J26" s="171"/>
      <c r="K26" s="165" t="s">
        <v>70</v>
      </c>
      <c r="L26" s="165"/>
      <c r="M26" s="165"/>
      <c r="N26" s="165" t="s">
        <v>71</v>
      </c>
      <c r="O26" s="165"/>
      <c r="P26" s="165" t="s">
        <v>72</v>
      </c>
      <c r="Q26" s="165"/>
      <c r="R26" s="165"/>
      <c r="S26" s="165"/>
      <c r="T26" s="165"/>
      <c r="U26" s="165"/>
      <c r="V26" s="83"/>
      <c r="W26" s="87"/>
      <c r="X26" s="88"/>
      <c r="Y26" s="88"/>
      <c r="Z26" s="88"/>
    </row>
    <row r="27" spans="1:26" ht="32.1" customHeight="1">
      <c r="D27" s="201"/>
      <c r="E27" s="169" t="s">
        <v>73</v>
      </c>
      <c r="F27" s="170"/>
      <c r="G27" s="187" t="s">
        <v>74</v>
      </c>
      <c r="H27" s="212"/>
      <c r="I27" s="212"/>
      <c r="J27" s="212"/>
      <c r="K27" s="204" t="s">
        <v>75</v>
      </c>
      <c r="L27" s="205"/>
      <c r="M27" s="205"/>
      <c r="N27" s="204" t="s">
        <v>76</v>
      </c>
      <c r="O27" s="205"/>
      <c r="P27" s="187" t="s">
        <v>77</v>
      </c>
      <c r="Q27" s="187"/>
      <c r="R27" s="187"/>
      <c r="S27" s="187"/>
      <c r="T27" s="187"/>
      <c r="U27" s="187"/>
      <c r="V27" s="83"/>
      <c r="W27" s="87" t="s">
        <v>78</v>
      </c>
      <c r="X27" s="88"/>
      <c r="Y27" s="88"/>
      <c r="Z27" s="88"/>
    </row>
    <row r="28" spans="1:26" ht="30" customHeight="1">
      <c r="D28" s="201"/>
      <c r="E28" s="172"/>
      <c r="F28" s="174"/>
      <c r="G28" s="212"/>
      <c r="H28" s="212"/>
      <c r="I28" s="212"/>
      <c r="J28" s="212"/>
      <c r="K28" s="204"/>
      <c r="L28" s="205"/>
      <c r="M28" s="205"/>
      <c r="N28" s="204"/>
      <c r="O28" s="205"/>
      <c r="P28" s="187"/>
      <c r="Q28" s="187"/>
      <c r="R28" s="187"/>
      <c r="S28" s="187"/>
      <c r="T28" s="187"/>
      <c r="U28" s="187"/>
      <c r="V28" s="83"/>
      <c r="W28" s="87" t="s">
        <v>79</v>
      </c>
      <c r="X28" s="88">
        <f t="shared" ref="X28:Z28" si="16">SUM(X2:X27)</f>
        <v>0</v>
      </c>
      <c r="Y28" s="88">
        <f t="shared" si="16"/>
        <v>0</v>
      </c>
      <c r="Z28" s="88">
        <f t="shared" si="16"/>
        <v>0</v>
      </c>
    </row>
    <row r="29" spans="1:26" ht="32.1" customHeight="1">
      <c r="D29" s="201"/>
      <c r="E29" s="172"/>
      <c r="F29" s="174"/>
      <c r="G29" s="212"/>
      <c r="H29" s="212"/>
      <c r="I29" s="212"/>
      <c r="J29" s="212"/>
      <c r="K29" s="204"/>
      <c r="L29" s="205"/>
      <c r="M29" s="205"/>
      <c r="N29" s="204"/>
      <c r="O29" s="205"/>
      <c r="P29" s="187"/>
      <c r="Q29" s="187"/>
      <c r="R29" s="187"/>
      <c r="S29" s="187"/>
      <c r="T29" s="187"/>
      <c r="U29" s="187"/>
      <c r="V29" s="83"/>
    </row>
    <row r="30" spans="1:26" ht="84.95" customHeight="1">
      <c r="D30" s="201"/>
      <c r="E30" s="172"/>
      <c r="F30" s="174"/>
      <c r="G30" s="212"/>
      <c r="H30" s="212"/>
      <c r="I30" s="212"/>
      <c r="J30" s="212"/>
      <c r="K30" s="204"/>
      <c r="L30" s="205"/>
      <c r="M30" s="205"/>
      <c r="N30" s="204"/>
      <c r="O30" s="205"/>
      <c r="P30" s="187"/>
      <c r="Q30" s="187"/>
      <c r="R30" s="187"/>
      <c r="S30" s="187"/>
      <c r="T30" s="187"/>
      <c r="U30" s="187"/>
      <c r="V30" s="83"/>
    </row>
    <row r="31" spans="1:26" ht="24" customHeight="1">
      <c r="C31" s="82"/>
      <c r="D31" s="184">
        <v>5</v>
      </c>
      <c r="E31" s="206" t="s">
        <v>80</v>
      </c>
      <c r="F31" s="207"/>
      <c r="G31" s="188" t="s">
        <v>81</v>
      </c>
      <c r="H31" s="189"/>
      <c r="I31" s="189"/>
      <c r="J31" s="189"/>
      <c r="K31" s="213" t="s">
        <v>82</v>
      </c>
      <c r="L31" s="214"/>
      <c r="M31" s="214"/>
      <c r="N31" s="188" t="s">
        <v>83</v>
      </c>
      <c r="O31" s="189"/>
      <c r="P31" s="188" t="s">
        <v>84</v>
      </c>
      <c r="Q31" s="189"/>
      <c r="R31" s="189"/>
      <c r="S31" s="189"/>
      <c r="T31" s="189"/>
      <c r="U31" s="189"/>
      <c r="V31" s="184"/>
    </row>
    <row r="32" spans="1:26" ht="24" customHeight="1">
      <c r="C32" s="82"/>
      <c r="D32" s="184"/>
      <c r="E32" s="208"/>
      <c r="F32" s="209"/>
      <c r="G32" s="189"/>
      <c r="H32" s="189"/>
      <c r="I32" s="189"/>
      <c r="J32" s="189"/>
      <c r="K32" s="214"/>
      <c r="L32" s="214"/>
      <c r="M32" s="214"/>
      <c r="N32" s="189"/>
      <c r="O32" s="189"/>
      <c r="P32" s="189"/>
      <c r="Q32" s="189"/>
      <c r="R32" s="189"/>
      <c r="S32" s="189"/>
      <c r="T32" s="189"/>
      <c r="U32" s="189"/>
      <c r="V32" s="184"/>
    </row>
    <row r="33" spans="3:22" ht="24" customHeight="1">
      <c r="C33" s="82"/>
      <c r="D33" s="184"/>
      <c r="E33" s="208"/>
      <c r="F33" s="209"/>
      <c r="G33" s="189"/>
      <c r="H33" s="189"/>
      <c r="I33" s="189"/>
      <c r="J33" s="189"/>
      <c r="K33" s="214"/>
      <c r="L33" s="214"/>
      <c r="M33" s="214"/>
      <c r="N33" s="189"/>
      <c r="O33" s="189"/>
      <c r="P33" s="189"/>
      <c r="Q33" s="189"/>
      <c r="R33" s="189"/>
      <c r="S33" s="189"/>
      <c r="T33" s="189"/>
      <c r="U33" s="189"/>
      <c r="V33" s="184"/>
    </row>
    <row r="34" spans="3:22" ht="24" customHeight="1">
      <c r="C34" s="82"/>
      <c r="D34" s="184"/>
      <c r="E34" s="208"/>
      <c r="F34" s="209"/>
      <c r="G34" s="189"/>
      <c r="H34" s="189"/>
      <c r="I34" s="189"/>
      <c r="J34" s="189"/>
      <c r="K34" s="214"/>
      <c r="L34" s="214"/>
      <c r="M34" s="214"/>
      <c r="N34" s="189"/>
      <c r="O34" s="189"/>
      <c r="P34" s="189"/>
      <c r="Q34" s="189"/>
      <c r="R34" s="189"/>
      <c r="S34" s="189"/>
      <c r="T34" s="189"/>
      <c r="U34" s="189"/>
      <c r="V34" s="184"/>
    </row>
    <row r="35" spans="3:22" ht="24" customHeight="1">
      <c r="C35" s="82"/>
      <c r="D35" s="184"/>
      <c r="E35" s="208"/>
      <c r="F35" s="209"/>
      <c r="G35" s="189"/>
      <c r="H35" s="189"/>
      <c r="I35" s="189"/>
      <c r="J35" s="189"/>
      <c r="K35" s="214"/>
      <c r="L35" s="214"/>
      <c r="M35" s="214"/>
      <c r="N35" s="189"/>
      <c r="O35" s="189"/>
      <c r="P35" s="189"/>
      <c r="Q35" s="189"/>
      <c r="R35" s="189"/>
      <c r="S35" s="189"/>
      <c r="T35" s="189"/>
      <c r="U35" s="189"/>
      <c r="V35" s="184"/>
    </row>
    <row r="36" spans="3:22" ht="24" customHeight="1">
      <c r="C36" s="82"/>
      <c r="D36" s="184"/>
      <c r="E36" s="208"/>
      <c r="F36" s="209"/>
      <c r="G36" s="189"/>
      <c r="H36" s="189"/>
      <c r="I36" s="189"/>
      <c r="J36" s="189"/>
      <c r="K36" s="214"/>
      <c r="L36" s="214"/>
      <c r="M36" s="214"/>
      <c r="N36" s="189"/>
      <c r="O36" s="189"/>
      <c r="P36" s="189"/>
      <c r="Q36" s="189"/>
      <c r="R36" s="189"/>
      <c r="S36" s="189"/>
      <c r="T36" s="189"/>
      <c r="U36" s="189"/>
      <c r="V36" s="184"/>
    </row>
    <row r="37" spans="3:22" ht="24" customHeight="1">
      <c r="C37" s="82"/>
      <c r="D37" s="184"/>
      <c r="E37" s="208"/>
      <c r="F37" s="209"/>
      <c r="G37" s="189"/>
      <c r="H37" s="189"/>
      <c r="I37" s="189"/>
      <c r="J37" s="189"/>
      <c r="K37" s="214"/>
      <c r="L37" s="214"/>
      <c r="M37" s="214"/>
      <c r="N37" s="189"/>
      <c r="O37" s="189"/>
      <c r="P37" s="189"/>
      <c r="Q37" s="189"/>
      <c r="R37" s="189"/>
      <c r="S37" s="189"/>
      <c r="T37" s="189"/>
      <c r="U37" s="189"/>
      <c r="V37" s="184"/>
    </row>
    <row r="38" spans="3:22" ht="66.95" customHeight="1">
      <c r="C38" s="82"/>
      <c r="D38" s="184"/>
      <c r="E38" s="210"/>
      <c r="F38" s="211"/>
      <c r="G38" s="189"/>
      <c r="H38" s="189"/>
      <c r="I38" s="189"/>
      <c r="J38" s="189"/>
      <c r="K38" s="214"/>
      <c r="L38" s="214"/>
      <c r="M38" s="214"/>
      <c r="N38" s="189"/>
      <c r="O38" s="189"/>
      <c r="P38" s="189"/>
      <c r="Q38" s="189"/>
      <c r="R38" s="189"/>
      <c r="S38" s="189"/>
      <c r="T38" s="189"/>
      <c r="U38" s="189"/>
      <c r="V38" s="184"/>
    </row>
    <row r="39" spans="3:22" ht="24" customHeight="1">
      <c r="D39" s="32"/>
    </row>
    <row r="52" spans="4:18" ht="24" customHeight="1">
      <c r="D52" s="148" t="s">
        <v>338</v>
      </c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9"/>
    </row>
    <row r="53" spans="4:18" ht="24" customHeight="1"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</row>
    <row r="54" spans="4:18" ht="24" customHeight="1"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9"/>
    </row>
  </sheetData>
  <sheetProtection password="CB7B" sheet="1" objects="1" scenarios="1"/>
  <mergeCells count="71">
    <mergeCell ref="A1:C10"/>
    <mergeCell ref="N27:O30"/>
    <mergeCell ref="E27:F30"/>
    <mergeCell ref="E31:F38"/>
    <mergeCell ref="N31:O38"/>
    <mergeCell ref="K27:M30"/>
    <mergeCell ref="G27:J30"/>
    <mergeCell ref="K31:M38"/>
    <mergeCell ref="G31:J38"/>
    <mergeCell ref="D31:D38"/>
    <mergeCell ref="E6:E8"/>
    <mergeCell ref="G2:G3"/>
    <mergeCell ref="H9:U9"/>
    <mergeCell ref="E10:F10"/>
    <mergeCell ref="E11:F11"/>
    <mergeCell ref="D24:D30"/>
    <mergeCell ref="V31:V38"/>
    <mergeCell ref="E2:F3"/>
    <mergeCell ref="P27:U30"/>
    <mergeCell ref="P31:U38"/>
    <mergeCell ref="D1:D3"/>
    <mergeCell ref="D4:D9"/>
    <mergeCell ref="D10:D17"/>
    <mergeCell ref="E17:F17"/>
    <mergeCell ref="E12:F12"/>
    <mergeCell ref="E13:F13"/>
    <mergeCell ref="E14:F14"/>
    <mergeCell ref="E15:F15"/>
    <mergeCell ref="E16:F16"/>
    <mergeCell ref="E5:F5"/>
    <mergeCell ref="E9:F9"/>
    <mergeCell ref="D18:D23"/>
    <mergeCell ref="E26:F26"/>
    <mergeCell ref="G26:J26"/>
    <mergeCell ref="K26:M26"/>
    <mergeCell ref="E22:F22"/>
    <mergeCell ref="E23:F23"/>
    <mergeCell ref="E24:F24"/>
    <mergeCell ref="G24:J24"/>
    <mergeCell ref="K24:M24"/>
    <mergeCell ref="E18:F18"/>
    <mergeCell ref="E19:F19"/>
    <mergeCell ref="E20:F20"/>
    <mergeCell ref="E21:F21"/>
    <mergeCell ref="E25:F25"/>
    <mergeCell ref="G25:J25"/>
    <mergeCell ref="K25:M25"/>
    <mergeCell ref="N25:O25"/>
    <mergeCell ref="P25:U25"/>
    <mergeCell ref="H2:H3"/>
    <mergeCell ref="I2:I3"/>
    <mergeCell ref="P26:U26"/>
    <mergeCell ref="N24:O24"/>
    <mergeCell ref="P24:U24"/>
    <mergeCell ref="N26:O26"/>
    <mergeCell ref="D52:R54"/>
    <mergeCell ref="A19:C19"/>
    <mergeCell ref="E1:V1"/>
    <mergeCell ref="W1:Z1"/>
    <mergeCell ref="R2:S2"/>
    <mergeCell ref="T2:U2"/>
    <mergeCell ref="E4:F4"/>
    <mergeCell ref="J2:J3"/>
    <mergeCell ref="K2:K3"/>
    <mergeCell ref="L2:L3"/>
    <mergeCell ref="M2:M3"/>
    <mergeCell ref="N2:N3"/>
    <mergeCell ref="O2:O3"/>
    <mergeCell ref="P2:P3"/>
    <mergeCell ref="Q2:Q3"/>
    <mergeCell ref="V2:V3"/>
  </mergeCells>
  <phoneticPr fontId="33" type="noConversion"/>
  <pageMargins left="0.69930555555555596" right="0.69930555555555596" top="0.75" bottom="0.75" header="0.3" footer="0.3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IW122"/>
  <sheetViews>
    <sheetView showGridLines="0" topLeftCell="A19" workbookViewId="0">
      <selection activeCell="A37" sqref="A37:O39"/>
    </sheetView>
  </sheetViews>
  <sheetFormatPr defaultColWidth="9" defaultRowHeight="21.95" customHeight="1"/>
  <cols>
    <col min="1" max="1" width="12.5" style="32" customWidth="1"/>
    <col min="2" max="2" width="9.75" style="32" customWidth="1"/>
    <col min="3" max="5" width="10.625" style="32" customWidth="1"/>
    <col min="6" max="6" width="12.625" style="32" customWidth="1"/>
    <col min="7" max="7" width="11.875" style="32" customWidth="1"/>
    <col min="8" max="14" width="10.625" style="32" customWidth="1"/>
    <col min="15" max="15" width="5" style="32" customWidth="1"/>
    <col min="16" max="16" width="6.375" style="33" customWidth="1"/>
    <col min="17" max="17" width="9" style="34" customWidth="1"/>
    <col min="18" max="18" width="19.5" style="35" customWidth="1"/>
    <col min="19" max="257" width="12.5" style="32" customWidth="1"/>
    <col min="258" max="16384" width="9" style="36"/>
  </cols>
  <sheetData>
    <row r="1" spans="1:18" ht="21.95" customHeight="1">
      <c r="A1" s="221" t="s">
        <v>334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37"/>
      <c r="P1" s="47" t="s">
        <v>2</v>
      </c>
      <c r="Q1" s="51" t="s">
        <v>85</v>
      </c>
      <c r="R1" s="52" t="s">
        <v>86</v>
      </c>
    </row>
    <row r="2" spans="1:18" ht="21.95" customHeight="1">
      <c r="A2" s="38" t="s">
        <v>87</v>
      </c>
      <c r="B2" s="38" t="s">
        <v>88</v>
      </c>
      <c r="C2" s="184" t="s">
        <v>89</v>
      </c>
      <c r="D2" s="184"/>
      <c r="E2" s="184"/>
      <c r="F2" s="184" t="s">
        <v>90</v>
      </c>
      <c r="G2" s="184"/>
      <c r="H2" s="184"/>
      <c r="I2" s="184" t="s">
        <v>91</v>
      </c>
      <c r="J2" s="184"/>
      <c r="K2" s="184"/>
      <c r="L2" s="184" t="s">
        <v>92</v>
      </c>
      <c r="M2" s="184"/>
      <c r="N2" s="184"/>
      <c r="O2" s="38"/>
      <c r="P2" s="48" t="s">
        <v>4</v>
      </c>
      <c r="Q2" s="53">
        <v>41640</v>
      </c>
      <c r="R2" s="54" t="s">
        <v>93</v>
      </c>
    </row>
    <row r="3" spans="1:18" ht="21.95" customHeight="1">
      <c r="A3" s="38" t="s">
        <v>2</v>
      </c>
      <c r="B3" s="39">
        <v>42705</v>
      </c>
      <c r="C3" s="38" t="s">
        <v>94</v>
      </c>
      <c r="D3" s="38" t="s">
        <v>95</v>
      </c>
      <c r="E3" s="38" t="s">
        <v>96</v>
      </c>
      <c r="F3" s="38" t="s">
        <v>97</v>
      </c>
      <c r="G3" s="38" t="s">
        <v>98</v>
      </c>
      <c r="H3" s="38" t="s">
        <v>99</v>
      </c>
      <c r="I3" s="38" t="s">
        <v>100</v>
      </c>
      <c r="J3" s="38" t="s">
        <v>101</v>
      </c>
      <c r="K3" s="38" t="s">
        <v>102</v>
      </c>
      <c r="L3" s="38" t="s">
        <v>103</v>
      </c>
      <c r="M3" s="38" t="s">
        <v>14</v>
      </c>
      <c r="N3" s="38" t="s">
        <v>3</v>
      </c>
      <c r="O3" s="38"/>
      <c r="P3" s="48" t="s">
        <v>5</v>
      </c>
      <c r="Q3" s="53">
        <v>41672</v>
      </c>
      <c r="R3" s="54" t="s">
        <v>104</v>
      </c>
    </row>
    <row r="4" spans="1:18" ht="57" customHeight="1">
      <c r="A4" s="38" t="s">
        <v>105</v>
      </c>
      <c r="B4" s="39"/>
      <c r="C4" s="38"/>
      <c r="D4" s="40" t="s">
        <v>106</v>
      </c>
      <c r="E4" s="40" t="s">
        <v>107</v>
      </c>
      <c r="F4" s="40" t="s">
        <v>108</v>
      </c>
      <c r="G4" s="40" t="s">
        <v>109</v>
      </c>
      <c r="H4" s="41" t="s">
        <v>110</v>
      </c>
      <c r="I4" s="40" t="s">
        <v>111</v>
      </c>
      <c r="J4" s="40" t="s">
        <v>112</v>
      </c>
      <c r="K4" s="40" t="s">
        <v>113</v>
      </c>
      <c r="L4" s="40" t="s">
        <v>114</v>
      </c>
      <c r="M4" s="40" t="s">
        <v>115</v>
      </c>
      <c r="N4" s="40" t="s">
        <v>116</v>
      </c>
      <c r="O4" s="49"/>
      <c r="P4" s="48"/>
      <c r="Q4" s="53"/>
      <c r="R4" s="54"/>
    </row>
    <row r="5" spans="1:18" ht="57" customHeight="1">
      <c r="A5" s="38" t="s">
        <v>117</v>
      </c>
      <c r="B5" s="42" t="s">
        <v>118</v>
      </c>
      <c r="C5" s="42" t="s">
        <v>118</v>
      </c>
      <c r="D5" s="40" t="s">
        <v>119</v>
      </c>
      <c r="E5" s="40" t="s">
        <v>120</v>
      </c>
      <c r="F5" s="40" t="s">
        <v>121</v>
      </c>
      <c r="G5" s="40" t="s">
        <v>122</v>
      </c>
      <c r="H5" s="41" t="s">
        <v>123</v>
      </c>
      <c r="I5" s="40" t="s">
        <v>124</v>
      </c>
      <c r="J5" s="40" t="s">
        <v>125</v>
      </c>
      <c r="K5" s="40" t="s">
        <v>126</v>
      </c>
      <c r="L5" s="40" t="s">
        <v>127</v>
      </c>
      <c r="M5" s="40" t="s">
        <v>128</v>
      </c>
      <c r="N5" s="40" t="s">
        <v>129</v>
      </c>
      <c r="O5" s="49"/>
      <c r="P5" s="48"/>
      <c r="Q5" s="53"/>
      <c r="R5" s="54"/>
    </row>
    <row r="6" spans="1:18" ht="36.950000000000003" customHeight="1">
      <c r="A6" s="223" t="s">
        <v>130</v>
      </c>
      <c r="B6" s="43" t="s">
        <v>131</v>
      </c>
      <c r="C6" s="44" t="s">
        <v>132</v>
      </c>
      <c r="D6" s="44" t="s">
        <v>133</v>
      </c>
      <c r="E6" s="44" t="s">
        <v>134</v>
      </c>
      <c r="F6" s="44" t="s">
        <v>337</v>
      </c>
      <c r="G6" s="44" t="s">
        <v>135</v>
      </c>
      <c r="H6" s="44" t="s">
        <v>136</v>
      </c>
      <c r="I6" s="44" t="s">
        <v>137</v>
      </c>
      <c r="J6" s="44" t="s">
        <v>138</v>
      </c>
      <c r="K6" s="44" t="s">
        <v>139</v>
      </c>
      <c r="L6" s="44" t="s">
        <v>140</v>
      </c>
      <c r="M6" s="44" t="s">
        <v>141</v>
      </c>
      <c r="N6" s="44" t="s">
        <v>131</v>
      </c>
      <c r="O6" s="44"/>
      <c r="P6" s="48"/>
      <c r="Q6" s="53">
        <v>41684</v>
      </c>
      <c r="R6" s="54" t="s">
        <v>142</v>
      </c>
    </row>
    <row r="7" spans="1:18" ht="39" customHeight="1">
      <c r="A7" s="223"/>
      <c r="B7" s="44" t="s">
        <v>143</v>
      </c>
      <c r="C7" s="44" t="s">
        <v>144</v>
      </c>
      <c r="D7" s="44" t="s">
        <v>142</v>
      </c>
      <c r="E7" s="44"/>
      <c r="F7" s="44"/>
      <c r="G7" s="44" t="s">
        <v>145</v>
      </c>
      <c r="H7" s="44" t="s">
        <v>146</v>
      </c>
      <c r="I7" s="44"/>
      <c r="J7" s="44"/>
      <c r="K7" s="44"/>
      <c r="L7" s="44" t="s">
        <v>147</v>
      </c>
      <c r="M7" s="44"/>
      <c r="N7" s="44" t="s">
        <v>143</v>
      </c>
      <c r="O7" s="44"/>
      <c r="P7" s="48" t="s">
        <v>6</v>
      </c>
      <c r="Q7" s="53">
        <v>41701</v>
      </c>
      <c r="R7" s="54" t="s">
        <v>148</v>
      </c>
    </row>
    <row r="8" spans="1:18" ht="21.95" customHeight="1">
      <c r="A8" s="223" t="s">
        <v>149</v>
      </c>
      <c r="B8" s="38" t="s">
        <v>150</v>
      </c>
      <c r="C8" s="38" t="s">
        <v>151</v>
      </c>
      <c r="D8" s="45" t="s">
        <v>152</v>
      </c>
      <c r="E8" s="38" t="s">
        <v>153</v>
      </c>
      <c r="F8" s="38"/>
      <c r="G8" s="38" t="s">
        <v>154</v>
      </c>
      <c r="H8" s="38" t="s">
        <v>155</v>
      </c>
      <c r="I8" s="38" t="s">
        <v>156</v>
      </c>
      <c r="J8" s="38" t="s">
        <v>138</v>
      </c>
      <c r="K8" s="38" t="s">
        <v>139</v>
      </c>
      <c r="L8" s="38">
        <v>1010</v>
      </c>
      <c r="M8" s="38">
        <v>1111</v>
      </c>
      <c r="N8" s="38">
        <v>1212</v>
      </c>
      <c r="O8" s="38"/>
      <c r="P8" s="48"/>
      <c r="Q8" s="53">
        <v>41703</v>
      </c>
      <c r="R8" s="54" t="s">
        <v>157</v>
      </c>
    </row>
    <row r="9" spans="1:18" ht="21.95" customHeight="1">
      <c r="A9" s="223"/>
      <c r="B9" s="38" t="s">
        <v>158</v>
      </c>
      <c r="C9" s="184" t="s">
        <v>159</v>
      </c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38"/>
      <c r="P9" s="48"/>
      <c r="Q9" s="53">
        <v>41706</v>
      </c>
      <c r="R9" s="54" t="s">
        <v>160</v>
      </c>
    </row>
    <row r="10" spans="1:18" ht="21.95" customHeight="1">
      <c r="A10" s="223"/>
      <c r="B10" s="38" t="s">
        <v>161</v>
      </c>
      <c r="C10" s="38" t="s">
        <v>162</v>
      </c>
      <c r="D10" s="38"/>
      <c r="E10" s="38" t="s">
        <v>162</v>
      </c>
      <c r="F10" s="38" t="s">
        <v>162</v>
      </c>
      <c r="G10" s="38" t="s">
        <v>162</v>
      </c>
      <c r="H10" s="38" t="s">
        <v>162</v>
      </c>
      <c r="I10" s="38" t="s">
        <v>162</v>
      </c>
      <c r="J10" s="38" t="s">
        <v>162</v>
      </c>
      <c r="K10" s="38" t="s">
        <v>162</v>
      </c>
      <c r="L10" s="38" t="s">
        <v>162</v>
      </c>
      <c r="M10" s="38" t="s">
        <v>162</v>
      </c>
      <c r="N10" s="38" t="s">
        <v>162</v>
      </c>
      <c r="O10" s="38"/>
      <c r="P10" s="48"/>
      <c r="Q10" s="53">
        <v>41707</v>
      </c>
      <c r="R10" s="54" t="s">
        <v>163</v>
      </c>
    </row>
    <row r="11" spans="1:18" ht="21.95" customHeight="1">
      <c r="A11" s="223"/>
      <c r="B11" s="38" t="s">
        <v>164</v>
      </c>
      <c r="C11" s="184"/>
      <c r="D11" s="184"/>
      <c r="E11" s="184"/>
      <c r="F11" s="44" t="s">
        <v>165</v>
      </c>
      <c r="G11" s="44" t="s">
        <v>166</v>
      </c>
      <c r="H11" s="44" t="s">
        <v>167</v>
      </c>
      <c r="I11" s="44" t="s">
        <v>137</v>
      </c>
      <c r="J11" s="44" t="s">
        <v>168</v>
      </c>
      <c r="K11" s="184"/>
      <c r="L11" s="184"/>
      <c r="M11" s="184"/>
      <c r="N11" s="184"/>
      <c r="O11" s="38"/>
      <c r="P11" s="48"/>
      <c r="Q11" s="53">
        <v>41710</v>
      </c>
      <c r="R11" s="54" t="s">
        <v>169</v>
      </c>
    </row>
    <row r="12" spans="1:18" ht="33" customHeight="1">
      <c r="P12" s="48"/>
      <c r="Q12" s="53">
        <v>41712</v>
      </c>
      <c r="R12" s="54" t="s">
        <v>170</v>
      </c>
    </row>
    <row r="13" spans="1:18" ht="21.95" customHeight="1">
      <c r="P13" s="48"/>
      <c r="Q13" s="53">
        <v>41712</v>
      </c>
      <c r="R13" s="54" t="s">
        <v>171</v>
      </c>
    </row>
    <row r="14" spans="1:18" ht="21.95" customHeight="1">
      <c r="P14" s="48"/>
      <c r="Q14" s="53">
        <v>41713</v>
      </c>
      <c r="R14" s="54" t="s">
        <v>172</v>
      </c>
    </row>
    <row r="15" spans="1:18" ht="21.95" customHeight="1">
      <c r="P15" s="48"/>
      <c r="Q15" s="53"/>
      <c r="R15" s="54"/>
    </row>
    <row r="16" spans="1:18" ht="21.95" customHeight="1">
      <c r="B16" s="46"/>
      <c r="P16" s="48"/>
      <c r="Q16" s="53">
        <v>41719</v>
      </c>
      <c r="R16" s="54" t="s">
        <v>173</v>
      </c>
    </row>
    <row r="17" spans="13:18" ht="21.95" customHeight="1">
      <c r="M17" s="50"/>
      <c r="N17" s="50"/>
      <c r="O17" s="50"/>
      <c r="P17" s="48"/>
      <c r="Q17" s="53">
        <v>41719</v>
      </c>
      <c r="R17" s="54" t="s">
        <v>174</v>
      </c>
    </row>
    <row r="18" spans="13:18" ht="21.95" customHeight="1">
      <c r="P18" s="48"/>
      <c r="Q18" s="53">
        <v>41720</v>
      </c>
      <c r="R18" s="54" t="s">
        <v>175</v>
      </c>
    </row>
    <row r="19" spans="13:18" ht="21.95" customHeight="1">
      <c r="P19" s="48"/>
      <c r="Q19" s="53">
        <v>41721</v>
      </c>
      <c r="R19" s="54" t="s">
        <v>176</v>
      </c>
    </row>
    <row r="20" spans="13:18" ht="21.95" customHeight="1">
      <c r="P20" s="48"/>
      <c r="Q20" s="53">
        <v>41722</v>
      </c>
      <c r="R20" s="54" t="s">
        <v>177</v>
      </c>
    </row>
    <row r="21" spans="13:18" ht="21.95" customHeight="1">
      <c r="P21" s="48" t="s">
        <v>7</v>
      </c>
      <c r="Q21" s="53">
        <v>41730</v>
      </c>
      <c r="R21" s="54" t="s">
        <v>178</v>
      </c>
    </row>
    <row r="22" spans="13:18" ht="21.95" customHeight="1">
      <c r="P22" s="48"/>
      <c r="Q22" s="53">
        <v>41734</v>
      </c>
      <c r="R22" s="54" t="s">
        <v>179</v>
      </c>
    </row>
    <row r="23" spans="13:18" ht="21.95" customHeight="1">
      <c r="P23" s="48"/>
      <c r="Q23" s="53">
        <v>41736</v>
      </c>
      <c r="R23" s="54" t="s">
        <v>180</v>
      </c>
    </row>
    <row r="24" spans="13:18" ht="21.95" customHeight="1">
      <c r="P24" s="48"/>
      <c r="Q24" s="53">
        <v>42109</v>
      </c>
      <c r="R24" s="54"/>
    </row>
    <row r="25" spans="13:18" ht="21.95" customHeight="1">
      <c r="P25" s="48"/>
      <c r="Q25" s="53">
        <v>41751</v>
      </c>
      <c r="R25" s="54" t="s">
        <v>181</v>
      </c>
    </row>
    <row r="26" spans="13:18" ht="21.95" customHeight="1">
      <c r="P26" s="48"/>
      <c r="Q26" s="53">
        <v>41755</v>
      </c>
      <c r="R26" s="54" t="s">
        <v>182</v>
      </c>
    </row>
    <row r="27" spans="13:18" ht="21.95" customHeight="1">
      <c r="P27" s="48" t="s">
        <v>8</v>
      </c>
      <c r="Q27" s="53">
        <v>41760</v>
      </c>
      <c r="R27" s="54" t="s">
        <v>183</v>
      </c>
    </row>
    <row r="28" spans="13:18" ht="21.95" customHeight="1">
      <c r="P28" s="48"/>
      <c r="Q28" s="53">
        <v>41762</v>
      </c>
      <c r="R28" s="54" t="s">
        <v>184</v>
      </c>
    </row>
    <row r="29" spans="13:18" ht="21.95" customHeight="1">
      <c r="P29" s="48"/>
      <c r="Q29" s="53">
        <v>41763</v>
      </c>
      <c r="R29" s="54" t="s">
        <v>185</v>
      </c>
    </row>
    <row r="30" spans="13:18" ht="21.95" customHeight="1">
      <c r="P30" s="48"/>
      <c r="Q30" s="53">
        <v>41767</v>
      </c>
      <c r="R30" s="54" t="s">
        <v>186</v>
      </c>
    </row>
    <row r="31" spans="13:18" ht="21.95" customHeight="1">
      <c r="P31" s="48"/>
      <c r="Q31" s="53">
        <v>41771</v>
      </c>
      <c r="R31" s="54" t="s">
        <v>187</v>
      </c>
    </row>
    <row r="32" spans="13:18" ht="21.95" customHeight="1">
      <c r="P32" s="48"/>
      <c r="Q32" s="53">
        <v>41774</v>
      </c>
      <c r="R32" s="54" t="s">
        <v>188</v>
      </c>
    </row>
    <row r="33" spans="1:18" ht="21.95" customHeight="1">
      <c r="P33" s="48"/>
      <c r="Q33" s="53">
        <v>41776</v>
      </c>
      <c r="R33" s="54" t="s">
        <v>189</v>
      </c>
    </row>
    <row r="34" spans="1:18" ht="21.95" customHeight="1">
      <c r="P34" s="48"/>
      <c r="Q34" s="53">
        <v>41779</v>
      </c>
      <c r="R34" s="54" t="s">
        <v>190</v>
      </c>
    </row>
    <row r="35" spans="1:18" ht="21.95" customHeight="1">
      <c r="P35" s="48"/>
      <c r="Q35" s="53">
        <v>41782</v>
      </c>
      <c r="R35" s="54" t="s">
        <v>191</v>
      </c>
    </row>
    <row r="36" spans="1:18" ht="21.95" customHeight="1">
      <c r="P36" s="48"/>
      <c r="Q36" s="53">
        <v>41790</v>
      </c>
      <c r="R36" s="54" t="s">
        <v>192</v>
      </c>
    </row>
    <row r="37" spans="1:18" ht="21.95" customHeight="1">
      <c r="A37" s="148" t="s">
        <v>338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9"/>
      <c r="P37" s="48" t="s">
        <v>9</v>
      </c>
      <c r="Q37" s="53">
        <v>41791</v>
      </c>
      <c r="R37" s="54" t="s">
        <v>193</v>
      </c>
    </row>
    <row r="38" spans="1:18" ht="21.95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9"/>
      <c r="P38" s="48"/>
      <c r="Q38" s="53">
        <v>41795</v>
      </c>
      <c r="R38" s="54" t="s">
        <v>194</v>
      </c>
    </row>
    <row r="39" spans="1:18" ht="21.95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9"/>
      <c r="P39" s="48"/>
      <c r="Q39" s="53">
        <v>41796</v>
      </c>
      <c r="R39" s="54" t="s">
        <v>195</v>
      </c>
    </row>
    <row r="40" spans="1:18" ht="21.95" customHeight="1">
      <c r="P40" s="48"/>
      <c r="Q40" s="53">
        <v>41807</v>
      </c>
      <c r="R40" s="54" t="s">
        <v>196</v>
      </c>
    </row>
    <row r="41" spans="1:18" ht="21.95" customHeight="1">
      <c r="P41" s="48"/>
      <c r="Q41" s="53">
        <v>41808</v>
      </c>
      <c r="R41" s="54"/>
    </row>
    <row r="42" spans="1:18" ht="21.95" customHeight="1">
      <c r="P42" s="48"/>
      <c r="Q42" s="53">
        <v>41813</v>
      </c>
      <c r="R42" s="54" t="s">
        <v>197</v>
      </c>
    </row>
    <row r="43" spans="1:18" ht="21.95" customHeight="1">
      <c r="P43" s="48"/>
      <c r="Q43" s="53">
        <v>41815</v>
      </c>
      <c r="R43" s="54" t="s">
        <v>198</v>
      </c>
    </row>
    <row r="44" spans="1:18" ht="21.95" customHeight="1">
      <c r="P44" s="48"/>
      <c r="Q44" s="53">
        <v>41816</v>
      </c>
      <c r="R44" s="54" t="s">
        <v>199</v>
      </c>
    </row>
    <row r="45" spans="1:18" ht="21.95" customHeight="1">
      <c r="P45" s="48" t="s">
        <v>10</v>
      </c>
      <c r="Q45" s="53">
        <v>41821</v>
      </c>
      <c r="R45" s="54" t="s">
        <v>200</v>
      </c>
    </row>
    <row r="46" spans="1:18" ht="21.95" customHeight="1">
      <c r="P46" s="48"/>
      <c r="Q46" s="53">
        <v>41821</v>
      </c>
      <c r="R46" s="54" t="s">
        <v>201</v>
      </c>
    </row>
    <row r="47" spans="1:18" ht="21.95" customHeight="1">
      <c r="P47" s="48"/>
      <c r="Q47" s="53" t="s">
        <v>202</v>
      </c>
      <c r="R47" s="54"/>
    </row>
    <row r="48" spans="1:18" ht="21.95" customHeight="1">
      <c r="P48" s="48"/>
      <c r="Q48" s="53">
        <v>41827</v>
      </c>
      <c r="R48" s="54" t="s">
        <v>203</v>
      </c>
    </row>
    <row r="49" spans="16:18" ht="21.95" customHeight="1">
      <c r="P49" s="48"/>
      <c r="Q49" s="53">
        <v>41831</v>
      </c>
      <c r="R49" s="54" t="s">
        <v>204</v>
      </c>
    </row>
    <row r="50" spans="16:18" ht="21.95" customHeight="1">
      <c r="P50" s="48" t="s">
        <v>11</v>
      </c>
      <c r="Q50" s="53">
        <v>41852</v>
      </c>
      <c r="R50" s="54" t="s">
        <v>205</v>
      </c>
    </row>
    <row r="51" spans="16:18" ht="21.95" customHeight="1">
      <c r="P51" s="48"/>
      <c r="Q51" s="53">
        <v>41869</v>
      </c>
      <c r="R51" s="54"/>
    </row>
    <row r="52" spans="16:18" ht="21.95" customHeight="1">
      <c r="P52" s="48"/>
      <c r="Q52" s="53">
        <v>41863</v>
      </c>
      <c r="R52" s="54" t="s">
        <v>206</v>
      </c>
    </row>
    <row r="53" spans="16:18" ht="21.95" customHeight="1">
      <c r="P53" s="48"/>
      <c r="Q53" s="53">
        <v>41871</v>
      </c>
      <c r="R53" s="54"/>
    </row>
    <row r="54" spans="16:18" ht="21.95" customHeight="1">
      <c r="P54" s="48"/>
      <c r="Q54" s="53">
        <v>41876</v>
      </c>
      <c r="R54" s="54"/>
    </row>
    <row r="55" spans="16:18" ht="21.95" customHeight="1">
      <c r="P55" s="48"/>
      <c r="Q55" s="53">
        <v>41879</v>
      </c>
      <c r="R55" s="54"/>
    </row>
    <row r="56" spans="16:18" ht="21.95" customHeight="1">
      <c r="P56" s="48" t="s">
        <v>12</v>
      </c>
      <c r="Q56" s="53">
        <v>41890</v>
      </c>
      <c r="R56" s="54" t="s">
        <v>207</v>
      </c>
    </row>
    <row r="57" spans="16:18" ht="21.95" customHeight="1">
      <c r="P57" s="48"/>
      <c r="Q57" s="53">
        <v>41891</v>
      </c>
      <c r="R57" s="54"/>
    </row>
    <row r="58" spans="16:18" ht="21.95" customHeight="1">
      <c r="P58" s="48"/>
      <c r="Q58" s="53">
        <v>41892</v>
      </c>
      <c r="R58" s="54" t="s">
        <v>208</v>
      </c>
    </row>
    <row r="59" spans="16:18" ht="21.95" customHeight="1">
      <c r="P59" s="48"/>
      <c r="Q59" s="53">
        <v>41898</v>
      </c>
      <c r="R59" s="54" t="s">
        <v>209</v>
      </c>
    </row>
    <row r="60" spans="16:18" ht="21.95" customHeight="1">
      <c r="P60" s="48"/>
      <c r="Q60" s="53">
        <v>41898</v>
      </c>
      <c r="R60" s="54" t="s">
        <v>210</v>
      </c>
    </row>
    <row r="61" spans="16:18" ht="21.95" customHeight="1">
      <c r="P61" s="48"/>
      <c r="Q61" s="53">
        <v>41899</v>
      </c>
      <c r="R61" s="54"/>
    </row>
    <row r="62" spans="16:18" ht="21.95" customHeight="1">
      <c r="P62" s="48"/>
      <c r="Q62" s="53">
        <v>41902</v>
      </c>
      <c r="R62" s="54" t="s">
        <v>211</v>
      </c>
    </row>
    <row r="63" spans="16:18" ht="21.95" customHeight="1">
      <c r="P63" s="48"/>
      <c r="Q63" s="53">
        <v>41903</v>
      </c>
      <c r="R63" s="54" t="s">
        <v>212</v>
      </c>
    </row>
    <row r="64" spans="16:18" ht="21.95" customHeight="1">
      <c r="P64" s="48"/>
      <c r="Q64" s="53">
        <v>41909</v>
      </c>
      <c r="R64" s="54" t="s">
        <v>213</v>
      </c>
    </row>
    <row r="65" spans="16:18" ht="21.95" customHeight="1">
      <c r="P65" s="48" t="s">
        <v>13</v>
      </c>
      <c r="Q65" s="53">
        <v>41913</v>
      </c>
      <c r="R65" s="54" t="s">
        <v>214</v>
      </c>
    </row>
    <row r="66" spans="16:18" ht="21.95" customHeight="1">
      <c r="P66" s="48"/>
      <c r="Q66" s="53">
        <v>41913</v>
      </c>
      <c r="R66" s="54" t="s">
        <v>215</v>
      </c>
    </row>
    <row r="67" spans="16:18" ht="21.95" customHeight="1">
      <c r="P67" s="48"/>
      <c r="Q67" s="53">
        <v>41913</v>
      </c>
      <c r="R67" s="54" t="s">
        <v>216</v>
      </c>
    </row>
    <row r="68" spans="16:18" ht="21.95" customHeight="1">
      <c r="P68" s="48"/>
      <c r="Q68" s="53">
        <v>41916</v>
      </c>
      <c r="R68" s="54" t="s">
        <v>217</v>
      </c>
    </row>
    <row r="69" spans="16:18" ht="21.95" customHeight="1">
      <c r="P69" s="48"/>
      <c r="Q69" s="53">
        <v>41917</v>
      </c>
      <c r="R69" s="54" t="s">
        <v>218</v>
      </c>
    </row>
    <row r="70" spans="16:18" ht="21.95" customHeight="1">
      <c r="P70" s="48"/>
      <c r="Q70" s="53">
        <v>41920</v>
      </c>
      <c r="R70" s="54" t="s">
        <v>219</v>
      </c>
    </row>
    <row r="71" spans="16:18" ht="21.95" customHeight="1">
      <c r="P71" s="48"/>
      <c r="Q71" s="53">
        <v>41921</v>
      </c>
      <c r="R71" s="54" t="s">
        <v>220</v>
      </c>
    </row>
    <row r="72" spans="16:18" ht="21.95" customHeight="1">
      <c r="P72" s="48"/>
      <c r="Q72" s="53">
        <v>41922</v>
      </c>
      <c r="R72" s="54" t="s">
        <v>221</v>
      </c>
    </row>
    <row r="73" spans="16:18" ht="21.95" customHeight="1">
      <c r="P73" s="48"/>
      <c r="Q73" s="53">
        <v>41926</v>
      </c>
      <c r="R73" s="54" t="s">
        <v>222</v>
      </c>
    </row>
    <row r="74" spans="16:18" ht="21.95" customHeight="1">
      <c r="P74" s="48"/>
      <c r="Q74" s="53">
        <v>41927</v>
      </c>
      <c r="R74" s="54" t="s">
        <v>223</v>
      </c>
    </row>
    <row r="75" spans="16:18" ht="21.95" customHeight="1">
      <c r="P75" s="48"/>
      <c r="Q75" s="53">
        <v>41927</v>
      </c>
      <c r="R75" s="54" t="s">
        <v>224</v>
      </c>
    </row>
    <row r="76" spans="16:18" ht="21.95" customHeight="1">
      <c r="P76" s="48"/>
      <c r="Q76" s="53">
        <v>41928</v>
      </c>
      <c r="R76" s="54" t="s">
        <v>225</v>
      </c>
    </row>
    <row r="77" spans="16:18" ht="21.95" customHeight="1">
      <c r="P77" s="48"/>
      <c r="Q77" s="53">
        <v>41929</v>
      </c>
      <c r="R77" s="54" t="s">
        <v>226</v>
      </c>
    </row>
    <row r="78" spans="16:18" ht="21.95" customHeight="1">
      <c r="P78" s="48"/>
      <c r="Q78" s="53">
        <v>41936</v>
      </c>
      <c r="R78" s="54" t="s">
        <v>227</v>
      </c>
    </row>
    <row r="79" spans="16:18" ht="21.95" customHeight="1">
      <c r="P79" s="48"/>
      <c r="Q79" s="53">
        <v>41936</v>
      </c>
      <c r="R79" s="54" t="s">
        <v>228</v>
      </c>
    </row>
    <row r="80" spans="16:18" ht="21.95" customHeight="1">
      <c r="P80" s="48"/>
      <c r="Q80" s="53">
        <v>41940</v>
      </c>
      <c r="R80" s="54" t="s">
        <v>229</v>
      </c>
    </row>
    <row r="81" spans="16:18" ht="21.95" customHeight="1">
      <c r="P81" s="48"/>
      <c r="Q81" s="53">
        <v>41941</v>
      </c>
      <c r="R81" s="54" t="s">
        <v>230</v>
      </c>
    </row>
    <row r="82" spans="16:18" ht="21.95" customHeight="1">
      <c r="P82" s="48"/>
      <c r="Q82" s="53">
        <v>41943</v>
      </c>
      <c r="R82" s="54" t="s">
        <v>231</v>
      </c>
    </row>
    <row r="83" spans="16:18" ht="21.95" customHeight="1">
      <c r="P83" s="48" t="s">
        <v>14</v>
      </c>
      <c r="Q83" s="53">
        <v>41951</v>
      </c>
      <c r="R83" s="54" t="s">
        <v>232</v>
      </c>
    </row>
    <row r="84" spans="16:18" ht="21.95" customHeight="1">
      <c r="P84" s="48"/>
      <c r="Q84" s="53">
        <v>41952</v>
      </c>
      <c r="R84" s="54" t="s">
        <v>233</v>
      </c>
    </row>
    <row r="85" spans="16:18" ht="21.95" customHeight="1">
      <c r="P85" s="48"/>
      <c r="Q85" s="53">
        <v>41954</v>
      </c>
      <c r="R85" s="54"/>
    </row>
    <row r="86" spans="16:18" ht="21.95" customHeight="1">
      <c r="P86" s="48"/>
      <c r="Q86" s="53">
        <v>41957</v>
      </c>
      <c r="R86" s="54" t="s">
        <v>234</v>
      </c>
    </row>
    <row r="87" spans="16:18" ht="21.95" customHeight="1">
      <c r="P87" s="48"/>
      <c r="Q87" s="53">
        <v>41960</v>
      </c>
      <c r="R87" s="54" t="s">
        <v>235</v>
      </c>
    </row>
    <row r="88" spans="16:18" ht="21.95" customHeight="1">
      <c r="P88" s="48"/>
      <c r="Q88" s="53">
        <v>41968</v>
      </c>
      <c r="R88" s="54" t="s">
        <v>236</v>
      </c>
    </row>
    <row r="89" spans="16:18" ht="21.95" customHeight="1">
      <c r="P89" s="48" t="s">
        <v>3</v>
      </c>
      <c r="Q89" s="53">
        <v>41974</v>
      </c>
      <c r="R89" s="54" t="s">
        <v>237</v>
      </c>
    </row>
    <row r="90" spans="16:18" ht="21.95" customHeight="1">
      <c r="P90" s="48"/>
      <c r="Q90" s="53">
        <v>41976</v>
      </c>
      <c r="R90" s="54" t="s">
        <v>238</v>
      </c>
    </row>
    <row r="91" spans="16:18" ht="21.95" customHeight="1">
      <c r="P91" s="48"/>
      <c r="Q91" s="53">
        <v>41977</v>
      </c>
      <c r="R91" s="54" t="s">
        <v>239</v>
      </c>
    </row>
    <row r="92" spans="16:18" ht="21.95" customHeight="1">
      <c r="P92" s="48"/>
      <c r="Q92" s="53">
        <v>41982</v>
      </c>
      <c r="R92" s="54" t="s">
        <v>240</v>
      </c>
    </row>
    <row r="93" spans="16:18" ht="21.95" customHeight="1">
      <c r="P93" s="48"/>
      <c r="Q93" s="53">
        <v>41985</v>
      </c>
      <c r="R93" s="54"/>
    </row>
    <row r="94" spans="16:18" ht="21.95" customHeight="1">
      <c r="P94" s="48"/>
      <c r="Q94" s="53">
        <v>41998</v>
      </c>
      <c r="R94" s="54" t="s">
        <v>241</v>
      </c>
    </row>
    <row r="95" spans="16:18" ht="21.95" customHeight="1">
      <c r="P95" s="48"/>
      <c r="Q95" s="53">
        <v>42002</v>
      </c>
      <c r="R95" s="54" t="s">
        <v>230</v>
      </c>
    </row>
    <row r="96" spans="16:18" ht="21.95" customHeight="1">
      <c r="P96" s="47"/>
      <c r="Q96" s="55">
        <v>41640</v>
      </c>
      <c r="R96" s="52"/>
    </row>
    <row r="97" spans="16:18" ht="21.95" customHeight="1">
      <c r="P97" s="48"/>
      <c r="Q97" s="56" t="s">
        <v>242</v>
      </c>
      <c r="R97" s="54" t="s">
        <v>243</v>
      </c>
    </row>
    <row r="98" spans="16:18" ht="21.95" customHeight="1">
      <c r="P98" s="48"/>
      <c r="Q98" s="56" t="s">
        <v>244</v>
      </c>
      <c r="R98" s="54" t="s">
        <v>245</v>
      </c>
    </row>
    <row r="99" spans="16:18" ht="21.95" customHeight="1">
      <c r="P99" s="48"/>
      <c r="Q99" s="56" t="s">
        <v>246</v>
      </c>
      <c r="R99" s="54" t="s">
        <v>247</v>
      </c>
    </row>
    <row r="100" spans="16:18" ht="21.95" customHeight="1">
      <c r="P100" s="48"/>
      <c r="Q100" s="56" t="s">
        <v>248</v>
      </c>
      <c r="R100" s="54" t="s">
        <v>145</v>
      </c>
    </row>
    <row r="101" spans="16:18" ht="21.95" customHeight="1">
      <c r="P101" s="48"/>
      <c r="Q101" s="56" t="s">
        <v>249</v>
      </c>
      <c r="R101" s="54" t="s">
        <v>250</v>
      </c>
    </row>
    <row r="102" spans="16:18" ht="21.95" customHeight="1">
      <c r="P102" s="48"/>
      <c r="Q102" s="56" t="s">
        <v>251</v>
      </c>
      <c r="R102" s="54" t="s">
        <v>252</v>
      </c>
    </row>
    <row r="103" spans="16:18" ht="21.95" customHeight="1">
      <c r="P103" s="48"/>
      <c r="Q103" s="56" t="s">
        <v>253</v>
      </c>
      <c r="R103" s="54" t="s">
        <v>254</v>
      </c>
    </row>
    <row r="104" spans="16:18" ht="21.95" customHeight="1">
      <c r="P104" s="48"/>
      <c r="Q104" s="56" t="s">
        <v>255</v>
      </c>
      <c r="R104" s="54" t="s">
        <v>256</v>
      </c>
    </row>
    <row r="105" spans="16:18" ht="21.95" customHeight="1">
      <c r="P105" s="48"/>
      <c r="Q105" s="56" t="s">
        <v>257</v>
      </c>
      <c r="R105" s="54" t="s">
        <v>258</v>
      </c>
    </row>
    <row r="106" spans="16:18" ht="21.95" customHeight="1">
      <c r="P106" s="48"/>
      <c r="Q106" s="56" t="s">
        <v>259</v>
      </c>
      <c r="R106" s="54" t="s">
        <v>260</v>
      </c>
    </row>
    <row r="107" spans="16:18" ht="21.95" customHeight="1">
      <c r="P107" s="48"/>
      <c r="Q107" s="56" t="s">
        <v>261</v>
      </c>
      <c r="R107" s="54" t="s">
        <v>262</v>
      </c>
    </row>
    <row r="108" spans="16:18" ht="21.95" customHeight="1">
      <c r="P108" s="48"/>
      <c r="Q108" s="56" t="s">
        <v>263</v>
      </c>
      <c r="R108" s="54" t="s">
        <v>264</v>
      </c>
    </row>
    <row r="109" spans="16:18" ht="21.95" customHeight="1">
      <c r="P109" s="48"/>
      <c r="Q109" s="56" t="s">
        <v>265</v>
      </c>
      <c r="R109" s="54" t="s">
        <v>266</v>
      </c>
    </row>
    <row r="110" spans="16:18" ht="21.95" customHeight="1">
      <c r="P110" s="48"/>
      <c r="Q110" s="56" t="s">
        <v>267</v>
      </c>
      <c r="R110" s="54" t="s">
        <v>268</v>
      </c>
    </row>
    <row r="111" spans="16:18" ht="21.95" customHeight="1">
      <c r="P111" s="48"/>
      <c r="Q111" s="57"/>
      <c r="R111" s="54"/>
    </row>
    <row r="112" spans="16:18" ht="21.95" customHeight="1">
      <c r="P112" s="48"/>
      <c r="Q112" s="56" t="s">
        <v>269</v>
      </c>
      <c r="R112" s="54"/>
    </row>
    <row r="113" spans="16:18" ht="21.95" customHeight="1">
      <c r="P113" s="48"/>
      <c r="Q113" s="56" t="s">
        <v>270</v>
      </c>
      <c r="R113" s="54" t="s">
        <v>271</v>
      </c>
    </row>
    <row r="114" spans="16:18" ht="21.95" customHeight="1">
      <c r="P114" s="48"/>
      <c r="Q114" s="56" t="s">
        <v>272</v>
      </c>
      <c r="R114" s="54" t="s">
        <v>273</v>
      </c>
    </row>
    <row r="115" spans="16:18" ht="21.95" customHeight="1">
      <c r="P115" s="48"/>
      <c r="Q115" s="56" t="s">
        <v>274</v>
      </c>
      <c r="R115" s="54"/>
    </row>
    <row r="116" spans="16:18" ht="21.95" customHeight="1">
      <c r="P116" s="48"/>
      <c r="Q116" s="56" t="s">
        <v>275</v>
      </c>
      <c r="R116" s="54" t="s">
        <v>276</v>
      </c>
    </row>
    <row r="117" spans="16:18" ht="21.95" customHeight="1">
      <c r="P117" s="48"/>
      <c r="Q117" s="56" t="s">
        <v>277</v>
      </c>
      <c r="R117" s="54" t="s">
        <v>278</v>
      </c>
    </row>
    <row r="118" spans="16:18" ht="21.95" customHeight="1">
      <c r="P118" s="48"/>
      <c r="Q118" s="56" t="s">
        <v>279</v>
      </c>
      <c r="R118" s="54" t="s">
        <v>280</v>
      </c>
    </row>
    <row r="119" spans="16:18" ht="21.95" customHeight="1">
      <c r="P119" s="48"/>
      <c r="Q119" s="56" t="s">
        <v>281</v>
      </c>
      <c r="R119" s="54" t="s">
        <v>282</v>
      </c>
    </row>
    <row r="120" spans="16:18" ht="21.95" customHeight="1">
      <c r="P120" s="48"/>
      <c r="Q120" s="56" t="s">
        <v>283</v>
      </c>
      <c r="R120" s="54" t="s">
        <v>284</v>
      </c>
    </row>
    <row r="121" spans="16:18" ht="21.95" customHeight="1">
      <c r="P121" s="48"/>
      <c r="Q121" s="56" t="s">
        <v>285</v>
      </c>
      <c r="R121" s="54" t="s">
        <v>286</v>
      </c>
    </row>
    <row r="122" spans="16:18" ht="21.95" customHeight="1">
      <c r="P122" s="48"/>
      <c r="Q122" s="56" t="s">
        <v>287</v>
      </c>
      <c r="R122" s="54" t="s">
        <v>288</v>
      </c>
    </row>
  </sheetData>
  <mergeCells count="11">
    <mergeCell ref="A37:O39"/>
    <mergeCell ref="C9:N9"/>
    <mergeCell ref="C11:E11"/>
    <mergeCell ref="K11:N11"/>
    <mergeCell ref="A6:A7"/>
    <mergeCell ref="A8:A11"/>
    <mergeCell ref="A1:N1"/>
    <mergeCell ref="C2:E2"/>
    <mergeCell ref="F2:H2"/>
    <mergeCell ref="I2:K2"/>
    <mergeCell ref="L2:N2"/>
  </mergeCells>
  <phoneticPr fontId="33" type="noConversion"/>
  <pageMargins left="0.69930555555555596" right="0.69930555555555596" top="0.75" bottom="0.75" header="0.3" footer="0.3"/>
  <pageSetup paperSize="9" scale="9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A47"/>
  <sheetViews>
    <sheetView topLeftCell="A10" workbookViewId="0">
      <selection activeCell="A45" sqref="A45:O47"/>
    </sheetView>
  </sheetViews>
  <sheetFormatPr defaultRowHeight="13.5"/>
  <sheetData>
    <row r="1" spans="1:27" ht="16.5">
      <c r="A1" s="227" t="s">
        <v>339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  <c r="AA1" s="227"/>
    </row>
    <row r="2" spans="1:27" ht="16.5">
      <c r="A2" s="228" t="s">
        <v>340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114"/>
      <c r="M2" s="114"/>
      <c r="N2" s="131"/>
      <c r="O2" s="131"/>
      <c r="P2" s="131"/>
      <c r="Q2" s="131"/>
      <c r="R2" s="131"/>
      <c r="S2" s="131"/>
      <c r="T2" s="131"/>
      <c r="U2" s="131"/>
      <c r="V2" s="131"/>
      <c r="W2" s="139"/>
      <c r="X2" s="139"/>
      <c r="Y2" s="139"/>
      <c r="Z2" s="139"/>
      <c r="AA2" s="111"/>
    </row>
    <row r="3" spans="1:27" ht="16.5">
      <c r="A3" s="242" t="s">
        <v>341</v>
      </c>
      <c r="B3" s="229" t="s">
        <v>342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110"/>
      <c r="X3" s="110"/>
      <c r="Y3" s="110"/>
      <c r="Z3" s="110"/>
      <c r="AA3" s="110"/>
    </row>
    <row r="4" spans="1:27" ht="16.5">
      <c r="A4" s="242"/>
      <c r="B4" s="229" t="s">
        <v>343</v>
      </c>
      <c r="C4" s="229"/>
      <c r="D4" s="229"/>
      <c r="E4" s="229" t="s">
        <v>344</v>
      </c>
      <c r="F4" s="229"/>
      <c r="G4" s="229"/>
      <c r="H4" s="229" t="s">
        <v>27</v>
      </c>
      <c r="I4" s="229"/>
      <c r="J4" s="229"/>
      <c r="K4" s="229" t="s">
        <v>30</v>
      </c>
      <c r="L4" s="229"/>
      <c r="M4" s="229"/>
      <c r="N4" s="229" t="s">
        <v>345</v>
      </c>
      <c r="O4" s="229"/>
      <c r="P4" s="229"/>
      <c r="Q4" s="229" t="s">
        <v>346</v>
      </c>
      <c r="R4" s="229"/>
      <c r="S4" s="229"/>
      <c r="T4" s="229" t="s">
        <v>347</v>
      </c>
      <c r="U4" s="229"/>
      <c r="V4" s="229"/>
      <c r="W4" s="110"/>
      <c r="X4" s="110"/>
      <c r="Y4" s="110"/>
      <c r="Z4" s="110"/>
      <c r="AA4" s="110"/>
    </row>
    <row r="5" spans="1:27" ht="16.5">
      <c r="A5" s="115"/>
      <c r="B5" s="116" t="s">
        <v>348</v>
      </c>
      <c r="C5" s="116" t="s">
        <v>349</v>
      </c>
      <c r="D5" s="116" t="s">
        <v>350</v>
      </c>
      <c r="E5" s="116" t="s">
        <v>348</v>
      </c>
      <c r="F5" s="116" t="s">
        <v>349</v>
      </c>
      <c r="G5" s="116" t="s">
        <v>350</v>
      </c>
      <c r="H5" s="116" t="s">
        <v>348</v>
      </c>
      <c r="I5" s="116" t="s">
        <v>349</v>
      </c>
      <c r="J5" s="116" t="s">
        <v>350</v>
      </c>
      <c r="K5" s="116" t="s">
        <v>348</v>
      </c>
      <c r="L5" s="116" t="s">
        <v>349</v>
      </c>
      <c r="M5" s="116" t="s">
        <v>350</v>
      </c>
      <c r="N5" s="116" t="s">
        <v>348</v>
      </c>
      <c r="O5" s="116" t="s">
        <v>349</v>
      </c>
      <c r="P5" s="116" t="s">
        <v>350</v>
      </c>
      <c r="Q5" s="116" t="s">
        <v>348</v>
      </c>
      <c r="R5" s="116" t="s">
        <v>349</v>
      </c>
      <c r="S5" s="116" t="s">
        <v>350</v>
      </c>
      <c r="T5" s="116" t="s">
        <v>348</v>
      </c>
      <c r="U5" s="116" t="s">
        <v>349</v>
      </c>
      <c r="V5" s="116" t="s">
        <v>350</v>
      </c>
      <c r="W5" s="110"/>
      <c r="X5" s="110"/>
      <c r="Y5" s="110"/>
      <c r="Z5" s="110"/>
      <c r="AA5" s="110"/>
    </row>
    <row r="6" spans="1:27" ht="16.5">
      <c r="A6" s="115"/>
      <c r="B6" s="117"/>
      <c r="C6" s="117"/>
      <c r="D6" s="117"/>
      <c r="E6" s="118"/>
      <c r="F6" s="118"/>
      <c r="G6" s="118"/>
      <c r="H6" s="119"/>
      <c r="I6" s="119"/>
      <c r="J6" s="119"/>
      <c r="K6" s="132"/>
      <c r="L6" s="132"/>
      <c r="M6" s="132"/>
      <c r="N6" s="133"/>
      <c r="O6" s="133"/>
      <c r="P6" s="133"/>
      <c r="Q6" s="133"/>
      <c r="R6" s="133"/>
      <c r="S6" s="133"/>
      <c r="T6" s="133"/>
      <c r="U6" s="133"/>
      <c r="V6" s="133"/>
      <c r="W6" s="110"/>
      <c r="X6" s="110"/>
      <c r="Y6" s="110"/>
      <c r="Z6" s="110"/>
      <c r="AA6" s="110"/>
    </row>
    <row r="7" spans="1:27" ht="16.5">
      <c r="A7" s="120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10"/>
      <c r="X7" s="110"/>
      <c r="Y7" s="110"/>
      <c r="Z7" s="110"/>
      <c r="AA7" s="110"/>
    </row>
    <row r="8" spans="1:27" ht="16.5">
      <c r="A8" s="243" t="s">
        <v>85</v>
      </c>
      <c r="B8" s="224" t="s">
        <v>351</v>
      </c>
      <c r="C8" s="225"/>
      <c r="D8" s="226"/>
      <c r="E8" s="224" t="s">
        <v>352</v>
      </c>
      <c r="F8" s="225"/>
      <c r="G8" s="226"/>
      <c r="H8" s="224" t="s">
        <v>353</v>
      </c>
      <c r="I8" s="225"/>
      <c r="J8" s="226"/>
      <c r="K8" s="224" t="s">
        <v>354</v>
      </c>
      <c r="L8" s="225"/>
      <c r="M8" s="226"/>
      <c r="N8" s="224" t="s">
        <v>355</v>
      </c>
      <c r="O8" s="225"/>
      <c r="P8" s="226"/>
      <c r="Q8" s="224" t="s">
        <v>356</v>
      </c>
      <c r="R8" s="225"/>
      <c r="S8" s="226"/>
      <c r="T8" s="224" t="s">
        <v>357</v>
      </c>
      <c r="U8" s="225"/>
      <c r="V8" s="226"/>
      <c r="W8" s="110"/>
      <c r="X8" s="110"/>
      <c r="Y8" s="110"/>
      <c r="Z8" s="110"/>
      <c r="AA8" s="110"/>
    </row>
    <row r="9" spans="1:27" ht="16.5">
      <c r="A9" s="244"/>
      <c r="B9" s="121" t="s">
        <v>348</v>
      </c>
      <c r="C9" s="121" t="s">
        <v>349</v>
      </c>
      <c r="D9" s="121" t="s">
        <v>350</v>
      </c>
      <c r="E9" s="121" t="s">
        <v>348</v>
      </c>
      <c r="F9" s="121" t="s">
        <v>349</v>
      </c>
      <c r="G9" s="121" t="s">
        <v>350</v>
      </c>
      <c r="H9" s="121" t="s">
        <v>348</v>
      </c>
      <c r="I9" s="121" t="s">
        <v>349</v>
      </c>
      <c r="J9" s="121" t="s">
        <v>350</v>
      </c>
      <c r="K9" s="121" t="s">
        <v>348</v>
      </c>
      <c r="L9" s="121" t="s">
        <v>349</v>
      </c>
      <c r="M9" s="121" t="s">
        <v>350</v>
      </c>
      <c r="N9" s="121" t="s">
        <v>348</v>
      </c>
      <c r="O9" s="121" t="s">
        <v>349</v>
      </c>
      <c r="P9" s="121" t="s">
        <v>350</v>
      </c>
      <c r="Q9" s="121" t="s">
        <v>348</v>
      </c>
      <c r="R9" s="121" t="s">
        <v>349</v>
      </c>
      <c r="S9" s="121" t="s">
        <v>350</v>
      </c>
      <c r="T9" s="121" t="s">
        <v>348</v>
      </c>
      <c r="U9" s="121" t="s">
        <v>349</v>
      </c>
      <c r="V9" s="121" t="s">
        <v>350</v>
      </c>
      <c r="W9" s="110"/>
      <c r="X9" s="110"/>
      <c r="Y9" s="110"/>
      <c r="Z9" s="110"/>
      <c r="AA9" s="110"/>
    </row>
    <row r="10" spans="1:27" ht="16.5">
      <c r="A10" s="121" t="s">
        <v>358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10"/>
      <c r="X10" s="110"/>
      <c r="Y10" s="110"/>
      <c r="Z10" s="110"/>
      <c r="AA10" s="110"/>
    </row>
    <row r="11" spans="1:27" ht="16.5">
      <c r="A11" s="123" t="s">
        <v>344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10"/>
      <c r="X11" s="110"/>
      <c r="Y11" s="110"/>
      <c r="Z11" s="110"/>
      <c r="AA11" s="110"/>
    </row>
    <row r="12" spans="1:27" ht="16.5">
      <c r="A12" s="123" t="s">
        <v>359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10"/>
      <c r="X12" s="110"/>
      <c r="Y12" s="110"/>
      <c r="Z12" s="110"/>
      <c r="AA12" s="110"/>
    </row>
    <row r="13" spans="1:27" ht="16.5">
      <c r="A13" s="123" t="s">
        <v>360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10"/>
      <c r="X13" s="110"/>
      <c r="Y13" s="110"/>
      <c r="Z13" s="110"/>
      <c r="AA13" s="110"/>
    </row>
    <row r="14" spans="1:27" ht="16.5">
      <c r="A14" s="123" t="s">
        <v>361</v>
      </c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10"/>
      <c r="X14" s="110"/>
      <c r="Y14" s="110"/>
      <c r="Z14" s="110"/>
      <c r="AA14" s="110"/>
    </row>
    <row r="15" spans="1:27" ht="16.5">
      <c r="A15" s="123" t="s">
        <v>362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10"/>
      <c r="X15" s="110"/>
      <c r="Y15" s="110"/>
      <c r="Z15" s="110"/>
      <c r="AA15" s="110"/>
    </row>
    <row r="17" spans="1:27" ht="14.25" thickBot="1"/>
    <row r="18" spans="1:27" ht="17.25" thickBot="1">
      <c r="A18" s="240" t="s">
        <v>363</v>
      </c>
      <c r="B18" s="241"/>
      <c r="C18" s="241"/>
      <c r="D18" s="241"/>
      <c r="E18" s="241"/>
      <c r="F18" s="241"/>
      <c r="G18" s="241"/>
      <c r="H18" s="241"/>
      <c r="I18" s="125"/>
      <c r="J18" s="125"/>
      <c r="K18" s="134"/>
      <c r="L18" s="134"/>
      <c r="M18" s="134"/>
      <c r="N18" s="134"/>
      <c r="O18" s="134"/>
      <c r="P18" s="134"/>
      <c r="Q18" s="134"/>
      <c r="R18" s="134"/>
      <c r="S18" s="134"/>
      <c r="T18" s="112"/>
      <c r="U18" s="112"/>
      <c r="V18" s="140"/>
      <c r="W18" s="140"/>
      <c r="X18" s="230" t="s">
        <v>364</v>
      </c>
      <c r="Y18" s="231"/>
      <c r="Z18" s="230" t="s">
        <v>365</v>
      </c>
      <c r="AA18" s="231"/>
    </row>
    <row r="19" spans="1:27" ht="16.5">
      <c r="A19" s="126" t="s">
        <v>366</v>
      </c>
      <c r="B19" s="232" t="s">
        <v>367</v>
      </c>
      <c r="C19" s="233"/>
      <c r="D19" s="233"/>
      <c r="E19" s="233"/>
      <c r="F19" s="233"/>
      <c r="G19" s="233"/>
      <c r="H19" s="234"/>
      <c r="I19" s="127"/>
      <c r="J19" s="127"/>
      <c r="K19" s="126" t="s">
        <v>368</v>
      </c>
      <c r="L19" s="126"/>
      <c r="M19" s="126"/>
      <c r="N19" s="126" t="s">
        <v>369</v>
      </c>
      <c r="O19" s="126"/>
      <c r="P19" s="126"/>
      <c r="Q19" s="126" t="s">
        <v>370</v>
      </c>
      <c r="R19" s="141"/>
      <c r="S19" s="141"/>
      <c r="T19" s="110"/>
      <c r="U19" s="110"/>
      <c r="V19" s="238" t="s">
        <v>371</v>
      </c>
      <c r="W19" s="142" t="s">
        <v>372</v>
      </c>
      <c r="X19" s="142"/>
      <c r="Y19" s="142"/>
      <c r="Z19" s="142"/>
      <c r="AA19" s="142"/>
    </row>
    <row r="20" spans="1:27" ht="16.5">
      <c r="A20" s="245" t="s">
        <v>373</v>
      </c>
      <c r="B20" s="235"/>
      <c r="C20" s="236"/>
      <c r="D20" s="236"/>
      <c r="E20" s="236"/>
      <c r="F20" s="236"/>
      <c r="G20" s="236"/>
      <c r="H20" s="237"/>
      <c r="I20" s="128"/>
      <c r="J20" s="128"/>
      <c r="K20" s="135"/>
      <c r="L20" s="135"/>
      <c r="M20" s="135"/>
      <c r="N20" s="135"/>
      <c r="O20" s="136"/>
      <c r="P20" s="136"/>
      <c r="Q20" s="143"/>
      <c r="R20" s="144"/>
      <c r="S20" s="144"/>
      <c r="T20" s="110"/>
      <c r="U20" s="110"/>
      <c r="V20" s="239"/>
      <c r="W20" s="145" t="s">
        <v>374</v>
      </c>
      <c r="X20" s="145"/>
      <c r="Y20" s="145"/>
      <c r="Z20" s="145"/>
      <c r="AA20" s="145"/>
    </row>
    <row r="21" spans="1:27" ht="24">
      <c r="A21" s="246"/>
      <c r="B21" s="235"/>
      <c r="C21" s="236"/>
      <c r="D21" s="236"/>
      <c r="E21" s="236"/>
      <c r="F21" s="236"/>
      <c r="G21" s="236"/>
      <c r="H21" s="237"/>
      <c r="I21" s="128"/>
      <c r="J21" s="128"/>
      <c r="K21" s="135"/>
      <c r="L21" s="135"/>
      <c r="M21" s="135"/>
      <c r="N21" s="135"/>
      <c r="O21" s="136"/>
      <c r="P21" s="136"/>
      <c r="Q21" s="143"/>
      <c r="R21" s="144"/>
      <c r="S21" s="144"/>
      <c r="T21" s="110"/>
      <c r="U21" s="110"/>
      <c r="V21" s="239"/>
      <c r="W21" s="145" t="s">
        <v>375</v>
      </c>
      <c r="X21" s="145"/>
      <c r="Y21" s="145"/>
      <c r="Z21" s="145"/>
      <c r="AA21" s="145"/>
    </row>
    <row r="22" spans="1:27" ht="24">
      <c r="A22" s="247"/>
      <c r="B22" s="235"/>
      <c r="C22" s="236"/>
      <c r="D22" s="236"/>
      <c r="E22" s="236"/>
      <c r="F22" s="236"/>
      <c r="G22" s="236"/>
      <c r="H22" s="237"/>
      <c r="I22" s="128"/>
      <c r="J22" s="128"/>
      <c r="K22" s="135"/>
      <c r="L22" s="135"/>
      <c r="M22" s="135"/>
      <c r="N22" s="135"/>
      <c r="O22" s="136"/>
      <c r="P22" s="136"/>
      <c r="Q22" s="143"/>
      <c r="R22" s="144"/>
      <c r="S22" s="144"/>
      <c r="T22" s="110"/>
      <c r="U22" s="110"/>
      <c r="V22" s="239"/>
      <c r="W22" s="145" t="s">
        <v>376</v>
      </c>
      <c r="X22" s="145"/>
      <c r="Y22" s="145"/>
      <c r="Z22" s="145"/>
      <c r="AA22" s="145"/>
    </row>
    <row r="23" spans="1:27" ht="24">
      <c r="A23" s="245" t="s">
        <v>377</v>
      </c>
      <c r="B23" s="235"/>
      <c r="C23" s="236"/>
      <c r="D23" s="236"/>
      <c r="E23" s="236"/>
      <c r="F23" s="236"/>
      <c r="G23" s="236"/>
      <c r="H23" s="237"/>
      <c r="I23" s="128"/>
      <c r="J23" s="128"/>
      <c r="K23" s="135"/>
      <c r="L23" s="135"/>
      <c r="M23" s="135"/>
      <c r="N23" s="135"/>
      <c r="O23" s="136"/>
      <c r="P23" s="136"/>
      <c r="Q23" s="143"/>
      <c r="R23" s="144"/>
      <c r="S23" s="144"/>
      <c r="T23" s="110"/>
      <c r="U23" s="110"/>
      <c r="V23" s="239" t="s">
        <v>378</v>
      </c>
      <c r="W23" s="145" t="s">
        <v>379</v>
      </c>
      <c r="X23" s="145"/>
      <c r="Y23" s="145"/>
      <c r="Z23" s="145"/>
      <c r="AA23" s="145"/>
    </row>
    <row r="24" spans="1:27" ht="16.5">
      <c r="A24" s="246"/>
      <c r="B24" s="235"/>
      <c r="C24" s="236"/>
      <c r="D24" s="236"/>
      <c r="E24" s="236"/>
      <c r="F24" s="236"/>
      <c r="G24" s="236"/>
      <c r="H24" s="237"/>
      <c r="I24" s="128"/>
      <c r="J24" s="128"/>
      <c r="K24" s="135"/>
      <c r="L24" s="135"/>
      <c r="M24" s="135"/>
      <c r="N24" s="135"/>
      <c r="O24" s="136"/>
      <c r="P24" s="136"/>
      <c r="Q24" s="143"/>
      <c r="R24" s="144"/>
      <c r="S24" s="144"/>
      <c r="T24" s="110"/>
      <c r="U24" s="110"/>
      <c r="V24" s="239"/>
      <c r="W24" s="145" t="s">
        <v>380</v>
      </c>
      <c r="X24" s="145"/>
      <c r="Y24" s="145"/>
      <c r="Z24" s="145"/>
      <c r="AA24" s="145"/>
    </row>
    <row r="25" spans="1:27" ht="16.5">
      <c r="A25" s="247"/>
      <c r="B25" s="235"/>
      <c r="C25" s="236"/>
      <c r="D25" s="236"/>
      <c r="E25" s="236"/>
      <c r="F25" s="236"/>
      <c r="G25" s="236"/>
      <c r="H25" s="237"/>
      <c r="I25" s="128"/>
      <c r="J25" s="128"/>
      <c r="K25" s="135"/>
      <c r="L25" s="135"/>
      <c r="M25" s="135"/>
      <c r="N25" s="135"/>
      <c r="O25" s="136"/>
      <c r="P25" s="136"/>
      <c r="Q25" s="143"/>
      <c r="R25" s="144"/>
      <c r="S25" s="144"/>
      <c r="T25" s="110"/>
      <c r="U25" s="110"/>
      <c r="V25" s="239"/>
      <c r="W25" s="145" t="s">
        <v>381</v>
      </c>
      <c r="X25" s="145"/>
      <c r="Y25" s="145"/>
      <c r="Z25" s="145"/>
      <c r="AA25" s="145"/>
    </row>
    <row r="26" spans="1:27" ht="24">
      <c r="A26" s="245" t="s">
        <v>382</v>
      </c>
      <c r="B26" s="235"/>
      <c r="C26" s="236"/>
      <c r="D26" s="236"/>
      <c r="E26" s="236"/>
      <c r="F26" s="236"/>
      <c r="G26" s="236"/>
      <c r="H26" s="237"/>
      <c r="I26" s="128"/>
      <c r="J26" s="128"/>
      <c r="K26" s="135"/>
      <c r="L26" s="135"/>
      <c r="M26" s="135"/>
      <c r="N26" s="135"/>
      <c r="O26" s="136"/>
      <c r="P26" s="136"/>
      <c r="Q26" s="143"/>
      <c r="R26" s="144"/>
      <c r="S26" s="144"/>
      <c r="T26" s="110"/>
      <c r="U26" s="110"/>
      <c r="V26" s="239" t="s">
        <v>383</v>
      </c>
      <c r="W26" s="145" t="s">
        <v>384</v>
      </c>
      <c r="X26" s="145"/>
      <c r="Y26" s="145"/>
      <c r="Z26" s="145"/>
      <c r="AA26" s="145"/>
    </row>
    <row r="27" spans="1:27" ht="16.5">
      <c r="A27" s="246"/>
      <c r="B27" s="250"/>
      <c r="C27" s="251"/>
      <c r="D27" s="251"/>
      <c r="E27" s="251"/>
      <c r="F27" s="251"/>
      <c r="G27" s="251"/>
      <c r="H27" s="252"/>
      <c r="I27" s="129"/>
      <c r="J27" s="129"/>
      <c r="K27" s="135"/>
      <c r="L27" s="135"/>
      <c r="M27" s="135"/>
      <c r="N27" s="135"/>
      <c r="O27" s="136"/>
      <c r="P27" s="136"/>
      <c r="Q27" s="143"/>
      <c r="R27" s="144"/>
      <c r="S27" s="144"/>
      <c r="T27" s="110"/>
      <c r="U27" s="110"/>
      <c r="V27" s="239"/>
      <c r="W27" s="145" t="s">
        <v>385</v>
      </c>
      <c r="X27" s="145"/>
      <c r="Y27" s="145"/>
      <c r="Z27" s="145"/>
      <c r="AA27" s="145"/>
    </row>
    <row r="28" spans="1:27" ht="16.5">
      <c r="A28" s="247"/>
      <c r="B28" s="250"/>
      <c r="C28" s="251"/>
      <c r="D28" s="251"/>
      <c r="E28" s="251"/>
      <c r="F28" s="251"/>
      <c r="G28" s="251"/>
      <c r="H28" s="252"/>
      <c r="I28" s="129"/>
      <c r="J28" s="129"/>
      <c r="K28" s="135"/>
      <c r="L28" s="135"/>
      <c r="M28" s="135"/>
      <c r="N28" s="135"/>
      <c r="O28" s="136"/>
      <c r="P28" s="136"/>
      <c r="Q28" s="143"/>
      <c r="R28" s="144"/>
      <c r="S28" s="144"/>
      <c r="T28" s="110"/>
      <c r="U28" s="110"/>
      <c r="V28" s="239" t="s">
        <v>386</v>
      </c>
      <c r="W28" s="145" t="s">
        <v>387</v>
      </c>
      <c r="X28" s="145"/>
      <c r="Y28" s="145"/>
      <c r="Z28" s="145"/>
      <c r="AA28" s="145"/>
    </row>
    <row r="29" spans="1:27" ht="16.5">
      <c r="A29" s="248" t="s">
        <v>78</v>
      </c>
      <c r="B29" s="250"/>
      <c r="C29" s="251"/>
      <c r="D29" s="251"/>
      <c r="E29" s="251"/>
      <c r="F29" s="251"/>
      <c r="G29" s="251"/>
      <c r="H29" s="252"/>
      <c r="I29" s="129"/>
      <c r="J29" s="129"/>
      <c r="K29" s="135"/>
      <c r="L29" s="135"/>
      <c r="M29" s="135"/>
      <c r="N29" s="135"/>
      <c r="O29" s="136"/>
      <c r="P29" s="136"/>
      <c r="Q29" s="143"/>
      <c r="R29" s="144"/>
      <c r="S29" s="144"/>
      <c r="T29" s="110"/>
      <c r="U29" s="110"/>
      <c r="V29" s="239"/>
      <c r="W29" s="145" t="s">
        <v>388</v>
      </c>
      <c r="X29" s="145"/>
      <c r="Y29" s="145"/>
      <c r="Z29" s="145"/>
      <c r="AA29" s="145"/>
    </row>
    <row r="30" spans="1:27" ht="17.25" thickBot="1">
      <c r="A30" s="249"/>
      <c r="B30" s="253"/>
      <c r="C30" s="254"/>
      <c r="D30" s="254"/>
      <c r="E30" s="254"/>
      <c r="F30" s="254"/>
      <c r="G30" s="254"/>
      <c r="H30" s="255"/>
      <c r="I30" s="130"/>
      <c r="J30" s="130"/>
      <c r="K30" s="137"/>
      <c r="L30" s="137"/>
      <c r="M30" s="137"/>
      <c r="N30" s="137"/>
      <c r="O30" s="138"/>
      <c r="P30" s="138"/>
      <c r="Q30" s="146"/>
      <c r="R30" s="144"/>
      <c r="S30" s="144"/>
      <c r="T30" s="110"/>
      <c r="U30" s="110"/>
      <c r="V30" s="239"/>
      <c r="W30" s="145" t="s">
        <v>389</v>
      </c>
      <c r="X30" s="145"/>
      <c r="Y30" s="145"/>
      <c r="Z30" s="145"/>
      <c r="AA30" s="145"/>
    </row>
    <row r="31" spans="1:27" ht="24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239" t="s">
        <v>390</v>
      </c>
      <c r="W31" s="145" t="s">
        <v>391</v>
      </c>
      <c r="X31" s="145"/>
      <c r="Y31" s="145"/>
      <c r="Z31" s="145"/>
      <c r="AA31" s="145"/>
    </row>
    <row r="32" spans="1:27" ht="24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239"/>
      <c r="W32" s="145" t="s">
        <v>392</v>
      </c>
      <c r="X32" s="145"/>
      <c r="Y32" s="145"/>
      <c r="Z32" s="145"/>
      <c r="AA32" s="145"/>
    </row>
    <row r="33" spans="1:27" ht="24">
      <c r="V33" s="239"/>
      <c r="W33" s="145" t="s">
        <v>393</v>
      </c>
      <c r="X33" s="145"/>
      <c r="Y33" s="145"/>
      <c r="Z33" s="145"/>
      <c r="AA33" s="145"/>
    </row>
    <row r="34" spans="1:27">
      <c r="V34" s="147"/>
      <c r="W34" s="111"/>
      <c r="X34" s="147"/>
      <c r="Y34" s="147"/>
      <c r="Z34" s="147"/>
      <c r="AA34" s="147"/>
    </row>
    <row r="35" spans="1:27">
      <c r="V35" s="147"/>
      <c r="W35" s="111"/>
      <c r="X35" s="147"/>
      <c r="Y35" s="147"/>
      <c r="Z35" s="147"/>
      <c r="AA35" s="147"/>
    </row>
    <row r="36" spans="1:27">
      <c r="V36" s="111"/>
      <c r="W36" s="147"/>
      <c r="X36" s="147"/>
      <c r="Y36" s="147"/>
      <c r="Z36" s="147"/>
      <c r="AA36" s="147"/>
    </row>
    <row r="37" spans="1:27">
      <c r="V37" s="147"/>
      <c r="W37" s="111"/>
      <c r="X37" s="147"/>
      <c r="Y37" s="147"/>
      <c r="Z37" s="147"/>
      <c r="AA37" s="147"/>
    </row>
    <row r="38" spans="1:27">
      <c r="V38" s="111"/>
      <c r="W38" s="147"/>
      <c r="X38" s="147"/>
      <c r="Y38" s="147"/>
      <c r="Z38" s="147"/>
      <c r="AA38" s="147"/>
    </row>
    <row r="39" spans="1:27">
      <c r="V39" s="147"/>
      <c r="W39" s="111"/>
      <c r="X39" s="147"/>
      <c r="Y39" s="147"/>
      <c r="Z39" s="147"/>
      <c r="AA39" s="147"/>
    </row>
    <row r="40" spans="1:27">
      <c r="V40" s="147"/>
      <c r="W40" s="111"/>
      <c r="X40" s="147"/>
      <c r="Y40" s="147"/>
      <c r="Z40" s="147"/>
      <c r="AA40" s="147"/>
    </row>
    <row r="41" spans="1:27">
      <c r="V41" s="147"/>
      <c r="W41" s="111"/>
      <c r="X41" s="147"/>
      <c r="Y41" s="147"/>
      <c r="Z41" s="147"/>
      <c r="AA41" s="147"/>
    </row>
    <row r="42" spans="1:27">
      <c r="V42" s="111"/>
      <c r="W42" s="111"/>
      <c r="X42" s="111"/>
      <c r="Y42" s="111"/>
      <c r="Z42" s="111"/>
      <c r="AA42" s="111"/>
    </row>
    <row r="45" spans="1:27">
      <c r="A45" s="148" t="s">
        <v>338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9"/>
      <c r="V45" s="110"/>
      <c r="W45" s="113">
        <v>4</v>
      </c>
      <c r="X45" s="110"/>
      <c r="Y45" s="110"/>
      <c r="Z45" s="110"/>
      <c r="AA45" s="110"/>
    </row>
    <row r="46" spans="1:27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9"/>
    </row>
    <row r="47" spans="1:27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9"/>
    </row>
  </sheetData>
  <mergeCells count="44">
    <mergeCell ref="B23:H23"/>
    <mergeCell ref="B27:H27"/>
    <mergeCell ref="B28:H28"/>
    <mergeCell ref="B29:H29"/>
    <mergeCell ref="B30:H30"/>
    <mergeCell ref="B24:H24"/>
    <mergeCell ref="B25:H25"/>
    <mergeCell ref="B26:H26"/>
    <mergeCell ref="X18:Y18"/>
    <mergeCell ref="Z18:AA18"/>
    <mergeCell ref="B19:H19"/>
    <mergeCell ref="B20:H20"/>
    <mergeCell ref="V19:V22"/>
    <mergeCell ref="B21:H21"/>
    <mergeCell ref="B22:H22"/>
    <mergeCell ref="A18:H18"/>
    <mergeCell ref="A20:A22"/>
    <mergeCell ref="A1:AA1"/>
    <mergeCell ref="A2:K2"/>
    <mergeCell ref="B3:V3"/>
    <mergeCell ref="B4:D4"/>
    <mergeCell ref="E4:G4"/>
    <mergeCell ref="H4:J4"/>
    <mergeCell ref="K4:M4"/>
    <mergeCell ref="N4:P4"/>
    <mergeCell ref="Q4:S4"/>
    <mergeCell ref="T4:V4"/>
    <mergeCell ref="A3:A4"/>
    <mergeCell ref="K8:M8"/>
    <mergeCell ref="N8:P8"/>
    <mergeCell ref="Q8:S8"/>
    <mergeCell ref="T8:V8"/>
    <mergeCell ref="A45:O47"/>
    <mergeCell ref="B8:D8"/>
    <mergeCell ref="E8:G8"/>
    <mergeCell ref="H8:J8"/>
    <mergeCell ref="A8:A9"/>
    <mergeCell ref="A23:A25"/>
    <mergeCell ref="A26:A28"/>
    <mergeCell ref="A29:A30"/>
    <mergeCell ref="V23:V25"/>
    <mergeCell ref="V26:V27"/>
    <mergeCell ref="V28:V30"/>
    <mergeCell ref="V31:V33"/>
  </mergeCells>
  <phoneticPr fontId="4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"/>
  <sheetViews>
    <sheetView showGridLines="0" topLeftCell="A4" workbookViewId="0">
      <selection activeCell="J27" sqref="J27"/>
    </sheetView>
  </sheetViews>
  <sheetFormatPr defaultColWidth="9" defaultRowHeight="13.5"/>
  <sheetData/>
  <phoneticPr fontId="33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Y42"/>
  <sheetViews>
    <sheetView topLeftCell="J1" workbookViewId="0">
      <selection activeCell="X1" sqref="X1:X1048576"/>
    </sheetView>
  </sheetViews>
  <sheetFormatPr defaultColWidth="9" defaultRowHeight="13.5"/>
  <cols>
    <col min="2" max="2" width="12.25" customWidth="1"/>
    <col min="3" max="3" width="12.5" customWidth="1"/>
    <col min="4" max="4" width="12.75" customWidth="1"/>
    <col min="5" max="5" width="11" customWidth="1"/>
    <col min="6" max="6" width="13.375" customWidth="1"/>
    <col min="7" max="7" width="12.75" customWidth="1"/>
    <col min="8" max="8" width="12.875" customWidth="1"/>
    <col min="9" max="10" width="9.375"/>
    <col min="11" max="11" width="8.5" customWidth="1"/>
    <col min="12" max="12" width="9.5" customWidth="1"/>
    <col min="13" max="13" width="9.25" customWidth="1"/>
    <col min="14" max="14" width="9.375"/>
    <col min="16" max="16" width="9.375"/>
    <col min="23" max="23" width="9.375"/>
  </cols>
  <sheetData>
    <row r="1" spans="1:25">
      <c r="A1" s="12"/>
      <c r="B1" s="13" t="s">
        <v>289</v>
      </c>
      <c r="C1" s="256" t="s">
        <v>290</v>
      </c>
      <c r="D1" s="257"/>
      <c r="E1" s="257"/>
      <c r="F1" s="257"/>
      <c r="G1" s="258"/>
      <c r="H1" s="14" t="s">
        <v>291</v>
      </c>
      <c r="I1" s="259" t="s">
        <v>292</v>
      </c>
      <c r="J1" s="260"/>
      <c r="K1" s="201" t="s">
        <v>46</v>
      </c>
      <c r="L1" s="201"/>
      <c r="M1" s="201"/>
      <c r="N1" s="201" t="s">
        <v>1</v>
      </c>
      <c r="O1" s="201"/>
      <c r="P1" s="201"/>
      <c r="Q1" s="201"/>
      <c r="R1" s="201"/>
      <c r="S1" s="201"/>
      <c r="T1" s="201"/>
      <c r="U1" s="201"/>
      <c r="V1" s="27"/>
      <c r="W1" s="27"/>
      <c r="X1" s="27"/>
      <c r="Y1" s="11"/>
    </row>
    <row r="2" spans="1:25" ht="40.5">
      <c r="A2" s="15" t="s">
        <v>2</v>
      </c>
      <c r="B2" s="15" t="s">
        <v>293</v>
      </c>
      <c r="C2" s="16" t="s">
        <v>294</v>
      </c>
      <c r="D2" s="16" t="s">
        <v>295</v>
      </c>
      <c r="E2" s="16" t="s">
        <v>296</v>
      </c>
      <c r="F2" s="16" t="s">
        <v>297</v>
      </c>
      <c r="G2" s="16" t="s">
        <v>79</v>
      </c>
      <c r="H2" s="17" t="s">
        <v>298</v>
      </c>
      <c r="I2" s="3" t="s">
        <v>299</v>
      </c>
      <c r="J2" s="3" t="s">
        <v>79</v>
      </c>
      <c r="K2" s="3" t="s">
        <v>300</v>
      </c>
      <c r="L2" s="3" t="s">
        <v>301</v>
      </c>
      <c r="M2" s="3" t="s">
        <v>79</v>
      </c>
      <c r="N2" s="3" t="s">
        <v>302</v>
      </c>
      <c r="O2" s="3" t="s">
        <v>303</v>
      </c>
      <c r="P2" s="3" t="s">
        <v>304</v>
      </c>
      <c r="Q2" s="3" t="s">
        <v>303</v>
      </c>
      <c r="R2" s="3" t="s">
        <v>305</v>
      </c>
      <c r="S2" s="3" t="s">
        <v>303</v>
      </c>
      <c r="T2" s="3" t="s">
        <v>306</v>
      </c>
      <c r="U2" s="3" t="s">
        <v>303</v>
      </c>
      <c r="V2" s="3" t="s">
        <v>79</v>
      </c>
      <c r="W2" s="3" t="s">
        <v>307</v>
      </c>
      <c r="X2" s="3" t="s">
        <v>308</v>
      </c>
      <c r="Y2" s="10"/>
    </row>
    <row r="3" spans="1:25">
      <c r="A3" s="13" t="s">
        <v>309</v>
      </c>
      <c r="B3" s="6">
        <f>'2017年度运营目标计划'!H4</f>
        <v>80000</v>
      </c>
      <c r="C3" s="18">
        <f>B3*0.3</f>
        <v>24000</v>
      </c>
      <c r="D3" s="19">
        <f>B3*30%</f>
        <v>24000</v>
      </c>
      <c r="E3" s="19">
        <f>B3*0.1</f>
        <v>8000</v>
      </c>
      <c r="F3" s="19">
        <f>B3*0.15</f>
        <v>12000</v>
      </c>
      <c r="G3" s="19">
        <f>SUM(C3:F3)</f>
        <v>68000</v>
      </c>
      <c r="H3" s="20">
        <f>B3*0.2</f>
        <v>16000</v>
      </c>
      <c r="I3" s="25">
        <f>B3*0.05</f>
        <v>4000</v>
      </c>
      <c r="J3" s="25">
        <f t="shared" ref="J3:J8" si="0">SUM(I3:I3)</f>
        <v>4000</v>
      </c>
      <c r="K3" s="5">
        <v>6</v>
      </c>
      <c r="L3" s="26">
        <f>B3/108</f>
        <v>740.74074074074076</v>
      </c>
      <c r="M3" s="26">
        <f>L3*K3</f>
        <v>4444.4444444444443</v>
      </c>
      <c r="N3" s="5">
        <f>H3*0.125</f>
        <v>2000</v>
      </c>
      <c r="O3" s="5">
        <v>3</v>
      </c>
      <c r="P3" s="27">
        <f>H3*0.075</f>
        <v>1200</v>
      </c>
      <c r="Q3" s="5">
        <v>3</v>
      </c>
      <c r="R3" s="262" t="s">
        <v>159</v>
      </c>
      <c r="S3" s="5">
        <v>2</v>
      </c>
      <c r="T3" s="30">
        <f>H3*0.025</f>
        <v>400</v>
      </c>
      <c r="U3" s="5">
        <v>1</v>
      </c>
      <c r="V3" s="5">
        <f>O3+Q3+S3+U3</f>
        <v>9</v>
      </c>
      <c r="W3" s="27">
        <f>N3+P3+T3</f>
        <v>3600</v>
      </c>
      <c r="X3" s="27">
        <f>V3*500</f>
        <v>4500</v>
      </c>
      <c r="Y3" s="11"/>
    </row>
    <row r="4" spans="1:25">
      <c r="A4" s="13" t="s">
        <v>310</v>
      </c>
      <c r="B4" s="6">
        <f>'2017年度运营目标计划'!I4</f>
        <v>100000</v>
      </c>
      <c r="C4" s="18">
        <f t="shared" ref="C4:C14" si="1">B4*0.3</f>
        <v>30000</v>
      </c>
      <c r="D4" s="19">
        <f>B4*30%</f>
        <v>30000</v>
      </c>
      <c r="E4" s="19">
        <f t="shared" ref="E4:E14" si="2">B4*0.1</f>
        <v>10000</v>
      </c>
      <c r="F4" s="19">
        <f t="shared" ref="F4:F14" si="3">B4*0.15</f>
        <v>15000</v>
      </c>
      <c r="G4" s="19">
        <f t="shared" ref="G4:G14" si="4">SUM(C4:F4)</f>
        <v>85000</v>
      </c>
      <c r="H4" s="20">
        <f t="shared" ref="H4:H14" si="5">B4*0.2</f>
        <v>20000</v>
      </c>
      <c r="I4" s="25">
        <f t="shared" ref="I4:I14" si="6">B4*0.05</f>
        <v>5000</v>
      </c>
      <c r="J4" s="25">
        <f t="shared" si="0"/>
        <v>5000</v>
      </c>
      <c r="K4" s="5">
        <v>6</v>
      </c>
      <c r="L4" s="26">
        <f t="shared" ref="L4:L14" si="7">B4/108</f>
        <v>925.92592592592598</v>
      </c>
      <c r="M4" s="26">
        <f t="shared" ref="M4:M14" si="8">L4*K4</f>
        <v>5555.5555555555557</v>
      </c>
      <c r="N4" s="5">
        <f>H4*0.125</f>
        <v>2500</v>
      </c>
      <c r="O4" s="5">
        <v>3</v>
      </c>
      <c r="P4" s="27">
        <f t="shared" ref="P4:P14" si="9">H4*0.075</f>
        <v>1500</v>
      </c>
      <c r="Q4" s="5">
        <v>3</v>
      </c>
      <c r="R4" s="263"/>
      <c r="S4" s="5">
        <v>2</v>
      </c>
      <c r="T4" s="30">
        <f t="shared" ref="T4:T14" si="10">H4*0.025</f>
        <v>500</v>
      </c>
      <c r="U4" s="5">
        <v>1</v>
      </c>
      <c r="V4" s="5">
        <f t="shared" ref="V4:V14" si="11">O4+Q4+S4+U4</f>
        <v>9</v>
      </c>
      <c r="W4" s="27">
        <f t="shared" ref="W4:W14" si="12">N4+P4+T4</f>
        <v>4500</v>
      </c>
      <c r="X4" s="27">
        <f t="shared" ref="X4:X14" si="13">V4*500</f>
        <v>4500</v>
      </c>
      <c r="Y4" s="11"/>
    </row>
    <row r="5" spans="1:25">
      <c r="A5" s="13" t="s">
        <v>311</v>
      </c>
      <c r="B5" s="6">
        <f>'2017年度运营目标计划'!J4</f>
        <v>300000</v>
      </c>
      <c r="C5" s="18">
        <f t="shared" si="1"/>
        <v>90000</v>
      </c>
      <c r="D5" s="19">
        <f>B5*30%</f>
        <v>90000</v>
      </c>
      <c r="E5" s="19">
        <f t="shared" si="2"/>
        <v>30000</v>
      </c>
      <c r="F5" s="19">
        <f t="shared" si="3"/>
        <v>45000</v>
      </c>
      <c r="G5" s="19">
        <f t="shared" si="4"/>
        <v>255000</v>
      </c>
      <c r="H5" s="20">
        <f t="shared" si="5"/>
        <v>60000</v>
      </c>
      <c r="I5" s="25">
        <f t="shared" si="6"/>
        <v>15000</v>
      </c>
      <c r="J5" s="25">
        <f t="shared" si="0"/>
        <v>15000</v>
      </c>
      <c r="K5" s="5">
        <v>6</v>
      </c>
      <c r="L5" s="26">
        <f t="shared" si="7"/>
        <v>2777.7777777777778</v>
      </c>
      <c r="M5" s="26">
        <f t="shared" si="8"/>
        <v>16666.666666666668</v>
      </c>
      <c r="N5" s="5">
        <f t="shared" ref="N5:N14" si="14">H5*0.125</f>
        <v>7500</v>
      </c>
      <c r="O5" s="5">
        <v>3</v>
      </c>
      <c r="P5" s="27">
        <f t="shared" si="9"/>
        <v>4500</v>
      </c>
      <c r="Q5" s="5">
        <v>3</v>
      </c>
      <c r="R5" s="263"/>
      <c r="S5" s="5">
        <v>2</v>
      </c>
      <c r="T5" s="30">
        <f t="shared" si="10"/>
        <v>1500</v>
      </c>
      <c r="U5" s="5">
        <v>2</v>
      </c>
      <c r="V5" s="5">
        <f t="shared" si="11"/>
        <v>10</v>
      </c>
      <c r="W5" s="27">
        <f t="shared" si="12"/>
        <v>13500</v>
      </c>
      <c r="X5" s="27">
        <f t="shared" si="13"/>
        <v>5000</v>
      </c>
      <c r="Y5" s="11"/>
    </row>
    <row r="6" spans="1:25">
      <c r="A6" s="13" t="s">
        <v>312</v>
      </c>
      <c r="B6" s="6">
        <f>'2017年度运营目标计划'!J4</f>
        <v>300000</v>
      </c>
      <c r="C6" s="18">
        <f t="shared" si="1"/>
        <v>90000</v>
      </c>
      <c r="D6" s="19">
        <f t="shared" ref="D6:D14" si="15">B6*20%</f>
        <v>60000</v>
      </c>
      <c r="E6" s="19">
        <f t="shared" si="2"/>
        <v>30000</v>
      </c>
      <c r="F6" s="19">
        <f t="shared" si="3"/>
        <v>45000</v>
      </c>
      <c r="G6" s="19">
        <f t="shared" si="4"/>
        <v>225000</v>
      </c>
      <c r="H6" s="20">
        <f t="shared" si="5"/>
        <v>60000</v>
      </c>
      <c r="I6" s="25">
        <f t="shared" si="6"/>
        <v>15000</v>
      </c>
      <c r="J6" s="25">
        <f t="shared" si="0"/>
        <v>15000</v>
      </c>
      <c r="K6" s="5">
        <v>6</v>
      </c>
      <c r="L6" s="26">
        <f t="shared" si="7"/>
        <v>2777.7777777777778</v>
      </c>
      <c r="M6" s="26">
        <f t="shared" si="8"/>
        <v>16666.666666666668</v>
      </c>
      <c r="N6" s="5">
        <f t="shared" si="14"/>
        <v>7500</v>
      </c>
      <c r="O6" s="5">
        <v>3</v>
      </c>
      <c r="P6" s="27">
        <f t="shared" si="9"/>
        <v>4500</v>
      </c>
      <c r="Q6" s="5">
        <v>3</v>
      </c>
      <c r="R6" s="263"/>
      <c r="S6" s="5">
        <v>3</v>
      </c>
      <c r="T6" s="30">
        <f t="shared" si="10"/>
        <v>1500</v>
      </c>
      <c r="U6" s="5">
        <v>2</v>
      </c>
      <c r="V6" s="5">
        <f t="shared" si="11"/>
        <v>11</v>
      </c>
      <c r="W6" s="27">
        <f t="shared" si="12"/>
        <v>13500</v>
      </c>
      <c r="X6" s="27">
        <f t="shared" si="13"/>
        <v>5500</v>
      </c>
      <c r="Y6" s="11"/>
    </row>
    <row r="7" spans="1:25">
      <c r="A7" s="13" t="s">
        <v>313</v>
      </c>
      <c r="B7" s="6">
        <f>'2017年度运营目标计划'!L4</f>
        <v>400000</v>
      </c>
      <c r="C7" s="18">
        <f t="shared" si="1"/>
        <v>120000</v>
      </c>
      <c r="D7" s="19">
        <f t="shared" si="15"/>
        <v>80000</v>
      </c>
      <c r="E7" s="19">
        <f t="shared" si="2"/>
        <v>40000</v>
      </c>
      <c r="F7" s="19">
        <f t="shared" si="3"/>
        <v>60000</v>
      </c>
      <c r="G7" s="19">
        <f t="shared" si="4"/>
        <v>300000</v>
      </c>
      <c r="H7" s="20">
        <f t="shared" si="5"/>
        <v>80000</v>
      </c>
      <c r="I7" s="25">
        <f t="shared" si="6"/>
        <v>20000</v>
      </c>
      <c r="J7" s="25">
        <f t="shared" si="0"/>
        <v>20000</v>
      </c>
      <c r="K7" s="5">
        <v>6</v>
      </c>
      <c r="L7" s="26">
        <f t="shared" si="7"/>
        <v>3703.7037037037039</v>
      </c>
      <c r="M7" s="26">
        <f t="shared" si="8"/>
        <v>22222.222222222223</v>
      </c>
      <c r="N7" s="5">
        <f t="shared" si="14"/>
        <v>10000</v>
      </c>
      <c r="O7" s="5">
        <v>4</v>
      </c>
      <c r="P7" s="27">
        <f t="shared" si="9"/>
        <v>6000</v>
      </c>
      <c r="Q7" s="5">
        <v>3</v>
      </c>
      <c r="R7" s="263"/>
      <c r="S7" s="5">
        <v>3</v>
      </c>
      <c r="T7" s="30">
        <f t="shared" si="10"/>
        <v>2000</v>
      </c>
      <c r="U7" s="5">
        <v>3</v>
      </c>
      <c r="V7" s="5">
        <f t="shared" si="11"/>
        <v>13</v>
      </c>
      <c r="W7" s="27">
        <f t="shared" si="12"/>
        <v>18000</v>
      </c>
      <c r="X7" s="27">
        <f t="shared" si="13"/>
        <v>6500</v>
      </c>
      <c r="Y7" s="11"/>
    </row>
    <row r="8" spans="1:25">
      <c r="A8" s="13" t="s">
        <v>314</v>
      </c>
      <c r="B8" s="6">
        <f>'2017年度运营目标计划'!M4</f>
        <v>600000</v>
      </c>
      <c r="C8" s="18">
        <f t="shared" si="1"/>
        <v>180000</v>
      </c>
      <c r="D8" s="19">
        <f t="shared" si="15"/>
        <v>120000</v>
      </c>
      <c r="E8" s="19">
        <f t="shared" si="2"/>
        <v>60000</v>
      </c>
      <c r="F8" s="19">
        <f t="shared" si="3"/>
        <v>90000</v>
      </c>
      <c r="G8" s="19">
        <f t="shared" si="4"/>
        <v>450000</v>
      </c>
      <c r="H8" s="20">
        <f t="shared" si="5"/>
        <v>120000</v>
      </c>
      <c r="I8" s="25">
        <f t="shared" si="6"/>
        <v>30000</v>
      </c>
      <c r="J8" s="25">
        <f t="shared" si="0"/>
        <v>30000</v>
      </c>
      <c r="K8" s="5">
        <v>6</v>
      </c>
      <c r="L8" s="26">
        <f t="shared" si="7"/>
        <v>5555.5555555555557</v>
      </c>
      <c r="M8" s="26">
        <f t="shared" si="8"/>
        <v>33333.333333333336</v>
      </c>
      <c r="N8" s="5">
        <f t="shared" si="14"/>
        <v>15000</v>
      </c>
      <c r="O8" s="5">
        <v>4</v>
      </c>
      <c r="P8" s="27">
        <f t="shared" si="9"/>
        <v>9000</v>
      </c>
      <c r="Q8" s="5">
        <v>3</v>
      </c>
      <c r="R8" s="263"/>
      <c r="S8" s="5">
        <v>4</v>
      </c>
      <c r="T8" s="30">
        <f t="shared" si="10"/>
        <v>3000</v>
      </c>
      <c r="U8" s="5">
        <v>3</v>
      </c>
      <c r="V8" s="5">
        <f t="shared" si="11"/>
        <v>14</v>
      </c>
      <c r="W8" s="27">
        <f t="shared" si="12"/>
        <v>27000</v>
      </c>
      <c r="X8" s="27">
        <f t="shared" si="13"/>
        <v>7000</v>
      </c>
      <c r="Y8" s="11"/>
    </row>
    <row r="9" spans="1:25">
      <c r="A9" s="13" t="s">
        <v>315</v>
      </c>
      <c r="B9" s="6">
        <f>'2017年度运营目标计划'!N4</f>
        <v>500000</v>
      </c>
      <c r="C9" s="18">
        <f t="shared" si="1"/>
        <v>150000</v>
      </c>
      <c r="D9" s="19">
        <f t="shared" si="15"/>
        <v>100000</v>
      </c>
      <c r="E9" s="19">
        <f t="shared" si="2"/>
        <v>50000</v>
      </c>
      <c r="F9" s="19">
        <f t="shared" si="3"/>
        <v>75000</v>
      </c>
      <c r="G9" s="19">
        <f t="shared" si="4"/>
        <v>375000</v>
      </c>
      <c r="H9" s="20">
        <f t="shared" si="5"/>
        <v>100000</v>
      </c>
      <c r="I9" s="25">
        <f t="shared" si="6"/>
        <v>25000</v>
      </c>
      <c r="J9" s="25">
        <f t="shared" ref="J9:J14" si="16">SUM(I9:I9)</f>
        <v>25000</v>
      </c>
      <c r="K9" s="5">
        <v>6</v>
      </c>
      <c r="L9" s="26">
        <f t="shared" si="7"/>
        <v>4629.6296296296296</v>
      </c>
      <c r="M9" s="26">
        <f t="shared" si="8"/>
        <v>27777.777777777777</v>
      </c>
      <c r="N9" s="5">
        <f t="shared" si="14"/>
        <v>12500</v>
      </c>
      <c r="O9" s="5">
        <v>4</v>
      </c>
      <c r="P9" s="27">
        <f t="shared" si="9"/>
        <v>7500</v>
      </c>
      <c r="Q9" s="5">
        <v>3</v>
      </c>
      <c r="R9" s="263"/>
      <c r="S9" s="5">
        <v>4</v>
      </c>
      <c r="T9" s="30">
        <f t="shared" si="10"/>
        <v>2500</v>
      </c>
      <c r="U9" s="5">
        <v>3</v>
      </c>
      <c r="V9" s="5">
        <f t="shared" si="11"/>
        <v>14</v>
      </c>
      <c r="W9" s="27">
        <f t="shared" si="12"/>
        <v>22500</v>
      </c>
      <c r="X9" s="27">
        <f t="shared" si="13"/>
        <v>7000</v>
      </c>
      <c r="Y9" s="11"/>
    </row>
    <row r="10" spans="1:25">
      <c r="A10" s="13" t="s">
        <v>316</v>
      </c>
      <c r="B10" s="6">
        <f>'2017年度运营目标计划'!O4</f>
        <v>600000</v>
      </c>
      <c r="C10" s="18">
        <f t="shared" si="1"/>
        <v>180000</v>
      </c>
      <c r="D10" s="19">
        <f t="shared" si="15"/>
        <v>120000</v>
      </c>
      <c r="E10" s="19">
        <f t="shared" si="2"/>
        <v>60000</v>
      </c>
      <c r="F10" s="19">
        <f t="shared" si="3"/>
        <v>90000</v>
      </c>
      <c r="G10" s="19">
        <f t="shared" si="4"/>
        <v>450000</v>
      </c>
      <c r="H10" s="20">
        <f t="shared" si="5"/>
        <v>120000</v>
      </c>
      <c r="I10" s="25">
        <f t="shared" si="6"/>
        <v>30000</v>
      </c>
      <c r="J10" s="25">
        <f t="shared" si="16"/>
        <v>30000</v>
      </c>
      <c r="K10" s="5">
        <v>6</v>
      </c>
      <c r="L10" s="26">
        <f t="shared" si="7"/>
        <v>5555.5555555555557</v>
      </c>
      <c r="M10" s="26">
        <f t="shared" si="8"/>
        <v>33333.333333333336</v>
      </c>
      <c r="N10" s="5">
        <f t="shared" si="14"/>
        <v>15000</v>
      </c>
      <c r="O10" s="5">
        <v>4</v>
      </c>
      <c r="P10" s="27">
        <f t="shared" si="9"/>
        <v>9000</v>
      </c>
      <c r="Q10" s="5">
        <v>4</v>
      </c>
      <c r="R10" s="263"/>
      <c r="S10" s="5">
        <v>4</v>
      </c>
      <c r="T10" s="30">
        <f t="shared" si="10"/>
        <v>3000</v>
      </c>
      <c r="U10" s="5">
        <v>4</v>
      </c>
      <c r="V10" s="5">
        <f t="shared" si="11"/>
        <v>16</v>
      </c>
      <c r="W10" s="27">
        <f t="shared" si="12"/>
        <v>27000</v>
      </c>
      <c r="X10" s="27">
        <f t="shared" si="13"/>
        <v>8000</v>
      </c>
      <c r="Y10" s="11"/>
    </row>
    <row r="11" spans="1:25">
      <c r="A11" s="13" t="s">
        <v>317</v>
      </c>
      <c r="B11" s="6">
        <f>'2017年度运营目标计划'!P4</f>
        <v>800000</v>
      </c>
      <c r="C11" s="18">
        <f t="shared" si="1"/>
        <v>240000</v>
      </c>
      <c r="D11" s="19">
        <f t="shared" si="15"/>
        <v>160000</v>
      </c>
      <c r="E11" s="19">
        <f t="shared" si="2"/>
        <v>80000</v>
      </c>
      <c r="F11" s="19">
        <f t="shared" si="3"/>
        <v>120000</v>
      </c>
      <c r="G11" s="19">
        <f t="shared" si="4"/>
        <v>600000</v>
      </c>
      <c r="H11" s="20">
        <f t="shared" si="5"/>
        <v>160000</v>
      </c>
      <c r="I11" s="25">
        <f t="shared" si="6"/>
        <v>40000</v>
      </c>
      <c r="J11" s="25">
        <f t="shared" si="16"/>
        <v>40000</v>
      </c>
      <c r="K11" s="5">
        <v>6</v>
      </c>
      <c r="L11" s="26">
        <f t="shared" si="7"/>
        <v>7407.4074074074078</v>
      </c>
      <c r="M11" s="26">
        <f t="shared" si="8"/>
        <v>44444.444444444445</v>
      </c>
      <c r="N11" s="5">
        <f t="shared" si="14"/>
        <v>20000</v>
      </c>
      <c r="O11" s="5">
        <v>4</v>
      </c>
      <c r="P11" s="27">
        <f t="shared" si="9"/>
        <v>12000</v>
      </c>
      <c r="Q11" s="5">
        <v>4</v>
      </c>
      <c r="R11" s="263"/>
      <c r="S11" s="5">
        <v>5</v>
      </c>
      <c r="T11" s="30">
        <f t="shared" si="10"/>
        <v>4000</v>
      </c>
      <c r="U11" s="5">
        <v>4</v>
      </c>
      <c r="V11" s="5">
        <f t="shared" si="11"/>
        <v>17</v>
      </c>
      <c r="W11" s="27">
        <f t="shared" si="12"/>
        <v>36000</v>
      </c>
      <c r="X11" s="27">
        <f t="shared" si="13"/>
        <v>8500</v>
      </c>
      <c r="Y11" s="11"/>
    </row>
    <row r="12" spans="1:25">
      <c r="A12" s="13" t="s">
        <v>318</v>
      </c>
      <c r="B12" s="6">
        <f>'2017年度运营目标计划'!Q4</f>
        <v>1000000</v>
      </c>
      <c r="C12" s="18">
        <f t="shared" si="1"/>
        <v>300000</v>
      </c>
      <c r="D12" s="19">
        <f t="shared" si="15"/>
        <v>200000</v>
      </c>
      <c r="E12" s="19">
        <f t="shared" si="2"/>
        <v>100000</v>
      </c>
      <c r="F12" s="19">
        <f t="shared" si="3"/>
        <v>150000</v>
      </c>
      <c r="G12" s="19">
        <f t="shared" si="4"/>
        <v>750000</v>
      </c>
      <c r="H12" s="20">
        <f t="shared" si="5"/>
        <v>200000</v>
      </c>
      <c r="I12" s="25">
        <f t="shared" si="6"/>
        <v>50000</v>
      </c>
      <c r="J12" s="25">
        <f t="shared" si="16"/>
        <v>50000</v>
      </c>
      <c r="K12" s="5">
        <v>6</v>
      </c>
      <c r="L12" s="26">
        <f t="shared" si="7"/>
        <v>9259.2592592592591</v>
      </c>
      <c r="M12" s="26">
        <f t="shared" si="8"/>
        <v>55555.555555555555</v>
      </c>
      <c r="N12" s="5">
        <f t="shared" si="14"/>
        <v>25000</v>
      </c>
      <c r="O12" s="5">
        <v>5</v>
      </c>
      <c r="P12" s="27">
        <f t="shared" si="9"/>
        <v>15000</v>
      </c>
      <c r="Q12" s="5">
        <v>4</v>
      </c>
      <c r="R12" s="263"/>
      <c r="S12" s="5">
        <v>5</v>
      </c>
      <c r="T12" s="30">
        <f t="shared" si="10"/>
        <v>5000</v>
      </c>
      <c r="U12" s="5">
        <v>5</v>
      </c>
      <c r="V12" s="5">
        <f t="shared" si="11"/>
        <v>19</v>
      </c>
      <c r="W12" s="27">
        <f t="shared" si="12"/>
        <v>45000</v>
      </c>
      <c r="X12" s="27">
        <f t="shared" si="13"/>
        <v>9500</v>
      </c>
      <c r="Y12" s="11"/>
    </row>
    <row r="13" spans="1:25">
      <c r="A13" s="13" t="s">
        <v>319</v>
      </c>
      <c r="B13" s="6">
        <f>'2017年度运营目标计划'!R4</f>
        <v>1500000</v>
      </c>
      <c r="C13" s="18">
        <f t="shared" si="1"/>
        <v>450000</v>
      </c>
      <c r="D13" s="19">
        <f t="shared" si="15"/>
        <v>300000</v>
      </c>
      <c r="E13" s="19">
        <f t="shared" si="2"/>
        <v>150000</v>
      </c>
      <c r="F13" s="19">
        <f t="shared" si="3"/>
        <v>225000</v>
      </c>
      <c r="G13" s="19">
        <f t="shared" si="4"/>
        <v>1125000</v>
      </c>
      <c r="H13" s="20">
        <f t="shared" si="5"/>
        <v>300000</v>
      </c>
      <c r="I13" s="25">
        <f t="shared" si="6"/>
        <v>75000</v>
      </c>
      <c r="J13" s="25">
        <f t="shared" si="16"/>
        <v>75000</v>
      </c>
      <c r="K13" s="5">
        <v>6</v>
      </c>
      <c r="L13" s="26">
        <f t="shared" si="7"/>
        <v>13888.888888888889</v>
      </c>
      <c r="M13" s="26">
        <f t="shared" si="8"/>
        <v>83333.333333333328</v>
      </c>
      <c r="N13" s="5">
        <f t="shared" si="14"/>
        <v>37500</v>
      </c>
      <c r="O13" s="5">
        <v>5</v>
      </c>
      <c r="P13" s="27">
        <f t="shared" si="9"/>
        <v>22500</v>
      </c>
      <c r="Q13" s="5">
        <v>4</v>
      </c>
      <c r="R13" s="263"/>
      <c r="S13" s="5">
        <v>6</v>
      </c>
      <c r="T13" s="30">
        <f t="shared" si="10"/>
        <v>7500</v>
      </c>
      <c r="U13" s="5">
        <v>5</v>
      </c>
      <c r="V13" s="5">
        <f t="shared" si="11"/>
        <v>20</v>
      </c>
      <c r="W13" s="27">
        <f t="shared" si="12"/>
        <v>67500</v>
      </c>
      <c r="X13" s="27">
        <f t="shared" si="13"/>
        <v>10000</v>
      </c>
      <c r="Y13" s="11"/>
    </row>
    <row r="14" spans="1:25">
      <c r="A14" s="13" t="s">
        <v>320</v>
      </c>
      <c r="B14" s="6">
        <f>'2017年度运营目标计划'!T4</f>
        <v>1000000</v>
      </c>
      <c r="C14" s="18">
        <f t="shared" si="1"/>
        <v>300000</v>
      </c>
      <c r="D14" s="19">
        <f t="shared" si="15"/>
        <v>200000</v>
      </c>
      <c r="E14" s="19">
        <f t="shared" si="2"/>
        <v>100000</v>
      </c>
      <c r="F14" s="19">
        <f t="shared" si="3"/>
        <v>150000</v>
      </c>
      <c r="G14" s="19">
        <f t="shared" si="4"/>
        <v>750000</v>
      </c>
      <c r="H14" s="20">
        <f t="shared" si="5"/>
        <v>200000</v>
      </c>
      <c r="I14" s="25">
        <f t="shared" si="6"/>
        <v>50000</v>
      </c>
      <c r="J14" s="25">
        <f t="shared" si="16"/>
        <v>50000</v>
      </c>
      <c r="K14" s="5">
        <v>6</v>
      </c>
      <c r="L14" s="26">
        <f t="shared" si="7"/>
        <v>9259.2592592592591</v>
      </c>
      <c r="M14" s="26">
        <f t="shared" si="8"/>
        <v>55555.555555555555</v>
      </c>
      <c r="N14" s="5">
        <f t="shared" si="14"/>
        <v>25000</v>
      </c>
      <c r="O14" s="5">
        <v>5</v>
      </c>
      <c r="P14" s="27">
        <f t="shared" si="9"/>
        <v>15000</v>
      </c>
      <c r="Q14" s="5">
        <v>4</v>
      </c>
      <c r="R14" s="264"/>
      <c r="S14" s="5">
        <v>6</v>
      </c>
      <c r="T14" s="30">
        <f t="shared" si="10"/>
        <v>5000</v>
      </c>
      <c r="U14" s="5">
        <v>5</v>
      </c>
      <c r="V14" s="5">
        <f t="shared" si="11"/>
        <v>20</v>
      </c>
      <c r="W14" s="27">
        <f t="shared" si="12"/>
        <v>45000</v>
      </c>
      <c r="X14" s="27">
        <f t="shared" si="13"/>
        <v>10000</v>
      </c>
      <c r="Y14" s="11"/>
    </row>
    <row r="15" spans="1:25" ht="18" customHeight="1">
      <c r="A15" s="21" t="s">
        <v>79</v>
      </c>
      <c r="B15" s="22">
        <f t="shared" ref="B15:K15" si="17">SUM(B3:B14)</f>
        <v>7180000</v>
      </c>
      <c r="C15" s="23">
        <f t="shared" si="17"/>
        <v>2154000</v>
      </c>
      <c r="D15" s="23">
        <f t="shared" si="17"/>
        <v>1484000</v>
      </c>
      <c r="E15" s="23">
        <f t="shared" si="17"/>
        <v>718000</v>
      </c>
      <c r="F15" s="23">
        <f t="shared" si="17"/>
        <v>1077000</v>
      </c>
      <c r="G15" s="23">
        <f t="shared" si="17"/>
        <v>5433000</v>
      </c>
      <c r="H15" s="24">
        <f t="shared" si="17"/>
        <v>1436000</v>
      </c>
      <c r="I15" s="28">
        <f t="shared" si="17"/>
        <v>359000</v>
      </c>
      <c r="J15" s="28">
        <f t="shared" si="17"/>
        <v>359000</v>
      </c>
      <c r="K15" s="29">
        <f t="shared" si="17"/>
        <v>72</v>
      </c>
      <c r="L15" s="29">
        <f t="shared" ref="L15:X15" si="18">SUM(L3:L14)</f>
        <v>66481.481481481474</v>
      </c>
      <c r="M15" s="29">
        <f>SUM(M3:M14)</f>
        <v>398888.88888888893</v>
      </c>
      <c r="N15" s="29">
        <f>SUM(N3:N14)</f>
        <v>179500</v>
      </c>
      <c r="O15" s="29">
        <f t="shared" si="18"/>
        <v>47</v>
      </c>
      <c r="P15" s="29">
        <f>SUM(P3:P14)</f>
        <v>107700</v>
      </c>
      <c r="Q15" s="29">
        <f t="shared" si="18"/>
        <v>41</v>
      </c>
      <c r="R15" s="29">
        <f t="shared" si="18"/>
        <v>0</v>
      </c>
      <c r="S15" s="29">
        <f t="shared" si="18"/>
        <v>46</v>
      </c>
      <c r="T15" s="29">
        <f t="shared" si="18"/>
        <v>35900</v>
      </c>
      <c r="U15" s="29">
        <f t="shared" si="18"/>
        <v>38</v>
      </c>
      <c r="V15" s="29">
        <f t="shared" si="18"/>
        <v>172</v>
      </c>
      <c r="W15" s="29">
        <f t="shared" si="18"/>
        <v>323100</v>
      </c>
      <c r="X15" s="29">
        <f t="shared" si="18"/>
        <v>86000</v>
      </c>
      <c r="Y15" s="11"/>
    </row>
    <row r="23" spans="17:23">
      <c r="Q23" s="31">
        <v>1</v>
      </c>
      <c r="R23" s="31">
        <v>0.5</v>
      </c>
      <c r="S23" s="31">
        <v>0.25</v>
      </c>
      <c r="T23" s="31">
        <f>0.25*0.5</f>
        <v>0.125</v>
      </c>
      <c r="U23" s="261">
        <v>0.125</v>
      </c>
      <c r="V23" s="261"/>
      <c r="W23" s="261"/>
    </row>
    <row r="24" spans="17:23">
      <c r="Q24" s="31">
        <v>100</v>
      </c>
      <c r="R24" s="31">
        <v>50</v>
      </c>
      <c r="S24" s="31">
        <v>25</v>
      </c>
      <c r="T24" s="31"/>
      <c r="U24" s="31">
        <v>7.4999999999999997E-2</v>
      </c>
      <c r="V24" s="31">
        <v>2.5000000000000001E-2</v>
      </c>
      <c r="W24" s="31">
        <v>2.5000000000000001E-2</v>
      </c>
    </row>
    <row r="40" spans="10:24">
      <c r="J40" s="148" t="s">
        <v>338</v>
      </c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9"/>
    </row>
    <row r="41" spans="10:24"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9"/>
    </row>
    <row r="42" spans="10:24"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9"/>
    </row>
  </sheetData>
  <mergeCells count="7">
    <mergeCell ref="J40:X42"/>
    <mergeCell ref="C1:G1"/>
    <mergeCell ref="I1:J1"/>
    <mergeCell ref="K1:M1"/>
    <mergeCell ref="N1:U1"/>
    <mergeCell ref="U23:W23"/>
    <mergeCell ref="R3:R14"/>
  </mergeCells>
  <phoneticPr fontId="33" type="noConversion"/>
  <pageMargins left="0.75" right="0.75" top="1" bottom="1" header="0.51180555555555596" footer="0.51180555555555596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0C0"/>
  </sheetPr>
  <dimension ref="A1:AB40"/>
  <sheetViews>
    <sheetView workbookViewId="0">
      <selection activeCell="I20" sqref="I20"/>
    </sheetView>
  </sheetViews>
  <sheetFormatPr defaultColWidth="9" defaultRowHeight="13.5"/>
  <cols>
    <col min="1" max="1" width="9.375"/>
    <col min="2" max="2" width="12.625"/>
    <col min="5" max="5" width="10.25"/>
    <col min="11" max="11" width="9.75"/>
    <col min="14" max="14" width="6.375" customWidth="1"/>
    <col min="15" max="15" width="8.375" customWidth="1"/>
    <col min="17" max="17" width="9.75"/>
    <col min="18" max="18" width="8.25" customWidth="1"/>
  </cols>
  <sheetData>
    <row r="1" spans="1:28" ht="22.5">
      <c r="A1" s="1"/>
      <c r="B1" s="2"/>
      <c r="C1" s="265" t="s">
        <v>25</v>
      </c>
      <c r="D1" s="266"/>
      <c r="E1" s="266"/>
      <c r="F1" s="266"/>
      <c r="G1" s="266"/>
      <c r="H1" s="267"/>
      <c r="I1" s="268" t="s">
        <v>321</v>
      </c>
      <c r="J1" s="268"/>
      <c r="K1" s="268"/>
      <c r="L1" s="268"/>
      <c r="M1" s="268"/>
      <c r="N1" s="268"/>
      <c r="O1" s="269" t="s">
        <v>53</v>
      </c>
      <c r="P1" s="269"/>
      <c r="Q1" s="269"/>
      <c r="R1" s="269"/>
      <c r="S1" s="269"/>
      <c r="T1" s="269"/>
      <c r="U1" s="270" t="s">
        <v>55</v>
      </c>
      <c r="V1" s="270"/>
      <c r="W1" s="270"/>
      <c r="X1" s="270"/>
      <c r="Y1" s="270"/>
      <c r="Z1" s="270"/>
      <c r="AA1" s="9"/>
      <c r="AB1" s="9"/>
    </row>
    <row r="2" spans="1:28" ht="40.5">
      <c r="A2" s="3" t="s">
        <v>2</v>
      </c>
      <c r="B2" s="3" t="s">
        <v>322</v>
      </c>
      <c r="C2" s="3" t="s">
        <v>303</v>
      </c>
      <c r="D2" s="3" t="s">
        <v>323</v>
      </c>
      <c r="E2" s="4" t="s">
        <v>324</v>
      </c>
      <c r="F2" s="3" t="s">
        <v>302</v>
      </c>
      <c r="G2" s="3" t="s">
        <v>325</v>
      </c>
      <c r="H2" s="4" t="s">
        <v>326</v>
      </c>
      <c r="I2" s="3" t="s">
        <v>303</v>
      </c>
      <c r="J2" s="3" t="s">
        <v>327</v>
      </c>
      <c r="K2" s="4" t="s">
        <v>324</v>
      </c>
      <c r="L2" s="3" t="s">
        <v>304</v>
      </c>
      <c r="M2" s="3" t="s">
        <v>325</v>
      </c>
      <c r="N2" s="4" t="s">
        <v>326</v>
      </c>
      <c r="O2" s="3" t="s">
        <v>303</v>
      </c>
      <c r="P2" s="3" t="s">
        <v>327</v>
      </c>
      <c r="Q2" s="4" t="s">
        <v>324</v>
      </c>
      <c r="R2" s="3" t="s">
        <v>305</v>
      </c>
      <c r="S2" s="3" t="s">
        <v>325</v>
      </c>
      <c r="T2" s="4" t="s">
        <v>326</v>
      </c>
      <c r="U2" s="3" t="s">
        <v>303</v>
      </c>
      <c r="V2" s="3" t="s">
        <v>327</v>
      </c>
      <c r="W2" s="4" t="s">
        <v>324</v>
      </c>
      <c r="X2" s="3" t="s">
        <v>328</v>
      </c>
      <c r="Y2" s="3" t="s">
        <v>325</v>
      </c>
      <c r="Z2" s="4" t="s">
        <v>326</v>
      </c>
      <c r="AA2" s="10"/>
      <c r="AB2" s="10"/>
    </row>
    <row r="3" spans="1:28" ht="18">
      <c r="A3" s="5" t="s">
        <v>4</v>
      </c>
      <c r="B3" s="6">
        <f>'2017年度运营目标计划'!H4</f>
        <v>80000</v>
      </c>
      <c r="C3" s="5">
        <v>3</v>
      </c>
      <c r="D3" s="262" t="s">
        <v>329</v>
      </c>
      <c r="E3" s="7" t="s">
        <v>330</v>
      </c>
      <c r="F3" s="5">
        <f>B3*0.15*0.125/3</f>
        <v>500</v>
      </c>
      <c r="G3" s="5">
        <v>500</v>
      </c>
      <c r="H3" s="7"/>
      <c r="I3" s="5">
        <v>3</v>
      </c>
      <c r="J3" s="262" t="s">
        <v>331</v>
      </c>
      <c r="K3" s="7" t="s">
        <v>330</v>
      </c>
      <c r="L3" s="5">
        <f>B3*0.2%</f>
        <v>160</v>
      </c>
      <c r="M3" s="5">
        <v>500</v>
      </c>
      <c r="N3" s="7"/>
      <c r="O3" s="5">
        <v>2</v>
      </c>
      <c r="P3" s="262" t="s">
        <v>332</v>
      </c>
      <c r="Q3" s="7" t="s">
        <v>330</v>
      </c>
      <c r="R3" s="5" t="s">
        <v>330</v>
      </c>
      <c r="S3" s="5">
        <v>500</v>
      </c>
      <c r="T3" s="7"/>
      <c r="U3" s="5">
        <v>1</v>
      </c>
      <c r="V3" s="262" t="s">
        <v>332</v>
      </c>
      <c r="W3" s="7" t="s">
        <v>330</v>
      </c>
      <c r="X3" s="5">
        <f>B3*0.15*0.025/U3</f>
        <v>300</v>
      </c>
      <c r="Y3" s="5">
        <v>500</v>
      </c>
      <c r="Z3" s="7"/>
      <c r="AA3" s="11"/>
      <c r="AB3" s="11"/>
    </row>
    <row r="4" spans="1:28" ht="18">
      <c r="A4" s="5" t="s">
        <v>5</v>
      </c>
      <c r="B4" s="6">
        <f>'2017年度运营目标计划'!I4</f>
        <v>100000</v>
      </c>
      <c r="C4" s="5">
        <v>3</v>
      </c>
      <c r="D4" s="263"/>
      <c r="E4" s="7" t="s">
        <v>330</v>
      </c>
      <c r="F4" s="5">
        <f t="shared" ref="F4:F14" si="0">B4*0.15*0.125/3</f>
        <v>625</v>
      </c>
      <c r="G4" s="5">
        <v>500</v>
      </c>
      <c r="H4" s="7"/>
      <c r="I4" s="5">
        <v>3</v>
      </c>
      <c r="J4" s="263"/>
      <c r="K4" s="7" t="s">
        <v>330</v>
      </c>
      <c r="L4" s="5">
        <f t="shared" ref="L4:L14" si="1">B4*0.2%</f>
        <v>200</v>
      </c>
      <c r="M4" s="5">
        <v>500</v>
      </c>
      <c r="N4" s="7"/>
      <c r="O4" s="5">
        <v>2</v>
      </c>
      <c r="P4" s="263"/>
      <c r="Q4" s="7" t="s">
        <v>330</v>
      </c>
      <c r="R4" s="5" t="s">
        <v>330</v>
      </c>
      <c r="S4" s="5">
        <v>500</v>
      </c>
      <c r="T4" s="7"/>
      <c r="U4" s="5">
        <v>1</v>
      </c>
      <c r="V4" s="263"/>
      <c r="W4" s="7" t="s">
        <v>330</v>
      </c>
      <c r="X4" s="5">
        <f t="shared" ref="X4:X14" si="2">B4*0.15*0.025/U4</f>
        <v>375</v>
      </c>
      <c r="Y4" s="5">
        <v>500</v>
      </c>
      <c r="Z4" s="7"/>
      <c r="AA4" s="11"/>
      <c r="AB4" s="11"/>
    </row>
    <row r="5" spans="1:28" ht="18">
      <c r="A5" s="5" t="s">
        <v>6</v>
      </c>
      <c r="B5" s="6">
        <f>'2017年度运营目标计划'!J4</f>
        <v>300000</v>
      </c>
      <c r="C5" s="5">
        <v>3</v>
      </c>
      <c r="D5" s="263"/>
      <c r="E5" s="7" t="s">
        <v>330</v>
      </c>
      <c r="F5" s="5">
        <f t="shared" si="0"/>
        <v>1875</v>
      </c>
      <c r="G5" s="5">
        <v>500</v>
      </c>
      <c r="H5" s="7"/>
      <c r="I5" s="5">
        <v>3</v>
      </c>
      <c r="J5" s="263"/>
      <c r="K5" s="7" t="s">
        <v>330</v>
      </c>
      <c r="L5" s="5">
        <f t="shared" si="1"/>
        <v>600</v>
      </c>
      <c r="M5" s="5">
        <v>500</v>
      </c>
      <c r="N5" s="7"/>
      <c r="O5" s="5">
        <v>2</v>
      </c>
      <c r="P5" s="263"/>
      <c r="Q5" s="7" t="s">
        <v>330</v>
      </c>
      <c r="R5" s="5" t="s">
        <v>330</v>
      </c>
      <c r="S5" s="5">
        <v>500</v>
      </c>
      <c r="T5" s="7"/>
      <c r="U5" s="5">
        <v>2</v>
      </c>
      <c r="V5" s="263"/>
      <c r="W5" s="7" t="s">
        <v>330</v>
      </c>
      <c r="X5" s="5">
        <f t="shared" si="2"/>
        <v>562.5</v>
      </c>
      <c r="Y5" s="5">
        <v>500</v>
      </c>
      <c r="Z5" s="7"/>
      <c r="AA5" s="11"/>
      <c r="AB5" s="11"/>
    </row>
    <row r="6" spans="1:28" ht="18">
      <c r="A6" s="5" t="s">
        <v>7</v>
      </c>
      <c r="B6" s="6">
        <f>'2017年度运营目标计划'!J4</f>
        <v>300000</v>
      </c>
      <c r="C6" s="5">
        <v>4</v>
      </c>
      <c r="D6" s="263"/>
      <c r="E6" s="7" t="s">
        <v>330</v>
      </c>
      <c r="F6" s="5">
        <f t="shared" si="0"/>
        <v>1875</v>
      </c>
      <c r="G6" s="5">
        <v>500</v>
      </c>
      <c r="H6" s="7"/>
      <c r="I6" s="5">
        <v>3</v>
      </c>
      <c r="J6" s="263"/>
      <c r="K6" s="7" t="s">
        <v>330</v>
      </c>
      <c r="L6" s="5">
        <f t="shared" si="1"/>
        <v>600</v>
      </c>
      <c r="M6" s="5">
        <v>500</v>
      </c>
      <c r="N6" s="7"/>
      <c r="O6" s="5">
        <v>3</v>
      </c>
      <c r="P6" s="263"/>
      <c r="Q6" s="7" t="s">
        <v>330</v>
      </c>
      <c r="R6" s="5" t="s">
        <v>330</v>
      </c>
      <c r="S6" s="5">
        <v>500</v>
      </c>
      <c r="T6" s="7"/>
      <c r="U6" s="5">
        <v>2</v>
      </c>
      <c r="V6" s="263"/>
      <c r="W6" s="7" t="s">
        <v>330</v>
      </c>
      <c r="X6" s="5">
        <f t="shared" si="2"/>
        <v>562.5</v>
      </c>
      <c r="Y6" s="5">
        <v>500</v>
      </c>
      <c r="Z6" s="7"/>
      <c r="AA6" s="11"/>
      <c r="AB6" s="11"/>
    </row>
    <row r="7" spans="1:28" ht="18">
      <c r="A7" s="5" t="s">
        <v>8</v>
      </c>
      <c r="B7" s="6">
        <f>'2017年度运营目标计划'!L4</f>
        <v>400000</v>
      </c>
      <c r="C7" s="5">
        <v>4</v>
      </c>
      <c r="D7" s="263"/>
      <c r="E7" s="7" t="s">
        <v>330</v>
      </c>
      <c r="F7" s="5">
        <f t="shared" si="0"/>
        <v>2500</v>
      </c>
      <c r="G7" s="5">
        <v>500</v>
      </c>
      <c r="H7" s="7"/>
      <c r="I7" s="5">
        <v>3</v>
      </c>
      <c r="J7" s="263"/>
      <c r="K7" s="7" t="s">
        <v>330</v>
      </c>
      <c r="L7" s="5">
        <f t="shared" si="1"/>
        <v>800</v>
      </c>
      <c r="M7" s="5">
        <v>500</v>
      </c>
      <c r="N7" s="7"/>
      <c r="O7" s="5">
        <v>3</v>
      </c>
      <c r="P7" s="263"/>
      <c r="Q7" s="7" t="s">
        <v>330</v>
      </c>
      <c r="R7" s="5" t="s">
        <v>330</v>
      </c>
      <c r="S7" s="5">
        <v>500</v>
      </c>
      <c r="T7" s="7"/>
      <c r="U7" s="5">
        <v>3</v>
      </c>
      <c r="V7" s="263"/>
      <c r="W7" s="7" t="s">
        <v>330</v>
      </c>
      <c r="X7" s="5">
        <f t="shared" si="2"/>
        <v>500</v>
      </c>
      <c r="Y7" s="5">
        <v>500</v>
      </c>
      <c r="Z7" s="7"/>
      <c r="AA7" s="11"/>
      <c r="AB7" s="11"/>
    </row>
    <row r="8" spans="1:28" ht="18">
      <c r="A8" s="5" t="s">
        <v>9</v>
      </c>
      <c r="B8" s="6">
        <f>'2017年度运营目标计划'!M4</f>
        <v>600000</v>
      </c>
      <c r="C8" s="5">
        <v>4</v>
      </c>
      <c r="D8" s="263"/>
      <c r="E8" s="7" t="s">
        <v>330</v>
      </c>
      <c r="F8" s="5">
        <f t="shared" si="0"/>
        <v>3750</v>
      </c>
      <c r="G8" s="5">
        <v>500</v>
      </c>
      <c r="H8" s="7"/>
      <c r="I8" s="5">
        <v>3</v>
      </c>
      <c r="J8" s="263"/>
      <c r="K8" s="7" t="s">
        <v>330</v>
      </c>
      <c r="L8" s="5">
        <f t="shared" si="1"/>
        <v>1200</v>
      </c>
      <c r="M8" s="5">
        <v>500</v>
      </c>
      <c r="N8" s="7"/>
      <c r="O8" s="5">
        <v>4</v>
      </c>
      <c r="P8" s="263"/>
      <c r="Q8" s="7" t="s">
        <v>330</v>
      </c>
      <c r="R8" s="5" t="s">
        <v>330</v>
      </c>
      <c r="S8" s="5">
        <v>500</v>
      </c>
      <c r="T8" s="7"/>
      <c r="U8" s="5">
        <v>3</v>
      </c>
      <c r="V8" s="263"/>
      <c r="W8" s="7" t="s">
        <v>330</v>
      </c>
      <c r="X8" s="5">
        <f t="shared" si="2"/>
        <v>750</v>
      </c>
      <c r="Y8" s="5">
        <v>500</v>
      </c>
      <c r="Z8" s="7"/>
      <c r="AA8" s="11"/>
      <c r="AB8" s="11"/>
    </row>
    <row r="9" spans="1:28" ht="18">
      <c r="A9" s="5" t="s">
        <v>10</v>
      </c>
      <c r="B9" s="6">
        <f>'2017年度运营目标计划'!N4</f>
        <v>500000</v>
      </c>
      <c r="C9" s="5">
        <v>4</v>
      </c>
      <c r="D9" s="263"/>
      <c r="E9" s="7" t="s">
        <v>330</v>
      </c>
      <c r="F9" s="5">
        <f t="shared" si="0"/>
        <v>3125</v>
      </c>
      <c r="G9" s="5">
        <v>500</v>
      </c>
      <c r="H9" s="7"/>
      <c r="I9" s="5">
        <v>3</v>
      </c>
      <c r="J9" s="263"/>
      <c r="K9" s="7" t="s">
        <v>330</v>
      </c>
      <c r="L9" s="5">
        <f t="shared" si="1"/>
        <v>1000</v>
      </c>
      <c r="M9" s="5">
        <v>500</v>
      </c>
      <c r="N9" s="7"/>
      <c r="O9" s="5">
        <v>4</v>
      </c>
      <c r="P9" s="263"/>
      <c r="Q9" s="7" t="s">
        <v>330</v>
      </c>
      <c r="R9" s="5" t="s">
        <v>330</v>
      </c>
      <c r="S9" s="5">
        <v>500</v>
      </c>
      <c r="T9" s="7"/>
      <c r="U9" s="5">
        <v>3</v>
      </c>
      <c r="V9" s="263"/>
      <c r="W9" s="7" t="s">
        <v>330</v>
      </c>
      <c r="X9" s="5">
        <f t="shared" si="2"/>
        <v>625</v>
      </c>
      <c r="Y9" s="5">
        <v>500</v>
      </c>
      <c r="Z9" s="7"/>
      <c r="AA9" s="11"/>
      <c r="AB9" s="11"/>
    </row>
    <row r="10" spans="1:28" ht="18">
      <c r="A10" s="5" t="s">
        <v>11</v>
      </c>
      <c r="B10" s="6">
        <f>'2017年度运营目标计划'!O4</f>
        <v>600000</v>
      </c>
      <c r="C10" s="8">
        <v>4</v>
      </c>
      <c r="D10" s="263"/>
      <c r="E10" s="7" t="s">
        <v>330</v>
      </c>
      <c r="F10" s="5">
        <f t="shared" si="0"/>
        <v>3750</v>
      </c>
      <c r="G10" s="5">
        <v>500</v>
      </c>
      <c r="H10" s="7"/>
      <c r="I10" s="5">
        <v>4</v>
      </c>
      <c r="J10" s="263"/>
      <c r="K10" s="7" t="s">
        <v>330</v>
      </c>
      <c r="L10" s="5">
        <f t="shared" si="1"/>
        <v>1200</v>
      </c>
      <c r="M10" s="5">
        <v>500</v>
      </c>
      <c r="N10" s="7"/>
      <c r="O10" s="5">
        <v>4</v>
      </c>
      <c r="P10" s="263"/>
      <c r="Q10" s="7" t="s">
        <v>330</v>
      </c>
      <c r="R10" s="5" t="s">
        <v>330</v>
      </c>
      <c r="S10" s="5">
        <v>500</v>
      </c>
      <c r="T10" s="7"/>
      <c r="U10" s="5">
        <v>4</v>
      </c>
      <c r="V10" s="263"/>
      <c r="W10" s="7" t="s">
        <v>330</v>
      </c>
      <c r="X10" s="5">
        <f t="shared" si="2"/>
        <v>562.5</v>
      </c>
      <c r="Y10" s="5">
        <v>500</v>
      </c>
      <c r="Z10" s="7"/>
    </row>
    <row r="11" spans="1:28" ht="18">
      <c r="A11" s="5" t="s">
        <v>12</v>
      </c>
      <c r="B11" s="6">
        <f>'2017年度运营目标计划'!P4</f>
        <v>800000</v>
      </c>
      <c r="C11" s="8">
        <v>5</v>
      </c>
      <c r="D11" s="263"/>
      <c r="E11" s="7" t="s">
        <v>330</v>
      </c>
      <c r="F11" s="5">
        <f t="shared" si="0"/>
        <v>5000</v>
      </c>
      <c r="G11" s="5">
        <v>500</v>
      </c>
      <c r="H11" s="7"/>
      <c r="I11" s="5">
        <v>4</v>
      </c>
      <c r="J11" s="263"/>
      <c r="K11" s="7" t="s">
        <v>330</v>
      </c>
      <c r="L11" s="5">
        <f t="shared" si="1"/>
        <v>1600</v>
      </c>
      <c r="M11" s="5">
        <v>500</v>
      </c>
      <c r="N11" s="7"/>
      <c r="O11" s="5">
        <v>5</v>
      </c>
      <c r="P11" s="263"/>
      <c r="Q11" s="7" t="s">
        <v>330</v>
      </c>
      <c r="R11" s="5" t="s">
        <v>330</v>
      </c>
      <c r="S11" s="5">
        <v>500</v>
      </c>
      <c r="T11" s="7"/>
      <c r="U11" s="5">
        <v>4</v>
      </c>
      <c r="V11" s="263"/>
      <c r="W11" s="7" t="s">
        <v>330</v>
      </c>
      <c r="X11" s="5">
        <f t="shared" si="2"/>
        <v>750</v>
      </c>
      <c r="Y11" s="5">
        <v>500</v>
      </c>
      <c r="Z11" s="7"/>
    </row>
    <row r="12" spans="1:28" ht="18">
      <c r="A12" s="5" t="s">
        <v>13</v>
      </c>
      <c r="B12" s="6">
        <f>'2017年度运营目标计划'!Q4</f>
        <v>1000000</v>
      </c>
      <c r="C12" s="8">
        <v>5</v>
      </c>
      <c r="D12" s="263"/>
      <c r="E12" s="7" t="s">
        <v>330</v>
      </c>
      <c r="F12" s="5">
        <f t="shared" si="0"/>
        <v>6250</v>
      </c>
      <c r="G12" s="5">
        <v>500</v>
      </c>
      <c r="H12" s="7"/>
      <c r="I12" s="5">
        <v>4</v>
      </c>
      <c r="J12" s="263"/>
      <c r="K12" s="7" t="s">
        <v>330</v>
      </c>
      <c r="L12" s="5">
        <f t="shared" si="1"/>
        <v>2000</v>
      </c>
      <c r="M12" s="5">
        <v>500</v>
      </c>
      <c r="N12" s="7"/>
      <c r="O12" s="5">
        <v>5</v>
      </c>
      <c r="P12" s="263"/>
      <c r="Q12" s="7" t="s">
        <v>330</v>
      </c>
      <c r="R12" s="5" t="s">
        <v>330</v>
      </c>
      <c r="S12" s="5">
        <v>500</v>
      </c>
      <c r="T12" s="7"/>
      <c r="U12" s="5">
        <v>5</v>
      </c>
      <c r="V12" s="263"/>
      <c r="W12" s="7" t="s">
        <v>330</v>
      </c>
      <c r="X12" s="5">
        <f t="shared" si="2"/>
        <v>750</v>
      </c>
      <c r="Y12" s="5">
        <v>500</v>
      </c>
      <c r="Z12" s="7"/>
    </row>
    <row r="13" spans="1:28" ht="18">
      <c r="A13" s="5" t="s">
        <v>14</v>
      </c>
      <c r="B13" s="6">
        <f>'2017年度运营目标计划'!R4</f>
        <v>1500000</v>
      </c>
      <c r="C13" s="8">
        <v>5</v>
      </c>
      <c r="D13" s="263"/>
      <c r="E13" s="7" t="s">
        <v>330</v>
      </c>
      <c r="F13" s="5">
        <f t="shared" si="0"/>
        <v>9375</v>
      </c>
      <c r="G13" s="5">
        <v>500</v>
      </c>
      <c r="H13" s="7"/>
      <c r="I13" s="5">
        <v>4</v>
      </c>
      <c r="J13" s="263"/>
      <c r="K13" s="7" t="s">
        <v>330</v>
      </c>
      <c r="L13" s="5">
        <f t="shared" si="1"/>
        <v>3000</v>
      </c>
      <c r="M13" s="5">
        <v>500</v>
      </c>
      <c r="N13" s="7"/>
      <c r="O13" s="5">
        <v>6</v>
      </c>
      <c r="P13" s="263"/>
      <c r="Q13" s="7" t="s">
        <v>330</v>
      </c>
      <c r="R13" s="5" t="s">
        <v>330</v>
      </c>
      <c r="S13" s="5">
        <v>500</v>
      </c>
      <c r="T13" s="7"/>
      <c r="U13" s="5">
        <v>5</v>
      </c>
      <c r="V13" s="263"/>
      <c r="W13" s="7" t="s">
        <v>330</v>
      </c>
      <c r="X13" s="5">
        <f t="shared" si="2"/>
        <v>1125</v>
      </c>
      <c r="Y13" s="5">
        <v>500</v>
      </c>
      <c r="Z13" s="7"/>
    </row>
    <row r="14" spans="1:28" ht="18">
      <c r="A14" s="5" t="s">
        <v>3</v>
      </c>
      <c r="B14" s="6">
        <f>'2017年度运营目标计划'!T4</f>
        <v>1000000</v>
      </c>
      <c r="C14" s="8">
        <v>5</v>
      </c>
      <c r="D14" s="264"/>
      <c r="E14" s="7" t="s">
        <v>330</v>
      </c>
      <c r="F14" s="5">
        <f t="shared" si="0"/>
        <v>6250</v>
      </c>
      <c r="G14" s="5">
        <v>500</v>
      </c>
      <c r="H14" s="7"/>
      <c r="I14" s="5">
        <v>4</v>
      </c>
      <c r="J14" s="264"/>
      <c r="K14" s="7" t="s">
        <v>330</v>
      </c>
      <c r="L14" s="5">
        <f t="shared" si="1"/>
        <v>2000</v>
      </c>
      <c r="M14" s="5">
        <v>500</v>
      </c>
      <c r="N14" s="7"/>
      <c r="O14" s="5">
        <v>6</v>
      </c>
      <c r="P14" s="264"/>
      <c r="Q14" s="7" t="s">
        <v>330</v>
      </c>
      <c r="R14" s="5" t="s">
        <v>330</v>
      </c>
      <c r="S14" s="5">
        <v>500</v>
      </c>
      <c r="T14" s="7"/>
      <c r="U14" s="5">
        <v>5</v>
      </c>
      <c r="V14" s="264"/>
      <c r="W14" s="7" t="s">
        <v>330</v>
      </c>
      <c r="X14" s="5">
        <f t="shared" si="2"/>
        <v>750</v>
      </c>
      <c r="Y14" s="5">
        <v>500</v>
      </c>
      <c r="Z14" s="7"/>
    </row>
    <row r="38" spans="1:15">
      <c r="A38" s="148" t="s">
        <v>338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9"/>
    </row>
    <row r="39" spans="1:15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9"/>
    </row>
    <row r="40" spans="1:15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9"/>
    </row>
  </sheetData>
  <mergeCells count="9">
    <mergeCell ref="A38:O40"/>
    <mergeCell ref="C1:H1"/>
    <mergeCell ref="I1:N1"/>
    <mergeCell ref="O1:T1"/>
    <mergeCell ref="U1:Z1"/>
    <mergeCell ref="D3:D14"/>
    <mergeCell ref="J3:J14"/>
    <mergeCell ref="P3:P14"/>
    <mergeCell ref="V3:V14"/>
  </mergeCells>
  <phoneticPr fontId="33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2017年度运营目标计划</vt:lpstr>
      <vt:lpstr>年度营销计划</vt:lpstr>
      <vt:lpstr>周运营计划</vt:lpstr>
      <vt:lpstr>人员架构</vt:lpstr>
      <vt:lpstr>人员工资配置</vt:lpstr>
      <vt:lpstr>工资计算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ZT公子</dc:creator>
  <cp:keywords>QQ：178455216</cp:keywords>
  <dc:description>更多干货表格请联系QQ：178455216</dc:description>
  <cp:lastModifiedBy>Administrator</cp:lastModifiedBy>
  <dcterms:created xsi:type="dcterms:W3CDTF">2016-11-26T04:42:00Z</dcterms:created>
  <dcterms:modified xsi:type="dcterms:W3CDTF">2017-01-09T12:58:49Z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