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1840" windowHeight="9330"/>
  </bookViews>
  <sheets>
    <sheet name="December" sheetId="28" r:id="rId1"/>
    <sheet name="Backlog Reasons" sheetId="13" r:id="rId2"/>
    <sheet name="Pullout and SOH" sheetId="14" r:id="rId3"/>
    <sheet name="Daily SOH" sheetId="25" r:id="rId4"/>
    <sheet name="Matrix" sheetId="16" r:id="rId5"/>
    <sheet name="Monday Meeting" sheetId="26" r:id="rId6"/>
    <sheet name="Sheet1" sheetId="2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__VAR1" localSheetId="1">#REF!</definedName>
    <definedName name="________VAR1" localSheetId="0">#REF!</definedName>
    <definedName name="________VAR1">#REF!</definedName>
    <definedName name="________VAR2" localSheetId="1">#REF!</definedName>
    <definedName name="________VAR2" localSheetId="0">#REF!</definedName>
    <definedName name="________VAR2">#REF!</definedName>
    <definedName name="________vol2" localSheetId="1">[1]fixedcosts!#REF!</definedName>
    <definedName name="________vol2" localSheetId="0">[1]fixedcosts!#REF!</definedName>
    <definedName name="________vol2">[1]fixedcosts!#REF!</definedName>
    <definedName name="_______DAT1" localSheetId="1">#REF!</definedName>
    <definedName name="_______DAT1" localSheetId="0">#REF!</definedName>
    <definedName name="_______DAT1">#REF!</definedName>
    <definedName name="_______DAT10" localSheetId="1">#REF!</definedName>
    <definedName name="_______DAT10" localSheetId="0">#REF!</definedName>
    <definedName name="_______DAT10">#REF!</definedName>
    <definedName name="_______DAT11" localSheetId="1">#REF!</definedName>
    <definedName name="_______DAT11" localSheetId="0">#REF!</definedName>
    <definedName name="_______DAT11">#REF!</definedName>
    <definedName name="_______DAT12" localSheetId="1">#REF!</definedName>
    <definedName name="_______DAT12" localSheetId="0">#REF!</definedName>
    <definedName name="_______DAT12">#REF!</definedName>
    <definedName name="_______DAT13" localSheetId="1">#REF!</definedName>
    <definedName name="_______DAT13" localSheetId="0">#REF!</definedName>
    <definedName name="_______DAT13">#REF!</definedName>
    <definedName name="_______DAT2" localSheetId="1">#REF!</definedName>
    <definedName name="_______DAT2" localSheetId="0">#REF!</definedName>
    <definedName name="_______DAT2">#REF!</definedName>
    <definedName name="_______DAT3" localSheetId="1">#REF!</definedName>
    <definedName name="_______DAT3" localSheetId="0">#REF!</definedName>
    <definedName name="_______DAT3">#REF!</definedName>
    <definedName name="_______DAT4" localSheetId="1">#REF!</definedName>
    <definedName name="_______DAT4" localSheetId="0">#REF!</definedName>
    <definedName name="_______DAT4">#REF!</definedName>
    <definedName name="_______DAT5" localSheetId="1">#REF!</definedName>
    <definedName name="_______DAT5" localSheetId="0">#REF!</definedName>
    <definedName name="_______DAT5">#REF!</definedName>
    <definedName name="_______DAT6" localSheetId="1">#REF!</definedName>
    <definedName name="_______DAT6" localSheetId="0">#REF!</definedName>
    <definedName name="_______DAT6">#REF!</definedName>
    <definedName name="_______DAT7" localSheetId="1">#REF!</definedName>
    <definedName name="_______DAT7" localSheetId="0">#REF!</definedName>
    <definedName name="_______DAT7">#REF!</definedName>
    <definedName name="_______DAT8" localSheetId="1">#REF!</definedName>
    <definedName name="_______DAT8" localSheetId="0">#REF!</definedName>
    <definedName name="_______DAT8">#REF!</definedName>
    <definedName name="_______DAT9" localSheetId="1">#REF!</definedName>
    <definedName name="_______DAT9" localSheetId="0">#REF!</definedName>
    <definedName name="_______DAT9">#REF!</definedName>
    <definedName name="_______VAR1" localSheetId="1">#REF!</definedName>
    <definedName name="_______VAR1" localSheetId="0">#REF!</definedName>
    <definedName name="_______VAR1">#REF!</definedName>
    <definedName name="_______VAR2" localSheetId="1">#REF!</definedName>
    <definedName name="_______VAR2" localSheetId="0">#REF!</definedName>
    <definedName name="_______VAR2">#REF!</definedName>
    <definedName name="_______vol2" localSheetId="1">[1]fixedcosts!#REF!</definedName>
    <definedName name="_______vol2" localSheetId="0">[1]fixedcosts!#REF!</definedName>
    <definedName name="_______vol2">[1]fixedcosts!#REF!</definedName>
    <definedName name="_______xlfn.BAHTTEXT" localSheetId="1" hidden="1">#NAME?</definedName>
    <definedName name="_______xlfn.BAHTTEXT">#N/A</definedName>
    <definedName name="______DAT1" localSheetId="1">#REF!</definedName>
    <definedName name="______DAT1" localSheetId="0">#REF!</definedName>
    <definedName name="______DAT1">#REF!</definedName>
    <definedName name="______DAT10" localSheetId="1">#REF!</definedName>
    <definedName name="______DAT10" localSheetId="0">#REF!</definedName>
    <definedName name="______DAT10">#REF!</definedName>
    <definedName name="______DAT11" localSheetId="1">#REF!</definedName>
    <definedName name="______DAT11" localSheetId="0">#REF!</definedName>
    <definedName name="______DAT11">#REF!</definedName>
    <definedName name="______DAT12" localSheetId="1">#REF!</definedName>
    <definedName name="______DAT12" localSheetId="0">#REF!</definedName>
    <definedName name="______DAT12">#REF!</definedName>
    <definedName name="______DAT13" localSheetId="1">#REF!</definedName>
    <definedName name="______DAT13" localSheetId="0">#REF!</definedName>
    <definedName name="______DAT13">#REF!</definedName>
    <definedName name="______DAT2" localSheetId="1">#REF!</definedName>
    <definedName name="______DAT2" localSheetId="0">#REF!</definedName>
    <definedName name="______DAT2">#REF!</definedName>
    <definedName name="______DAT3" localSheetId="1">#REF!</definedName>
    <definedName name="______DAT3" localSheetId="0">#REF!</definedName>
    <definedName name="______DAT3">#REF!</definedName>
    <definedName name="______DAT4" localSheetId="1">#REF!</definedName>
    <definedName name="______DAT4" localSheetId="0">#REF!</definedName>
    <definedName name="______DAT4">#REF!</definedName>
    <definedName name="______DAT5" localSheetId="1">#REF!</definedName>
    <definedName name="______DAT5" localSheetId="0">#REF!</definedName>
    <definedName name="______DAT5">#REF!</definedName>
    <definedName name="______DAT6" localSheetId="1">#REF!</definedName>
    <definedName name="______DAT6" localSheetId="0">#REF!</definedName>
    <definedName name="______DAT6">#REF!</definedName>
    <definedName name="______DAT7" localSheetId="1">#REF!</definedName>
    <definedName name="______DAT7" localSheetId="0">#REF!</definedName>
    <definedName name="______DAT7">#REF!</definedName>
    <definedName name="______DAT8" localSheetId="1">#REF!</definedName>
    <definedName name="______DAT8" localSheetId="0">#REF!</definedName>
    <definedName name="______DAT8">#REF!</definedName>
    <definedName name="______DAT9" localSheetId="1">#REF!</definedName>
    <definedName name="______DAT9" localSheetId="0">#REF!</definedName>
    <definedName name="______DAT9">#REF!</definedName>
    <definedName name="______VAR1" localSheetId="1">#REF!</definedName>
    <definedName name="______VAR1" localSheetId="0">#REF!</definedName>
    <definedName name="______VAR1">#REF!</definedName>
    <definedName name="______VAR2" localSheetId="1">#REF!</definedName>
    <definedName name="______VAR2" localSheetId="0">#REF!</definedName>
    <definedName name="______VAR2">#REF!</definedName>
    <definedName name="______vol2" localSheetId="1">[1]fixedcosts!#REF!</definedName>
    <definedName name="______vol2" localSheetId="0">[1]fixedcosts!#REF!</definedName>
    <definedName name="______vol2">[1]fixedcosts!#REF!</definedName>
    <definedName name="______xlfn.BAHTTEXT" localSheetId="1" hidden="1">#NAME?</definedName>
    <definedName name="______xlfn.BAHTTEXT">#N/A</definedName>
    <definedName name="_____DAT1" localSheetId="1">#REF!</definedName>
    <definedName name="_____DAT1" localSheetId="0">#REF!</definedName>
    <definedName name="_____DAT1">#REF!</definedName>
    <definedName name="_____DAT10" localSheetId="1">#REF!</definedName>
    <definedName name="_____DAT10" localSheetId="0">#REF!</definedName>
    <definedName name="_____DAT10">#REF!</definedName>
    <definedName name="_____DAT11" localSheetId="1">#REF!</definedName>
    <definedName name="_____DAT11" localSheetId="0">#REF!</definedName>
    <definedName name="_____DAT11">#REF!</definedName>
    <definedName name="_____DAT12" localSheetId="1">#REF!</definedName>
    <definedName name="_____DAT12" localSheetId="0">#REF!</definedName>
    <definedName name="_____DAT12">#REF!</definedName>
    <definedName name="_____DAT13" localSheetId="1">#REF!</definedName>
    <definedName name="_____DAT13" localSheetId="0">#REF!</definedName>
    <definedName name="_____DAT13">#REF!</definedName>
    <definedName name="_____DAT2" localSheetId="1">#REF!</definedName>
    <definedName name="_____DAT2" localSheetId="0">#REF!</definedName>
    <definedName name="_____DAT2">#REF!</definedName>
    <definedName name="_____DAT3" localSheetId="1">#REF!</definedName>
    <definedName name="_____DAT3" localSheetId="0">#REF!</definedName>
    <definedName name="_____DAT3">#REF!</definedName>
    <definedName name="_____DAT4" localSheetId="1">#REF!</definedName>
    <definedName name="_____DAT4" localSheetId="0">#REF!</definedName>
    <definedName name="_____DAT4">#REF!</definedName>
    <definedName name="_____DAT5" localSheetId="1">#REF!</definedName>
    <definedName name="_____DAT5" localSheetId="0">#REF!</definedName>
    <definedName name="_____DAT5">#REF!</definedName>
    <definedName name="_____DAT6" localSheetId="1">#REF!</definedName>
    <definedName name="_____DAT6" localSheetId="0">#REF!</definedName>
    <definedName name="_____DAT6">#REF!</definedName>
    <definedName name="_____DAT7" localSheetId="1">#REF!</definedName>
    <definedName name="_____DAT7" localSheetId="0">#REF!</definedName>
    <definedName name="_____DAT7">#REF!</definedName>
    <definedName name="_____DAT8" localSheetId="1">#REF!</definedName>
    <definedName name="_____DAT8" localSheetId="0">#REF!</definedName>
    <definedName name="_____DAT8">#REF!</definedName>
    <definedName name="_____DAT9" localSheetId="1">#REF!</definedName>
    <definedName name="_____DAT9" localSheetId="0">#REF!</definedName>
    <definedName name="_____DAT9">#REF!</definedName>
    <definedName name="_____VAR1" localSheetId="1">#REF!</definedName>
    <definedName name="_____VAR1" localSheetId="0">#REF!</definedName>
    <definedName name="_____VAR1">#REF!</definedName>
    <definedName name="_____VAR2" localSheetId="1">#REF!</definedName>
    <definedName name="_____VAR2" localSheetId="0">#REF!</definedName>
    <definedName name="_____VAR2">#REF!</definedName>
    <definedName name="_____vol2" localSheetId="1">[1]fixedcosts!#REF!</definedName>
    <definedName name="_____vol2" localSheetId="0">[1]fixedcosts!#REF!</definedName>
    <definedName name="_____vol2">[1]fixedcosts!#REF!</definedName>
    <definedName name="_____xlfn.BAHTTEXT" localSheetId="1" hidden="1">#NAME?</definedName>
    <definedName name="_____xlfn.BAHTTEXT">#N/A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1">#REF!</definedName>
    <definedName name="____DAT11" localSheetId="0">#REF!</definedName>
    <definedName name="____DAT11">#REF!</definedName>
    <definedName name="____DAT12" localSheetId="1">#REF!</definedName>
    <definedName name="____DAT12" localSheetId="0">#REF!</definedName>
    <definedName name="____DAT12">#REF!</definedName>
    <definedName name="____DAT13" localSheetId="1">#REF!</definedName>
    <definedName name="____DAT13" localSheetId="0">#REF!</definedName>
    <definedName name="____DAT13">#REF!</definedName>
    <definedName name="____DAT2" localSheetId="1">#REF!</definedName>
    <definedName name="____DAT2" localSheetId="0">#REF!</definedName>
    <definedName name="____DAT2">#REF!</definedName>
    <definedName name="____DAT3" localSheetId="1">#REF!</definedName>
    <definedName name="____DAT3" localSheetId="0">#REF!</definedName>
    <definedName name="____DAT3">#REF!</definedName>
    <definedName name="____DAT4" localSheetId="1">#REF!</definedName>
    <definedName name="____DAT4" localSheetId="0">#REF!</definedName>
    <definedName name="____DAT4">#REF!</definedName>
    <definedName name="____DAT5" localSheetId="1">#REF!</definedName>
    <definedName name="____DAT5" localSheetId="0">#REF!</definedName>
    <definedName name="____DAT5">#REF!</definedName>
    <definedName name="____DAT6" localSheetId="1">#REF!</definedName>
    <definedName name="____DAT6" localSheetId="0">#REF!</definedName>
    <definedName name="____DAT6">#REF!</definedName>
    <definedName name="____DAT7" localSheetId="1">#REF!</definedName>
    <definedName name="____DAT7" localSheetId="0">#REF!</definedName>
    <definedName name="____DAT7">#REF!</definedName>
    <definedName name="____DAT8" localSheetId="1">#REF!</definedName>
    <definedName name="____DAT8" localSheetId="0">#REF!</definedName>
    <definedName name="____DAT8">#REF!</definedName>
    <definedName name="____DAT9" localSheetId="1">#REF!</definedName>
    <definedName name="____DAT9" localSheetId="0">#REF!</definedName>
    <definedName name="____DAT9">#REF!</definedName>
    <definedName name="____VAR1" localSheetId="1">#REF!</definedName>
    <definedName name="____VAR1" localSheetId="0">#REF!</definedName>
    <definedName name="____VAR1">#REF!</definedName>
    <definedName name="____VAR2" localSheetId="1">#REF!</definedName>
    <definedName name="____VAR2" localSheetId="0">#REF!</definedName>
    <definedName name="____VAR2">#REF!</definedName>
    <definedName name="____vol2" localSheetId="1">[2]fixedcosts!#REF!</definedName>
    <definedName name="____vol2" localSheetId="0">[2]fixedcosts!#REF!</definedName>
    <definedName name="____vol2">[2]fixedcosts!#REF!</definedName>
    <definedName name="____xlfn.BAHTTEXT" localSheetId="1" hidden="1">#NAME?</definedName>
    <definedName name="____xlfn.BAHTTEXT">#N/A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2" localSheetId="1">#REF!</definedName>
    <definedName name="___DAT2" localSheetId="0">#REF!</definedName>
    <definedName name="___DAT2">#REF!</definedName>
    <definedName name="___DAT3" localSheetId="1">#REF!</definedName>
    <definedName name="___DAT3" localSheetId="0">#REF!</definedName>
    <definedName name="___DAT3">#REF!</definedName>
    <definedName name="___DAT4" localSheetId="1">#REF!</definedName>
    <definedName name="___DAT4" localSheetId="0">#REF!</definedName>
    <definedName name="___DAT4">#REF!</definedName>
    <definedName name="___DAT5" localSheetId="1">#REF!</definedName>
    <definedName name="___DAT5" localSheetId="0">#REF!</definedName>
    <definedName name="___DAT5">#REF!</definedName>
    <definedName name="___DAT6" localSheetId="1">#REF!</definedName>
    <definedName name="___DAT6" localSheetId="0">#REF!</definedName>
    <definedName name="___DAT6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VAR1" localSheetId="1">#REF!</definedName>
    <definedName name="___VAR1" localSheetId="0">#REF!</definedName>
    <definedName name="___VAR1">#REF!</definedName>
    <definedName name="___VAR2" localSheetId="1">#REF!</definedName>
    <definedName name="___VAR2" localSheetId="0">#REF!</definedName>
    <definedName name="___VAR2">#REF!</definedName>
    <definedName name="___vol2" localSheetId="1">[1]fixedcosts!#REF!</definedName>
    <definedName name="___vol2" localSheetId="0">[1]fixedcosts!#REF!</definedName>
    <definedName name="___vol2">[1]fixedcosts!#REF!</definedName>
    <definedName name="___xlfn.BAHTTEXT" localSheetId="1" hidden="1">#NAME?</definedName>
    <definedName name="___xlfn.BAHTTEXT">#N/A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2" localSheetId="1">#REF!</definedName>
    <definedName name="__DAT2" localSheetId="0">#REF!</definedName>
    <definedName name="__DAT2">#REF!</definedName>
    <definedName name="__DAT3" localSheetId="1">#REF!</definedName>
    <definedName name="__DAT3" localSheetId="0">#REF!</definedName>
    <definedName name="__DAT3">#REF!</definedName>
    <definedName name="__DAT4" localSheetId="1">#REF!</definedName>
    <definedName name="__DAT4" localSheetId="0">#REF!</definedName>
    <definedName name="__DAT4">#REF!</definedName>
    <definedName name="__DAT5" localSheetId="1">#REF!</definedName>
    <definedName name="__DAT5" localSheetId="0">#REF!</definedName>
    <definedName name="__DAT5">#REF!</definedName>
    <definedName name="__DAT6" localSheetId="1">#REF!</definedName>
    <definedName name="__DAT6" localSheetId="0">#REF!</definedName>
    <definedName name="__DAT6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VAR1" localSheetId="1">#REF!</definedName>
    <definedName name="__VAR1" localSheetId="0">#REF!</definedName>
    <definedName name="__VAR1">#REF!</definedName>
    <definedName name="__VAR2" localSheetId="1">#REF!</definedName>
    <definedName name="__VAR2" localSheetId="0">#REF!</definedName>
    <definedName name="__VAR2">#REF!</definedName>
    <definedName name="__vol2" localSheetId="1">[1]fixedcosts!#REF!</definedName>
    <definedName name="__vol2" localSheetId="0">[1]fixedcosts!#REF!</definedName>
    <definedName name="__vol2">[1]fixedcosts!#REF!</definedName>
    <definedName name="__xlfn.BAHTTEXT" localSheetId="1" hidden="1">#NAME?</definedName>
    <definedName name="__xlfn.BAHTTEXT">#N/A</definedName>
    <definedName name="_1________123Graph_ACHART_2" localSheetId="1" hidden="1">'[3]PF bridge'!#REF!</definedName>
    <definedName name="_1________123Graph_ACHART_2" localSheetId="0">'[3]PF bridge'!#REF!</definedName>
    <definedName name="_1________123Graph_ACHART_2">'[3]PF bridge'!#REF!</definedName>
    <definedName name="_1__123Graph_ACHART_2" localSheetId="1" hidden="1">'[4]PF bridge'!#REF!</definedName>
    <definedName name="_1__123Graph_ACHART_2" localSheetId="0">'[4]PF bridge'!#REF!</definedName>
    <definedName name="_1__123Graph_ACHART_2">'[4]PF bridge'!#REF!</definedName>
    <definedName name="_10________123Graph_DCHART_2" localSheetId="1" hidden="1">'[3]PF bridge'!#REF!</definedName>
    <definedName name="_10________123Graph_DCHART_2" localSheetId="0">'[3]PF bridge'!#REF!</definedName>
    <definedName name="_10________123Graph_DCHART_2">'[3]PF bridge'!#REF!</definedName>
    <definedName name="_10__123Graph_CCHART_2" localSheetId="1" hidden="1">'[4]PF bridge'!#REF!</definedName>
    <definedName name="_10__123Graph_CCHART_2" localSheetId="0">'[4]PF bridge'!#REF!</definedName>
    <definedName name="_10__123Graph_CCHART_2">'[4]PF bridge'!#REF!</definedName>
    <definedName name="_10__123Graph_DCHART_2" localSheetId="1" hidden="1">'[4]PF bridge'!#REF!</definedName>
    <definedName name="_10__123Graph_DCHART_2" localSheetId="0">'[4]PF bridge'!#REF!</definedName>
    <definedName name="_10__123Graph_DCHART_2">'[4]PF bridge'!#REF!</definedName>
    <definedName name="_100___123Graph_ECHART_4">'[5]Year to Date'!$K$36:$K$41</definedName>
    <definedName name="_101___123Graph_XCHART_2" localSheetId="1" hidden="1">'[3]PF bridge'!#REF!</definedName>
    <definedName name="_101___123Graph_XCHART_2" localSheetId="0">'[3]PF bridge'!#REF!</definedName>
    <definedName name="_101___123Graph_XCHART_2">'[3]PF bridge'!#REF!</definedName>
    <definedName name="_102___123Graph_XCHART_4">'[5]Year to Date'!$A$36:$A$41</definedName>
    <definedName name="_103__123Graph_ACHART_2" localSheetId="1" hidden="1">'[4]PF bridge'!#REF!</definedName>
    <definedName name="_103__123Graph_ACHART_2" localSheetId="0">'[4]PF bridge'!#REF!</definedName>
    <definedName name="_103__123Graph_ACHART_2">'[4]PF bridge'!#REF!</definedName>
    <definedName name="_104__123Graph_ACHART_3">'[6]Year to Date'!$F$23:$F$28</definedName>
    <definedName name="_105__123Graph_ACHART_4">'[6]Year to Date'!$F$36:$F$41</definedName>
    <definedName name="_106__123Graph_BCHART_2" localSheetId="1" hidden="1">'[4]PF bridge'!#REF!</definedName>
    <definedName name="_106__123Graph_BCHART_2" localSheetId="0">'[4]PF bridge'!#REF!</definedName>
    <definedName name="_106__123Graph_BCHART_2">'[4]PF bridge'!#REF!</definedName>
    <definedName name="_107__123Graph_BCHART_3">'[6]Year to Date'!$G$23:$G$28</definedName>
    <definedName name="_108__123Graph_BCHART_4">'[6]Year to Date'!$G$36:$G$41</definedName>
    <definedName name="_109__123Graph_CCHART_2" localSheetId="1" hidden="1">'[4]PF bridge'!#REF!</definedName>
    <definedName name="_109__123Graph_CCHART_2" localSheetId="0">'[4]PF bridge'!#REF!</definedName>
    <definedName name="_109__123Graph_CCHART_2">'[4]PF bridge'!#REF!</definedName>
    <definedName name="_11________123Graph_DCHART_3">'[5]Year to Date'!$J$23:$J$28</definedName>
    <definedName name="_11__123Graph_CCHART_3">'[6]Year to Date'!$H$23:$H$28</definedName>
    <definedName name="_11__123Graph_DCHART_3">'[6]Year to Date'!$J$23:$J$28</definedName>
    <definedName name="_110__123Graph_CCHART_3">'[6]Year to Date'!$H$23:$H$28</definedName>
    <definedName name="_111__123Graph_CCHART_4">'[6]Year to Date'!$H$36:$H$41</definedName>
    <definedName name="_112__123Graph_DCHART_2" localSheetId="1" hidden="1">'[4]PF bridge'!#REF!</definedName>
    <definedName name="_112__123Graph_DCHART_2" localSheetId="0">'[4]PF bridge'!#REF!</definedName>
    <definedName name="_112__123Graph_DCHART_2">'[4]PF bridge'!#REF!</definedName>
    <definedName name="_113__123Graph_DCHART_3">'[6]Year to Date'!$J$23:$J$28</definedName>
    <definedName name="_114__123Graph_DCHART_4">'[6]Year to Date'!$J$36:$J$41</definedName>
    <definedName name="_115__123Graph_ECHART_2" localSheetId="1" hidden="1">'[4]PF bridge'!#REF!</definedName>
    <definedName name="_115__123Graph_ECHART_2" localSheetId="0">'[4]PF bridge'!#REF!</definedName>
    <definedName name="_115__123Graph_ECHART_2">'[4]PF bridge'!#REF!</definedName>
    <definedName name="_116__123Graph_ECHART_3">'[6]Year to Date'!$K$23:$K$28</definedName>
    <definedName name="_117__123Graph_ECHART_4">'[6]Year to Date'!$K$36:$K$41</definedName>
    <definedName name="_118__123Graph_XCHART_2" localSheetId="1" hidden="1">'[4]PF bridge'!#REF!</definedName>
    <definedName name="_118__123Graph_XCHART_2" localSheetId="0">'[4]PF bridge'!#REF!</definedName>
    <definedName name="_118__123Graph_XCHART_2">'[4]PF bridge'!#REF!</definedName>
    <definedName name="_119__123Graph_XCHART_4">'[6]Year to Date'!$A$36:$A$41</definedName>
    <definedName name="_12________123Graph_DCHART_4">'[5]Year to Date'!$J$36:$J$41</definedName>
    <definedName name="_12__123Graph_CCHART_4">'[6]Year to Date'!$H$36:$H$41</definedName>
    <definedName name="_12__123Graph_DCHART_4">'[6]Year to Date'!$J$36:$J$41</definedName>
    <definedName name="_13________123Graph_ECHART_2" localSheetId="1" hidden="1">'[3]PF bridge'!#REF!</definedName>
    <definedName name="_13________123Graph_ECHART_2" localSheetId="0">'[3]PF bridge'!#REF!</definedName>
    <definedName name="_13________123Graph_ECHART_2">'[3]PF bridge'!#REF!</definedName>
    <definedName name="_13__123Graph_ECHART_2" localSheetId="1" hidden="1">'[4]PF bridge'!#REF!</definedName>
    <definedName name="_13__123Graph_ECHART_2" localSheetId="0">'[4]PF bridge'!#REF!</definedName>
    <definedName name="_13__123Graph_ECHART_2">'[4]PF bridge'!#REF!</definedName>
    <definedName name="_14________123Graph_ECHART_3">'[5]Year to Date'!$K$23:$K$28</definedName>
    <definedName name="_14__123Graph_DCHART_2" localSheetId="1" hidden="1">'[4]PF bridge'!#REF!</definedName>
    <definedName name="_14__123Graph_DCHART_2" localSheetId="0">'[4]PF bridge'!#REF!</definedName>
    <definedName name="_14__123Graph_DCHART_2">'[4]PF bridge'!#REF!</definedName>
    <definedName name="_14__123Graph_ECHART_3">'[6]Year to Date'!$K$23:$K$28</definedName>
    <definedName name="_15________123Graph_ECHART_4">'[5]Year to Date'!$K$36:$K$41</definedName>
    <definedName name="_15__123Graph_DCHART_3">'[6]Year to Date'!$J$23:$J$28</definedName>
    <definedName name="_15__123Graph_ECHART_4">'[6]Year to Date'!$K$36:$K$41</definedName>
    <definedName name="_16________123Graph_XCHART_2" localSheetId="1" hidden="1">'[3]PF bridge'!#REF!</definedName>
    <definedName name="_16________123Graph_XCHART_2" localSheetId="0">'[3]PF bridge'!#REF!</definedName>
    <definedName name="_16________123Graph_XCHART_2">'[3]PF bridge'!#REF!</definedName>
    <definedName name="_16__123Graph_DCHART_4">'[6]Year to Date'!$J$36:$J$41</definedName>
    <definedName name="_16__123Graph_XCHART_2" localSheetId="1" hidden="1">'[4]PF bridge'!#REF!</definedName>
    <definedName name="_16__123Graph_XCHART_2" localSheetId="0">'[4]PF bridge'!#REF!</definedName>
    <definedName name="_16__123Graph_XCHART_2">'[4]PF bridge'!#REF!</definedName>
    <definedName name="_17________123Graph_XCHART_4">'[5]Year to Date'!$A$36:$A$41</definedName>
    <definedName name="_17__123Graph_XCHART_4">'[6]Year to Date'!$A$36:$A$41</definedName>
    <definedName name="_18" localSheetId="1">[7]fixedcosts!#REF!</definedName>
    <definedName name="_18" localSheetId="0">[7]fixedcosts!#REF!</definedName>
    <definedName name="_18">[7]fixedcosts!#REF!</definedName>
    <definedName name="_18_______123Graph_ACHART_2" localSheetId="1" hidden="1">'[3]PF bridge'!#REF!</definedName>
    <definedName name="_18_______123Graph_ACHART_2" localSheetId="0">'[3]PF bridge'!#REF!</definedName>
    <definedName name="_18_______123Graph_ACHART_2">'[3]PF bridge'!#REF!</definedName>
    <definedName name="_18__123Graph_ECHART_2" localSheetId="1" hidden="1">'[4]PF bridge'!#REF!</definedName>
    <definedName name="_18__123Graph_ECHART_2" localSheetId="0">'[4]PF bridge'!#REF!</definedName>
    <definedName name="_18__123Graph_ECHART_2">'[4]PF bridge'!#REF!</definedName>
    <definedName name="_18_1" localSheetId="1">[1]fixedcosts!#REF!</definedName>
    <definedName name="_18_1" localSheetId="0">[1]fixedcosts!#REF!</definedName>
    <definedName name="_18_1">[1]fixedcosts!#REF!</definedName>
    <definedName name="_18_3" localSheetId="1">[1]fixedcosts!#REF!</definedName>
    <definedName name="_18_3" localSheetId="0">[1]fixedcosts!#REF!</definedName>
    <definedName name="_18_3">[1]fixedcosts!#REF!</definedName>
    <definedName name="_18_4" localSheetId="1">[1]fixedcosts!#REF!</definedName>
    <definedName name="_18_4" localSheetId="0">[1]fixedcosts!#REF!</definedName>
    <definedName name="_18_4">[1]fixedcosts!#REF!</definedName>
    <definedName name="_19_______123Graph_ACHART_3">'[5]Year to Date'!$F$23:$F$28</definedName>
    <definedName name="_19__123Graph_ECHART_3">'[6]Year to Date'!$K$23:$K$28</definedName>
    <definedName name="_2________123Graph_ACHART_3">'[5]Year to Date'!$F$23:$F$28</definedName>
    <definedName name="_2__123Graph_ACHART_2" localSheetId="1" hidden="1">'[4]PF bridge'!#REF!</definedName>
    <definedName name="_2__123Graph_ACHART_2" localSheetId="0">'[4]PF bridge'!#REF!</definedName>
    <definedName name="_2__123Graph_ACHART_2">'[4]PF bridge'!#REF!</definedName>
    <definedName name="_2__123Graph_ACHART_3">'[6]Year to Date'!$F$23:$F$28</definedName>
    <definedName name="_20_______123Graph_ACHART_4">'[5]Year to Date'!$F$36:$F$41</definedName>
    <definedName name="_20__123Graph_ECHART_4">'[6]Year to Date'!$K$36:$K$41</definedName>
    <definedName name="_21_______123Graph_BCHART_2" localSheetId="1" hidden="1">'[3]PF bridge'!#REF!</definedName>
    <definedName name="_21_______123Graph_BCHART_2" localSheetId="0">'[3]PF bridge'!#REF!</definedName>
    <definedName name="_21_______123Graph_BCHART_2">'[3]PF bridge'!#REF!</definedName>
    <definedName name="_22_______123Graph_BCHART_3">'[5]Year to Date'!$G$23:$G$28</definedName>
    <definedName name="_22__123Graph_XCHART_2" localSheetId="1" hidden="1">'[4]PF bridge'!#REF!</definedName>
    <definedName name="_22__123Graph_XCHART_2" localSheetId="0">'[4]PF bridge'!#REF!</definedName>
    <definedName name="_22__123Graph_XCHART_2">'[4]PF bridge'!#REF!</definedName>
    <definedName name="_23_______123Graph_BCHART_4">'[5]Year to Date'!$G$36:$G$41</definedName>
    <definedName name="_23__123Graph_XCHART_4">'[6]Year to Date'!$A$36:$A$41</definedName>
    <definedName name="_24_______123Graph_CCHART_2" localSheetId="1" hidden="1">'[3]PF bridge'!#REF!</definedName>
    <definedName name="_24_______123Graph_CCHART_2" localSheetId="0">'[3]PF bridge'!#REF!</definedName>
    <definedName name="_24_______123Graph_CCHART_2">'[3]PF bridge'!#REF!</definedName>
    <definedName name="_25_______123Graph_CCHART_3">'[5]Year to Date'!$H$23:$H$28</definedName>
    <definedName name="_26" localSheetId="1">[7]fixedcosts!#REF!</definedName>
    <definedName name="_26" localSheetId="0">[7]fixedcosts!#REF!</definedName>
    <definedName name="_26">[7]fixedcosts!#REF!</definedName>
    <definedName name="_26_______123Graph_CCHART_4">'[5]Year to Date'!$H$36:$H$41</definedName>
    <definedName name="_26_1" localSheetId="1">[1]fixedcosts!#REF!</definedName>
    <definedName name="_26_1" localSheetId="0">[1]fixedcosts!#REF!</definedName>
    <definedName name="_26_1">[1]fixedcosts!#REF!</definedName>
    <definedName name="_26_3" localSheetId="1">[1]fixedcosts!#REF!</definedName>
    <definedName name="_26_3" localSheetId="0">[1]fixedcosts!#REF!</definedName>
    <definedName name="_26_3">[1]fixedcosts!#REF!</definedName>
    <definedName name="_26_4" localSheetId="1">[1]fixedcosts!#REF!</definedName>
    <definedName name="_26_4" localSheetId="0">[1]fixedcosts!#REF!</definedName>
    <definedName name="_26_4">[1]fixedcosts!#REF!</definedName>
    <definedName name="_27" localSheetId="1">[7]fixedcosts!#REF!</definedName>
    <definedName name="_27" localSheetId="0">[7]fixedcosts!#REF!</definedName>
    <definedName name="_27">[7]fixedcosts!#REF!</definedName>
    <definedName name="_27_______123Graph_DCHART_2" localSheetId="1" hidden="1">'[3]PF bridge'!#REF!</definedName>
    <definedName name="_27_______123Graph_DCHART_2" localSheetId="0">'[3]PF bridge'!#REF!</definedName>
    <definedName name="_27_______123Graph_DCHART_2">'[3]PF bridge'!#REF!</definedName>
    <definedName name="_27_1" localSheetId="1">[1]fixedcosts!#REF!</definedName>
    <definedName name="_27_1" localSheetId="0">[1]fixedcosts!#REF!</definedName>
    <definedName name="_27_1">[1]fixedcosts!#REF!</definedName>
    <definedName name="_27_3" localSheetId="1">[1]fixedcosts!#REF!</definedName>
    <definedName name="_27_3" localSheetId="0">[1]fixedcosts!#REF!</definedName>
    <definedName name="_27_3">[1]fixedcosts!#REF!</definedName>
    <definedName name="_27_4" localSheetId="1">[1]fixedcosts!#REF!</definedName>
    <definedName name="_27_4" localSheetId="0">[1]fixedcosts!#REF!</definedName>
    <definedName name="_27_4">[1]fixedcosts!#REF!</definedName>
    <definedName name="_28" localSheetId="1">[7]fixedcosts!#REF!</definedName>
    <definedName name="_28" localSheetId="0">[7]fixedcosts!#REF!</definedName>
    <definedName name="_28">[7]fixedcosts!#REF!</definedName>
    <definedName name="_28_______123Graph_DCHART_3">'[5]Year to Date'!$J$23:$J$28</definedName>
    <definedName name="_28_1" localSheetId="1">[1]fixedcosts!#REF!</definedName>
    <definedName name="_28_1" localSheetId="0">[1]fixedcosts!#REF!</definedName>
    <definedName name="_28_1">[1]fixedcosts!#REF!</definedName>
    <definedName name="_28_3" localSheetId="1">[1]fixedcosts!#REF!</definedName>
    <definedName name="_28_3" localSheetId="0">[1]fixedcosts!#REF!</definedName>
    <definedName name="_28_3">[1]fixedcosts!#REF!</definedName>
    <definedName name="_28_4" localSheetId="1">[1]fixedcosts!#REF!</definedName>
    <definedName name="_28_4" localSheetId="0">[1]fixedcosts!#REF!</definedName>
    <definedName name="_28_4">[1]fixedcosts!#REF!</definedName>
    <definedName name="_29_______123Graph_DCHART_4">'[5]Year to Date'!$J$36:$J$41</definedName>
    <definedName name="_3________123Graph_ACHART_4">'[5]Year to Date'!$F$36:$F$41</definedName>
    <definedName name="_3__123Graph_ACHART_3">'[6]Year to Date'!$F$23:$F$28</definedName>
    <definedName name="_3__123Graph_ACHART_4">'[6]Year to Date'!$F$36:$F$41</definedName>
    <definedName name="_30" localSheetId="1">[8]fixedcosts!#REF!</definedName>
    <definedName name="_30" localSheetId="0">[8]fixedcosts!#REF!</definedName>
    <definedName name="_30">[8]fixedcosts!#REF!</definedName>
    <definedName name="_30_______123Graph_ECHART_2" localSheetId="1" hidden="1">'[3]PF bridge'!#REF!</definedName>
    <definedName name="_30_______123Graph_ECHART_2" localSheetId="0">'[3]PF bridge'!#REF!</definedName>
    <definedName name="_30_______123Graph_ECHART_2">'[3]PF bridge'!#REF!</definedName>
    <definedName name="_31" localSheetId="1">[7]fixedcosts!#REF!</definedName>
    <definedName name="_31" localSheetId="0">[7]fixedcosts!#REF!</definedName>
    <definedName name="_31">[7]fixedcosts!#REF!</definedName>
    <definedName name="_31_______123Graph_ECHART_3">'[5]Year to Date'!$K$23:$K$28</definedName>
    <definedName name="_31_1" localSheetId="1">[1]fixedcosts!#REF!</definedName>
    <definedName name="_31_1" localSheetId="0">[1]fixedcosts!#REF!</definedName>
    <definedName name="_31_1">[1]fixedcosts!#REF!</definedName>
    <definedName name="_31_3" localSheetId="1">[1]fixedcosts!#REF!</definedName>
    <definedName name="_31_3" localSheetId="0">[1]fixedcosts!#REF!</definedName>
    <definedName name="_31_3">[1]fixedcosts!#REF!</definedName>
    <definedName name="_31_4" localSheetId="1">[1]fixedcosts!#REF!</definedName>
    <definedName name="_31_4" localSheetId="0">[1]fixedcosts!#REF!</definedName>
    <definedName name="_31_4">[1]fixedcosts!#REF!</definedName>
    <definedName name="_32_______123Graph_ECHART_4">'[5]Year to Date'!$K$36:$K$41</definedName>
    <definedName name="_33_______123Graph_XCHART_2" localSheetId="1" hidden="1">'[3]PF bridge'!#REF!</definedName>
    <definedName name="_33_______123Graph_XCHART_2" localSheetId="0">'[3]PF bridge'!#REF!</definedName>
    <definedName name="_33_______123Graph_XCHART_2">'[3]PF bridge'!#REF!</definedName>
    <definedName name="_34_______123Graph_XCHART_4">'[5]Year to Date'!$A$36:$A$41</definedName>
    <definedName name="_35" localSheetId="1">[7]fixedcosts!#REF!</definedName>
    <definedName name="_35" localSheetId="0">[7]fixedcosts!#REF!</definedName>
    <definedName name="_35">[7]fixedcosts!#REF!</definedName>
    <definedName name="_35______123Graph_ACHART_2" localSheetId="1" hidden="1">'[3]PF bridge'!#REF!</definedName>
    <definedName name="_35______123Graph_ACHART_2" localSheetId="0">'[3]PF bridge'!#REF!</definedName>
    <definedName name="_35______123Graph_ACHART_2">'[3]PF bridge'!#REF!</definedName>
    <definedName name="_35_1" localSheetId="1">[1]fixedcosts!#REF!</definedName>
    <definedName name="_35_1" localSheetId="0">[1]fixedcosts!#REF!</definedName>
    <definedName name="_35_1">[1]fixedcosts!#REF!</definedName>
    <definedName name="_35_3" localSheetId="1">[1]fixedcosts!#REF!</definedName>
    <definedName name="_35_3" localSheetId="0">[1]fixedcosts!#REF!</definedName>
    <definedName name="_35_3">[1]fixedcosts!#REF!</definedName>
    <definedName name="_35_4" localSheetId="1">[1]fixedcosts!#REF!</definedName>
    <definedName name="_35_4" localSheetId="0">[1]fixedcosts!#REF!</definedName>
    <definedName name="_35_4">[1]fixedcosts!#REF!</definedName>
    <definedName name="_36" localSheetId="1">[7]fixedcosts!#REF!</definedName>
    <definedName name="_36" localSheetId="0">[7]fixedcosts!#REF!</definedName>
    <definedName name="_36">[7]fixedcosts!#REF!</definedName>
    <definedName name="_36______123Graph_ACHART_3">'[5]Year to Date'!$F$23:$F$28</definedName>
    <definedName name="_36_1" localSheetId="1">[1]fixedcosts!#REF!</definedName>
    <definedName name="_36_1" localSheetId="0">[1]fixedcosts!#REF!</definedName>
    <definedName name="_36_1">[1]fixedcosts!#REF!</definedName>
    <definedName name="_36_3" localSheetId="1">[1]fixedcosts!#REF!</definedName>
    <definedName name="_36_3" localSheetId="0">[1]fixedcosts!#REF!</definedName>
    <definedName name="_36_3">[1]fixedcosts!#REF!</definedName>
    <definedName name="_36_4" localSheetId="1">[1]fixedcosts!#REF!</definedName>
    <definedName name="_36_4" localSheetId="0">[1]fixedcosts!#REF!</definedName>
    <definedName name="_36_4">[1]fixedcosts!#REF!</definedName>
    <definedName name="_37______123Graph_ACHART_4">'[5]Year to Date'!$F$36:$F$41</definedName>
    <definedName name="_38______123Graph_BCHART_2" localSheetId="1" hidden="1">'[3]PF bridge'!#REF!</definedName>
    <definedName name="_38______123Graph_BCHART_2" localSheetId="0">'[3]PF bridge'!#REF!</definedName>
    <definedName name="_38______123Graph_BCHART_2">'[3]PF bridge'!#REF!</definedName>
    <definedName name="_39______123Graph_BCHART_3">'[5]Year to Date'!$G$23:$G$28</definedName>
    <definedName name="_4" localSheetId="1">[7]fixedcosts!#REF!</definedName>
    <definedName name="_4" localSheetId="0">[7]fixedcosts!#REF!</definedName>
    <definedName name="_4">[7]fixedcosts!#REF!</definedName>
    <definedName name="_4________123Graph_BCHART_2" localSheetId="1" hidden="1">'[3]PF bridge'!#REF!</definedName>
    <definedName name="_4________123Graph_BCHART_2" localSheetId="0">'[3]PF bridge'!#REF!</definedName>
    <definedName name="_4________123Graph_BCHART_2">'[3]PF bridge'!#REF!</definedName>
    <definedName name="_4__123Graph_ACHART_4">'[6]Year to Date'!$F$36:$F$41</definedName>
    <definedName name="_4__123Graph_BCHART_2" localSheetId="1" hidden="1">'[4]PF bridge'!#REF!</definedName>
    <definedName name="_4__123Graph_BCHART_2" localSheetId="0">'[4]PF bridge'!#REF!</definedName>
    <definedName name="_4__123Graph_BCHART_2">'[4]PF bridge'!#REF!</definedName>
    <definedName name="_4_1" localSheetId="1">[1]fixedcosts!#REF!</definedName>
    <definedName name="_4_1" localSheetId="0">[1]fixedcosts!#REF!</definedName>
    <definedName name="_4_1">[1]fixedcosts!#REF!</definedName>
    <definedName name="_4_3" localSheetId="1">[1]fixedcosts!#REF!</definedName>
    <definedName name="_4_3" localSheetId="0">[1]fixedcosts!#REF!</definedName>
    <definedName name="_4_3">[1]fixedcosts!#REF!</definedName>
    <definedName name="_4_4" localSheetId="1">[1]fixedcosts!#REF!</definedName>
    <definedName name="_4_4" localSheetId="0">[1]fixedcosts!#REF!</definedName>
    <definedName name="_4_4">[1]fixedcosts!#REF!</definedName>
    <definedName name="_40______123Graph_BCHART_4">'[5]Year to Date'!$G$36:$G$41</definedName>
    <definedName name="_41______123Graph_CCHART_2" localSheetId="1" hidden="1">'[3]PF bridge'!#REF!</definedName>
    <definedName name="_41______123Graph_CCHART_2" localSheetId="0">'[3]PF bridge'!#REF!</definedName>
    <definedName name="_41______123Graph_CCHART_2">'[3]PF bridge'!#REF!</definedName>
    <definedName name="_42______123Graph_CCHART_3">'[5]Year to Date'!$H$23:$H$28</definedName>
    <definedName name="_43______123Graph_CCHART_4">'[5]Year to Date'!$H$36:$H$41</definedName>
    <definedName name="_44______123Graph_DCHART_2" localSheetId="1" hidden="1">'[3]PF bridge'!#REF!</definedName>
    <definedName name="_44______123Graph_DCHART_2" localSheetId="0">'[3]PF bridge'!#REF!</definedName>
    <definedName name="_44______123Graph_DCHART_2">'[3]PF bridge'!#REF!</definedName>
    <definedName name="_45______123Graph_DCHART_3">'[5]Year to Date'!$J$23:$J$28</definedName>
    <definedName name="_46______123Graph_DCHART_4">'[5]Year to Date'!$J$36:$J$41</definedName>
    <definedName name="_47______123Graph_ECHART_2" localSheetId="1" hidden="1">'[3]PF bridge'!#REF!</definedName>
    <definedName name="_47______123Graph_ECHART_2" localSheetId="0">'[3]PF bridge'!#REF!</definedName>
    <definedName name="_47______123Graph_ECHART_2">'[3]PF bridge'!#REF!</definedName>
    <definedName name="_48______123Graph_ECHART_3">'[5]Year to Date'!$K$23:$K$28</definedName>
    <definedName name="_49______123Graph_ECHART_4">'[5]Year to Date'!$K$36:$K$41</definedName>
    <definedName name="_5________123Graph_BCHART_3">'[5]Year to Date'!$G$23:$G$28</definedName>
    <definedName name="_5__123Graph_BCHART_3">'[6]Year to Date'!$G$23:$G$28</definedName>
    <definedName name="_50______123Graph_XCHART_2" localSheetId="1" hidden="1">'[3]PF bridge'!#REF!</definedName>
    <definedName name="_50______123Graph_XCHART_2" localSheetId="0">'[3]PF bridge'!#REF!</definedName>
    <definedName name="_50______123Graph_XCHART_2">'[3]PF bridge'!#REF!</definedName>
    <definedName name="_51______123Graph_XCHART_4">'[5]Year to Date'!$A$36:$A$41</definedName>
    <definedName name="_52_____123Graph_ACHART_2" localSheetId="1" hidden="1">'[3]PF bridge'!#REF!</definedName>
    <definedName name="_52_____123Graph_ACHART_2" localSheetId="0">'[3]PF bridge'!#REF!</definedName>
    <definedName name="_52_____123Graph_ACHART_2">'[3]PF bridge'!#REF!</definedName>
    <definedName name="_53_____123Graph_ACHART_3">'[5]Year to Date'!$F$23:$F$28</definedName>
    <definedName name="_54_____123Graph_ACHART_4">'[5]Year to Date'!$F$36:$F$41</definedName>
    <definedName name="_55_____123Graph_BCHART_2" localSheetId="1" hidden="1">'[3]PF bridge'!#REF!</definedName>
    <definedName name="_55_____123Graph_BCHART_2" localSheetId="0">'[3]PF bridge'!#REF!</definedName>
    <definedName name="_55_____123Graph_BCHART_2">'[3]PF bridge'!#REF!</definedName>
    <definedName name="_56_____123Graph_BCHART_3">'[5]Year to Date'!$G$23:$G$28</definedName>
    <definedName name="_57_____123Graph_BCHART_4">'[5]Year to Date'!$G$36:$G$41</definedName>
    <definedName name="_58_____123Graph_CCHART_2" localSheetId="1" hidden="1">'[3]PF bridge'!#REF!</definedName>
    <definedName name="_58_____123Graph_CCHART_2" localSheetId="0">'[3]PF bridge'!#REF!</definedName>
    <definedName name="_58_____123Graph_CCHART_2">'[3]PF bridge'!#REF!</definedName>
    <definedName name="_59_____123Graph_CCHART_3">'[5]Year to Date'!$H$23:$H$28</definedName>
    <definedName name="_6________123Graph_BCHART_4">'[5]Year to Date'!$G$36:$G$41</definedName>
    <definedName name="_6__123Graph_BCHART_2" localSheetId="1" hidden="1">'[4]PF bridge'!#REF!</definedName>
    <definedName name="_6__123Graph_BCHART_2" localSheetId="0">'[4]PF bridge'!#REF!</definedName>
    <definedName name="_6__123Graph_BCHART_2">'[4]PF bridge'!#REF!</definedName>
    <definedName name="_6__123Graph_BCHART_4">'[6]Year to Date'!$G$36:$G$41</definedName>
    <definedName name="_60_____123Graph_CCHART_4">'[5]Year to Date'!$H$36:$H$41</definedName>
    <definedName name="_61_____123Graph_DCHART_2" localSheetId="1" hidden="1">'[3]PF bridge'!#REF!</definedName>
    <definedName name="_61_____123Graph_DCHART_2" localSheetId="0">'[3]PF bridge'!#REF!</definedName>
    <definedName name="_61_____123Graph_DCHART_2">'[3]PF bridge'!#REF!</definedName>
    <definedName name="_62_____123Graph_DCHART_3">'[5]Year to Date'!$J$23:$J$28</definedName>
    <definedName name="_63_____123Graph_DCHART_4">'[5]Year to Date'!$J$36:$J$41</definedName>
    <definedName name="_64_____123Graph_ECHART_2" localSheetId="1" hidden="1">'[3]PF bridge'!#REF!</definedName>
    <definedName name="_64_____123Graph_ECHART_2" localSheetId="0">'[3]PF bridge'!#REF!</definedName>
    <definedName name="_64_____123Graph_ECHART_2">'[3]PF bridge'!#REF!</definedName>
    <definedName name="_65_____123Graph_ECHART_3">'[5]Year to Date'!$K$23:$K$28</definedName>
    <definedName name="_66_____123Graph_ECHART_4">'[5]Year to Date'!$K$36:$K$41</definedName>
    <definedName name="_67_____123Graph_XCHART_2" localSheetId="1" hidden="1">'[3]PF bridge'!#REF!</definedName>
    <definedName name="_67_____123Graph_XCHART_2" localSheetId="0">'[3]PF bridge'!#REF!</definedName>
    <definedName name="_67_____123Graph_XCHART_2">'[3]PF bridge'!#REF!</definedName>
    <definedName name="_68_____123Graph_XCHART_4">'[5]Year to Date'!$A$36:$A$41</definedName>
    <definedName name="_69____123Graph_ACHART_2" localSheetId="1" hidden="1">'[3]PF bridge'!#REF!</definedName>
    <definedName name="_69____123Graph_ACHART_2" localSheetId="0">'[3]PF bridge'!#REF!</definedName>
    <definedName name="_69____123Graph_ACHART_2">'[3]PF bridge'!#REF!</definedName>
    <definedName name="_7________123Graph_CCHART_2" localSheetId="1" hidden="1">'[3]PF bridge'!#REF!</definedName>
    <definedName name="_7________123Graph_CCHART_2" localSheetId="0">'[3]PF bridge'!#REF!</definedName>
    <definedName name="_7________123Graph_CCHART_2">'[3]PF bridge'!#REF!</definedName>
    <definedName name="_7__123Graph_BCHART_3">'[6]Year to Date'!$G$23:$G$28</definedName>
    <definedName name="_7__123Graph_CCHART_2" localSheetId="1" hidden="1">'[4]PF bridge'!#REF!</definedName>
    <definedName name="_7__123Graph_CCHART_2" localSheetId="0">'[4]PF bridge'!#REF!</definedName>
    <definedName name="_7__123Graph_CCHART_2">'[4]PF bridge'!#REF!</definedName>
    <definedName name="_70____123Graph_ACHART_3">'[5]Year to Date'!$F$23:$F$28</definedName>
    <definedName name="_71____123Graph_ACHART_4">'[5]Year to Date'!$F$36:$F$41</definedName>
    <definedName name="_72____123Graph_BCHART_2" localSheetId="1" hidden="1">'[3]PF bridge'!#REF!</definedName>
    <definedName name="_72____123Graph_BCHART_2" localSheetId="0">'[3]PF bridge'!#REF!</definedName>
    <definedName name="_72____123Graph_BCHART_2">'[3]PF bridge'!#REF!</definedName>
    <definedName name="_73____123Graph_BCHART_3">'[5]Year to Date'!$G$23:$G$28</definedName>
    <definedName name="_74____123Graph_BCHART_4">'[5]Year to Date'!$G$36:$G$41</definedName>
    <definedName name="_75____123Graph_CCHART_2" localSheetId="1" hidden="1">'[3]PF bridge'!#REF!</definedName>
    <definedName name="_75____123Graph_CCHART_2" localSheetId="0">'[3]PF bridge'!#REF!</definedName>
    <definedName name="_75____123Graph_CCHART_2">'[3]PF bridge'!#REF!</definedName>
    <definedName name="_76____123Graph_CCHART_3">'[5]Year to Date'!$H$23:$H$28</definedName>
    <definedName name="_77____123Graph_CCHART_4">'[5]Year to Date'!$H$36:$H$41</definedName>
    <definedName name="_78____123Graph_DCHART_2" localSheetId="1" hidden="1">'[3]PF bridge'!#REF!</definedName>
    <definedName name="_78____123Graph_DCHART_2" localSheetId="0">'[3]PF bridge'!#REF!</definedName>
    <definedName name="_78____123Graph_DCHART_2">'[3]PF bridge'!#REF!</definedName>
    <definedName name="_79____123Graph_DCHART_3">'[5]Year to Date'!$J$23:$J$28</definedName>
    <definedName name="_8________123Graph_CCHART_3">'[5]Year to Date'!$H$23:$H$28</definedName>
    <definedName name="_8__123Graph_BCHART_4">'[6]Year to Date'!$G$36:$G$41</definedName>
    <definedName name="_8__123Graph_CCHART_3">'[6]Year to Date'!$H$23:$H$28</definedName>
    <definedName name="_80____123Graph_DCHART_4">'[5]Year to Date'!$J$36:$J$41</definedName>
    <definedName name="_81____123Graph_ECHART_2" localSheetId="1" hidden="1">'[3]PF bridge'!#REF!</definedName>
    <definedName name="_81____123Graph_ECHART_2" localSheetId="0">'[3]PF bridge'!#REF!</definedName>
    <definedName name="_81____123Graph_ECHART_2">'[3]PF bridge'!#REF!</definedName>
    <definedName name="_82____123Graph_ECHART_3">'[5]Year to Date'!$K$23:$K$28</definedName>
    <definedName name="_83____123Graph_ECHART_4">'[5]Year to Date'!$K$36:$K$41</definedName>
    <definedName name="_84____123Graph_XCHART_2" localSheetId="1" hidden="1">'[3]PF bridge'!#REF!</definedName>
    <definedName name="_84____123Graph_XCHART_2" localSheetId="0">'[3]PF bridge'!#REF!</definedName>
    <definedName name="_84____123Graph_XCHART_2">'[3]PF bridge'!#REF!</definedName>
    <definedName name="_85____123Graph_XCHART_4">'[5]Year to Date'!$A$36:$A$41</definedName>
    <definedName name="_86___123Graph_ACHART_2" localSheetId="1" hidden="1">'[3]PF bridge'!#REF!</definedName>
    <definedName name="_86___123Graph_ACHART_2" localSheetId="0">'[3]PF bridge'!#REF!</definedName>
    <definedName name="_86___123Graph_ACHART_2">'[3]PF bridge'!#REF!</definedName>
    <definedName name="_87___123Graph_ACHART_3">'[5]Year to Date'!$F$23:$F$28</definedName>
    <definedName name="_88___123Graph_ACHART_4">'[5]Year to Date'!$F$36:$F$41</definedName>
    <definedName name="_89___123Graph_BCHART_2" localSheetId="1" hidden="1">'[3]PF bridge'!#REF!</definedName>
    <definedName name="_89___123Graph_BCHART_2" localSheetId="0">'[3]PF bridge'!#REF!</definedName>
    <definedName name="_89___123Graph_BCHART_2">'[3]PF bridge'!#REF!</definedName>
    <definedName name="_9________123Graph_CCHART_4">'[5]Year to Date'!$H$36:$H$41</definedName>
    <definedName name="_9__123Graph_CCHART_4">'[6]Year to Date'!$H$36:$H$41</definedName>
    <definedName name="_90___123Graph_BCHART_3">'[5]Year to Date'!$G$23:$G$28</definedName>
    <definedName name="_91___123Graph_BCHART_4">'[5]Year to Date'!$G$36:$G$41</definedName>
    <definedName name="_92___123Graph_CCHART_2" localSheetId="1" hidden="1">'[3]PF bridge'!#REF!</definedName>
    <definedName name="_92___123Graph_CCHART_2" localSheetId="0">'[3]PF bridge'!#REF!</definedName>
    <definedName name="_92___123Graph_CCHART_2">'[3]PF bridge'!#REF!</definedName>
    <definedName name="_93___123Graph_CCHART_3">'[5]Year to Date'!$H$23:$H$28</definedName>
    <definedName name="_94___123Graph_CCHART_4">'[5]Year to Date'!$H$36:$H$41</definedName>
    <definedName name="_95___123Graph_DCHART_2" localSheetId="1" hidden="1">'[3]PF bridge'!#REF!</definedName>
    <definedName name="_95___123Graph_DCHART_2" localSheetId="0">'[3]PF bridge'!#REF!</definedName>
    <definedName name="_95___123Graph_DCHART_2">'[3]PF bridge'!#REF!</definedName>
    <definedName name="_96___123Graph_DCHART_3">'[5]Year to Date'!$J$23:$J$28</definedName>
    <definedName name="_97___123Graph_DCHART_4">'[5]Year to Date'!$J$36:$J$41</definedName>
    <definedName name="_98___123Graph_ECHART_2" localSheetId="1" hidden="1">'[3]PF bridge'!#REF!</definedName>
    <definedName name="_98___123Graph_ECHART_2" localSheetId="0">'[3]PF bridge'!#REF!</definedName>
    <definedName name="_98___123Graph_ECHART_2">'[3]PF bridge'!#REF!</definedName>
    <definedName name="_99___123Graph_ECHART_3">'[5]Year to Date'!$K$23:$K$28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2" localSheetId="1">#REF!</definedName>
    <definedName name="_DAT2" localSheetId="0">#REF!</definedName>
    <definedName name="_DAT2">#REF!</definedName>
    <definedName name="_DAT3" localSheetId="1">#REF!</definedName>
    <definedName name="_DAT3" localSheetId="0">#REF!</definedName>
    <definedName name="_DAT3">#REF!</definedName>
    <definedName name="_DAT4" localSheetId="1">#REF!</definedName>
    <definedName name="_DAT4" localSheetId="0">#REF!</definedName>
    <definedName name="_DAT4">#REF!</definedName>
    <definedName name="_DAT5" localSheetId="1">#REF!</definedName>
    <definedName name="_DAT5" localSheetId="0">#REF!</definedName>
    <definedName name="_DAT5">#REF!</definedName>
    <definedName name="_DAT6" localSheetId="1">#REF!</definedName>
    <definedName name="_DAT6" localSheetId="0">#REF!</definedName>
    <definedName name="_DAT6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xlnm._FilterDatabase" localSheetId="1" hidden="1">'Backlog Reasons'!$B$6:$AQ$53</definedName>
    <definedName name="_xlnm._FilterDatabase" localSheetId="0" hidden="1">December!$8:$176</definedName>
    <definedName name="_ps4">'[6]Year to Date'!$G$36:$G$41</definedName>
    <definedName name="_VAR1" localSheetId="1">#REF!</definedName>
    <definedName name="_VAR1" localSheetId="0">#REF!</definedName>
    <definedName name="_VAR1">#REF!</definedName>
    <definedName name="_VAR2" localSheetId="1">#REF!</definedName>
    <definedName name="_VAR2" localSheetId="0">#REF!</definedName>
    <definedName name="_VAR2">#REF!</definedName>
    <definedName name="_vb" localSheetId="1" hidden="1">'[4]PF bridge'!#REF!</definedName>
    <definedName name="_vb" localSheetId="0">'[4]PF bridge'!#REF!</definedName>
    <definedName name="_vb">'[4]PF bridge'!#REF!</definedName>
    <definedName name="_vol2" localSheetId="1">[1]fixedcosts!#REF!</definedName>
    <definedName name="_vol2" localSheetId="0">[1]fixedcosts!#REF!</definedName>
    <definedName name="_vol2">[1]fixedcosts!#REF!</definedName>
    <definedName name="_volbridgenew" localSheetId="1">[1]fixedcosts!#REF!</definedName>
    <definedName name="_volbridgenew" localSheetId="0">[1]fixedcosts!#REF!</definedName>
    <definedName name="_volbridgenew">[1]fixedcosts!#REF!</definedName>
    <definedName name="A" localSheetId="1">#REF!</definedName>
    <definedName name="A" localSheetId="0">#REF!</definedName>
    <definedName name="A">#REF!</definedName>
    <definedName name="aa" localSheetId="1">#REF!</definedName>
    <definedName name="aa" localSheetId="0">#REF!</definedName>
    <definedName name="aa">#REF!</definedName>
    <definedName name="aaa" localSheetId="1">#REF!</definedName>
    <definedName name="aaa" localSheetId="0">#REF!</definedName>
    <definedName name="aaa">#REF!</definedName>
    <definedName name="aaaa" localSheetId="1">#REF!</definedName>
    <definedName name="aaaa" localSheetId="0">#REF!</definedName>
    <definedName name="aaaa">#REF!</definedName>
    <definedName name="abc" localSheetId="1">[7]fixedcosts!#REF!</definedName>
    <definedName name="abc" localSheetId="0">[7]fixedcosts!#REF!</definedName>
    <definedName name="abc">[7]fixedcosts!#REF!</definedName>
    <definedName name="AI" localSheetId="1">#REF!</definedName>
    <definedName name="AI" localSheetId="0">#REF!</definedName>
    <definedName name="AI">#REF!</definedName>
    <definedName name="ANACT02" localSheetId="1">#REF!</definedName>
    <definedName name="ANACT02" localSheetId="0">#REF!</definedName>
    <definedName name="ANACT02">#REF!</definedName>
    <definedName name="AQUA" localSheetId="1">#REF!</definedName>
    <definedName name="AQUA" localSheetId="0">#REF!</definedName>
    <definedName name="AQUA">#REF!</definedName>
    <definedName name="AQUARATION" localSheetId="1">#REF!</definedName>
    <definedName name="AQUARATION" localSheetId="0">#REF!</definedName>
    <definedName name="AQUARATION">#REF!</definedName>
    <definedName name="AQUARATION_16" localSheetId="1">#REF!</definedName>
    <definedName name="AQUARATION_16" localSheetId="0">#REF!</definedName>
    <definedName name="AQUARATION_16">#REF!</definedName>
    <definedName name="AQUARATION_16_1" localSheetId="1">#REF!</definedName>
    <definedName name="AQUARATION_16_1" localSheetId="0">#REF!</definedName>
    <definedName name="AQUARATION_16_1">#REF!</definedName>
    <definedName name="AQUARATION_16_3" localSheetId="1">#REF!</definedName>
    <definedName name="AQUARATION_16_3" localSheetId="0">#REF!</definedName>
    <definedName name="AQUARATION_16_3">#REF!</definedName>
    <definedName name="AQUARATION_16_4" localSheetId="1">#REF!</definedName>
    <definedName name="AQUARATION_16_4" localSheetId="0">#REF!</definedName>
    <definedName name="AQUARATION_16_4">#REF!</definedName>
    <definedName name="Aquarations" localSheetId="1">#REF!</definedName>
    <definedName name="Aquarations" localSheetId="0">#REF!</definedName>
    <definedName name="Aquarations">#REF!</definedName>
    <definedName name="Aquarations_1" localSheetId="1">#REF!</definedName>
    <definedName name="Aquarations_1" localSheetId="0">#REF!</definedName>
    <definedName name="Aquarations_1">#REF!</definedName>
    <definedName name="Aquarations_3" localSheetId="1">#REF!</definedName>
    <definedName name="Aquarations_3" localSheetId="0">#REF!</definedName>
    <definedName name="Aquarations_3">#REF!</definedName>
    <definedName name="Aquarations_4" localSheetId="1">#REF!</definedName>
    <definedName name="Aquarations_4" localSheetId="0">#REF!</definedName>
    <definedName name="Aquarations_4">#REF!</definedName>
    <definedName name="Armor_2___uses_its_extra_capacity_to_accommodate_FG_requirements_for_South." localSheetId="0">#REF!</definedName>
    <definedName name="Armor_2___uses_its_extra_capacity_to_accommodate_FG_requirements_for_South.">#REF!</definedName>
    <definedName name="AT" localSheetId="0">#REF!</definedName>
    <definedName name="AT">#REF!</definedName>
    <definedName name="B" localSheetId="1">#REF!</definedName>
    <definedName name="B" localSheetId="0">#REF!</definedName>
    <definedName name="B">#REF!</definedName>
    <definedName name="BBJKGKG" localSheetId="1">#REF!</definedName>
    <definedName name="BBJKGKG" localSheetId="0">#REF!</definedName>
    <definedName name="BBJKGKG">#REF!</definedName>
    <definedName name="BMP" localSheetId="1">#REF!</definedName>
    <definedName name="BMP" localSheetId="0">#REF!</definedName>
    <definedName name="BMP">#REF!</definedName>
    <definedName name="BOILER" localSheetId="1">#REF!</definedName>
    <definedName name="BOILER" localSheetId="0">#REF!</definedName>
    <definedName name="BOILER">#REF!</definedName>
    <definedName name="Bonanza" localSheetId="1">#REF!</definedName>
    <definedName name="Bonanza" localSheetId="0">#REF!</definedName>
    <definedName name="Bonanza">#REF!</definedName>
    <definedName name="Bonanza_16" localSheetId="1">#REF!</definedName>
    <definedName name="Bonanza_16" localSheetId="0">#REF!</definedName>
    <definedName name="Bonanza_16">#REF!</definedName>
    <definedName name="Bonanza_16_1" localSheetId="1">#REF!</definedName>
    <definedName name="Bonanza_16_1" localSheetId="0">#REF!</definedName>
    <definedName name="Bonanza_16_1">#REF!</definedName>
    <definedName name="Bonanza_16_3" localSheetId="1">#REF!</definedName>
    <definedName name="Bonanza_16_3" localSheetId="0">#REF!</definedName>
    <definedName name="Bonanza_16_3">#REF!</definedName>
    <definedName name="Bonanza_16_4" localSheetId="1">#REF!</definedName>
    <definedName name="Bonanza_16_4" localSheetId="0">#REF!</definedName>
    <definedName name="Bonanza_16_4">#REF!</definedName>
    <definedName name="BONNAZA" localSheetId="1">#REF!</definedName>
    <definedName name="BONNAZA" localSheetId="0">#REF!</definedName>
    <definedName name="BONNAZA">#REF!</definedName>
    <definedName name="Broiler" localSheetId="1">#REF!</definedName>
    <definedName name="Broiler" localSheetId="0">#REF!</definedName>
    <definedName name="Broiler">#REF!</definedName>
    <definedName name="Broiler_16" localSheetId="1">#REF!</definedName>
    <definedName name="Broiler_16" localSheetId="0">#REF!</definedName>
    <definedName name="Broiler_16">#REF!</definedName>
    <definedName name="Broiler_16_1" localSheetId="1">#REF!</definedName>
    <definedName name="Broiler_16_1" localSheetId="0">#REF!</definedName>
    <definedName name="Broiler_16_1">#REF!</definedName>
    <definedName name="Broiler_16_3" localSheetId="1">#REF!</definedName>
    <definedName name="Broiler_16_3" localSheetId="0">#REF!</definedName>
    <definedName name="Broiler_16_3">#REF!</definedName>
    <definedName name="Broiler_16_4" localSheetId="1">#REF!</definedName>
    <definedName name="Broiler_16_4" localSheetId="0">#REF!</definedName>
    <definedName name="Broiler_16_4">#REF!</definedName>
    <definedName name="CCCCCCCCCCCCCCCCCCCCCCCCCCCCC" localSheetId="1">#REF!</definedName>
    <definedName name="CCCCCCCCCCCCCCCCCCCCCCCCCCCCC" localSheetId="0">#REF!</definedName>
    <definedName name="CCCCCCCCCCCCCCCCCCCCCCCCCCCCC">#REF!</definedName>
    <definedName name="Conc" localSheetId="1">#REF!</definedName>
    <definedName name="Conc" localSheetId="0">#REF!</definedName>
    <definedName name="Conc">#REF!</definedName>
    <definedName name="Conc_16" localSheetId="1">#REF!</definedName>
    <definedName name="Conc_16" localSheetId="0">#REF!</definedName>
    <definedName name="Conc_16">#REF!</definedName>
    <definedName name="Conc_16_1" localSheetId="1">#REF!</definedName>
    <definedName name="Conc_16_1" localSheetId="0">#REF!</definedName>
    <definedName name="Conc_16_1">#REF!</definedName>
    <definedName name="Conc_16_3" localSheetId="1">#REF!</definedName>
    <definedName name="Conc_16_3" localSheetId="0">#REF!</definedName>
    <definedName name="Conc_16_3">#REF!</definedName>
    <definedName name="Conc_16_4" localSheetId="1">#REF!</definedName>
    <definedName name="Conc_16_4" localSheetId="0">#REF!</definedName>
    <definedName name="Conc_16_4">#REF!</definedName>
    <definedName name="Duck" localSheetId="1">#REF!</definedName>
    <definedName name="Duck" localSheetId="0">#REF!</definedName>
    <definedName name="Duck">#REF!</definedName>
    <definedName name="Duck_16" localSheetId="1">#REF!</definedName>
    <definedName name="Duck_16" localSheetId="0">#REF!</definedName>
    <definedName name="Duck_16">#REF!</definedName>
    <definedName name="Duck_16_1" localSheetId="1">#REF!</definedName>
    <definedName name="Duck_16_1" localSheetId="0">#REF!</definedName>
    <definedName name="Duck_16_1">#REF!</definedName>
    <definedName name="Duck_16_3" localSheetId="1">#REF!</definedName>
    <definedName name="Duck_16_3" localSheetId="0">#REF!</definedName>
    <definedName name="Duck_16_3">#REF!</definedName>
    <definedName name="Duck_16_4" localSheetId="1">#REF!</definedName>
    <definedName name="Duck_16_4" localSheetId="0">#REF!</definedName>
    <definedName name="Duck_16_4">#REF!</definedName>
    <definedName name="DULCE" localSheetId="1">#REF!</definedName>
    <definedName name="DULCE" localSheetId="0">#REF!</definedName>
    <definedName name="DULCE">#REF!</definedName>
    <definedName name="Dynamix" localSheetId="1">#REF!</definedName>
    <definedName name="Dynamix" localSheetId="0">#REF!</definedName>
    <definedName name="Dynamix">#REF!</definedName>
    <definedName name="Dynamix_16" localSheetId="1">#REF!</definedName>
    <definedName name="Dynamix_16" localSheetId="0">#REF!</definedName>
    <definedName name="Dynamix_16">#REF!</definedName>
    <definedName name="Dynamix_16_1" localSheetId="1">#REF!</definedName>
    <definedName name="Dynamix_16_1" localSheetId="0">#REF!</definedName>
    <definedName name="Dynamix_16_1">#REF!</definedName>
    <definedName name="Dynamix_16_3" localSheetId="1">#REF!</definedName>
    <definedName name="Dynamix_16_3" localSheetId="0">#REF!</definedName>
    <definedName name="Dynamix_16_3">#REF!</definedName>
    <definedName name="Dynamix_16_4" localSheetId="1">#REF!</definedName>
    <definedName name="Dynamix_16_4" localSheetId="0">#REF!</definedName>
    <definedName name="Dynamix_16_4">#REF!</definedName>
    <definedName name="E" localSheetId="1">#REF!</definedName>
    <definedName name="E" localSheetId="0">#REF!</definedName>
    <definedName name="E">#REF!</definedName>
    <definedName name="E_1" localSheetId="1">#REF!</definedName>
    <definedName name="E_1" localSheetId="0">#REF!</definedName>
    <definedName name="E_1">#REF!</definedName>
    <definedName name="E_3" localSheetId="1">#REF!</definedName>
    <definedName name="E_3" localSheetId="0">#REF!</definedName>
    <definedName name="E_3">#REF!</definedName>
    <definedName name="E_4" localSheetId="1">#REF!</definedName>
    <definedName name="E_4" localSheetId="0">#REF!</definedName>
    <definedName name="E_4">#REF!</definedName>
    <definedName name="Econ" localSheetId="1">#REF!</definedName>
    <definedName name="Econ" localSheetId="0">#REF!</definedName>
    <definedName name="Econ">#REF!</definedName>
    <definedName name="Econ_16" localSheetId="1">#REF!</definedName>
    <definedName name="Econ_16" localSheetId="0">#REF!</definedName>
    <definedName name="Econ_16">#REF!</definedName>
    <definedName name="Econ_16_1" localSheetId="1">#REF!</definedName>
    <definedName name="Econ_16_1" localSheetId="0">#REF!</definedName>
    <definedName name="Econ_16_1">#REF!</definedName>
    <definedName name="Econ_16_3" localSheetId="1">#REF!</definedName>
    <definedName name="Econ_16_3" localSheetId="0">#REF!</definedName>
    <definedName name="Econ_16_3">#REF!</definedName>
    <definedName name="Econ_16_4" localSheetId="1">#REF!</definedName>
    <definedName name="Econ_16_4" localSheetId="0">#REF!</definedName>
    <definedName name="Econ_16_4">#REF!</definedName>
    <definedName name="EHPSM25" localSheetId="0">#REF!</definedName>
    <definedName name="EHPSM25">#REF!</definedName>
    <definedName name="ESBFP1" localSheetId="0">#REF!</definedName>
    <definedName name="ESBFP1">#REF!</definedName>
    <definedName name="ESHFM4" localSheetId="0">#REF!</definedName>
    <definedName name="ESHFM4">#REF!</definedName>
    <definedName name="Excel_BuiltIn_Print_Area" localSheetId="0">#REF!</definedName>
    <definedName name="Excel_BuiltIn_Print_Area">#REF!</definedName>
    <definedName name="EXP" localSheetId="1">#REF!</definedName>
    <definedName name="EXP" localSheetId="0">#REF!</definedName>
    <definedName name="EXP">#REF!</definedName>
    <definedName name="EXP_16" localSheetId="1">#REF!</definedName>
    <definedName name="EXP_16" localSheetId="0">#REF!</definedName>
    <definedName name="EXP_16">#REF!</definedName>
    <definedName name="EXP_16_1" localSheetId="1">#REF!</definedName>
    <definedName name="EXP_16_1" localSheetId="0">#REF!</definedName>
    <definedName name="EXP_16_1">#REF!</definedName>
    <definedName name="EXP_16_3" localSheetId="1">#REF!</definedName>
    <definedName name="EXP_16_3" localSheetId="0">#REF!</definedName>
    <definedName name="EXP_16_3">#REF!</definedName>
    <definedName name="EXP_16_4" localSheetId="1">#REF!</definedName>
    <definedName name="EXP_16_4" localSheetId="0">#REF!</definedName>
    <definedName name="EXP_16_4">#REF!</definedName>
    <definedName name="EXPM" localSheetId="1">#REF!</definedName>
    <definedName name="EXPM" localSheetId="0">#REF!</definedName>
    <definedName name="EXPM">#REF!</definedName>
    <definedName name="EXPM_16" localSheetId="1">#REF!</definedName>
    <definedName name="EXPM_16" localSheetId="0">#REF!</definedName>
    <definedName name="EXPM_16">#REF!</definedName>
    <definedName name="EXPM_16_1" localSheetId="1">#REF!</definedName>
    <definedName name="EXPM_16_1" localSheetId="0">#REF!</definedName>
    <definedName name="EXPM_16_1">#REF!</definedName>
    <definedName name="EXPM_16_3" localSheetId="1">#REF!</definedName>
    <definedName name="EXPM_16_3" localSheetId="0">#REF!</definedName>
    <definedName name="EXPM_16_3">#REF!</definedName>
    <definedName name="EXPM_16_4" localSheetId="1">#REF!</definedName>
    <definedName name="EXPM_16_4" localSheetId="0">#REF!</definedName>
    <definedName name="EXPM_16_4">#REF!</definedName>
    <definedName name="EXTRA" localSheetId="0">#REF!</definedName>
    <definedName name="EXTRA">#REF!</definedName>
    <definedName name="f" localSheetId="0">#REF!</definedName>
    <definedName name="f">#REF!</definedName>
    <definedName name="Fcock" localSheetId="1">#REF!</definedName>
    <definedName name="Fcock" localSheetId="0">#REF!</definedName>
    <definedName name="Fcock">#REF!</definedName>
    <definedName name="Fcock_16" localSheetId="1">#REF!</definedName>
    <definedName name="Fcock_16" localSheetId="0">#REF!</definedName>
    <definedName name="Fcock_16">#REF!</definedName>
    <definedName name="Fcock_16_1" localSheetId="1">#REF!</definedName>
    <definedName name="Fcock_16_1" localSheetId="0">#REF!</definedName>
    <definedName name="Fcock_16_1">#REF!</definedName>
    <definedName name="Fcock_16_3" localSheetId="1">#REF!</definedName>
    <definedName name="Fcock_16_3" localSheetId="0">#REF!</definedName>
    <definedName name="Fcock_16_3">#REF!</definedName>
    <definedName name="Fcock_16_4" localSheetId="1">#REF!</definedName>
    <definedName name="Fcock_16_4" localSheetId="0">#REF!</definedName>
    <definedName name="Fcock_16_4">#REF!</definedName>
    <definedName name="FLKHL" localSheetId="1">#REF!</definedName>
    <definedName name="FLKHL" localSheetId="0">#REF!</definedName>
    <definedName name="FLKHL">#REF!</definedName>
    <definedName name="GROWER_MASH" localSheetId="0">#REF!</definedName>
    <definedName name="GROWER_MASH">#REF!</definedName>
    <definedName name="HAH" localSheetId="1">#REF!</definedName>
    <definedName name="HAH" localSheetId="0">#REF!</definedName>
    <definedName name="HAH">#REF!</definedName>
    <definedName name="HAH_1" localSheetId="1">#REF!</definedName>
    <definedName name="HAH_1" localSheetId="0">#REF!</definedName>
    <definedName name="HAH_1">#REF!</definedName>
    <definedName name="HAH_3" localSheetId="1">#REF!</definedName>
    <definedName name="HAH_3" localSheetId="0">#REF!</definedName>
    <definedName name="HAH_3">#REF!</definedName>
    <definedName name="HAH_4" localSheetId="1">#REF!</definedName>
    <definedName name="HAH_4" localSheetId="0">#REF!</definedName>
    <definedName name="HAH_4">#REF!</definedName>
    <definedName name="HAHA" localSheetId="1">#REF!</definedName>
    <definedName name="HAHA" localSheetId="0">#REF!</definedName>
    <definedName name="HAHA">#REF!</definedName>
    <definedName name="HAHA_1" localSheetId="1">#REF!</definedName>
    <definedName name="HAHA_1" localSheetId="0">#REF!</definedName>
    <definedName name="HAHA_1">#REF!</definedName>
    <definedName name="HAHA_3" localSheetId="1">#REF!</definedName>
    <definedName name="HAHA_3" localSheetId="0">#REF!</definedName>
    <definedName name="HAHA_3">#REF!</definedName>
    <definedName name="HAHA_4" localSheetId="1">#REF!</definedName>
    <definedName name="HAHA_4" localSheetId="0">#REF!</definedName>
    <definedName name="HAHA_4">#REF!</definedName>
    <definedName name="HAHAH" localSheetId="1">#REF!</definedName>
    <definedName name="HAHAH" localSheetId="0">#REF!</definedName>
    <definedName name="HAHAH">#REF!</definedName>
    <definedName name="HAHAH_1" localSheetId="1">#REF!</definedName>
    <definedName name="HAHAH_1" localSheetId="0">#REF!</definedName>
    <definedName name="HAHAH_1">#REF!</definedName>
    <definedName name="HAHAH_3" localSheetId="1">#REF!</definedName>
    <definedName name="HAHAH_3" localSheetId="0">#REF!</definedName>
    <definedName name="HAHAH_3">#REF!</definedName>
    <definedName name="HAHAH_4" localSheetId="1">#REF!</definedName>
    <definedName name="HAHAH_4" localSheetId="0">#REF!</definedName>
    <definedName name="HAHAH_4">#REF!</definedName>
    <definedName name="HAHAHA" localSheetId="1">#REF!</definedName>
    <definedName name="HAHAHA" localSheetId="0">#REF!</definedName>
    <definedName name="HAHAHA">#REF!</definedName>
    <definedName name="HAHAHA_1" localSheetId="1">#REF!</definedName>
    <definedName name="HAHAHA_1" localSheetId="0">#REF!</definedName>
    <definedName name="HAHAHA_1">#REF!</definedName>
    <definedName name="HAHAHA_3" localSheetId="1">#REF!</definedName>
    <definedName name="HAHAHA_3" localSheetId="0">#REF!</definedName>
    <definedName name="HAHAHA_3">#REF!</definedName>
    <definedName name="HAHAHA_4" localSheetId="1">#REF!</definedName>
    <definedName name="HAHAHA_4" localSheetId="0">#REF!</definedName>
    <definedName name="HAHAHA_4">#REF!</definedName>
    <definedName name="j" localSheetId="0">#REF!</definedName>
    <definedName name="j">#REF!</definedName>
    <definedName name="Jumbo" localSheetId="1">#REF!</definedName>
    <definedName name="Jumbo" localSheetId="0">#REF!</definedName>
    <definedName name="Jumbo">#REF!</definedName>
    <definedName name="Jumbo_16" localSheetId="1">#REF!</definedName>
    <definedName name="Jumbo_16" localSheetId="0">#REF!</definedName>
    <definedName name="Jumbo_16">#REF!</definedName>
    <definedName name="Jumbo_16_1" localSheetId="1">#REF!</definedName>
    <definedName name="Jumbo_16_1" localSheetId="0">#REF!</definedName>
    <definedName name="Jumbo_16_1">#REF!</definedName>
    <definedName name="Jumbo_16_3" localSheetId="1">#REF!</definedName>
    <definedName name="Jumbo_16_3" localSheetId="0">#REF!</definedName>
    <definedName name="Jumbo_16_3">#REF!</definedName>
    <definedName name="Jumbo_16_4" localSheetId="1">#REF!</definedName>
    <definedName name="Jumbo_16_4" localSheetId="0">#REF!</definedName>
    <definedName name="Jumbo_16_4">#REF!</definedName>
    <definedName name="L" localSheetId="1">#REF!</definedName>
    <definedName name="L" localSheetId="0">#REF!</definedName>
    <definedName name="L">#REF!</definedName>
    <definedName name="Layer" localSheetId="1">#REF!</definedName>
    <definedName name="Layer" localSheetId="0">#REF!</definedName>
    <definedName name="Layer">#REF!</definedName>
    <definedName name="Layer_16" localSheetId="1">#REF!</definedName>
    <definedName name="Layer_16" localSheetId="0">#REF!</definedName>
    <definedName name="Layer_16">#REF!</definedName>
    <definedName name="Layer_16_1" localSheetId="1">#REF!</definedName>
    <definedName name="Layer_16_1" localSheetId="0">#REF!</definedName>
    <definedName name="Layer_16_1">#REF!</definedName>
    <definedName name="Layer_16_3" localSheetId="1">#REF!</definedName>
    <definedName name="Layer_16_3" localSheetId="0">#REF!</definedName>
    <definedName name="Layer_16_3">#REF!</definedName>
    <definedName name="Layer_16_4" localSheetId="1">#REF!</definedName>
    <definedName name="Layer_16_4" localSheetId="0">#REF!</definedName>
    <definedName name="Layer_16_4">#REF!</definedName>
    <definedName name="LHGDP_PIC" localSheetId="0">#REF!</definedName>
    <definedName name="LHGDP_PIC">#REF!</definedName>
    <definedName name="LHGP1_PIC" localSheetId="0">#REF!</definedName>
    <definedName name="LHGP1_PIC">#REF!</definedName>
    <definedName name="lota" localSheetId="1">#REF!</definedName>
    <definedName name="lota" localSheetId="0">#REF!</definedName>
    <definedName name="lota">#REF!</definedName>
    <definedName name="MBOAR" localSheetId="0">#REF!</definedName>
    <definedName name="MBOAR">#REF!</definedName>
    <definedName name="MCG40_" localSheetId="0">#REF!</definedName>
    <definedName name="MCG40_">#REF!</definedName>
    <definedName name="MGDM" localSheetId="0">#REF!</definedName>
    <definedName name="MGDM">#REF!</definedName>
    <definedName name="MHGM_DEW" localSheetId="0">#REF!</definedName>
    <definedName name="MHGM_DEW">#REF!</definedName>
    <definedName name="MHSM_DEW" localSheetId="0">#REF!</definedName>
    <definedName name="MHSM_DEW">#REF!</definedName>
    <definedName name="MHSM1" localSheetId="0">#REF!</definedName>
    <definedName name="MHSM1">#REF!</definedName>
    <definedName name="mike" localSheetId="1">#REF!</definedName>
    <definedName name="mike" localSheetId="0">#REF!</definedName>
    <definedName name="mike">#REF!</definedName>
    <definedName name="newvolbrigde" localSheetId="1" hidden="1">'[4]PF bridge'!#REF!</definedName>
    <definedName name="newvolbrigde" localSheetId="0">'[4]PF bridge'!#REF!</definedName>
    <definedName name="newvolbrigde">'[4]PF bridge'!#REF!</definedName>
    <definedName name="Others" localSheetId="1">#REF!</definedName>
    <definedName name="Others" localSheetId="0">#REF!</definedName>
    <definedName name="Others">#REF!</definedName>
    <definedName name="Others_16" localSheetId="1">#REF!</definedName>
    <definedName name="Others_16" localSheetId="0">#REF!</definedName>
    <definedName name="Others_16">#REF!</definedName>
    <definedName name="Others_16_1" localSheetId="1">#REF!</definedName>
    <definedName name="Others_16_1" localSheetId="0">#REF!</definedName>
    <definedName name="Others_16_1">#REF!</definedName>
    <definedName name="Others_16_3" localSheetId="1">#REF!</definedName>
    <definedName name="Others_16_3" localSheetId="0">#REF!</definedName>
    <definedName name="Others_16_3">#REF!</definedName>
    <definedName name="Others_16_4" localSheetId="1">#REF!</definedName>
    <definedName name="Others_16_4" localSheetId="0">#REF!</definedName>
    <definedName name="Others_16_4">#REF!</definedName>
    <definedName name="Pblend" localSheetId="1">#REF!</definedName>
    <definedName name="Pblend" localSheetId="0">#REF!</definedName>
    <definedName name="Pblend">#REF!</definedName>
    <definedName name="Pblend_16" localSheetId="1">#REF!</definedName>
    <definedName name="Pblend_16" localSheetId="0">#REF!</definedName>
    <definedName name="Pblend_16">#REF!</definedName>
    <definedName name="Pblend_16_1" localSheetId="1">#REF!</definedName>
    <definedName name="Pblend_16_1" localSheetId="0">#REF!</definedName>
    <definedName name="Pblend_16_1">#REF!</definedName>
    <definedName name="Pblend_16_3" localSheetId="1">#REF!</definedName>
    <definedName name="Pblend_16_3" localSheetId="0">#REF!</definedName>
    <definedName name="Pblend_16_3">#REF!</definedName>
    <definedName name="Pblend_16_4" localSheetId="1">#REF!</definedName>
    <definedName name="Pblend_16_4" localSheetId="0">#REF!</definedName>
    <definedName name="Pblend_16_4">#REF!</definedName>
    <definedName name="PCBC" localSheetId="0">#REF!</definedName>
    <definedName name="PCBC">#REF!</definedName>
    <definedName name="PDGP_C" localSheetId="0">#REF!</definedName>
    <definedName name="PDGP_C">#REF!</definedName>
    <definedName name="PDP" localSheetId="1">#REF!</definedName>
    <definedName name="PDP" localSheetId="0">#REF!</definedName>
    <definedName name="PDP">#REF!</definedName>
    <definedName name="PDP_16" localSheetId="1">#REF!</definedName>
    <definedName name="PDP_16" localSheetId="0">#REF!</definedName>
    <definedName name="PDP_16">#REF!</definedName>
    <definedName name="PDP_16_1" localSheetId="1">#REF!</definedName>
    <definedName name="PDP_16_1" localSheetId="0">#REF!</definedName>
    <definedName name="PDP_16_1">#REF!</definedName>
    <definedName name="PDP_16_3" localSheetId="1">#REF!</definedName>
    <definedName name="PDP_16_3" localSheetId="0">#REF!</definedName>
    <definedName name="PDP_16_3">#REF!</definedName>
    <definedName name="PDP_16_4" localSheetId="1">#REF!</definedName>
    <definedName name="PDP_16_4" localSheetId="0">#REF!</definedName>
    <definedName name="PDP_16_4">#REF!</definedName>
    <definedName name="PLE" localSheetId="1">[7]fixedcosts!#REF!</definedName>
    <definedName name="PLE" localSheetId="0">[7]fixedcosts!#REF!</definedName>
    <definedName name="PLE">[7]fixedcosts!#REF!</definedName>
    <definedName name="PLE_1" localSheetId="1">[1]fixedcosts!#REF!</definedName>
    <definedName name="PLE_1" localSheetId="0">[1]fixedcosts!#REF!</definedName>
    <definedName name="PLE_1">[1]fixedcosts!#REF!</definedName>
    <definedName name="PLE_3" localSheetId="1">[1]fixedcosts!#REF!</definedName>
    <definedName name="PLE_3" localSheetId="0">[1]fixedcosts!#REF!</definedName>
    <definedName name="PLE_3">[1]fixedcosts!#REF!</definedName>
    <definedName name="PLE_4" localSheetId="1">[1]fixedcosts!#REF!</definedName>
    <definedName name="PLE_4" localSheetId="0">[1]fixedcosts!#REF!</definedName>
    <definedName name="PLE_4">[1]fixedcosts!#REF!</definedName>
    <definedName name="PMS_2007" localSheetId="1">#REF!</definedName>
    <definedName name="PMS_2007" localSheetId="0">#REF!</definedName>
    <definedName name="PMS_2007">#REF!</definedName>
    <definedName name="Premium" localSheetId="1">#REF!</definedName>
    <definedName name="Premium" localSheetId="0">#REF!</definedName>
    <definedName name="Premium">#REF!</definedName>
    <definedName name="Premium_16" localSheetId="1">#REF!</definedName>
    <definedName name="Premium_16" localSheetId="0">#REF!</definedName>
    <definedName name="Premium_16">#REF!</definedName>
    <definedName name="Premium_16_1" localSheetId="1">#REF!</definedName>
    <definedName name="Premium_16_1" localSheetId="0">#REF!</definedName>
    <definedName name="Premium_16_1">#REF!</definedName>
    <definedName name="Premium_16_3" localSheetId="1">#REF!</definedName>
    <definedName name="Premium_16_3" localSheetId="0">#REF!</definedName>
    <definedName name="Premium_16_3">#REF!</definedName>
    <definedName name="Premium_16_4" localSheetId="1">#REF!</definedName>
    <definedName name="Premium_16_4" localSheetId="0">#REF!</definedName>
    <definedName name="Premium_16_4">#REF!</definedName>
    <definedName name="_xlnm.Print_Area" localSheetId="0">December!$B:$D,December!$AF:$AF</definedName>
    <definedName name="_xlnm.Print_Area" hidden="1">#REF!</definedName>
    <definedName name="Print_Titles_MI" localSheetId="1">#REF!</definedName>
    <definedName name="Print_Titles_MI" localSheetId="0">#REF!</definedName>
    <definedName name="Print_Titles_MI">#REF!</definedName>
    <definedName name="prog" localSheetId="1">[1]fixedcosts!#REF!</definedName>
    <definedName name="prog" localSheetId="0">[1]fixedcosts!#REF!</definedName>
    <definedName name="prog">[1]fixedcosts!#REF!</definedName>
    <definedName name="program2" localSheetId="1" hidden="1">'[4]PF bridge'!#REF!</definedName>
    <definedName name="program2" localSheetId="0">'[4]PF bridge'!#REF!</definedName>
    <definedName name="program2">'[4]PF bridge'!#REF!</definedName>
    <definedName name="Pureblend" localSheetId="1">#REF!</definedName>
    <definedName name="Pureblend" localSheetId="0">#REF!</definedName>
    <definedName name="Pureblend">#REF!</definedName>
    <definedName name="Pureblend_16" localSheetId="1">#REF!</definedName>
    <definedName name="Pureblend_16" localSheetId="0">#REF!</definedName>
    <definedName name="Pureblend_16">#REF!</definedName>
    <definedName name="Pureblend_16_1" localSheetId="1">#REF!</definedName>
    <definedName name="Pureblend_16_1" localSheetId="0">#REF!</definedName>
    <definedName name="Pureblend_16_1">#REF!</definedName>
    <definedName name="Pureblend_16_3" localSheetId="1">#REF!</definedName>
    <definedName name="Pureblend_16_3" localSheetId="0">#REF!</definedName>
    <definedName name="Pureblend_16_3">#REF!</definedName>
    <definedName name="Pureblend_16_4" localSheetId="1">#REF!</definedName>
    <definedName name="Pureblend_16_4" localSheetId="0">#REF!</definedName>
    <definedName name="Pureblend_16_4">#REF!</definedName>
    <definedName name="PXcellent" localSheetId="1">#REF!</definedName>
    <definedName name="PXcellent" localSheetId="0">#REF!</definedName>
    <definedName name="PXcellent">#REF!</definedName>
    <definedName name="PXcellent_16" localSheetId="1">#REF!</definedName>
    <definedName name="PXcellent_16" localSheetId="0">#REF!</definedName>
    <definedName name="PXcellent_16">#REF!</definedName>
    <definedName name="PXcellent_16_1" localSheetId="1">#REF!</definedName>
    <definedName name="PXcellent_16_1" localSheetId="0">#REF!</definedName>
    <definedName name="PXcellent_16_1">#REF!</definedName>
    <definedName name="PXcellent_16_3" localSheetId="1">#REF!</definedName>
    <definedName name="PXcellent_16_3" localSheetId="0">#REF!</definedName>
    <definedName name="PXcellent_16_3">#REF!</definedName>
    <definedName name="PXcellent_16_4" localSheetId="1">#REF!</definedName>
    <definedName name="PXcellent_16_4" localSheetId="0">#REF!</definedName>
    <definedName name="PXcellent_16_4">#REF!</definedName>
    <definedName name="Q" localSheetId="1">#REF!</definedName>
    <definedName name="Q" localSheetId="0">#REF!</definedName>
    <definedName name="Q">#REF!</definedName>
    <definedName name="Q_1" localSheetId="1">#REF!</definedName>
    <definedName name="Q_1" localSheetId="0">#REF!</definedName>
    <definedName name="Q_1">#REF!</definedName>
    <definedName name="Q_3" localSheetId="1">#REF!</definedName>
    <definedName name="Q_3" localSheetId="0">#REF!</definedName>
    <definedName name="Q_3">#REF!</definedName>
    <definedName name="Q_4" localSheetId="1">#REF!</definedName>
    <definedName name="Q_4" localSheetId="0">#REF!</definedName>
    <definedName name="Q_4">#REF!</definedName>
    <definedName name="QSM" localSheetId="0">#REF!</definedName>
    <definedName name="QSM">#REF!</definedName>
    <definedName name="rose" localSheetId="1">#REF!</definedName>
    <definedName name="rose" localSheetId="0">#REF!</definedName>
    <definedName name="rose">#REF!</definedName>
    <definedName name="RUDY_SUMMARY" localSheetId="1">#REF!</definedName>
    <definedName name="RUDY_SUMMARY" localSheetId="0">#REF!</definedName>
    <definedName name="RUDY_SUMMARY">#REF!</definedName>
    <definedName name="ry" localSheetId="1">#REF!</definedName>
    <definedName name="ry" localSheetId="0">#REF!</definedName>
    <definedName name="ry">#REF!</definedName>
    <definedName name="SMAHSM1" localSheetId="0">#REF!</definedName>
    <definedName name="SMAHSM1">#REF!</definedName>
    <definedName name="solver_typ">2</definedName>
    <definedName name="solver_ver">12</definedName>
    <definedName name="SONY" localSheetId="1">#REF!</definedName>
    <definedName name="SONY" localSheetId="0">#REF!</definedName>
    <definedName name="SONY">#REF!</definedName>
    <definedName name="SONY_UNI" localSheetId="1">#REF!</definedName>
    <definedName name="SONY_UNI" localSheetId="0">#REF!</definedName>
    <definedName name="SONY_UNI">#REF!</definedName>
    <definedName name="sum" localSheetId="1">[7]fixedcosts!#REF!</definedName>
    <definedName name="sum" localSheetId="0">[7]fixedcosts!#REF!</definedName>
    <definedName name="sum">[7]fixedcosts!#REF!</definedName>
    <definedName name="sum_1" localSheetId="1">[1]fixedcosts!#REF!</definedName>
    <definedName name="sum_1" localSheetId="0">[1]fixedcosts!#REF!</definedName>
    <definedName name="sum_1">[1]fixedcosts!#REF!</definedName>
    <definedName name="sum_3" localSheetId="1">[1]fixedcosts!#REF!</definedName>
    <definedName name="sum_3" localSheetId="0">[1]fixedcosts!#REF!</definedName>
    <definedName name="sum_3">[1]fixedcosts!#REF!</definedName>
    <definedName name="sum_4" localSheetId="1">[1]fixedcosts!#REF!</definedName>
    <definedName name="sum_4" localSheetId="0">[1]fixedcosts!#REF!</definedName>
    <definedName name="sum_4">[1]fixedcosts!#REF!</definedName>
    <definedName name="SUMM" localSheetId="1">#REF!</definedName>
    <definedName name="SUMM" localSheetId="0">#REF!</definedName>
    <definedName name="SUMM">#REF!</definedName>
    <definedName name="SUMMARY_SALES" localSheetId="1">#REF!</definedName>
    <definedName name="SUMMARY_SALES" localSheetId="0">#REF!</definedName>
    <definedName name="SUMMARY_SALES">#REF!</definedName>
    <definedName name="sumr" localSheetId="1">[7]fixedcosts!#REF!</definedName>
    <definedName name="sumr" localSheetId="0">[7]fixedcosts!#REF!</definedName>
    <definedName name="sumr">[7]fixedcosts!#REF!</definedName>
    <definedName name="sumr_1" localSheetId="1">[1]fixedcosts!#REF!</definedName>
    <definedName name="sumr_1" localSheetId="0">[1]fixedcosts!#REF!</definedName>
    <definedName name="sumr_1">[1]fixedcosts!#REF!</definedName>
    <definedName name="sumr_3" localSheetId="1">[1]fixedcosts!#REF!</definedName>
    <definedName name="sumr_3" localSheetId="0">[1]fixedcosts!#REF!</definedName>
    <definedName name="sumr_3">[1]fixedcosts!#REF!</definedName>
    <definedName name="sumr_4" localSheetId="1">[1]fixedcosts!#REF!</definedName>
    <definedName name="sumr_4" localSheetId="0">[1]fixedcosts!#REF!</definedName>
    <definedName name="sumr_4">[1]fixedcosts!#REF!</definedName>
    <definedName name="T" localSheetId="1">#REF!</definedName>
    <definedName name="T" localSheetId="0">#REF!</definedName>
    <definedName name="T">#REF!</definedName>
    <definedName name="T_1" localSheetId="1">#REF!</definedName>
    <definedName name="T_1" localSheetId="0">#REF!</definedName>
    <definedName name="T_1">#REF!</definedName>
    <definedName name="T_3" localSheetId="1">#REF!</definedName>
    <definedName name="T_3" localSheetId="0">#REF!</definedName>
    <definedName name="T_3">#REF!</definedName>
    <definedName name="T_4" localSheetId="1">#REF!</definedName>
    <definedName name="T_4" localSheetId="0">#REF!</definedName>
    <definedName name="T_4">#REF!</definedName>
    <definedName name="TARLAC" localSheetId="0">#REF!</definedName>
    <definedName name="TARLAC">#REF!</definedName>
    <definedName name="TEST0" localSheetId="1">#REF!</definedName>
    <definedName name="TEST0" localSheetId="0">#REF!</definedName>
    <definedName name="TEST0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VAR1_1" localSheetId="1">#REF!</definedName>
    <definedName name="VAR1_1" localSheetId="0">#REF!</definedName>
    <definedName name="VAR1_1">#REF!</definedName>
    <definedName name="VAR1_3" localSheetId="1">#REF!</definedName>
    <definedName name="VAR1_3" localSheetId="0">#REF!</definedName>
    <definedName name="VAR1_3">#REF!</definedName>
    <definedName name="VAR1_4" localSheetId="1">#REF!</definedName>
    <definedName name="VAR1_4" localSheetId="0">#REF!</definedName>
    <definedName name="VAR1_4">#REF!</definedName>
    <definedName name="VAR2_1" localSheetId="1">#REF!</definedName>
    <definedName name="VAR2_1" localSheetId="0">#REF!</definedName>
    <definedName name="VAR2_1">#REF!</definedName>
    <definedName name="VAR2_3" localSheetId="1">#REF!</definedName>
    <definedName name="VAR2_3" localSheetId="0">#REF!</definedName>
    <definedName name="VAR2_3">#REF!</definedName>
    <definedName name="VAR2_4" localSheetId="1">#REF!</definedName>
    <definedName name="VAR2_4" localSheetId="0">#REF!</definedName>
    <definedName name="VAR2_4">#REF!</definedName>
    <definedName name="vol" localSheetId="1">[1]fixedcosts!#REF!</definedName>
    <definedName name="vol" localSheetId="0">[1]fixedcosts!#REF!</definedName>
    <definedName name="vol">[1]fixedcosts!#REF!</definedName>
    <definedName name="VSMN" localSheetId="1">#REF!</definedName>
    <definedName name="VSMN" localSheetId="0">#REF!</definedName>
    <definedName name="VSMN">#REF!</definedName>
    <definedName name="W" localSheetId="1">#REF!</definedName>
    <definedName name="W" localSheetId="0">#REF!</definedName>
    <definedName name="W">#REF!</definedName>
    <definedName name="W_1" localSheetId="1">#REF!</definedName>
    <definedName name="W_1" localSheetId="0">#REF!</definedName>
    <definedName name="W_1">#REF!</definedName>
    <definedName name="W_3" localSheetId="1">#REF!</definedName>
    <definedName name="W_3" localSheetId="0">#REF!</definedName>
    <definedName name="W_3">#REF!</definedName>
    <definedName name="W_4" localSheetId="1">#REF!</definedName>
    <definedName name="W_4" localSheetId="0">#REF!</definedName>
    <definedName name="W_4">#REF!</definedName>
    <definedName name="yale" localSheetId="1">#REF!</definedName>
    <definedName name="yale" localSheetId="0">#REF!</definedName>
    <definedName name="yale">#REF!</definedName>
    <definedName name="YTD">'[6]Year to Date'!$A$44:$N$80</definedName>
    <definedName name="YTD_1">'[6]Year to Date'!$A$44:$N$80</definedName>
    <definedName name="YTD_3">'[6]Year to Date'!$A$44:$N$80</definedName>
    <definedName name="YTD_4">'[6]Year to Date'!$A$44:$N$80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7" i="28"/>
  <c r="Q197"/>
  <c r="P197"/>
  <c r="O197"/>
  <c r="N197"/>
  <c r="M197"/>
  <c r="L197"/>
  <c r="K197"/>
  <c r="J197"/>
  <c r="I197"/>
  <c r="R196"/>
  <c r="Q196"/>
  <c r="P196"/>
  <c r="O196"/>
  <c r="N196"/>
  <c r="M196"/>
  <c r="L196"/>
  <c r="K196"/>
  <c r="J196"/>
  <c r="I196"/>
  <c r="R195"/>
  <c r="Q195"/>
  <c r="P195"/>
  <c r="O195"/>
  <c r="N195"/>
  <c r="M195"/>
  <c r="L195"/>
  <c r="K195"/>
  <c r="J195"/>
  <c r="I195"/>
  <c r="R194"/>
  <c r="Q194"/>
  <c r="P194"/>
  <c r="O194"/>
  <c r="N194"/>
  <c r="M194"/>
  <c r="L194"/>
  <c r="K194"/>
  <c r="J194"/>
  <c r="I194"/>
  <c r="R193"/>
  <c r="Q193"/>
  <c r="P193"/>
  <c r="O193"/>
  <c r="N193"/>
  <c r="M193"/>
  <c r="L193"/>
  <c r="K193"/>
  <c r="J193"/>
  <c r="I193"/>
  <c r="R192"/>
  <c r="R198" s="1"/>
  <c r="Q192"/>
  <c r="Q198" s="1"/>
  <c r="P192"/>
  <c r="P198" s="1"/>
  <c r="O192"/>
  <c r="O198" s="1"/>
  <c r="N192"/>
  <c r="N198" s="1"/>
  <c r="M192"/>
  <c r="M198" s="1"/>
  <c r="L192"/>
  <c r="L198" s="1"/>
  <c r="K192"/>
  <c r="K198" s="1"/>
  <c r="J192"/>
  <c r="J198" s="1"/>
  <c r="I192"/>
  <c r="I198" s="1"/>
  <c r="R187"/>
  <c r="Q187"/>
  <c r="P187"/>
  <c r="O187"/>
  <c r="N187"/>
  <c r="M187"/>
  <c r="L187"/>
  <c r="K187"/>
  <c r="J187"/>
  <c r="I187"/>
  <c r="R186"/>
  <c r="R185" s="1"/>
  <c r="Q186"/>
  <c r="Q185" s="1"/>
  <c r="P186"/>
  <c r="O186"/>
  <c r="N186"/>
  <c r="N185" s="1"/>
  <c r="M186"/>
  <c r="M185" s="1"/>
  <c r="L186"/>
  <c r="K186"/>
  <c r="J186"/>
  <c r="J185" s="1"/>
  <c r="I186"/>
  <c r="I185" s="1"/>
  <c r="P185"/>
  <c r="O185"/>
  <c r="L185"/>
  <c r="K185"/>
  <c r="R184"/>
  <c r="R183" s="1"/>
  <c r="Q184"/>
  <c r="Q183" s="1"/>
  <c r="P184"/>
  <c r="O184"/>
  <c r="N184"/>
  <c r="N183" s="1"/>
  <c r="M184"/>
  <c r="M183" s="1"/>
  <c r="L184"/>
  <c r="K184"/>
  <c r="J184"/>
  <c r="J183" s="1"/>
  <c r="I184"/>
  <c r="I183" s="1"/>
  <c r="P183"/>
  <c r="O183"/>
  <c r="L183"/>
  <c r="K183"/>
  <c r="R182"/>
  <c r="Q182"/>
  <c r="P182"/>
  <c r="O182"/>
  <c r="N182"/>
  <c r="M182"/>
  <c r="L182"/>
  <c r="K182"/>
  <c r="J182"/>
  <c r="I182"/>
  <c r="R181"/>
  <c r="Q181"/>
  <c r="P181"/>
  <c r="P180" s="1"/>
  <c r="P188" s="1"/>
  <c r="O181"/>
  <c r="O180" s="1"/>
  <c r="O188" s="1"/>
  <c r="N181"/>
  <c r="M181"/>
  <c r="L181"/>
  <c r="L180" s="1"/>
  <c r="L188" s="1"/>
  <c r="K181"/>
  <c r="K180" s="1"/>
  <c r="K188" s="1"/>
  <c r="J181"/>
  <c r="I181"/>
  <c r="R180"/>
  <c r="R188" s="1"/>
  <c r="Q180"/>
  <c r="N180"/>
  <c r="M180"/>
  <c r="M188" s="1"/>
  <c r="J180"/>
  <c r="J188" s="1"/>
  <c r="I180"/>
  <c r="H198"/>
  <c r="H188"/>
  <c r="R177"/>
  <c r="Q177"/>
  <c r="P177"/>
  <c r="O177"/>
  <c r="N177"/>
  <c r="M177"/>
  <c r="L177"/>
  <c r="K177"/>
  <c r="J177"/>
  <c r="I177"/>
  <c r="H177"/>
  <c r="O164"/>
  <c r="M163"/>
  <c r="O158"/>
  <c r="I122"/>
  <c r="J121"/>
  <c r="L82"/>
  <c r="O75"/>
  <c r="O74"/>
  <c r="N74"/>
  <c r="M74"/>
  <c r="O49"/>
  <c r="N49"/>
  <c r="M49"/>
  <c r="I49"/>
  <c r="O45"/>
  <c r="M45"/>
  <c r="J45"/>
  <c r="I45"/>
  <c r="O43"/>
  <c r="N43"/>
  <c r="M43"/>
  <c r="L32"/>
  <c r="L31"/>
  <c r="M30"/>
  <c r="J26"/>
  <c r="I20"/>
  <c r="BJ178"/>
  <c r="AT178"/>
  <c r="I188" l="1"/>
  <c r="Q188"/>
  <c r="N188"/>
  <c r="BY123"/>
  <c r="BY31"/>
  <c r="BY49"/>
  <c r="BS195"/>
  <c r="BS182"/>
  <c r="BY121"/>
  <c r="BY26"/>
  <c r="BY13"/>
  <c r="BY14"/>
  <c r="BY15"/>
  <c r="BY17"/>
  <c r="BY10"/>
  <c r="BY11"/>
  <c r="BY12"/>
  <c r="BY16"/>
  <c r="BY18"/>
  <c r="BY19"/>
  <c r="BY20"/>
  <c r="BY21"/>
  <c r="BY22"/>
  <c r="BY23"/>
  <c r="BY24"/>
  <c r="BY25"/>
  <c r="BY27"/>
  <c r="BY28"/>
  <c r="BY29"/>
  <c r="BY30"/>
  <c r="BY32"/>
  <c r="BY33"/>
  <c r="BY34"/>
  <c r="BY35"/>
  <c r="BY36"/>
  <c r="BY37"/>
  <c r="BY38"/>
  <c r="BY39"/>
  <c r="BY40"/>
  <c r="BY42"/>
  <c r="BY43"/>
  <c r="BY44"/>
  <c r="BY194" s="1"/>
  <c r="BR195"/>
  <c r="BY46"/>
  <c r="BY47"/>
  <c r="BY48"/>
  <c r="BY50"/>
  <c r="BY51"/>
  <c r="BY52"/>
  <c r="BY53"/>
  <c r="BY54"/>
  <c r="BY55"/>
  <c r="BY56"/>
  <c r="BY57"/>
  <c r="BY58"/>
  <c r="BY59"/>
  <c r="BY60"/>
  <c r="BY61"/>
  <c r="BY62"/>
  <c r="BY63"/>
  <c r="BY65"/>
  <c r="BY66"/>
  <c r="BY67"/>
  <c r="BY68"/>
  <c r="BY69"/>
  <c r="BY70"/>
  <c r="BY71"/>
  <c r="BY72"/>
  <c r="BY73"/>
  <c r="BY74"/>
  <c r="BY75"/>
  <c r="BY76"/>
  <c r="BY77"/>
  <c r="BY78"/>
  <c r="BY79"/>
  <c r="BY80"/>
  <c r="BY81"/>
  <c r="BY82"/>
  <c r="BY83"/>
  <c r="BY84"/>
  <c r="BY85"/>
  <c r="BY86"/>
  <c r="BY87"/>
  <c r="BY88"/>
  <c r="BY89"/>
  <c r="BY90"/>
  <c r="BY91"/>
  <c r="BY92"/>
  <c r="BY93"/>
  <c r="BY94"/>
  <c r="BY95"/>
  <c r="BY96"/>
  <c r="BY97"/>
  <c r="BY98"/>
  <c r="BY99"/>
  <c r="BY100"/>
  <c r="BY101"/>
  <c r="BY102"/>
  <c r="BY103"/>
  <c r="BY104"/>
  <c r="BY105"/>
  <c r="BY106"/>
  <c r="BY107"/>
  <c r="BY108"/>
  <c r="BY109"/>
  <c r="BY110"/>
  <c r="BY111"/>
  <c r="BY112"/>
  <c r="BY113"/>
  <c r="BY114"/>
  <c r="BY115"/>
  <c r="BY116"/>
  <c r="BY117"/>
  <c r="BY118"/>
  <c r="BY120"/>
  <c r="BR186"/>
  <c r="BY124"/>
  <c r="BY125"/>
  <c r="BY126"/>
  <c r="BY127"/>
  <c r="BY128"/>
  <c r="BY129"/>
  <c r="BY130"/>
  <c r="BY131"/>
  <c r="BY132"/>
  <c r="BY133"/>
  <c r="BY134"/>
  <c r="BY135"/>
  <c r="BY136"/>
  <c r="BY137"/>
  <c r="BY138"/>
  <c r="BY139"/>
  <c r="BY140"/>
  <c r="BY141"/>
  <c r="BY142"/>
  <c r="BY143"/>
  <c r="BY144"/>
  <c r="BY145"/>
  <c r="BY146"/>
  <c r="BY147"/>
  <c r="BY148"/>
  <c r="BY149"/>
  <c r="BY150"/>
  <c r="BY151"/>
  <c r="BY152"/>
  <c r="BY153"/>
  <c r="BY154"/>
  <c r="BY156"/>
  <c r="BY157"/>
  <c r="BY158"/>
  <c r="BY159"/>
  <c r="BY160"/>
  <c r="BY161"/>
  <c r="BY162"/>
  <c r="BY163"/>
  <c r="BY164"/>
  <c r="BY165"/>
  <c r="BY166"/>
  <c r="BY167"/>
  <c r="BY168"/>
  <c r="BY169"/>
  <c r="BY170"/>
  <c r="BY171"/>
  <c r="BY172"/>
  <c r="BY173"/>
  <c r="BY174"/>
  <c r="BY175"/>
  <c r="BY176"/>
  <c r="BX197"/>
  <c r="BW197"/>
  <c r="BV197"/>
  <c r="BU197"/>
  <c r="BT197"/>
  <c r="BS197"/>
  <c r="BX196"/>
  <c r="BW196"/>
  <c r="BV196"/>
  <c r="BU196"/>
  <c r="BT196"/>
  <c r="BX195"/>
  <c r="BW195"/>
  <c r="BV195"/>
  <c r="BU195"/>
  <c r="BT195"/>
  <c r="BX194"/>
  <c r="BW194"/>
  <c r="BV194"/>
  <c r="BU194"/>
  <c r="BT194"/>
  <c r="BS194"/>
  <c r="BX193"/>
  <c r="BW193"/>
  <c r="BV193"/>
  <c r="BU193"/>
  <c r="BT193"/>
  <c r="BS193"/>
  <c r="BY192"/>
  <c r="BX192"/>
  <c r="BW192"/>
  <c r="BW198"/>
  <c r="BV192"/>
  <c r="BU192"/>
  <c r="BU198"/>
  <c r="BT192"/>
  <c r="BS192"/>
  <c r="BX187"/>
  <c r="BW187"/>
  <c r="BV187"/>
  <c r="BV186"/>
  <c r="BV185" s="1"/>
  <c r="BU187"/>
  <c r="BT187"/>
  <c r="BT185" s="1"/>
  <c r="BS187"/>
  <c r="BX186"/>
  <c r="BW186"/>
  <c r="BU186"/>
  <c r="BU185" s="1"/>
  <c r="BT186"/>
  <c r="BX184"/>
  <c r="BX183" s="1"/>
  <c r="BW184"/>
  <c r="BW183" s="1"/>
  <c r="BV184"/>
  <c r="BU184"/>
  <c r="BU183" s="1"/>
  <c r="BT184"/>
  <c r="BT183" s="1"/>
  <c r="BS184"/>
  <c r="BS183" s="1"/>
  <c r="BV183"/>
  <c r="BX182"/>
  <c r="BW182"/>
  <c r="BV182"/>
  <c r="BU182"/>
  <c r="BU180" s="1"/>
  <c r="BU181"/>
  <c r="BT182"/>
  <c r="BX181"/>
  <c r="BX180" s="1"/>
  <c r="BW181"/>
  <c r="BV181"/>
  <c r="BT181"/>
  <c r="BT180" s="1"/>
  <c r="BR182"/>
  <c r="BR187"/>
  <c r="BQ84"/>
  <c r="BZ84" s="1"/>
  <c r="BQ79"/>
  <c r="BZ79" s="1"/>
  <c r="BQ82"/>
  <c r="BZ82" s="1"/>
  <c r="BQ74"/>
  <c r="BZ74" s="1"/>
  <c r="BQ59"/>
  <c r="BZ59" s="1"/>
  <c r="BQ53"/>
  <c r="BZ53" s="1"/>
  <c r="BQ47"/>
  <c r="BZ47" s="1"/>
  <c r="BQ44"/>
  <c r="BZ44" s="1"/>
  <c r="BQ43"/>
  <c r="BZ43" s="1"/>
  <c r="BQ19"/>
  <c r="BZ19"/>
  <c r="BQ16"/>
  <c r="BZ16" s="1"/>
  <c r="BJ157"/>
  <c r="BI182"/>
  <c r="BN189"/>
  <c r="BJ50"/>
  <c r="BK50" s="1"/>
  <c r="BH182"/>
  <c r="BB49"/>
  <c r="BH181"/>
  <c r="BJ75"/>
  <c r="BJ163"/>
  <c r="BJ20"/>
  <c r="BJ32"/>
  <c r="BJ28"/>
  <c r="BJ29"/>
  <c r="BJ27"/>
  <c r="BJ21"/>
  <c r="BJ22"/>
  <c r="BJ30"/>
  <c r="BJ121"/>
  <c r="BJ120"/>
  <c r="BJ160"/>
  <c r="BJ161"/>
  <c r="BJ128"/>
  <c r="BJ42"/>
  <c r="BJ43"/>
  <c r="BJ44"/>
  <c r="BJ46"/>
  <c r="BJ47"/>
  <c r="BJ48"/>
  <c r="BJ51"/>
  <c r="BL51" s="1"/>
  <c r="BJ52"/>
  <c r="BJ53"/>
  <c r="BJ54"/>
  <c r="BJ55"/>
  <c r="BJ56"/>
  <c r="BJ57"/>
  <c r="BJ58"/>
  <c r="BJ59"/>
  <c r="AT42"/>
  <c r="AT43"/>
  <c r="AT44"/>
  <c r="AT46"/>
  <c r="AT47"/>
  <c r="AT48"/>
  <c r="AT50"/>
  <c r="AT51"/>
  <c r="AU51" s="1"/>
  <c r="AT52"/>
  <c r="AT53"/>
  <c r="AT54"/>
  <c r="AT55"/>
  <c r="AT56"/>
  <c r="AT57"/>
  <c r="AT58"/>
  <c r="AT59"/>
  <c r="AT60"/>
  <c r="AT61"/>
  <c r="AT62"/>
  <c r="AT63"/>
  <c r="AE42"/>
  <c r="AE43"/>
  <c r="AE44"/>
  <c r="Z182"/>
  <c r="AD182"/>
  <c r="AE46"/>
  <c r="AE47"/>
  <c r="AE48"/>
  <c r="AE49"/>
  <c r="AE50"/>
  <c r="AE51"/>
  <c r="AF51" s="1"/>
  <c r="AE52"/>
  <c r="AF52" s="1"/>
  <c r="AE53"/>
  <c r="AE54"/>
  <c r="AE55"/>
  <c r="AE56"/>
  <c r="AE57"/>
  <c r="AE58"/>
  <c r="AE59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BJ158"/>
  <c r="BB157"/>
  <c r="BJ156"/>
  <c r="BB156"/>
  <c r="BB158"/>
  <c r="BJ159"/>
  <c r="BK159" s="1"/>
  <c r="BB159"/>
  <c r="BB160"/>
  <c r="BB161"/>
  <c r="BJ162"/>
  <c r="BB162"/>
  <c r="BB163"/>
  <c r="BJ164"/>
  <c r="BK164" s="1"/>
  <c r="BB164"/>
  <c r="BJ165"/>
  <c r="BK165" s="1"/>
  <c r="BB165"/>
  <c r="BJ166"/>
  <c r="BB166"/>
  <c r="BJ167"/>
  <c r="BB167"/>
  <c r="BJ168"/>
  <c r="BB168"/>
  <c r="BJ169"/>
  <c r="BB169"/>
  <c r="BJ170"/>
  <c r="BB170"/>
  <c r="BJ171"/>
  <c r="BK171" s="1"/>
  <c r="BB171"/>
  <c r="BJ172"/>
  <c r="BB172"/>
  <c r="BJ173"/>
  <c r="BB173"/>
  <c r="BJ174"/>
  <c r="BB174"/>
  <c r="BL174" s="1"/>
  <c r="BJ175"/>
  <c r="BB175"/>
  <c r="BK175"/>
  <c r="BJ176"/>
  <c r="BK176" s="1"/>
  <c r="BB176"/>
  <c r="BB20"/>
  <c r="BK20" s="1"/>
  <c r="BB32"/>
  <c r="BB28"/>
  <c r="BB29"/>
  <c r="BB27"/>
  <c r="BK27"/>
  <c r="BB21"/>
  <c r="BB22"/>
  <c r="BB30"/>
  <c r="BK30"/>
  <c r="BB75"/>
  <c r="BJ65"/>
  <c r="BB65"/>
  <c r="BJ66"/>
  <c r="BK66" s="1"/>
  <c r="BB66"/>
  <c r="BJ67"/>
  <c r="BK67" s="1"/>
  <c r="BB67"/>
  <c r="BJ68"/>
  <c r="BB68"/>
  <c r="BJ69"/>
  <c r="BK69" s="1"/>
  <c r="BB69"/>
  <c r="BJ70"/>
  <c r="BK70" s="1"/>
  <c r="BB70"/>
  <c r="BJ71"/>
  <c r="BB71"/>
  <c r="BK71"/>
  <c r="BJ72"/>
  <c r="BK72" s="1"/>
  <c r="BB72"/>
  <c r="BJ73"/>
  <c r="BB73"/>
  <c r="BJ74"/>
  <c r="BK74" s="1"/>
  <c r="BB74"/>
  <c r="BJ76"/>
  <c r="BB76"/>
  <c r="BJ77"/>
  <c r="BB77"/>
  <c r="BJ78"/>
  <c r="BB78"/>
  <c r="BJ79"/>
  <c r="BB79"/>
  <c r="BK79"/>
  <c r="BJ80"/>
  <c r="BB80"/>
  <c r="BJ81"/>
  <c r="BB81"/>
  <c r="BJ82"/>
  <c r="BB82"/>
  <c r="BJ83"/>
  <c r="BB83"/>
  <c r="BJ84"/>
  <c r="BB84"/>
  <c r="BJ85"/>
  <c r="BB85"/>
  <c r="BJ86"/>
  <c r="BL86" s="1"/>
  <c r="BB86"/>
  <c r="BJ87"/>
  <c r="BB87"/>
  <c r="BJ88"/>
  <c r="BK88" s="1"/>
  <c r="BB88"/>
  <c r="BJ89"/>
  <c r="BB89"/>
  <c r="BJ90"/>
  <c r="BB90"/>
  <c r="BJ91"/>
  <c r="BB91"/>
  <c r="BJ92"/>
  <c r="BK92" s="1"/>
  <c r="BB92"/>
  <c r="BJ93"/>
  <c r="BB93"/>
  <c r="BK93"/>
  <c r="BJ94"/>
  <c r="BK94" s="1"/>
  <c r="BB94"/>
  <c r="BJ95"/>
  <c r="BB95"/>
  <c r="BJ96"/>
  <c r="BK96" s="1"/>
  <c r="BB96"/>
  <c r="BJ97"/>
  <c r="BB97"/>
  <c r="BJ98"/>
  <c r="BB98"/>
  <c r="BJ99"/>
  <c r="BB99"/>
  <c r="BJ100"/>
  <c r="BK100" s="1"/>
  <c r="BB100"/>
  <c r="BJ101"/>
  <c r="BB101"/>
  <c r="BJ102"/>
  <c r="BL102" s="1"/>
  <c r="BB102"/>
  <c r="BJ103"/>
  <c r="BB103"/>
  <c r="BJ104"/>
  <c r="BK104" s="1"/>
  <c r="BB104"/>
  <c r="BJ105"/>
  <c r="BK105" s="1"/>
  <c r="BB105"/>
  <c r="BJ106"/>
  <c r="BB106"/>
  <c r="BJ107"/>
  <c r="BK107" s="1"/>
  <c r="BB107"/>
  <c r="BJ108"/>
  <c r="BB108"/>
  <c r="BJ109"/>
  <c r="BK109" s="1"/>
  <c r="BB109"/>
  <c r="BJ110"/>
  <c r="BB110"/>
  <c r="BJ111"/>
  <c r="BB111"/>
  <c r="BJ112"/>
  <c r="BB112"/>
  <c r="BJ113"/>
  <c r="BK113" s="1"/>
  <c r="BB113"/>
  <c r="BJ114"/>
  <c r="BB114"/>
  <c r="BJ115"/>
  <c r="BK115" s="1"/>
  <c r="BB115"/>
  <c r="BJ116"/>
  <c r="BB116"/>
  <c r="BJ117"/>
  <c r="BK117" s="1"/>
  <c r="BB117"/>
  <c r="BJ118"/>
  <c r="BB118"/>
  <c r="BB121"/>
  <c r="BB120"/>
  <c r="BB128"/>
  <c r="BG182"/>
  <c r="BJ31"/>
  <c r="BG184"/>
  <c r="BG183" s="1"/>
  <c r="BG187"/>
  <c r="BE197"/>
  <c r="AT10"/>
  <c r="AT11"/>
  <c r="AT12"/>
  <c r="AT13"/>
  <c r="AT14"/>
  <c r="AT15"/>
  <c r="AT16"/>
  <c r="AT193" s="1"/>
  <c r="AT17"/>
  <c r="AT18"/>
  <c r="AT19"/>
  <c r="AT20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AT65"/>
  <c r="AT66"/>
  <c r="AT67"/>
  <c r="AT68"/>
  <c r="AT69"/>
  <c r="AT70"/>
  <c r="AT71"/>
  <c r="AT72"/>
  <c r="AT73"/>
  <c r="AT74"/>
  <c r="AN177"/>
  <c r="AN179" s="1"/>
  <c r="AT75"/>
  <c r="AT76"/>
  <c r="AT77"/>
  <c r="AT78"/>
  <c r="AT79"/>
  <c r="AT80"/>
  <c r="AT81"/>
  <c r="AO177"/>
  <c r="AO179" s="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AT121"/>
  <c r="AT123"/>
  <c r="AT124"/>
  <c r="AT125"/>
  <c r="AT126"/>
  <c r="AT127"/>
  <c r="AT128"/>
  <c r="AT129"/>
  <c r="AT130"/>
  <c r="AU130" s="1"/>
  <c r="AT131"/>
  <c r="AT132"/>
  <c r="AT133"/>
  <c r="AT134"/>
  <c r="AT135"/>
  <c r="AT136"/>
  <c r="AT137"/>
  <c r="AT138"/>
  <c r="AT139"/>
  <c r="AT140"/>
  <c r="AT141"/>
  <c r="AT142"/>
  <c r="AU142" s="1"/>
  <c r="AT143"/>
  <c r="AV143" s="1"/>
  <c r="AT144"/>
  <c r="AT145"/>
  <c r="AT146"/>
  <c r="AU146" s="1"/>
  <c r="AT147"/>
  <c r="AT148"/>
  <c r="AT149"/>
  <c r="AT150"/>
  <c r="AT151"/>
  <c r="AT152"/>
  <c r="AT153"/>
  <c r="AT154"/>
  <c r="AE120"/>
  <c r="AE122"/>
  <c r="AE123"/>
  <c r="AE124"/>
  <c r="AE125"/>
  <c r="AE126"/>
  <c r="AE127"/>
  <c r="AE128"/>
  <c r="AE129"/>
  <c r="AE130"/>
  <c r="AE131"/>
  <c r="AE132"/>
  <c r="AE133"/>
  <c r="AE134"/>
  <c r="AE135"/>
  <c r="AA186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P120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E156"/>
  <c r="AE157"/>
  <c r="AE158"/>
  <c r="AE159"/>
  <c r="AE160"/>
  <c r="AE162"/>
  <c r="AE163"/>
  <c r="AE164"/>
  <c r="AE165"/>
  <c r="AE166"/>
  <c r="AE167"/>
  <c r="AE168"/>
  <c r="AE169"/>
  <c r="AE170"/>
  <c r="AE171"/>
  <c r="AE172"/>
  <c r="AE173"/>
  <c r="AE174"/>
  <c r="AE175"/>
  <c r="AE176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AS195"/>
  <c r="AS182"/>
  <c r="AP177"/>
  <c r="AL16"/>
  <c r="AS186"/>
  <c r="AS187"/>
  <c r="AL46"/>
  <c r="AL45"/>
  <c r="AL123"/>
  <c r="AL47"/>
  <c r="AU47" s="1"/>
  <c r="AL49"/>
  <c r="AL120"/>
  <c r="AL121"/>
  <c r="AL122"/>
  <c r="AL124"/>
  <c r="AU124"/>
  <c r="AL125"/>
  <c r="AL126"/>
  <c r="AL127"/>
  <c r="AL128"/>
  <c r="AU128" s="1"/>
  <c r="AL129"/>
  <c r="AL130"/>
  <c r="AL131"/>
  <c r="AU131" s="1"/>
  <c r="AL132"/>
  <c r="AU132" s="1"/>
  <c r="AL133"/>
  <c r="AL134"/>
  <c r="AL135"/>
  <c r="AU135" s="1"/>
  <c r="AL136"/>
  <c r="AU136" s="1"/>
  <c r="AL137"/>
  <c r="AV137" s="1"/>
  <c r="AL138"/>
  <c r="AL139"/>
  <c r="AL140"/>
  <c r="AU140"/>
  <c r="AL141"/>
  <c r="AL142"/>
  <c r="AL143"/>
  <c r="AL144"/>
  <c r="AU144"/>
  <c r="AL145"/>
  <c r="AL146"/>
  <c r="AL147"/>
  <c r="AL148"/>
  <c r="AU148" s="1"/>
  <c r="AL149"/>
  <c r="AL150"/>
  <c r="AL151"/>
  <c r="AL152"/>
  <c r="AU152" s="1"/>
  <c r="AL153"/>
  <c r="AV153" s="1"/>
  <c r="AL154"/>
  <c r="AQ182"/>
  <c r="AQ187"/>
  <c r="AP181"/>
  <c r="AP182"/>
  <c r="AP184"/>
  <c r="AP183"/>
  <c r="AP186"/>
  <c r="AP187"/>
  <c r="AH75"/>
  <c r="AH122"/>
  <c r="AJ182"/>
  <c r="AH45"/>
  <c r="AB182"/>
  <c r="AB181"/>
  <c r="AA181"/>
  <c r="AA180" s="1"/>
  <c r="AA182"/>
  <c r="AA184"/>
  <c r="AA183" s="1"/>
  <c r="AA187"/>
  <c r="AC182"/>
  <c r="AH135"/>
  <c r="X181"/>
  <c r="X182"/>
  <c r="X187"/>
  <c r="H29"/>
  <c r="W29"/>
  <c r="AL29"/>
  <c r="BQ29"/>
  <c r="CA29" s="1"/>
  <c r="W30"/>
  <c r="AG30" s="1"/>
  <c r="W43"/>
  <c r="CE47"/>
  <c r="AE60"/>
  <c r="AE61"/>
  <c r="AE62"/>
  <c r="AE63"/>
  <c r="H46"/>
  <c r="W46"/>
  <c r="BB46"/>
  <c r="BQ46"/>
  <c r="CD46"/>
  <c r="BJ13"/>
  <c r="BB13"/>
  <c r="BJ14"/>
  <c r="BB14"/>
  <c r="BJ15"/>
  <c r="BB15"/>
  <c r="BK15" s="1"/>
  <c r="BL15"/>
  <c r="BJ17"/>
  <c r="BB17"/>
  <c r="BL17"/>
  <c r="BJ10"/>
  <c r="BL10" s="1"/>
  <c r="BB10"/>
  <c r="BJ11"/>
  <c r="BB11"/>
  <c r="BJ12"/>
  <c r="BL12" s="1"/>
  <c r="BB12"/>
  <c r="BB16"/>
  <c r="BJ18"/>
  <c r="BL18" s="1"/>
  <c r="BB18"/>
  <c r="BJ19"/>
  <c r="BB19"/>
  <c r="BL19"/>
  <c r="BJ23"/>
  <c r="BL23" s="1"/>
  <c r="BB23"/>
  <c r="BJ24"/>
  <c r="BB24"/>
  <c r="BB25"/>
  <c r="BJ26"/>
  <c r="BB26"/>
  <c r="BL28"/>
  <c r="H30"/>
  <c r="AL30"/>
  <c r="BQ30"/>
  <c r="CA30" s="1"/>
  <c r="BB31"/>
  <c r="BL31" s="1"/>
  <c r="BJ33"/>
  <c r="BB33"/>
  <c r="BJ34"/>
  <c r="BB34"/>
  <c r="BJ35"/>
  <c r="BB35"/>
  <c r="BL35"/>
  <c r="BJ36"/>
  <c r="BL36" s="1"/>
  <c r="BB36"/>
  <c r="BJ37"/>
  <c r="BB37"/>
  <c r="BJ38"/>
  <c r="BB38"/>
  <c r="BJ39"/>
  <c r="BB39"/>
  <c r="BK39" s="1"/>
  <c r="BJ40"/>
  <c r="BB40"/>
  <c r="BB42"/>
  <c r="BK42" s="1"/>
  <c r="BB43"/>
  <c r="BB44"/>
  <c r="BL44"/>
  <c r="BQ45"/>
  <c r="BB45"/>
  <c r="BL46"/>
  <c r="BB47"/>
  <c r="BB48"/>
  <c r="BK48" s="1"/>
  <c r="BL50"/>
  <c r="BB52"/>
  <c r="BK52" s="1"/>
  <c r="BB53"/>
  <c r="BL53" s="1"/>
  <c r="BB54"/>
  <c r="BL54"/>
  <c r="BB55"/>
  <c r="BK55" s="1"/>
  <c r="BB56"/>
  <c r="BB57"/>
  <c r="BB58"/>
  <c r="BK58" s="1"/>
  <c r="BB59"/>
  <c r="BL59" s="1"/>
  <c r="BJ60"/>
  <c r="BB60"/>
  <c r="BJ61"/>
  <c r="BL61" s="1"/>
  <c r="BB61"/>
  <c r="BJ62"/>
  <c r="BL62" s="1"/>
  <c r="BB62"/>
  <c r="BJ63"/>
  <c r="BB63"/>
  <c r="BL66"/>
  <c r="BL70"/>
  <c r="BL71"/>
  <c r="BL73"/>
  <c r="BL74"/>
  <c r="BL79"/>
  <c r="BL87"/>
  <c r="BL89"/>
  <c r="BL98"/>
  <c r="BL100"/>
  <c r="BK44"/>
  <c r="BK10"/>
  <c r="BK17"/>
  <c r="BK23"/>
  <c r="BK33"/>
  <c r="BK35"/>
  <c r="BK46"/>
  <c r="BK62"/>
  <c r="BB122"/>
  <c r="BJ123"/>
  <c r="BB123"/>
  <c r="BJ124"/>
  <c r="BB124"/>
  <c r="BJ125"/>
  <c r="BB125"/>
  <c r="BJ126"/>
  <c r="BB126"/>
  <c r="BJ127"/>
  <c r="BB127"/>
  <c r="BK127"/>
  <c r="BJ129"/>
  <c r="BB129"/>
  <c r="BJ130"/>
  <c r="BB130"/>
  <c r="BJ131"/>
  <c r="BB131"/>
  <c r="BJ132"/>
  <c r="BB132"/>
  <c r="BJ133"/>
  <c r="BB133"/>
  <c r="BJ134"/>
  <c r="BK134" s="1"/>
  <c r="BB134"/>
  <c r="BL134" s="1"/>
  <c r="BJ135"/>
  <c r="BB135"/>
  <c r="BK135"/>
  <c r="BJ136"/>
  <c r="BB136"/>
  <c r="BJ137"/>
  <c r="BB137"/>
  <c r="BJ138"/>
  <c r="BB138"/>
  <c r="BL138" s="1"/>
  <c r="BK138"/>
  <c r="BJ139"/>
  <c r="BK139" s="1"/>
  <c r="BB139"/>
  <c r="BJ140"/>
  <c r="BB140"/>
  <c r="BL140" s="1"/>
  <c r="BJ141"/>
  <c r="BB141"/>
  <c r="BJ142"/>
  <c r="BK142" s="1"/>
  <c r="BB142"/>
  <c r="BL142" s="1"/>
  <c r="BJ143"/>
  <c r="BB143"/>
  <c r="BK143"/>
  <c r="BJ144"/>
  <c r="BB144"/>
  <c r="BJ145"/>
  <c r="BB145"/>
  <c r="BJ146"/>
  <c r="BB146"/>
  <c r="BK146"/>
  <c r="BJ147"/>
  <c r="BK147" s="1"/>
  <c r="BB147"/>
  <c r="BJ148"/>
  <c r="BB148"/>
  <c r="BL148" s="1"/>
  <c r="BJ149"/>
  <c r="BK149" s="1"/>
  <c r="BB149"/>
  <c r="BJ150"/>
  <c r="BK150" s="1"/>
  <c r="BB150"/>
  <c r="BL150" s="1"/>
  <c r="BJ151"/>
  <c r="BB151"/>
  <c r="BK151"/>
  <c r="BJ152"/>
  <c r="BB152"/>
  <c r="BJ153"/>
  <c r="BB153"/>
  <c r="BJ154"/>
  <c r="BB154"/>
  <c r="BK154"/>
  <c r="BL168"/>
  <c r="BL169"/>
  <c r="H171"/>
  <c r="W171"/>
  <c r="AL171"/>
  <c r="BQ171"/>
  <c r="BL111"/>
  <c r="BL113"/>
  <c r="BL127"/>
  <c r="BL128"/>
  <c r="BL132"/>
  <c r="BL135"/>
  <c r="BL136"/>
  <c r="BL143"/>
  <c r="BL144"/>
  <c r="BL151"/>
  <c r="BL152"/>
  <c r="BL156"/>
  <c r="BL164"/>
  <c r="BL165"/>
  <c r="BL172"/>
  <c r="BL175"/>
  <c r="BL176"/>
  <c r="BI197"/>
  <c r="BG197"/>
  <c r="BF197"/>
  <c r="BI196"/>
  <c r="BH196"/>
  <c r="BG196"/>
  <c r="BF196"/>
  <c r="BE196"/>
  <c r="BD196"/>
  <c r="BI195"/>
  <c r="BG195"/>
  <c r="BF195"/>
  <c r="BE195"/>
  <c r="BD195"/>
  <c r="BI194"/>
  <c r="BH194"/>
  <c r="BG194"/>
  <c r="BF194"/>
  <c r="BE194"/>
  <c r="BD194"/>
  <c r="BI193"/>
  <c r="BH193"/>
  <c r="BG193"/>
  <c r="BF193"/>
  <c r="BE193"/>
  <c r="BD193"/>
  <c r="BJ192"/>
  <c r="BI192"/>
  <c r="BH192"/>
  <c r="BG192"/>
  <c r="BF192"/>
  <c r="BE192"/>
  <c r="BD192"/>
  <c r="BI187"/>
  <c r="BH187"/>
  <c r="BF187"/>
  <c r="BE187"/>
  <c r="BD187"/>
  <c r="BI186"/>
  <c r="BH186"/>
  <c r="BF186"/>
  <c r="BF185" s="1"/>
  <c r="BI184"/>
  <c r="BI183"/>
  <c r="BH184"/>
  <c r="BH183" s="1"/>
  <c r="BF184"/>
  <c r="BF183" s="1"/>
  <c r="BE184"/>
  <c r="BE183" s="1"/>
  <c r="BD184"/>
  <c r="BD183"/>
  <c r="BF182"/>
  <c r="BD182"/>
  <c r="BI181"/>
  <c r="BI180"/>
  <c r="BF181"/>
  <c r="BE181"/>
  <c r="BD181"/>
  <c r="BH177"/>
  <c r="BF177"/>
  <c r="BF179" s="1"/>
  <c r="BC184"/>
  <c r="BC183" s="1"/>
  <c r="BC186"/>
  <c r="BC187"/>
  <c r="BC185"/>
  <c r="BC192"/>
  <c r="BC193"/>
  <c r="BC196"/>
  <c r="BC197"/>
  <c r="AL10"/>
  <c r="AU10" s="1"/>
  <c r="AU16"/>
  <c r="AL18"/>
  <c r="AU18" s="1"/>
  <c r="AL24"/>
  <c r="AU24" s="1"/>
  <c r="AL11"/>
  <c r="AU11" s="1"/>
  <c r="AL12"/>
  <c r="AU12" s="1"/>
  <c r="AL13"/>
  <c r="AL14"/>
  <c r="AU14" s="1"/>
  <c r="AL15"/>
  <c r="AU15"/>
  <c r="AL17"/>
  <c r="AU17" s="1"/>
  <c r="AL19"/>
  <c r="AU19" s="1"/>
  <c r="AL20"/>
  <c r="AL21"/>
  <c r="AL22"/>
  <c r="AU22" s="1"/>
  <c r="AL23"/>
  <c r="AU23" s="1"/>
  <c r="AL25"/>
  <c r="AL26"/>
  <c r="AU26" s="1"/>
  <c r="AL27"/>
  <c r="AU27" s="1"/>
  <c r="AL28"/>
  <c r="AU30"/>
  <c r="AL31"/>
  <c r="AU31" s="1"/>
  <c r="AL32"/>
  <c r="AV32" s="1"/>
  <c r="AL33"/>
  <c r="AL34"/>
  <c r="AU34" s="1"/>
  <c r="AL35"/>
  <c r="AU35" s="1"/>
  <c r="AL36"/>
  <c r="AU36" s="1"/>
  <c r="AL37"/>
  <c r="AL38"/>
  <c r="AU38" s="1"/>
  <c r="AL39"/>
  <c r="AU39" s="1"/>
  <c r="AL40"/>
  <c r="AU40" s="1"/>
  <c r="AL42"/>
  <c r="AU42" s="1"/>
  <c r="AL43"/>
  <c r="AL44"/>
  <c r="AL48"/>
  <c r="AU48" s="1"/>
  <c r="AL50"/>
  <c r="AU50" s="1"/>
  <c r="AU52"/>
  <c r="AL53"/>
  <c r="AU53" s="1"/>
  <c r="AL54"/>
  <c r="AU54" s="1"/>
  <c r="AL55"/>
  <c r="AU55" s="1"/>
  <c r="AL56"/>
  <c r="AU56" s="1"/>
  <c r="AL57"/>
  <c r="AU57" s="1"/>
  <c r="AL58"/>
  <c r="AU58" s="1"/>
  <c r="AL59"/>
  <c r="AU59" s="1"/>
  <c r="AL60"/>
  <c r="AU60" s="1"/>
  <c r="AL61"/>
  <c r="AU61" s="1"/>
  <c r="AL62"/>
  <c r="AU62" s="1"/>
  <c r="AL63"/>
  <c r="AU63" s="1"/>
  <c r="AL65"/>
  <c r="AU65" s="1"/>
  <c r="AL66"/>
  <c r="AL67"/>
  <c r="AU67" s="1"/>
  <c r="AL68"/>
  <c r="AU68" s="1"/>
  <c r="AL69"/>
  <c r="AU69" s="1"/>
  <c r="AL70"/>
  <c r="AL71"/>
  <c r="AU71" s="1"/>
  <c r="AL72"/>
  <c r="AU72" s="1"/>
  <c r="AL73"/>
  <c r="AU73" s="1"/>
  <c r="AL74"/>
  <c r="AL75"/>
  <c r="AL76"/>
  <c r="AU76" s="1"/>
  <c r="AL77"/>
  <c r="AL78"/>
  <c r="AU78" s="1"/>
  <c r="AL79"/>
  <c r="AL80"/>
  <c r="AU80" s="1"/>
  <c r="AL81"/>
  <c r="AL82"/>
  <c r="AU82" s="1"/>
  <c r="AL83"/>
  <c r="AU83" s="1"/>
  <c r="AL84"/>
  <c r="AV84" s="1"/>
  <c r="AL85"/>
  <c r="AU85" s="1"/>
  <c r="AL86"/>
  <c r="AU86" s="1"/>
  <c r="AL87"/>
  <c r="AU87" s="1"/>
  <c r="AL88"/>
  <c r="AU88" s="1"/>
  <c r="AL89"/>
  <c r="AU89" s="1"/>
  <c r="AL90"/>
  <c r="AU90" s="1"/>
  <c r="AL91"/>
  <c r="AU91" s="1"/>
  <c r="AL92"/>
  <c r="AU92" s="1"/>
  <c r="AL93"/>
  <c r="AU93" s="1"/>
  <c r="AL94"/>
  <c r="AU94" s="1"/>
  <c r="AL95"/>
  <c r="AU95" s="1"/>
  <c r="AL96"/>
  <c r="AU96" s="1"/>
  <c r="AL97"/>
  <c r="AU97" s="1"/>
  <c r="AL98"/>
  <c r="AU98" s="1"/>
  <c r="AL99"/>
  <c r="AU99" s="1"/>
  <c r="AL100"/>
  <c r="AU100" s="1"/>
  <c r="AL101"/>
  <c r="AU101" s="1"/>
  <c r="AL102"/>
  <c r="AU102" s="1"/>
  <c r="AL103"/>
  <c r="AU103" s="1"/>
  <c r="AL104"/>
  <c r="AU104" s="1"/>
  <c r="AL105"/>
  <c r="AU105" s="1"/>
  <c r="AL106"/>
  <c r="AU106" s="1"/>
  <c r="AL107"/>
  <c r="AU107" s="1"/>
  <c r="AL108"/>
  <c r="AU108" s="1"/>
  <c r="AL109"/>
  <c r="AU109" s="1"/>
  <c r="AL110"/>
  <c r="AU110" s="1"/>
  <c r="AL111"/>
  <c r="AU111" s="1"/>
  <c r="AL112"/>
  <c r="AU112" s="1"/>
  <c r="AL113"/>
  <c r="AU113" s="1"/>
  <c r="AL114"/>
  <c r="AU114" s="1"/>
  <c r="AL115"/>
  <c r="AU115" s="1"/>
  <c r="AL116"/>
  <c r="AU116" s="1"/>
  <c r="AL117"/>
  <c r="AU117" s="1"/>
  <c r="AL118"/>
  <c r="AU118" s="1"/>
  <c r="AL156"/>
  <c r="AU156" s="1"/>
  <c r="AL157"/>
  <c r="AU157" s="1"/>
  <c r="AL158"/>
  <c r="AL159"/>
  <c r="AL160"/>
  <c r="AU160" s="1"/>
  <c r="AL161"/>
  <c r="AU161" s="1"/>
  <c r="AL162"/>
  <c r="AU162" s="1"/>
  <c r="AL163"/>
  <c r="AL164"/>
  <c r="AU164" s="1"/>
  <c r="AL165"/>
  <c r="AU165" s="1"/>
  <c r="AL166"/>
  <c r="AU166" s="1"/>
  <c r="AL167"/>
  <c r="AL168"/>
  <c r="AU168"/>
  <c r="AL169"/>
  <c r="AU169" s="1"/>
  <c r="AL170"/>
  <c r="AU170"/>
  <c r="AL172"/>
  <c r="AU172" s="1"/>
  <c r="AL173"/>
  <c r="AU173" s="1"/>
  <c r="AL174"/>
  <c r="AU174" s="1"/>
  <c r="AL175"/>
  <c r="AL176"/>
  <c r="AU176" s="1"/>
  <c r="H19"/>
  <c r="W19"/>
  <c r="H44"/>
  <c r="W44"/>
  <c r="AV58"/>
  <c r="H79"/>
  <c r="W79"/>
  <c r="H121"/>
  <c r="W121"/>
  <c r="BQ121"/>
  <c r="H123"/>
  <c r="W123"/>
  <c r="BQ123"/>
  <c r="AV161"/>
  <c r="AO181"/>
  <c r="AO182"/>
  <c r="AO186"/>
  <c r="AO187"/>
  <c r="X195"/>
  <c r="R30"/>
  <c r="H31"/>
  <c r="H128"/>
  <c r="R128"/>
  <c r="AC181"/>
  <c r="AC180" s="1"/>
  <c r="AC184"/>
  <c r="AC183" s="1"/>
  <c r="AC186"/>
  <c r="AC187"/>
  <c r="AC177"/>
  <c r="W45"/>
  <c r="W42"/>
  <c r="AF46"/>
  <c r="W47"/>
  <c r="AF47" s="1"/>
  <c r="W48"/>
  <c r="AF48" s="1"/>
  <c r="W49"/>
  <c r="W50"/>
  <c r="AF50" s="1"/>
  <c r="W53"/>
  <c r="AF53" s="1"/>
  <c r="W54"/>
  <c r="AF54" s="1"/>
  <c r="W55"/>
  <c r="AF55" s="1"/>
  <c r="W56"/>
  <c r="W57"/>
  <c r="AF57" s="1"/>
  <c r="W58"/>
  <c r="AF58" s="1"/>
  <c r="W59"/>
  <c r="AF59" s="1"/>
  <c r="W10"/>
  <c r="W16"/>
  <c r="AF16" s="1"/>
  <c r="W18"/>
  <c r="W24"/>
  <c r="AF24" s="1"/>
  <c r="W11"/>
  <c r="AF11" s="1"/>
  <c r="W12"/>
  <c r="AF12" s="1"/>
  <c r="W13"/>
  <c r="AF13" s="1"/>
  <c r="W14"/>
  <c r="AF14" s="1"/>
  <c r="W15"/>
  <c r="AF15" s="1"/>
  <c r="W17"/>
  <c r="AF17" s="1"/>
  <c r="W20"/>
  <c r="W21"/>
  <c r="W22"/>
  <c r="AF22" s="1"/>
  <c r="W23"/>
  <c r="AF23" s="1"/>
  <c r="W26"/>
  <c r="AF26" s="1"/>
  <c r="W25"/>
  <c r="AF25" s="1"/>
  <c r="W27"/>
  <c r="AF27" s="1"/>
  <c r="W28"/>
  <c r="AF28" s="1"/>
  <c r="AF29"/>
  <c r="AF30"/>
  <c r="W31"/>
  <c r="AF31" s="1"/>
  <c r="W32"/>
  <c r="W33"/>
  <c r="AF33" s="1"/>
  <c r="W34"/>
  <c r="AF34" s="1"/>
  <c r="W35"/>
  <c r="AF35" s="1"/>
  <c r="W36"/>
  <c r="W37"/>
  <c r="AF37"/>
  <c r="W38"/>
  <c r="AF38" s="1"/>
  <c r="W39"/>
  <c r="AF39"/>
  <c r="W40"/>
  <c r="W60"/>
  <c r="AF60" s="1"/>
  <c r="W61"/>
  <c r="AF61" s="1"/>
  <c r="W62"/>
  <c r="AF62" s="1"/>
  <c r="W63"/>
  <c r="AF63" s="1"/>
  <c r="W65"/>
  <c r="AF65" s="1"/>
  <c r="W66"/>
  <c r="AF66" s="1"/>
  <c r="W67"/>
  <c r="AF67" s="1"/>
  <c r="W68"/>
  <c r="AF68" s="1"/>
  <c r="W69"/>
  <c r="AF69" s="1"/>
  <c r="W70"/>
  <c r="AF70" s="1"/>
  <c r="W71"/>
  <c r="AF71" s="1"/>
  <c r="W72"/>
  <c r="AF72" s="1"/>
  <c r="W73"/>
  <c r="AF73" s="1"/>
  <c r="W74"/>
  <c r="W75"/>
  <c r="W76"/>
  <c r="AF76" s="1"/>
  <c r="W77"/>
  <c r="AF77" s="1"/>
  <c r="W78"/>
  <c r="AF78"/>
  <c r="W80"/>
  <c r="AF80" s="1"/>
  <c r="W81"/>
  <c r="AF81" s="1"/>
  <c r="W82"/>
  <c r="W83"/>
  <c r="AF83" s="1"/>
  <c r="W84"/>
  <c r="W85"/>
  <c r="AF85" s="1"/>
  <c r="W86"/>
  <c r="W87"/>
  <c r="AF87" s="1"/>
  <c r="W88"/>
  <c r="AF88" s="1"/>
  <c r="W89"/>
  <c r="AF89" s="1"/>
  <c r="W90"/>
  <c r="W91"/>
  <c r="AF91" s="1"/>
  <c r="W92"/>
  <c r="AF92" s="1"/>
  <c r="W93"/>
  <c r="AF93" s="1"/>
  <c r="W94"/>
  <c r="W95"/>
  <c r="AF95"/>
  <c r="W96"/>
  <c r="AF96" s="1"/>
  <c r="W97"/>
  <c r="AF97" s="1"/>
  <c r="W98"/>
  <c r="W99"/>
  <c r="AF99" s="1"/>
  <c r="W100"/>
  <c r="AF100" s="1"/>
  <c r="W101"/>
  <c r="AF101" s="1"/>
  <c r="W102"/>
  <c r="W103"/>
  <c r="AF103" s="1"/>
  <c r="W104"/>
  <c r="AF104" s="1"/>
  <c r="W105"/>
  <c r="AF105" s="1"/>
  <c r="W106"/>
  <c r="W107"/>
  <c r="AF107" s="1"/>
  <c r="W108"/>
  <c r="AF108" s="1"/>
  <c r="W109"/>
  <c r="AF109" s="1"/>
  <c r="W110"/>
  <c r="W111"/>
  <c r="AF111"/>
  <c r="W112"/>
  <c r="AF112" s="1"/>
  <c r="W113"/>
  <c r="AF113" s="1"/>
  <c r="W114"/>
  <c r="W115"/>
  <c r="AF115" s="1"/>
  <c r="W116"/>
  <c r="AF116" s="1"/>
  <c r="W117"/>
  <c r="AF117" s="1"/>
  <c r="W118"/>
  <c r="W120"/>
  <c r="W122"/>
  <c r="W124"/>
  <c r="AF124" s="1"/>
  <c r="W125"/>
  <c r="W126"/>
  <c r="AF126" s="1"/>
  <c r="W127"/>
  <c r="AF127" s="1"/>
  <c r="W128"/>
  <c r="AF128" s="1"/>
  <c r="W129"/>
  <c r="W130"/>
  <c r="AF130"/>
  <c r="W131"/>
  <c r="AF131" s="1"/>
  <c r="W132"/>
  <c r="AF132" s="1"/>
  <c r="W133"/>
  <c r="W134"/>
  <c r="AF134" s="1"/>
  <c r="W135"/>
  <c r="W136"/>
  <c r="AF136" s="1"/>
  <c r="W137"/>
  <c r="AF137" s="1"/>
  <c r="W138"/>
  <c r="AF138" s="1"/>
  <c r="W139"/>
  <c r="W140"/>
  <c r="AF140" s="1"/>
  <c r="W141"/>
  <c r="AF141" s="1"/>
  <c r="W142"/>
  <c r="AF142" s="1"/>
  <c r="W143"/>
  <c r="W144"/>
  <c r="AF144" s="1"/>
  <c r="W145"/>
  <c r="AF145" s="1"/>
  <c r="W146"/>
  <c r="AF146" s="1"/>
  <c r="W147"/>
  <c r="W148"/>
  <c r="AF148" s="1"/>
  <c r="W149"/>
  <c r="AF149" s="1"/>
  <c r="W150"/>
  <c r="AF150" s="1"/>
  <c r="W151"/>
  <c r="W152"/>
  <c r="AF152" s="1"/>
  <c r="W153"/>
  <c r="AF153" s="1"/>
  <c r="W154"/>
  <c r="AF154" s="1"/>
  <c r="W156"/>
  <c r="AF156" s="1"/>
  <c r="W157"/>
  <c r="AF157" s="1"/>
  <c r="W158"/>
  <c r="AF158" s="1"/>
  <c r="W159"/>
  <c r="AF159" s="1"/>
  <c r="W160"/>
  <c r="AF160" s="1"/>
  <c r="W161"/>
  <c r="W162"/>
  <c r="AF162" s="1"/>
  <c r="W163"/>
  <c r="AF163" s="1"/>
  <c r="W164"/>
  <c r="W165"/>
  <c r="AF165" s="1"/>
  <c r="W166"/>
  <c r="AF166" s="1"/>
  <c r="W167"/>
  <c r="AF167" s="1"/>
  <c r="W168"/>
  <c r="W169"/>
  <c r="AF169" s="1"/>
  <c r="W170"/>
  <c r="AF170" s="1"/>
  <c r="AF171"/>
  <c r="W172"/>
  <c r="W173"/>
  <c r="AF173" s="1"/>
  <c r="W174"/>
  <c r="AF174" s="1"/>
  <c r="W175"/>
  <c r="AF175" s="1"/>
  <c r="W176"/>
  <c r="AA197"/>
  <c r="Z194"/>
  <c r="Y194"/>
  <c r="Y184"/>
  <c r="Y183" s="1"/>
  <c r="AD197"/>
  <c r="AC197"/>
  <c r="AB197"/>
  <c r="AD196"/>
  <c r="AC196"/>
  <c r="AB196"/>
  <c r="AA196"/>
  <c r="Z196"/>
  <c r="Y196"/>
  <c r="AC195"/>
  <c r="AB195"/>
  <c r="AA195"/>
  <c r="Z195"/>
  <c r="Y195"/>
  <c r="AD194"/>
  <c r="AC194"/>
  <c r="AB194"/>
  <c r="AA194"/>
  <c r="AD193"/>
  <c r="AC193"/>
  <c r="AB193"/>
  <c r="AA193"/>
  <c r="Z193"/>
  <c r="Z198" s="1"/>
  <c r="AE192"/>
  <c r="AD192"/>
  <c r="AC192"/>
  <c r="AB192"/>
  <c r="AA192"/>
  <c r="Z192"/>
  <c r="Y192"/>
  <c r="AB187"/>
  <c r="AB186"/>
  <c r="Z187"/>
  <c r="Y187"/>
  <c r="AD184"/>
  <c r="AD183" s="1"/>
  <c r="AD181"/>
  <c r="AD180" s="1"/>
  <c r="AB184"/>
  <c r="AB183" s="1"/>
  <c r="Z181"/>
  <c r="Z184"/>
  <c r="Z183" s="1"/>
  <c r="Y181"/>
  <c r="Z197"/>
  <c r="Y182"/>
  <c r="Y193"/>
  <c r="Y197"/>
  <c r="Y186"/>
  <c r="H156"/>
  <c r="R156" s="1"/>
  <c r="H157"/>
  <c r="Q157" s="1"/>
  <c r="H158"/>
  <c r="H159"/>
  <c r="R159" s="1"/>
  <c r="H160"/>
  <c r="BQ160"/>
  <c r="BZ160" s="1"/>
  <c r="H161"/>
  <c r="Q161" s="1"/>
  <c r="H162"/>
  <c r="H163"/>
  <c r="BQ163"/>
  <c r="CA163" s="1"/>
  <c r="H164"/>
  <c r="R164" s="1"/>
  <c r="H165"/>
  <c r="R165" s="1"/>
  <c r="H166"/>
  <c r="R166" s="1"/>
  <c r="H167"/>
  <c r="Q167" s="1"/>
  <c r="H168"/>
  <c r="Q168" s="1"/>
  <c r="H169"/>
  <c r="R169" s="1"/>
  <c r="H170"/>
  <c r="R170"/>
  <c r="R171"/>
  <c r="H172"/>
  <c r="R172" s="1"/>
  <c r="H173"/>
  <c r="R173"/>
  <c r="H174"/>
  <c r="H175"/>
  <c r="Q175" s="1"/>
  <c r="H176"/>
  <c r="R176" s="1"/>
  <c r="Q166"/>
  <c r="Q170"/>
  <c r="Q171"/>
  <c r="Q172"/>
  <c r="Q173"/>
  <c r="Q174"/>
  <c r="H120"/>
  <c r="H122"/>
  <c r="R122" s="1"/>
  <c r="H124"/>
  <c r="H125"/>
  <c r="BQ125"/>
  <c r="CA125" s="1"/>
  <c r="H126"/>
  <c r="R126" s="1"/>
  <c r="H127"/>
  <c r="R127" s="1"/>
  <c r="H129"/>
  <c r="H130"/>
  <c r="R130" s="1"/>
  <c r="H131"/>
  <c r="Q131" s="1"/>
  <c r="H132"/>
  <c r="H133"/>
  <c r="R133" s="1"/>
  <c r="H134"/>
  <c r="R134" s="1"/>
  <c r="H135"/>
  <c r="Q135" s="1"/>
  <c r="H136"/>
  <c r="Q136" s="1"/>
  <c r="H137"/>
  <c r="R137" s="1"/>
  <c r="H138"/>
  <c r="R138" s="1"/>
  <c r="H139"/>
  <c r="Q139" s="1"/>
  <c r="R139"/>
  <c r="H140"/>
  <c r="H141"/>
  <c r="R141" s="1"/>
  <c r="H142"/>
  <c r="R142" s="1"/>
  <c r="H143"/>
  <c r="Q143" s="1"/>
  <c r="H144"/>
  <c r="H145"/>
  <c r="Q145" s="1"/>
  <c r="H146"/>
  <c r="R146" s="1"/>
  <c r="H147"/>
  <c r="Q147" s="1"/>
  <c r="H148"/>
  <c r="H149"/>
  <c r="R149" s="1"/>
  <c r="H150"/>
  <c r="R150" s="1"/>
  <c r="H151"/>
  <c r="Q151" s="1"/>
  <c r="H152"/>
  <c r="Q152" s="1"/>
  <c r="H153"/>
  <c r="R153" s="1"/>
  <c r="H154"/>
  <c r="R154" s="1"/>
  <c r="Q122"/>
  <c r="Q123"/>
  <c r="Q127"/>
  <c r="Q133"/>
  <c r="Q138"/>
  <c r="Q146"/>
  <c r="H65"/>
  <c r="H66"/>
  <c r="Q66" s="1"/>
  <c r="H67"/>
  <c r="Q67" s="1"/>
  <c r="H68"/>
  <c r="R68"/>
  <c r="H69"/>
  <c r="H70"/>
  <c r="R70" s="1"/>
  <c r="H71"/>
  <c r="Q71" s="1"/>
  <c r="H72"/>
  <c r="Q72" s="1"/>
  <c r="H73"/>
  <c r="R73" s="1"/>
  <c r="H74"/>
  <c r="CD74" s="1"/>
  <c r="H75"/>
  <c r="H76"/>
  <c r="Q76" s="1"/>
  <c r="H77"/>
  <c r="Q77" s="1"/>
  <c r="H78"/>
  <c r="Q78" s="1"/>
  <c r="H80"/>
  <c r="Q80" s="1"/>
  <c r="H81"/>
  <c r="Q81" s="1"/>
  <c r="H82"/>
  <c r="R82" s="1"/>
  <c r="H83"/>
  <c r="Q83" s="1"/>
  <c r="H84"/>
  <c r="H85"/>
  <c r="R85" s="1"/>
  <c r="H86"/>
  <c r="R86" s="1"/>
  <c r="H87"/>
  <c r="R87" s="1"/>
  <c r="H88"/>
  <c r="R88" s="1"/>
  <c r="H89"/>
  <c r="R89" s="1"/>
  <c r="H90"/>
  <c r="R90" s="1"/>
  <c r="H91"/>
  <c r="H92"/>
  <c r="H93"/>
  <c r="R93" s="1"/>
  <c r="H94"/>
  <c r="R94" s="1"/>
  <c r="H95"/>
  <c r="R95" s="1"/>
  <c r="H96"/>
  <c r="R96" s="1"/>
  <c r="H97"/>
  <c r="R97" s="1"/>
  <c r="H98"/>
  <c r="R98" s="1"/>
  <c r="H99"/>
  <c r="H100"/>
  <c r="H101"/>
  <c r="R101" s="1"/>
  <c r="H102"/>
  <c r="R102" s="1"/>
  <c r="H103"/>
  <c r="R103" s="1"/>
  <c r="H104"/>
  <c r="R104" s="1"/>
  <c r="H105"/>
  <c r="R105" s="1"/>
  <c r="H106"/>
  <c r="R106" s="1"/>
  <c r="H107"/>
  <c r="H108"/>
  <c r="H109"/>
  <c r="R109" s="1"/>
  <c r="H110"/>
  <c r="R110" s="1"/>
  <c r="H111"/>
  <c r="R111" s="1"/>
  <c r="H112"/>
  <c r="R112" s="1"/>
  <c r="H113"/>
  <c r="R113" s="1"/>
  <c r="H114"/>
  <c r="R114" s="1"/>
  <c r="H115"/>
  <c r="H116"/>
  <c r="H117"/>
  <c r="R117" s="1"/>
  <c r="H118"/>
  <c r="R118" s="1"/>
  <c r="R75"/>
  <c r="R79"/>
  <c r="R84"/>
  <c r="R91"/>
  <c r="R92"/>
  <c r="R99"/>
  <c r="R100"/>
  <c r="R107"/>
  <c r="R108"/>
  <c r="R115"/>
  <c r="R116"/>
  <c r="Q65"/>
  <c r="Q68"/>
  <c r="Q69"/>
  <c r="Q70"/>
  <c r="Q73"/>
  <c r="Q75"/>
  <c r="Q79"/>
  <c r="Q82"/>
  <c r="Q91"/>
  <c r="Q92"/>
  <c r="Q99"/>
  <c r="Q100"/>
  <c r="Q107"/>
  <c r="Q108"/>
  <c r="Q115"/>
  <c r="Q116"/>
  <c r="H42"/>
  <c r="Q42" s="1"/>
  <c r="H43"/>
  <c r="Q43" s="1"/>
  <c r="R44"/>
  <c r="H45"/>
  <c r="H47"/>
  <c r="R47"/>
  <c r="H48"/>
  <c r="Q48" s="1"/>
  <c r="H49"/>
  <c r="R49" s="1"/>
  <c r="H50"/>
  <c r="R50" s="1"/>
  <c r="R51"/>
  <c r="R52"/>
  <c r="H53"/>
  <c r="Q53" s="1"/>
  <c r="H54"/>
  <c r="R54" s="1"/>
  <c r="H55"/>
  <c r="R55" s="1"/>
  <c r="H56"/>
  <c r="R56" s="1"/>
  <c r="H57"/>
  <c r="Q57" s="1"/>
  <c r="H58"/>
  <c r="R58" s="1"/>
  <c r="H59"/>
  <c r="R59" s="1"/>
  <c r="H60"/>
  <c r="R60" s="1"/>
  <c r="H61"/>
  <c r="H62"/>
  <c r="R62" s="1"/>
  <c r="H63"/>
  <c r="Q44"/>
  <c r="Q47"/>
  <c r="Q49"/>
  <c r="Q51"/>
  <c r="Q52"/>
  <c r="Q56"/>
  <c r="Q60"/>
  <c r="H10"/>
  <c r="Q10" s="1"/>
  <c r="H11"/>
  <c r="Q11" s="1"/>
  <c r="H12"/>
  <c r="R12"/>
  <c r="H13"/>
  <c r="R13" s="1"/>
  <c r="H14"/>
  <c r="R14" s="1"/>
  <c r="H15"/>
  <c r="Q15" s="1"/>
  <c r="H16"/>
  <c r="R16" s="1"/>
  <c r="H17"/>
  <c r="R17" s="1"/>
  <c r="H18"/>
  <c r="Q18" s="1"/>
  <c r="R19"/>
  <c r="H20"/>
  <c r="Q20" s="1"/>
  <c r="H21"/>
  <c r="R21" s="1"/>
  <c r="H22"/>
  <c r="R22" s="1"/>
  <c r="H23"/>
  <c r="R23" s="1"/>
  <c r="H24"/>
  <c r="R24" s="1"/>
  <c r="H25"/>
  <c r="Q25" s="1"/>
  <c r="H26"/>
  <c r="H27"/>
  <c r="R27" s="1"/>
  <c r="H28"/>
  <c r="Q28" s="1"/>
  <c r="R29"/>
  <c r="BQ31"/>
  <c r="CA31" s="1"/>
  <c r="H32"/>
  <c r="Q32" s="1"/>
  <c r="H33"/>
  <c r="R33" s="1"/>
  <c r="H34"/>
  <c r="R34" s="1"/>
  <c r="H35"/>
  <c r="R35" s="1"/>
  <c r="H36"/>
  <c r="Q36" s="1"/>
  <c r="H37"/>
  <c r="Q37" s="1"/>
  <c r="H38"/>
  <c r="H39"/>
  <c r="R39" s="1"/>
  <c r="H40"/>
  <c r="Q40" s="1"/>
  <c r="Q12"/>
  <c r="Q14"/>
  <c r="Q19"/>
  <c r="Q22"/>
  <c r="Q23"/>
  <c r="Q27"/>
  <c r="Q39"/>
  <c r="F182"/>
  <c r="CB127"/>
  <c r="CB45"/>
  <c r="BQ49"/>
  <c r="CA49" s="1"/>
  <c r="CA19"/>
  <c r="BQ21"/>
  <c r="BQ28"/>
  <c r="CA28" s="1"/>
  <c r="BQ33"/>
  <c r="CA33" s="1"/>
  <c r="BQ172"/>
  <c r="CD172" s="1"/>
  <c r="BQ173"/>
  <c r="CA173"/>
  <c r="BQ174"/>
  <c r="BZ174" s="1"/>
  <c r="BQ42"/>
  <c r="CA42" s="1"/>
  <c r="CA47"/>
  <c r="BQ10"/>
  <c r="CA10" s="1"/>
  <c r="CA16"/>
  <c r="BQ18"/>
  <c r="BQ24"/>
  <c r="CA24" s="1"/>
  <c r="BQ48"/>
  <c r="CA48" s="1"/>
  <c r="BQ11"/>
  <c r="CA11"/>
  <c r="BQ12"/>
  <c r="CA12" s="1"/>
  <c r="BQ13"/>
  <c r="CA13" s="1"/>
  <c r="BQ14"/>
  <c r="BZ14" s="1"/>
  <c r="BQ15"/>
  <c r="CA15" s="1"/>
  <c r="BQ17"/>
  <c r="CA17" s="1"/>
  <c r="BQ20"/>
  <c r="BQ22"/>
  <c r="CA22" s="1"/>
  <c r="BQ23"/>
  <c r="BQ25"/>
  <c r="CA25" s="1"/>
  <c r="BQ26"/>
  <c r="CA26" s="1"/>
  <c r="BQ27"/>
  <c r="BQ32"/>
  <c r="CA32" s="1"/>
  <c r="BQ34"/>
  <c r="CA34" s="1"/>
  <c r="BQ35"/>
  <c r="BZ35" s="1"/>
  <c r="BQ36"/>
  <c r="BQ37"/>
  <c r="CA37" s="1"/>
  <c r="BQ38"/>
  <c r="CA38" s="1"/>
  <c r="BQ39"/>
  <c r="CA39" s="1"/>
  <c r="BQ40"/>
  <c r="CA40" s="1"/>
  <c r="CA43"/>
  <c r="CA44"/>
  <c r="BQ50"/>
  <c r="CA50" s="1"/>
  <c r="BQ54"/>
  <c r="CA54" s="1"/>
  <c r="BQ55"/>
  <c r="CA55" s="1"/>
  <c r="BQ56"/>
  <c r="BQ57"/>
  <c r="BQ58"/>
  <c r="CA58" s="1"/>
  <c r="CA59"/>
  <c r="BQ60"/>
  <c r="BQ61"/>
  <c r="BQ62"/>
  <c r="CA62" s="1"/>
  <c r="BQ63"/>
  <c r="CA63" s="1"/>
  <c r="BQ65"/>
  <c r="BQ66"/>
  <c r="BQ67"/>
  <c r="BZ67" s="1"/>
  <c r="BQ68"/>
  <c r="CA68" s="1"/>
  <c r="BQ69"/>
  <c r="BZ69" s="1"/>
  <c r="BQ70"/>
  <c r="BQ71"/>
  <c r="CA71" s="1"/>
  <c r="BQ72"/>
  <c r="CD72" s="1"/>
  <c r="BQ73"/>
  <c r="BQ75"/>
  <c r="BZ75" s="1"/>
  <c r="BQ76"/>
  <c r="CA76" s="1"/>
  <c r="BQ77"/>
  <c r="BQ78"/>
  <c r="CA79"/>
  <c r="BQ80"/>
  <c r="CA80" s="1"/>
  <c r="BQ81"/>
  <c r="BZ81" s="1"/>
  <c r="BQ83"/>
  <c r="CA83" s="1"/>
  <c r="CA84"/>
  <c r="BQ85"/>
  <c r="BZ85" s="1"/>
  <c r="BQ86"/>
  <c r="BQ87"/>
  <c r="CA87" s="1"/>
  <c r="BQ88"/>
  <c r="CA88" s="1"/>
  <c r="BQ89"/>
  <c r="BQ90"/>
  <c r="BQ91"/>
  <c r="BZ91" s="1"/>
  <c r="BQ92"/>
  <c r="CA92" s="1"/>
  <c r="BQ93"/>
  <c r="BZ93" s="1"/>
  <c r="BQ94"/>
  <c r="BQ95"/>
  <c r="CA95" s="1"/>
  <c r="BQ96"/>
  <c r="CA96" s="1"/>
  <c r="BQ97"/>
  <c r="BQ98"/>
  <c r="BQ99"/>
  <c r="BZ99" s="1"/>
  <c r="BQ100"/>
  <c r="CA100" s="1"/>
  <c r="BQ101"/>
  <c r="BZ101" s="1"/>
  <c r="BQ102"/>
  <c r="BQ103"/>
  <c r="CA103"/>
  <c r="BQ104"/>
  <c r="CA104" s="1"/>
  <c r="BQ105"/>
  <c r="BQ106"/>
  <c r="BQ107"/>
  <c r="BZ107" s="1"/>
  <c r="BQ108"/>
  <c r="CA108" s="1"/>
  <c r="BQ109"/>
  <c r="BZ109" s="1"/>
  <c r="BQ110"/>
  <c r="BQ111"/>
  <c r="CA111" s="1"/>
  <c r="BQ112"/>
  <c r="CA112" s="1"/>
  <c r="BQ113"/>
  <c r="BQ114"/>
  <c r="BQ115"/>
  <c r="BZ115" s="1"/>
  <c r="BQ116"/>
  <c r="CA116" s="1"/>
  <c r="BQ117"/>
  <c r="BZ117" s="1"/>
  <c r="BQ118"/>
  <c r="BQ120"/>
  <c r="CA120" s="1"/>
  <c r="CA121"/>
  <c r="BQ122"/>
  <c r="BQ124"/>
  <c r="CA124" s="1"/>
  <c r="BQ126"/>
  <c r="BQ127"/>
  <c r="CA127" s="1"/>
  <c r="BQ128"/>
  <c r="CA128" s="1"/>
  <c r="BQ129"/>
  <c r="CA129" s="1"/>
  <c r="BQ130"/>
  <c r="BQ131"/>
  <c r="CA131" s="1"/>
  <c r="BQ132"/>
  <c r="CA132" s="1"/>
  <c r="BQ133"/>
  <c r="CA133"/>
  <c r="BQ134"/>
  <c r="CA134" s="1"/>
  <c r="BQ135"/>
  <c r="CA135" s="1"/>
  <c r="BQ136"/>
  <c r="CA136" s="1"/>
  <c r="BQ137"/>
  <c r="CA137" s="1"/>
  <c r="BQ138"/>
  <c r="BQ139"/>
  <c r="CA139" s="1"/>
  <c r="BQ140"/>
  <c r="CA140" s="1"/>
  <c r="BQ141"/>
  <c r="CA141"/>
  <c r="BQ142"/>
  <c r="BZ142" s="1"/>
  <c r="BQ143"/>
  <c r="CA143" s="1"/>
  <c r="BQ144"/>
  <c r="CA144"/>
  <c r="BQ145"/>
  <c r="CA145" s="1"/>
  <c r="BQ146"/>
  <c r="BQ147"/>
  <c r="BZ147" s="1"/>
  <c r="BQ148"/>
  <c r="CA148" s="1"/>
  <c r="BQ149"/>
  <c r="CA149" s="1"/>
  <c r="BQ150"/>
  <c r="CA150"/>
  <c r="BQ151"/>
  <c r="BZ151" s="1"/>
  <c r="BQ152"/>
  <c r="CA152" s="1"/>
  <c r="BQ153"/>
  <c r="CA153" s="1"/>
  <c r="BQ154"/>
  <c r="BQ156"/>
  <c r="CA156" s="1"/>
  <c r="BQ157"/>
  <c r="BQ158"/>
  <c r="CA158" s="1"/>
  <c r="BQ159"/>
  <c r="CD159" s="1"/>
  <c r="BQ161"/>
  <c r="BZ161" s="1"/>
  <c r="BQ162"/>
  <c r="BZ162" s="1"/>
  <c r="BQ164"/>
  <c r="CA164" s="1"/>
  <c r="BQ165"/>
  <c r="CA165" s="1"/>
  <c r="BQ166"/>
  <c r="CA166" s="1"/>
  <c r="BQ167"/>
  <c r="CD167" s="1"/>
  <c r="BQ168"/>
  <c r="BZ168" s="1"/>
  <c r="BQ169"/>
  <c r="BZ169" s="1"/>
  <c r="BQ170"/>
  <c r="CD170" s="1"/>
  <c r="CA171"/>
  <c r="BQ175"/>
  <c r="CA175" s="1"/>
  <c r="BQ176"/>
  <c r="CA176" s="1"/>
  <c r="BO182"/>
  <c r="BR181"/>
  <c r="BR180" s="1"/>
  <c r="BR184"/>
  <c r="BR183" s="1"/>
  <c r="AZ182"/>
  <c r="AZ181"/>
  <c r="AZ184"/>
  <c r="AZ183" s="1"/>
  <c r="AZ186"/>
  <c r="AZ187"/>
  <c r="BA187"/>
  <c r="BA186"/>
  <c r="BA184"/>
  <c r="BA183" s="1"/>
  <c r="BA182"/>
  <c r="BA180" s="1"/>
  <c r="BA181"/>
  <c r="AR182"/>
  <c r="AR186"/>
  <c r="AQ184"/>
  <c r="AQ183" s="1"/>
  <c r="AV12"/>
  <c r="AV34"/>
  <c r="AV65"/>
  <c r="AV10"/>
  <c r="AV11"/>
  <c r="AV13"/>
  <c r="AV14"/>
  <c r="AV15"/>
  <c r="AV16"/>
  <c r="AV17"/>
  <c r="AV19"/>
  <c r="AV23"/>
  <c r="AV24"/>
  <c r="AV35"/>
  <c r="AV36"/>
  <c r="AV38"/>
  <c r="AV39"/>
  <c r="AV40"/>
  <c r="AV42"/>
  <c r="AL193"/>
  <c r="AV48"/>
  <c r="AV50"/>
  <c r="AV53"/>
  <c r="AV54"/>
  <c r="AV55"/>
  <c r="AV56"/>
  <c r="AV59"/>
  <c r="AV60"/>
  <c r="AV61"/>
  <c r="AV63"/>
  <c r="AV67"/>
  <c r="AV68"/>
  <c r="AV69"/>
  <c r="AV71"/>
  <c r="AV72"/>
  <c r="AV73"/>
  <c r="AV78"/>
  <c r="AV80"/>
  <c r="AV85"/>
  <c r="AV87"/>
  <c r="AV89"/>
  <c r="AV90"/>
  <c r="AV92"/>
  <c r="AV93"/>
  <c r="AV95"/>
  <c r="AV97"/>
  <c r="AV98"/>
  <c r="AV101"/>
  <c r="AV103"/>
  <c r="AV105"/>
  <c r="AV106"/>
  <c r="AV108"/>
  <c r="AV109"/>
  <c r="AV111"/>
  <c r="AV113"/>
  <c r="AV114"/>
  <c r="AV117"/>
  <c r="AV124"/>
  <c r="AV125"/>
  <c r="AV128"/>
  <c r="AV132"/>
  <c r="AV133"/>
  <c r="AV140"/>
  <c r="AV141"/>
  <c r="AV145"/>
  <c r="AV148"/>
  <c r="AV149"/>
  <c r="CE160"/>
  <c r="AV164"/>
  <c r="AV165"/>
  <c r="AV168"/>
  <c r="AV169"/>
  <c r="AV170"/>
  <c r="AV172"/>
  <c r="AV173"/>
  <c r="AV174"/>
  <c r="AV176"/>
  <c r="AS197"/>
  <c r="AR197"/>
  <c r="AQ197"/>
  <c r="AS196"/>
  <c r="AR196"/>
  <c r="AQ196"/>
  <c r="AP196"/>
  <c r="AR195"/>
  <c r="AQ195"/>
  <c r="AP195"/>
  <c r="AS194"/>
  <c r="AR194"/>
  <c r="AQ194"/>
  <c r="AP194"/>
  <c r="AS193"/>
  <c r="AR193"/>
  <c r="AQ193"/>
  <c r="AP193"/>
  <c r="AS192"/>
  <c r="AR192"/>
  <c r="AQ192"/>
  <c r="AP192"/>
  <c r="AR187"/>
  <c r="AS184"/>
  <c r="AS183" s="1"/>
  <c r="AR184"/>
  <c r="AR183" s="1"/>
  <c r="AS181"/>
  <c r="AR181"/>
  <c r="AR180" s="1"/>
  <c r="AR185"/>
  <c r="AP197"/>
  <c r="AP179"/>
  <c r="AN182"/>
  <c r="AM182"/>
  <c r="AM181"/>
  <c r="AD177"/>
  <c r="AD179" s="1"/>
  <c r="CD126"/>
  <c r="CE170"/>
  <c r="AG127"/>
  <c r="AA177"/>
  <c r="AA179" s="1"/>
  <c r="X177"/>
  <c r="X179" s="1"/>
  <c r="U182"/>
  <c r="U181"/>
  <c r="CB120"/>
  <c r="BZ10"/>
  <c r="BZ11"/>
  <c r="BZ12"/>
  <c r="BZ15"/>
  <c r="BZ22"/>
  <c r="BZ23"/>
  <c r="BZ27"/>
  <c r="BZ28"/>
  <c r="BZ33"/>
  <c r="BZ173"/>
  <c r="BZ34"/>
  <c r="BZ38"/>
  <c r="BZ42"/>
  <c r="BZ48"/>
  <c r="BZ54"/>
  <c r="BZ61"/>
  <c r="BZ62"/>
  <c r="BZ65"/>
  <c r="BZ68"/>
  <c r="BZ70"/>
  <c r="BZ66"/>
  <c r="BZ71"/>
  <c r="BZ13"/>
  <c r="BZ17"/>
  <c r="BZ21"/>
  <c r="BZ24"/>
  <c r="BZ26"/>
  <c r="BZ36"/>
  <c r="BZ37"/>
  <c r="BZ39"/>
  <c r="BZ40"/>
  <c r="BZ46"/>
  <c r="BZ49"/>
  <c r="BZ50"/>
  <c r="BZ55"/>
  <c r="BZ56"/>
  <c r="BZ57"/>
  <c r="BZ58"/>
  <c r="BZ73"/>
  <c r="BZ76"/>
  <c r="BZ77"/>
  <c r="BZ80"/>
  <c r="BZ83"/>
  <c r="BZ86"/>
  <c r="BZ87"/>
  <c r="BZ88"/>
  <c r="BZ89"/>
  <c r="BZ90"/>
  <c r="BZ92"/>
  <c r="BZ94"/>
  <c r="BZ95"/>
  <c r="BZ96"/>
  <c r="BZ97"/>
  <c r="BZ98"/>
  <c r="BZ100"/>
  <c r="BZ102"/>
  <c r="BZ103"/>
  <c r="BZ104"/>
  <c r="BZ105"/>
  <c r="BZ106"/>
  <c r="BZ108"/>
  <c r="BZ110"/>
  <c r="BZ111"/>
  <c r="BZ112"/>
  <c r="BZ113"/>
  <c r="BZ114"/>
  <c r="BZ116"/>
  <c r="BZ118"/>
  <c r="BZ121"/>
  <c r="BZ124"/>
  <c r="BZ126"/>
  <c r="BZ127"/>
  <c r="BZ128"/>
  <c r="BZ129"/>
  <c r="BZ130"/>
  <c r="BZ131"/>
  <c r="BZ132"/>
  <c r="BZ133"/>
  <c r="BZ134"/>
  <c r="BZ135"/>
  <c r="BZ136"/>
  <c r="BZ137"/>
  <c r="BZ138"/>
  <c r="BZ139"/>
  <c r="BZ140"/>
  <c r="BZ141"/>
  <c r="BZ143"/>
  <c r="BZ144"/>
  <c r="BZ145"/>
  <c r="BZ146"/>
  <c r="BZ148"/>
  <c r="BZ150"/>
  <c r="BZ152"/>
  <c r="BZ154"/>
  <c r="BZ156"/>
  <c r="BZ158"/>
  <c r="BZ164"/>
  <c r="BZ166"/>
  <c r="BZ171"/>
  <c r="BZ175"/>
  <c r="BZ176"/>
  <c r="Z177"/>
  <c r="CE13"/>
  <c r="CE14"/>
  <c r="CD14"/>
  <c r="CE15"/>
  <c r="CE17"/>
  <c r="CE10"/>
  <c r="CD10"/>
  <c r="CF10"/>
  <c r="CE11"/>
  <c r="CE12"/>
  <c r="CE18"/>
  <c r="CE19"/>
  <c r="CD20"/>
  <c r="CE22"/>
  <c r="CE23"/>
  <c r="CD23"/>
  <c r="CE24"/>
  <c r="CD24"/>
  <c r="CD27"/>
  <c r="CE33"/>
  <c r="CD33"/>
  <c r="CD192" s="1"/>
  <c r="CE172"/>
  <c r="CE173"/>
  <c r="CD173"/>
  <c r="CE174"/>
  <c r="CE34"/>
  <c r="CE35"/>
  <c r="CE36"/>
  <c r="CE37"/>
  <c r="CD37"/>
  <c r="CE38"/>
  <c r="CE39"/>
  <c r="CD39"/>
  <c r="CE42"/>
  <c r="CD42"/>
  <c r="CE48"/>
  <c r="CD49"/>
  <c r="CE50"/>
  <c r="CE53"/>
  <c r="CE54"/>
  <c r="CE55"/>
  <c r="CD55"/>
  <c r="CE56"/>
  <c r="CD57"/>
  <c r="CE58"/>
  <c r="CE59"/>
  <c r="CD59"/>
  <c r="CE61"/>
  <c r="CE62"/>
  <c r="CD62"/>
  <c r="CE65"/>
  <c r="CE66"/>
  <c r="CD66"/>
  <c r="CE67"/>
  <c r="CE68"/>
  <c r="CD68"/>
  <c r="CE69"/>
  <c r="CE70"/>
  <c r="CD70"/>
  <c r="CE71"/>
  <c r="CD71"/>
  <c r="CE72"/>
  <c r="CF72" s="1"/>
  <c r="CE73"/>
  <c r="CE74"/>
  <c r="CE76"/>
  <c r="CE77"/>
  <c r="CD77"/>
  <c r="CE78"/>
  <c r="CE79"/>
  <c r="CE80"/>
  <c r="CD80"/>
  <c r="CE81"/>
  <c r="CE82"/>
  <c r="CD82"/>
  <c r="CE83"/>
  <c r="CD83"/>
  <c r="CD84"/>
  <c r="CE85"/>
  <c r="CD85"/>
  <c r="CE86"/>
  <c r="CE87"/>
  <c r="CD87"/>
  <c r="CE88"/>
  <c r="CE89"/>
  <c r="CG89" s="1"/>
  <c r="CD89"/>
  <c r="CE90"/>
  <c r="CF90" s="1"/>
  <c r="CD90"/>
  <c r="CE91"/>
  <c r="CE92"/>
  <c r="CD92"/>
  <c r="CE93"/>
  <c r="CD93"/>
  <c r="CE94"/>
  <c r="CE95"/>
  <c r="CF95" s="1"/>
  <c r="CD95"/>
  <c r="CE96"/>
  <c r="CE97"/>
  <c r="CD97"/>
  <c r="CE98"/>
  <c r="CD98"/>
  <c r="CE99"/>
  <c r="CE100"/>
  <c r="CD100"/>
  <c r="CE101"/>
  <c r="CD101"/>
  <c r="CE102"/>
  <c r="CE103"/>
  <c r="CD103"/>
  <c r="CE104"/>
  <c r="CE105"/>
  <c r="CD105"/>
  <c r="CE106"/>
  <c r="CG106" s="1"/>
  <c r="CD106"/>
  <c r="CE107"/>
  <c r="CE108"/>
  <c r="CD108"/>
  <c r="CE109"/>
  <c r="CD109"/>
  <c r="CE110"/>
  <c r="CE111"/>
  <c r="CG111" s="1"/>
  <c r="CD111"/>
  <c r="CE112"/>
  <c r="CE113"/>
  <c r="CD113"/>
  <c r="CE114"/>
  <c r="CD114"/>
  <c r="CE115"/>
  <c r="CE116"/>
  <c r="CL116" s="1"/>
  <c r="CD116"/>
  <c r="CE117"/>
  <c r="CD117"/>
  <c r="CE118"/>
  <c r="CD120"/>
  <c r="CD124"/>
  <c r="CE127"/>
  <c r="CD127"/>
  <c r="CD128"/>
  <c r="CE129"/>
  <c r="CD130"/>
  <c r="CE131"/>
  <c r="CE132"/>
  <c r="CD132"/>
  <c r="CE133"/>
  <c r="CD133"/>
  <c r="CD135"/>
  <c r="CE136"/>
  <c r="CD136"/>
  <c r="CE137"/>
  <c r="CD137"/>
  <c r="CD138"/>
  <c r="CE139"/>
  <c r="CD139"/>
  <c r="CE140"/>
  <c r="CE141"/>
  <c r="CD141"/>
  <c r="CE143"/>
  <c r="CD143"/>
  <c r="CE144"/>
  <c r="CD144"/>
  <c r="CE145"/>
  <c r="CD145"/>
  <c r="CD146"/>
  <c r="CE147"/>
  <c r="CE148"/>
  <c r="CD148"/>
  <c r="CE149"/>
  <c r="CD149"/>
  <c r="CE151"/>
  <c r="CE152"/>
  <c r="CD152"/>
  <c r="CE153"/>
  <c r="CD153"/>
  <c r="CD154"/>
  <c r="CE156"/>
  <c r="CD156"/>
  <c r="CE162"/>
  <c r="CE163"/>
  <c r="CE164"/>
  <c r="CE165"/>
  <c r="CE166"/>
  <c r="CE167"/>
  <c r="CE168"/>
  <c r="CE169"/>
  <c r="CE175"/>
  <c r="CF175" s="1"/>
  <c r="CE176"/>
  <c r="CD161"/>
  <c r="CD175"/>
  <c r="AC179"/>
  <c r="O179"/>
  <c r="I179"/>
  <c r="K179"/>
  <c r="L179"/>
  <c r="CA6"/>
  <c r="CA5"/>
  <c r="BV177"/>
  <c r="BV179" s="1"/>
  <c r="BU177"/>
  <c r="BW177"/>
  <c r="AO195"/>
  <c r="AO197"/>
  <c r="AN195"/>
  <c r="AM197"/>
  <c r="AO196"/>
  <c r="AM196"/>
  <c r="AM195"/>
  <c r="AO194"/>
  <c r="AM194"/>
  <c r="AO193"/>
  <c r="AO192"/>
  <c r="AM193"/>
  <c r="AM192"/>
  <c r="AN197"/>
  <c r="AN196"/>
  <c r="AN192"/>
  <c r="AN193"/>
  <c r="AN194"/>
  <c r="AN181"/>
  <c r="AN184"/>
  <c r="AN183" s="1"/>
  <c r="AN186"/>
  <c r="AN187"/>
  <c r="AN185" s="1"/>
  <c r="AG26"/>
  <c r="AG48"/>
  <c r="Y177"/>
  <c r="Y179" s="1"/>
  <c r="AG50"/>
  <c r="BT177"/>
  <c r="BT179" s="1"/>
  <c r="AK182"/>
  <c r="X193"/>
  <c r="X192"/>
  <c r="E24" i="26"/>
  <c r="C24"/>
  <c r="C25"/>
  <c r="D24"/>
  <c r="N20"/>
  <c r="M15"/>
  <c r="N13"/>
  <c r="H7"/>
  <c r="H14"/>
  <c r="K14"/>
  <c r="E10"/>
  <c r="E9"/>
  <c r="M8"/>
  <c r="K174" i="16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E27"/>
  <c r="K26"/>
  <c r="K25"/>
  <c r="E25"/>
  <c r="B25"/>
  <c r="K24"/>
  <c r="G24"/>
  <c r="E24"/>
  <c r="B24"/>
  <c r="K23"/>
  <c r="E23"/>
  <c r="B23"/>
  <c r="K22"/>
  <c r="E22"/>
  <c r="B22"/>
  <c r="K21"/>
  <c r="E21"/>
  <c r="B21"/>
  <c r="K20"/>
  <c r="E20"/>
  <c r="B20"/>
  <c r="K19"/>
  <c r="E19"/>
  <c r="B19"/>
  <c r="K18"/>
  <c r="E18"/>
  <c r="B18"/>
  <c r="K17"/>
  <c r="E17"/>
  <c r="B17"/>
  <c r="K16"/>
  <c r="E16"/>
  <c r="B16"/>
  <c r="K15"/>
  <c r="F15"/>
  <c r="B15"/>
  <c r="E15"/>
  <c r="K14"/>
  <c r="E14"/>
  <c r="B14"/>
  <c r="K13"/>
  <c r="E13"/>
  <c r="B13"/>
  <c r="K12"/>
  <c r="E12"/>
  <c r="B12"/>
  <c r="K11"/>
  <c r="E11"/>
  <c r="K10"/>
  <c r="E10"/>
  <c r="K9"/>
  <c r="E9"/>
  <c r="B9"/>
  <c r="A9"/>
  <c r="K8"/>
  <c r="E8"/>
  <c r="K7"/>
  <c r="E7"/>
  <c r="K6"/>
  <c r="E6"/>
  <c r="K5"/>
  <c r="E5"/>
  <c r="K4"/>
  <c r="K3"/>
  <c r="Q24" i="25"/>
  <c r="Q23"/>
  <c r="Q25"/>
  <c r="P23"/>
  <c r="P24"/>
  <c r="M24"/>
  <c r="M25"/>
  <c r="P20"/>
  <c r="E20"/>
  <c r="I18"/>
  <c r="H18"/>
  <c r="I17"/>
  <c r="H17"/>
  <c r="Q12"/>
  <c r="P12"/>
  <c r="P13"/>
  <c r="P14"/>
  <c r="F10"/>
  <c r="E10"/>
  <c r="G10"/>
  <c r="G9"/>
  <c r="I9"/>
  <c r="H8"/>
  <c r="G8"/>
  <c r="I8"/>
  <c r="G7"/>
  <c r="H7"/>
  <c r="I7"/>
  <c r="G6"/>
  <c r="I6"/>
  <c r="G5"/>
  <c r="I5"/>
  <c r="I10"/>
  <c r="I11"/>
  <c r="E3"/>
  <c r="J169" i="14"/>
  <c r="J177"/>
  <c r="G169"/>
  <c r="G177"/>
  <c r="J168"/>
  <c r="J176"/>
  <c r="I168"/>
  <c r="I176"/>
  <c r="E168"/>
  <c r="E176"/>
  <c r="D168"/>
  <c r="D176"/>
  <c r="H167"/>
  <c r="H175"/>
  <c r="I171"/>
  <c r="I174"/>
  <c r="G171"/>
  <c r="G174"/>
  <c r="F171"/>
  <c r="F174"/>
  <c r="H170"/>
  <c r="H173"/>
  <c r="G170"/>
  <c r="G173"/>
  <c r="F170"/>
  <c r="F173"/>
  <c r="E170"/>
  <c r="E173"/>
  <c r="L171"/>
  <c r="J171"/>
  <c r="J174"/>
  <c r="H171"/>
  <c r="H174"/>
  <c r="E171"/>
  <c r="E174"/>
  <c r="D171"/>
  <c r="D174"/>
  <c r="L170"/>
  <c r="J170"/>
  <c r="J173"/>
  <c r="I170"/>
  <c r="I173"/>
  <c r="D170"/>
  <c r="D173"/>
  <c r="L67"/>
  <c r="L68"/>
  <c r="L73"/>
  <c r="L169"/>
  <c r="I169"/>
  <c r="I177"/>
  <c r="H169"/>
  <c r="H177"/>
  <c r="F60"/>
  <c r="F62"/>
  <c r="F169"/>
  <c r="F177"/>
  <c r="D169"/>
  <c r="D177"/>
  <c r="L168"/>
  <c r="H168"/>
  <c r="H176"/>
  <c r="G168"/>
  <c r="G176"/>
  <c r="F168"/>
  <c r="F176"/>
  <c r="L167"/>
  <c r="J167"/>
  <c r="J175"/>
  <c r="I167"/>
  <c r="I175"/>
  <c r="G167"/>
  <c r="G175"/>
  <c r="F167"/>
  <c r="F175"/>
  <c r="E167"/>
  <c r="E175"/>
  <c r="D167"/>
  <c r="D175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E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E8"/>
  <c r="F8"/>
  <c r="G8"/>
  <c r="H8"/>
  <c r="I8"/>
  <c r="J8"/>
  <c r="P96" i="13"/>
  <c r="P99"/>
  <c r="N96"/>
  <c r="N99"/>
  <c r="J96"/>
  <c r="J99"/>
  <c r="D96"/>
  <c r="D99"/>
  <c r="Q96"/>
  <c r="Q99"/>
  <c r="M96"/>
  <c r="M99"/>
  <c r="K96"/>
  <c r="K99"/>
  <c r="H96"/>
  <c r="H99"/>
  <c r="G96"/>
  <c r="G99"/>
  <c r="E96"/>
  <c r="E99"/>
  <c r="CJ197" i="28"/>
  <c r="CI197"/>
  <c r="CH197"/>
  <c r="BR197"/>
  <c r="BP197"/>
  <c r="BO197"/>
  <c r="BA197"/>
  <c r="AZ197"/>
  <c r="AK197"/>
  <c r="AJ197"/>
  <c r="V197"/>
  <c r="U197"/>
  <c r="G197"/>
  <c r="F197"/>
  <c r="CJ196"/>
  <c r="CI196"/>
  <c r="CH196"/>
  <c r="BR196"/>
  <c r="BP196"/>
  <c r="BO196"/>
  <c r="BA196"/>
  <c r="AZ196"/>
  <c r="AK196"/>
  <c r="AJ196"/>
  <c r="V196"/>
  <c r="U196"/>
  <c r="G196"/>
  <c r="F196"/>
  <c r="CJ195"/>
  <c r="CI195"/>
  <c r="CH195"/>
  <c r="BP195"/>
  <c r="BO195"/>
  <c r="BA195"/>
  <c r="AZ195"/>
  <c r="AK195"/>
  <c r="AJ195"/>
  <c r="V195"/>
  <c r="U195"/>
  <c r="G195"/>
  <c r="F195"/>
  <c r="CJ194"/>
  <c r="CI194"/>
  <c r="CH194"/>
  <c r="BR194"/>
  <c r="BP194"/>
  <c r="BO194"/>
  <c r="BA194"/>
  <c r="AZ194"/>
  <c r="AK194"/>
  <c r="AJ194"/>
  <c r="V194"/>
  <c r="G194"/>
  <c r="F194"/>
  <c r="CJ193"/>
  <c r="CH193"/>
  <c r="BR193"/>
  <c r="BP193"/>
  <c r="BO193"/>
  <c r="BA193"/>
  <c r="AZ193"/>
  <c r="AZ192"/>
  <c r="AK193"/>
  <c r="AJ193"/>
  <c r="AJ198" s="1"/>
  <c r="AJ192"/>
  <c r="V193"/>
  <c r="G193"/>
  <c r="G192"/>
  <c r="CJ192"/>
  <c r="CI192"/>
  <c r="CH192"/>
  <c r="BR192"/>
  <c r="BP192"/>
  <c r="BO192"/>
  <c r="BA192"/>
  <c r="AK192"/>
  <c r="V192"/>
  <c r="U192"/>
  <c r="F192"/>
  <c r="CJ187"/>
  <c r="CI187"/>
  <c r="CH187"/>
  <c r="BP187"/>
  <c r="BP186"/>
  <c r="BP185" s="1"/>
  <c r="BO187"/>
  <c r="BO186"/>
  <c r="AM187"/>
  <c r="AK187"/>
  <c r="AK186"/>
  <c r="AK181"/>
  <c r="AK180"/>
  <c r="AK184"/>
  <c r="AK183" s="1"/>
  <c r="AJ187"/>
  <c r="AJ186"/>
  <c r="AJ181"/>
  <c r="AJ180" s="1"/>
  <c r="AJ184"/>
  <c r="AJ183" s="1"/>
  <c r="V187"/>
  <c r="U187"/>
  <c r="U186"/>
  <c r="U185" s="1"/>
  <c r="G187"/>
  <c r="F187"/>
  <c r="F186"/>
  <c r="CJ186"/>
  <c r="CJ185" s="1"/>
  <c r="CI186"/>
  <c r="CH186"/>
  <c r="CH185" s="1"/>
  <c r="AM186"/>
  <c r="AM185" s="1"/>
  <c r="V186"/>
  <c r="V185" s="1"/>
  <c r="V181"/>
  <c r="V180" s="1"/>
  <c r="V182"/>
  <c r="V184"/>
  <c r="V183" s="1"/>
  <c r="G186"/>
  <c r="CJ184"/>
  <c r="CJ183" s="1"/>
  <c r="CI184"/>
  <c r="CI183" s="1"/>
  <c r="CH184"/>
  <c r="CH183" s="1"/>
  <c r="BP184"/>
  <c r="BP183" s="1"/>
  <c r="BP181"/>
  <c r="BP182"/>
  <c r="BO184"/>
  <c r="BO183" s="1"/>
  <c r="BO181"/>
  <c r="AM184"/>
  <c r="AM183" s="1"/>
  <c r="U184"/>
  <c r="U183" s="1"/>
  <c r="G184"/>
  <c r="G183" s="1"/>
  <c r="F184"/>
  <c r="F183" s="1"/>
  <c r="CJ182"/>
  <c r="CJ181"/>
  <c r="CI182"/>
  <c r="CI10"/>
  <c r="CI181" s="1"/>
  <c r="CH182"/>
  <c r="CH181"/>
  <c r="G182"/>
  <c r="G181"/>
  <c r="G180" s="1"/>
  <c r="F181"/>
  <c r="P178"/>
  <c r="BY178"/>
  <c r="CJ177"/>
  <c r="CH177"/>
  <c r="BW179"/>
  <c r="BS177"/>
  <c r="BS179" s="1"/>
  <c r="BR177"/>
  <c r="BR179" s="1"/>
  <c r="BP177"/>
  <c r="BO177"/>
  <c r="BH179"/>
  <c r="BA177"/>
  <c r="AZ177"/>
  <c r="AK177"/>
  <c r="AJ177"/>
  <c r="AJ2"/>
  <c r="V177"/>
  <c r="M179"/>
  <c r="G177"/>
  <c r="AG171"/>
  <c r="AG170"/>
  <c r="AG167"/>
  <c r="AG160"/>
  <c r="AG159"/>
  <c r="AG125"/>
  <c r="AG134"/>
  <c r="AG142"/>
  <c r="AG154"/>
  <c r="CE155"/>
  <c r="AG151"/>
  <c r="AG150"/>
  <c r="AG145"/>
  <c r="AG144"/>
  <c r="AG140"/>
  <c r="AG138"/>
  <c r="AG137"/>
  <c r="AG136"/>
  <c r="AG132"/>
  <c r="CE119"/>
  <c r="AG118"/>
  <c r="AG116"/>
  <c r="AG115"/>
  <c r="AG113"/>
  <c r="AG111"/>
  <c r="AG109"/>
  <c r="AG108"/>
  <c r="AG107"/>
  <c r="AG105"/>
  <c r="AG103"/>
  <c r="AG102"/>
  <c r="AG101"/>
  <c r="AG99"/>
  <c r="AG98"/>
  <c r="AG97"/>
  <c r="AG96"/>
  <c r="AG95"/>
  <c r="AG94"/>
  <c r="AG92"/>
  <c r="AG88"/>
  <c r="AG86"/>
  <c r="AG85"/>
  <c r="AG79"/>
  <c r="AG77"/>
  <c r="AG73"/>
  <c r="AG71"/>
  <c r="AG12"/>
  <c r="AG34"/>
  <c r="AG65"/>
  <c r="AG66"/>
  <c r="AG10"/>
  <c r="AG11"/>
  <c r="AG13"/>
  <c r="AG14"/>
  <c r="AG15"/>
  <c r="AG16"/>
  <c r="AG17"/>
  <c r="AG18"/>
  <c r="AG23"/>
  <c r="AG24"/>
  <c r="AG25"/>
  <c r="AG33"/>
  <c r="AG172"/>
  <c r="AG173"/>
  <c r="AG174"/>
  <c r="AG35"/>
  <c r="AG36"/>
  <c r="AG37"/>
  <c r="AG38"/>
  <c r="AG39"/>
  <c r="AG40"/>
  <c r="AG42"/>
  <c r="W193"/>
  <c r="AG54"/>
  <c r="AG55"/>
  <c r="AG59"/>
  <c r="AG60"/>
  <c r="AG62"/>
  <c r="AG63"/>
  <c r="AG67"/>
  <c r="AG68"/>
  <c r="AG69"/>
  <c r="AG70"/>
  <c r="AG72"/>
  <c r="AG74"/>
  <c r="AG76"/>
  <c r="AG78"/>
  <c r="AG83"/>
  <c r="AG87"/>
  <c r="AG90"/>
  <c r="AG91"/>
  <c r="AG104"/>
  <c r="AG112"/>
  <c r="AG114"/>
  <c r="AG117"/>
  <c r="AG124"/>
  <c r="AG128"/>
  <c r="AG131"/>
  <c r="AG133"/>
  <c r="AG139"/>
  <c r="AG141"/>
  <c r="AG143"/>
  <c r="AG146"/>
  <c r="AG147"/>
  <c r="AG148"/>
  <c r="AG149"/>
  <c r="AG152"/>
  <c r="AG153"/>
  <c r="AG157"/>
  <c r="AG158"/>
  <c r="AG162"/>
  <c r="AG164"/>
  <c r="AG165"/>
  <c r="AG166"/>
  <c r="AG168"/>
  <c r="AG169"/>
  <c r="AG175"/>
  <c r="AG176"/>
  <c r="CE64"/>
  <c r="AB4"/>
  <c r="K4"/>
  <c r="CE41"/>
  <c r="AL192"/>
  <c r="W192"/>
  <c r="BQ192"/>
  <c r="BQ194"/>
  <c r="BQ196"/>
  <c r="F177"/>
  <c r="CL10"/>
  <c r="BY7"/>
  <c r="BJ7"/>
  <c r="AT7"/>
  <c r="AE7"/>
  <c r="P7"/>
  <c r="J7"/>
  <c r="K7"/>
  <c r="L7" s="1"/>
  <c r="M7" s="1"/>
  <c r="N7" s="1"/>
  <c r="O7" s="1"/>
  <c r="X7" s="1"/>
  <c r="Y7" s="1"/>
  <c r="Z7" s="1"/>
  <c r="AA7" s="1"/>
  <c r="AB7" s="1"/>
  <c r="AC7" s="1"/>
  <c r="AD7" s="1"/>
  <c r="AM7" s="1"/>
  <c r="AN7" s="1"/>
  <c r="AO7" s="1"/>
  <c r="AP7" s="1"/>
  <c r="AQ7" s="1"/>
  <c r="AR7" s="1"/>
  <c r="AS7" s="1"/>
  <c r="BC7" s="1"/>
  <c r="BD7" s="1"/>
  <c r="BE7" s="1"/>
  <c r="BF7" s="1"/>
  <c r="BG7" s="1"/>
  <c r="BH7" s="1"/>
  <c r="BI7" s="1"/>
  <c r="BR7" s="1"/>
  <c r="BS7" s="1"/>
  <c r="BT7" s="1"/>
  <c r="BU7" s="1"/>
  <c r="BV7" s="1"/>
  <c r="BW7" s="1"/>
  <c r="BX7" s="1"/>
  <c r="CD6"/>
  <c r="BW4"/>
  <c r="BV4"/>
  <c r="BU4"/>
  <c r="BT4"/>
  <c r="BS4"/>
  <c r="BR4"/>
  <c r="BI4"/>
  <c r="BH4"/>
  <c r="BG4"/>
  <c r="BF4"/>
  <c r="BE4"/>
  <c r="BD4"/>
  <c r="BC4"/>
  <c r="AS4"/>
  <c r="AR4"/>
  <c r="AQ4"/>
  <c r="AP4"/>
  <c r="AO4"/>
  <c r="AN4"/>
  <c r="AM4"/>
  <c r="AD4"/>
  <c r="Z4"/>
  <c r="Y4"/>
  <c r="X4"/>
  <c r="O4"/>
  <c r="N4"/>
  <c r="M4"/>
  <c r="L4"/>
  <c r="J4"/>
  <c r="I4"/>
  <c r="CG10"/>
  <c r="F193"/>
  <c r="U193"/>
  <c r="U194"/>
  <c r="X194"/>
  <c r="CI193"/>
  <c r="CI198" s="1"/>
  <c r="X197"/>
  <c r="X196"/>
  <c r="K167" i="14"/>
  <c r="K168"/>
  <c r="M168"/>
  <c r="K171"/>
  <c r="M171"/>
  <c r="H10" i="25"/>
  <c r="K170" i="14"/>
  <c r="M170"/>
  <c r="K64"/>
  <c r="K169"/>
  <c r="M169"/>
  <c r="E169"/>
  <c r="E177"/>
  <c r="M167"/>
  <c r="BU179" i="28"/>
  <c r="CL14"/>
  <c r="U177"/>
  <c r="AC4"/>
  <c r="AA4"/>
  <c r="J179"/>
  <c r="CG173"/>
  <c r="CG42"/>
  <c r="CG133"/>
  <c r="CG93"/>
  <c r="CG132"/>
  <c r="BX4"/>
  <c r="BX177"/>
  <c r="BX179" s="1"/>
  <c r="CG92"/>
  <c r="H194"/>
  <c r="CG167"/>
  <c r="CL68"/>
  <c r="CG72"/>
  <c r="AG32"/>
  <c r="AG46"/>
  <c r="AG53"/>
  <c r="AG58"/>
  <c r="AG56"/>
  <c r="AG123"/>
  <c r="AG126"/>
  <c r="AG129"/>
  <c r="AG130"/>
  <c r="AG22"/>
  <c r="AG27"/>
  <c r="AG28"/>
  <c r="AG31"/>
  <c r="AG44"/>
  <c r="AG82"/>
  <c r="AG106"/>
  <c r="AG47"/>
  <c r="AG57"/>
  <c r="AG61"/>
  <c r="AG80"/>
  <c r="AG81"/>
  <c r="AG89"/>
  <c r="AG93"/>
  <c r="AG100"/>
  <c r="AG110"/>
  <c r="AG156"/>
  <c r="N179"/>
  <c r="W187"/>
  <c r="W181"/>
  <c r="CL71"/>
  <c r="CG83"/>
  <c r="CL87"/>
  <c r="CG95"/>
  <c r="CG103"/>
  <c r="CG148"/>
  <c r="CG62"/>
  <c r="CG175"/>
  <c r="CL37"/>
  <c r="AV30"/>
  <c r="AV18"/>
  <c r="AV22"/>
  <c r="AV27"/>
  <c r="AV29"/>
  <c r="AV33"/>
  <c r="AV192" s="1"/>
  <c r="AV46"/>
  <c r="AV47"/>
  <c r="AV57"/>
  <c r="AV62"/>
  <c r="AV76"/>
  <c r="AV82"/>
  <c r="AV83"/>
  <c r="AV86"/>
  <c r="AV91"/>
  <c r="AV94"/>
  <c r="AV99"/>
  <c r="AV102"/>
  <c r="AV107"/>
  <c r="AV110"/>
  <c r="AV115"/>
  <c r="AV118"/>
  <c r="AV126"/>
  <c r="AV127"/>
  <c r="AV129"/>
  <c r="AV136"/>
  <c r="AV138"/>
  <c r="AV142"/>
  <c r="AV144"/>
  <c r="AV146"/>
  <c r="AV150"/>
  <c r="AV152"/>
  <c r="AV154"/>
  <c r="AV156"/>
  <c r="AV160"/>
  <c r="AV162"/>
  <c r="AV163"/>
  <c r="AV167"/>
  <c r="H192"/>
  <c r="AB177"/>
  <c r="AB179" s="1"/>
  <c r="CL175"/>
  <c r="CL117"/>
  <c r="CL33"/>
  <c r="CG172"/>
  <c r="CL149"/>
  <c r="CL143"/>
  <c r="CL141"/>
  <c r="CG87"/>
  <c r="CG33"/>
  <c r="CE52"/>
  <c r="AE178"/>
  <c r="Z179"/>
  <c r="AM180"/>
  <c r="CL167"/>
  <c r="AL196"/>
  <c r="AL184"/>
  <c r="AL183" s="1"/>
  <c r="CH198"/>
  <c r="G198"/>
  <c r="AQ198"/>
  <c r="Y198"/>
  <c r="Q158"/>
  <c r="R158"/>
  <c r="Q163"/>
  <c r="R163"/>
  <c r="Q160"/>
  <c r="R160"/>
  <c r="H187"/>
  <c r="Q129"/>
  <c r="H196"/>
  <c r="Q125"/>
  <c r="R125"/>
  <c r="H186"/>
  <c r="R123"/>
  <c r="Q84"/>
  <c r="Q30"/>
  <c r="F180"/>
  <c r="Q45"/>
  <c r="Q74"/>
  <c r="R74"/>
  <c r="Q31"/>
  <c r="Q21"/>
  <c r="Q29"/>
  <c r="R20"/>
  <c r="H197"/>
  <c r="R25"/>
  <c r="Q63"/>
  <c r="CL77"/>
  <c r="CL97"/>
  <c r="Q61"/>
  <c r="CL103"/>
  <c r="Q58"/>
  <c r="AG163"/>
  <c r="W196"/>
  <c r="W186"/>
  <c r="W185"/>
  <c r="W195"/>
  <c r="W184"/>
  <c r="W183" s="1"/>
  <c r="W4"/>
  <c r="W182"/>
  <c r="W194"/>
  <c r="W177"/>
  <c r="Q128"/>
  <c r="CA154"/>
  <c r="CA138"/>
  <c r="CA117"/>
  <c r="CA114"/>
  <c r="CA109"/>
  <c r="CA106"/>
  <c r="CA101"/>
  <c r="CA98"/>
  <c r="CA93"/>
  <c r="CA90"/>
  <c r="CA85"/>
  <c r="CA82"/>
  <c r="CA77"/>
  <c r="CA74"/>
  <c r="CA69"/>
  <c r="CA66"/>
  <c r="CA60"/>
  <c r="CA57"/>
  <c r="CA36"/>
  <c r="CA23"/>
  <c r="CG139"/>
  <c r="CG59"/>
  <c r="CA46"/>
  <c r="CA53"/>
  <c r="CA56"/>
  <c r="CA162"/>
  <c r="CA146"/>
  <c r="CA130"/>
  <c r="CA118"/>
  <c r="CA113"/>
  <c r="CA110"/>
  <c r="CA105"/>
  <c r="CA102"/>
  <c r="CA97"/>
  <c r="CA94"/>
  <c r="CA89"/>
  <c r="CA86"/>
  <c r="CA81"/>
  <c r="CA78"/>
  <c r="CA73"/>
  <c r="CA70"/>
  <c r="CA65"/>
  <c r="CA61"/>
  <c r="CG23"/>
  <c r="CG70"/>
  <c r="CA159"/>
  <c r="CA142"/>
  <c r="CA126"/>
  <c r="CA21"/>
  <c r="CL127"/>
  <c r="CL42"/>
  <c r="CG152"/>
  <c r="CG66"/>
  <c r="BL170"/>
  <c r="BL167"/>
  <c r="BL162"/>
  <c r="BL159"/>
  <c r="BL117"/>
  <c r="BL112"/>
  <c r="BL109"/>
  <c r="BL104"/>
  <c r="BL101"/>
  <c r="BL96"/>
  <c r="BL93"/>
  <c r="BL88"/>
  <c r="BL85"/>
  <c r="BL80"/>
  <c r="BL77"/>
  <c r="BL72"/>
  <c r="BL69"/>
  <c r="BL63"/>
  <c r="BL60"/>
  <c r="BL55"/>
  <c r="BL52"/>
  <c r="BL48"/>
  <c r="BL42"/>
  <c r="BL38"/>
  <c r="BL33"/>
  <c r="BL30"/>
  <c r="BL22"/>
  <c r="CL59"/>
  <c r="CG37"/>
  <c r="CL55"/>
  <c r="CL95"/>
  <c r="CG117"/>
  <c r="CG14"/>
  <c r="CG141"/>
  <c r="CG137"/>
  <c r="CG127"/>
  <c r="CG100"/>
  <c r="CL70"/>
  <c r="CL145"/>
  <c r="CL80"/>
  <c r="CG24"/>
  <c r="CG97"/>
  <c r="CL23"/>
  <c r="CL62"/>
  <c r="CG71"/>
  <c r="CL39"/>
  <c r="CG101"/>
  <c r="CG105"/>
  <c r="CL153"/>
  <c r="CG145"/>
  <c r="CL85"/>
  <c r="CL152"/>
  <c r="CG80"/>
  <c r="CG143"/>
  <c r="CG98"/>
  <c r="CG108"/>
  <c r="CG39"/>
  <c r="CG114"/>
  <c r="CG85"/>
  <c r="CG136"/>
  <c r="CL144"/>
  <c r="CG144"/>
  <c r="CL139"/>
  <c r="CG90"/>
  <c r="CL83"/>
  <c r="CG55"/>
  <c r="CL156"/>
  <c r="CL66"/>
  <c r="AA198"/>
  <c r="AG19"/>
  <c r="AP198"/>
  <c r="AV31"/>
  <c r="AV123"/>
  <c r="AV26"/>
  <c r="AN198"/>
  <c r="CE32"/>
  <c r="AV75"/>
  <c r="AV20"/>
  <c r="AM198"/>
  <c r="CD166"/>
  <c r="CG166" s="1"/>
  <c r="AV166"/>
  <c r="CD122"/>
  <c r="AV79"/>
  <c r="CD58"/>
  <c r="CL58" s="1"/>
  <c r="AL182"/>
  <c r="AL194"/>
  <c r="AL197"/>
  <c r="AL195"/>
  <c r="AL177"/>
  <c r="AL181"/>
  <c r="AL4"/>
  <c r="AG29"/>
  <c r="AG21"/>
  <c r="AF21"/>
  <c r="BL76"/>
  <c r="BL20"/>
  <c r="BL67"/>
  <c r="BL106"/>
  <c r="BK40"/>
  <c r="BK24"/>
  <c r="BK19"/>
  <c r="BK61"/>
  <c r="BK53"/>
  <c r="BK36"/>
  <c r="BK26"/>
  <c r="BL58"/>
  <c r="BF180"/>
  <c r="BF198"/>
  <c r="CG156"/>
  <c r="BK129"/>
  <c r="BL32"/>
  <c r="BL118"/>
  <c r="BK31"/>
  <c r="BK37"/>
  <c r="BJ184"/>
  <c r="BJ183" s="1"/>
  <c r="BL110"/>
  <c r="BK59"/>
  <c r="BL29"/>
  <c r="CE44"/>
  <c r="BL160"/>
  <c r="BL157"/>
  <c r="BK54"/>
  <c r="BE198"/>
  <c r="CL82"/>
  <c r="CF82"/>
  <c r="BD180"/>
  <c r="BL84"/>
  <c r="CE84"/>
  <c r="CG84" s="1"/>
  <c r="BL27"/>
  <c r="CE27"/>
  <c r="CL27" s="1"/>
  <c r="BL171"/>
  <c r="BB187"/>
  <c r="AZ185"/>
  <c r="CD157"/>
  <c r="CF156"/>
  <c r="BK130"/>
  <c r="BB186"/>
  <c r="BB185" s="1"/>
  <c r="BB194"/>
  <c r="BL47"/>
  <c r="CD47"/>
  <c r="CL47" s="1"/>
  <c r="BK47"/>
  <c r="BB182"/>
  <c r="BL75"/>
  <c r="BB184"/>
  <c r="BB183" s="1"/>
  <c r="BK56"/>
  <c r="BL56"/>
  <c r="CD56"/>
  <c r="CF56" s="1"/>
  <c r="AZ180"/>
  <c r="BB177"/>
  <c r="BL21"/>
  <c r="CD21"/>
  <c r="BB197"/>
  <c r="BB181"/>
  <c r="CD25"/>
  <c r="BB195"/>
  <c r="BB4"/>
  <c r="AU43"/>
  <c r="AV43"/>
  <c r="AS180"/>
  <c r="AS198"/>
  <c r="AU44"/>
  <c r="AV44"/>
  <c r="CF84"/>
  <c r="CA123"/>
  <c r="CA27"/>
  <c r="BZ20"/>
  <c r="CA20"/>
  <c r="CA170"/>
  <c r="BZ170"/>
  <c r="CD169"/>
  <c r="CG169" s="1"/>
  <c r="CA168"/>
  <c r="CD168"/>
  <c r="CF168" s="1"/>
  <c r="BZ167"/>
  <c r="CD164"/>
  <c r="CG164" s="1"/>
  <c r="BZ163"/>
  <c r="CA161"/>
  <c r="BQ187"/>
  <c r="BO185"/>
  <c r="BZ157"/>
  <c r="CA157"/>
  <c r="BQ186"/>
  <c r="CD123"/>
  <c r="BZ123"/>
  <c r="BZ120"/>
  <c r="CD43"/>
  <c r="CD75"/>
  <c r="CA75"/>
  <c r="BQ184"/>
  <c r="BQ183" s="1"/>
  <c r="CE123"/>
  <c r="BI185"/>
  <c r="BI188" s="1"/>
  <c r="BI198"/>
  <c r="BM192"/>
  <c r="CB192" s="1"/>
  <c r="CL164"/>
  <c r="CG123" l="1"/>
  <c r="R83"/>
  <c r="CG74"/>
  <c r="CL74"/>
  <c r="H195"/>
  <c r="CD53"/>
  <c r="H182"/>
  <c r="H4"/>
  <c r="Q16"/>
  <c r="H181"/>
  <c r="H180" s="1"/>
  <c r="H193"/>
  <c r="CD16"/>
  <c r="Q33"/>
  <c r="CF14"/>
  <c r="CE30"/>
  <c r="CD22"/>
  <c r="CD34"/>
  <c r="H185"/>
  <c r="Q159"/>
  <c r="R157"/>
  <c r="Q165"/>
  <c r="CE178"/>
  <c r="AB185"/>
  <c r="AC185"/>
  <c r="AC188" s="1"/>
  <c r="AC3" s="1"/>
  <c r="CF139"/>
  <c r="AG120"/>
  <c r="CD79"/>
  <c r="CG116"/>
  <c r="AC198"/>
  <c r="Z180"/>
  <c r="X198"/>
  <c r="AB180"/>
  <c r="AF19"/>
  <c r="AV151"/>
  <c r="AV139"/>
  <c r="AV135"/>
  <c r="CF116"/>
  <c r="CF111"/>
  <c r="CF106"/>
  <c r="AU126"/>
  <c r="CF127"/>
  <c r="CF98"/>
  <c r="AV116"/>
  <c r="AV112"/>
  <c r="AV104"/>
  <c r="AV100"/>
  <c r="AV96"/>
  <c r="AV88"/>
  <c r="AV81"/>
  <c r="AV77"/>
  <c r="AV74"/>
  <c r="AV70"/>
  <c r="AV66"/>
  <c r="CG56"/>
  <c r="AJ3"/>
  <c r="AV37"/>
  <c r="AU29"/>
  <c r="AM188"/>
  <c r="AM3" s="1"/>
  <c r="AR198"/>
  <c r="AO180"/>
  <c r="AU81"/>
  <c r="AU77"/>
  <c r="AU74"/>
  <c r="AU70"/>
  <c r="AU66"/>
  <c r="AU139"/>
  <c r="AU143"/>
  <c r="AU37"/>
  <c r="AU33"/>
  <c r="AU192" s="1"/>
  <c r="AU20"/>
  <c r="AP185"/>
  <c r="AP180"/>
  <c r="AU151"/>
  <c r="AU147"/>
  <c r="AU127"/>
  <c r="BK172"/>
  <c r="BL166"/>
  <c r="BK167"/>
  <c r="CL168"/>
  <c r="BK170"/>
  <c r="BK168"/>
  <c r="BK157"/>
  <c r="BK173"/>
  <c r="BG198"/>
  <c r="BL124"/>
  <c r="BK131"/>
  <c r="BL129"/>
  <c r="BK124"/>
  <c r="BK123"/>
  <c r="BK101"/>
  <c r="BK99"/>
  <c r="BK97"/>
  <c r="BK78"/>
  <c r="BK76"/>
  <c r="CF123"/>
  <c r="BK84"/>
  <c r="BK80"/>
  <c r="BK120"/>
  <c r="CF114"/>
  <c r="BK118"/>
  <c r="BK116"/>
  <c r="BK112"/>
  <c r="BK110"/>
  <c r="BK108"/>
  <c r="BK91"/>
  <c r="BK89"/>
  <c r="BK85"/>
  <c r="BK83"/>
  <c r="BK81"/>
  <c r="BK75"/>
  <c r="BL120"/>
  <c r="CF97"/>
  <c r="BL103"/>
  <c r="BL95"/>
  <c r="BL123"/>
  <c r="CF101"/>
  <c r="BL116"/>
  <c r="BL65"/>
  <c r="CL84"/>
  <c r="BL108"/>
  <c r="BL92"/>
  <c r="AZ198"/>
  <c r="BL39"/>
  <c r="BL24"/>
  <c r="BK28"/>
  <c r="BL14"/>
  <c r="BL26"/>
  <c r="BK21"/>
  <c r="BK32"/>
  <c r="BK29"/>
  <c r="BK18"/>
  <c r="BF188"/>
  <c r="BF3" s="1"/>
  <c r="BH180"/>
  <c r="CF145"/>
  <c r="CF137"/>
  <c r="CF85"/>
  <c r="CF80"/>
  <c r="CG77"/>
  <c r="CG68"/>
  <c r="CF24"/>
  <c r="BT198"/>
  <c r="CF117"/>
  <c r="CG113"/>
  <c r="CF55"/>
  <c r="CL123"/>
  <c r="CF58"/>
  <c r="CF100"/>
  <c r="CF23"/>
  <c r="CF144"/>
  <c r="CF136"/>
  <c r="CF70"/>
  <c r="CG58"/>
  <c r="CD121"/>
  <c r="BQ197"/>
  <c r="CD31"/>
  <c r="BZ31"/>
  <c r="BZ30"/>
  <c r="CD30"/>
  <c r="BZ29"/>
  <c r="CD29"/>
  <c r="BQ181"/>
  <c r="CL24"/>
  <c r="BQ195"/>
  <c r="BZ25"/>
  <c r="BO180"/>
  <c r="BO188" s="1"/>
  <c r="BQ182"/>
  <c r="CD45"/>
  <c r="CG47"/>
  <c r="BQ4"/>
  <c r="BQ177"/>
  <c r="BZ194"/>
  <c r="CD163"/>
  <c r="CL166"/>
  <c r="CF166"/>
  <c r="CE135"/>
  <c r="AG135"/>
  <c r="AU121"/>
  <c r="AV121"/>
  <c r="BL57"/>
  <c r="BK57"/>
  <c r="CE57"/>
  <c r="CL57" s="1"/>
  <c r="BL43"/>
  <c r="BK43"/>
  <c r="BJ194"/>
  <c r="AM2"/>
  <c r="R120"/>
  <c r="Q120"/>
  <c r="CE20"/>
  <c r="CL20" s="1"/>
  <c r="AF20"/>
  <c r="AG20"/>
  <c r="AG181" s="1"/>
  <c r="AG49"/>
  <c r="AB188"/>
  <c r="AB3" s="1"/>
  <c r="AF122"/>
  <c r="AG122"/>
  <c r="AF75"/>
  <c r="AG75"/>
  <c r="CE75"/>
  <c r="CF75" s="1"/>
  <c r="AV28"/>
  <c r="CE28"/>
  <c r="AU28"/>
  <c r="CG170"/>
  <c r="CL170"/>
  <c r="CF170"/>
  <c r="AP188"/>
  <c r="AP3" s="1"/>
  <c r="AV158"/>
  <c r="CE158"/>
  <c r="AU158"/>
  <c r="Q26"/>
  <c r="AV25"/>
  <c r="AU25"/>
  <c r="CE46"/>
  <c r="R46"/>
  <c r="Q46"/>
  <c r="AF43"/>
  <c r="AG43"/>
  <c r="AE194"/>
  <c r="AH194" s="1"/>
  <c r="CE43"/>
  <c r="CE194" s="1"/>
  <c r="AB2"/>
  <c r="CL72"/>
  <c r="AF120"/>
  <c r="CD18"/>
  <c r="CF18" s="1"/>
  <c r="BK148"/>
  <c r="BK140"/>
  <c r="BK132"/>
  <c r="BL37"/>
  <c r="AS185"/>
  <c r="AV157"/>
  <c r="R152"/>
  <c r="R148"/>
  <c r="R144"/>
  <c r="R140"/>
  <c r="R136"/>
  <c r="R132"/>
  <c r="CE128"/>
  <c r="Q124"/>
  <c r="P121"/>
  <c r="AF123"/>
  <c r="AF74"/>
  <c r="AF40"/>
  <c r="AF36"/>
  <c r="AF32"/>
  <c r="AE181"/>
  <c r="AT192"/>
  <c r="BK114"/>
  <c r="BK111"/>
  <c r="BK106"/>
  <c r="BK103"/>
  <c r="BK98"/>
  <c r="BK95"/>
  <c r="BK90"/>
  <c r="BK87"/>
  <c r="BK82"/>
  <c r="BK174"/>
  <c r="BK192" s="1"/>
  <c r="BK169"/>
  <c r="BK166"/>
  <c r="BK162"/>
  <c r="AF42"/>
  <c r="AU46"/>
  <c r="AT45"/>
  <c r="BW185"/>
  <c r="BR185"/>
  <c r="BR188" s="1"/>
  <c r="CI185"/>
  <c r="BR198"/>
  <c r="CG149"/>
  <c r="CF141"/>
  <c r="CF133"/>
  <c r="CF83"/>
  <c r="CF39"/>
  <c r="BA185"/>
  <c r="BA188" s="1"/>
  <c r="CF167"/>
  <c r="R37"/>
  <c r="R18"/>
  <c r="R10"/>
  <c r="Q62"/>
  <c r="Q54"/>
  <c r="R78"/>
  <c r="CD69"/>
  <c r="CL69" s="1"/>
  <c r="R66"/>
  <c r="Q149"/>
  <c r="Q156"/>
  <c r="R168"/>
  <c r="CD158"/>
  <c r="AF168"/>
  <c r="AF164"/>
  <c r="AA185"/>
  <c r="AA188" s="1"/>
  <c r="AU154"/>
  <c r="AU150"/>
  <c r="AU138"/>
  <c r="AU134"/>
  <c r="AU123"/>
  <c r="AU79"/>
  <c r="AU75"/>
  <c r="AT184"/>
  <c r="BL158"/>
  <c r="BU188"/>
  <c r="BU3" s="1"/>
  <c r="BY184"/>
  <c r="BY183" s="1"/>
  <c r="BY181"/>
  <c r="CL169"/>
  <c r="BQ185"/>
  <c r="CL56"/>
  <c r="AL180"/>
  <c r="U198"/>
  <c r="AL198"/>
  <c r="AG192"/>
  <c r="AG193"/>
  <c r="CJ180"/>
  <c r="CJ188" s="1"/>
  <c r="CG153"/>
  <c r="CL148"/>
  <c r="CF143"/>
  <c r="CF132"/>
  <c r="CG109"/>
  <c r="CL105"/>
  <c r="CF103"/>
  <c r="CF93"/>
  <c r="CF89"/>
  <c r="CF87"/>
  <c r="CG82"/>
  <c r="CF59"/>
  <c r="CF42"/>
  <c r="CF173"/>
  <c r="U180"/>
  <c r="U188" s="1"/>
  <c r="AN180"/>
  <c r="CD78"/>
  <c r="CF78" s="1"/>
  <c r="CD60"/>
  <c r="CF172"/>
  <c r="Q35"/>
  <c r="CD38"/>
  <c r="CF38" s="1"/>
  <c r="Q50"/>
  <c r="CD63"/>
  <c r="Q111"/>
  <c r="Q103"/>
  <c r="Q95"/>
  <c r="Q87"/>
  <c r="R72"/>
  <c r="R147"/>
  <c r="R131"/>
  <c r="Y185"/>
  <c r="AU84"/>
  <c r="AU32"/>
  <c r="BK152"/>
  <c r="BK144"/>
  <c r="BK141"/>
  <c r="BK136"/>
  <c r="BK133"/>
  <c r="BK14"/>
  <c r="BB193"/>
  <c r="BK12"/>
  <c r="X186"/>
  <c r="X185" s="1"/>
  <c r="AD186"/>
  <c r="BL78"/>
  <c r="BK158"/>
  <c r="AE45"/>
  <c r="AT194"/>
  <c r="BC182"/>
  <c r="BJ45"/>
  <c r="BK160"/>
  <c r="BK22"/>
  <c r="CE29"/>
  <c r="CL29" s="1"/>
  <c r="BV180"/>
  <c r="BV188" s="1"/>
  <c r="BY193"/>
  <c r="CE26"/>
  <c r="BB180"/>
  <c r="BB188" s="1"/>
  <c r="BB3" s="1"/>
  <c r="CG168"/>
  <c r="AV194"/>
  <c r="AS188"/>
  <c r="AS2" s="1"/>
  <c r="AZ188"/>
  <c r="F185"/>
  <c r="F188" s="1"/>
  <c r="AJ185"/>
  <c r="AJ188" s="1"/>
  <c r="AK198"/>
  <c r="BO198"/>
  <c r="V198"/>
  <c r="BA198"/>
  <c r="F198"/>
  <c r="CF152"/>
  <c r="CF108"/>
  <c r="CF92"/>
  <c r="CF33"/>
  <c r="BQ193"/>
  <c r="BQ198" s="1"/>
  <c r="CD26"/>
  <c r="Q59"/>
  <c r="CD61"/>
  <c r="CF61" s="1"/>
  <c r="R42"/>
  <c r="Q112"/>
  <c r="Q104"/>
  <c r="Q96"/>
  <c r="Q88"/>
  <c r="R80"/>
  <c r="H184"/>
  <c r="H183" s="1"/>
  <c r="Q154"/>
  <c r="Q141"/>
  <c r="Q130"/>
  <c r="CD129"/>
  <c r="Q169"/>
  <c r="Q164"/>
  <c r="R175"/>
  <c r="Y180"/>
  <c r="Y188" s="1"/>
  <c r="Y3" s="1"/>
  <c r="CD118"/>
  <c r="CL118" s="1"/>
  <c r="CD110"/>
  <c r="CD102"/>
  <c r="CG102" s="1"/>
  <c r="CD94"/>
  <c r="CD86"/>
  <c r="CL86" s="1"/>
  <c r="BH185"/>
  <c r="BL147"/>
  <c r="BL139"/>
  <c r="BL131"/>
  <c r="BL154"/>
  <c r="BL146"/>
  <c r="BL105"/>
  <c r="BL97"/>
  <c r="BL81"/>
  <c r="BK63"/>
  <c r="BK60"/>
  <c r="BL40"/>
  <c r="BL11"/>
  <c r="AU175"/>
  <c r="AU171"/>
  <c r="AU167"/>
  <c r="AU163"/>
  <c r="AU159"/>
  <c r="X184"/>
  <c r="X183" s="1"/>
  <c r="AE184"/>
  <c r="AE183" s="1"/>
  <c r="BK128"/>
  <c r="BL115"/>
  <c r="BL107"/>
  <c r="BL99"/>
  <c r="BL91"/>
  <c r="BL83"/>
  <c r="BK77"/>
  <c r="BK73"/>
  <c r="BK68"/>
  <c r="BK65"/>
  <c r="BK156"/>
  <c r="BK187" s="1"/>
  <c r="AT49"/>
  <c r="AV49" s="1"/>
  <c r="BE177"/>
  <c r="BE179" s="1"/>
  <c r="BK161"/>
  <c r="BJ49"/>
  <c r="BX185"/>
  <c r="BX188" s="1"/>
  <c r="BY187"/>
  <c r="BI2"/>
  <c r="BI3"/>
  <c r="AS3"/>
  <c r="M3"/>
  <c r="AV193"/>
  <c r="CF164"/>
  <c r="CF169"/>
  <c r="CG27"/>
  <c r="CF47"/>
  <c r="CI180"/>
  <c r="CI188" s="1"/>
  <c r="CJ198"/>
  <c r="CF27"/>
  <c r="AV184"/>
  <c r="AV183" s="1"/>
  <c r="W180"/>
  <c r="W188" s="1"/>
  <c r="W3" s="1"/>
  <c r="AO198"/>
  <c r="CG78"/>
  <c r="CL78"/>
  <c r="CF102"/>
  <c r="CH180"/>
  <c r="CH188" s="1"/>
  <c r="G185"/>
  <c r="G188" s="1"/>
  <c r="V188"/>
  <c r="AK185"/>
  <c r="AK188" s="1"/>
  <c r="AR188"/>
  <c r="BK125"/>
  <c r="BL125"/>
  <c r="BK13"/>
  <c r="BL13"/>
  <c r="BJ122"/>
  <c r="BD197"/>
  <c r="BD198" s="1"/>
  <c r="BD186"/>
  <c r="BD185" s="1"/>
  <c r="BL163"/>
  <c r="BK163"/>
  <c r="AT187"/>
  <c r="AG84"/>
  <c r="AG184" s="1"/>
  <c r="AG183" s="1"/>
  <c r="AF84"/>
  <c r="BJ25"/>
  <c r="BC177"/>
  <c r="BC179" s="1"/>
  <c r="BC181"/>
  <c r="BC180" s="1"/>
  <c r="BC188" s="1"/>
  <c r="BC195"/>
  <c r="R174"/>
  <c r="R162"/>
  <c r="Q162"/>
  <c r="BP180"/>
  <c r="BP188" s="1"/>
  <c r="CD165"/>
  <c r="CE159"/>
  <c r="CL159" s="1"/>
  <c r="CF153"/>
  <c r="CF149"/>
  <c r="CD140"/>
  <c r="CF140" s="1"/>
  <c r="CF113"/>
  <c r="CD112"/>
  <c r="CG112" s="1"/>
  <c r="CF109"/>
  <c r="CF105"/>
  <c r="CD104"/>
  <c r="CD96"/>
  <c r="CD88"/>
  <c r="CF77"/>
  <c r="CD73"/>
  <c r="CF68"/>
  <c r="CD65"/>
  <c r="CF65" s="1"/>
  <c r="CE63"/>
  <c r="CD50"/>
  <c r="CD48"/>
  <c r="CD36"/>
  <c r="CD174"/>
  <c r="CG174" s="1"/>
  <c r="CE192"/>
  <c r="CD12"/>
  <c r="CG12" s="1"/>
  <c r="CD17"/>
  <c r="CD13"/>
  <c r="CF13" s="1"/>
  <c r="BZ165"/>
  <c r="BZ159"/>
  <c r="BZ153"/>
  <c r="BZ149"/>
  <c r="BZ125"/>
  <c r="BZ78"/>
  <c r="BZ32"/>
  <c r="BZ72"/>
  <c r="BZ63"/>
  <c r="BZ172"/>
  <c r="BZ192" s="1"/>
  <c r="AV175"/>
  <c r="AV171"/>
  <c r="AV147"/>
  <c r="AV134"/>
  <c r="AV130"/>
  <c r="CA169"/>
  <c r="CA167"/>
  <c r="CA160"/>
  <c r="CA151"/>
  <c r="CA147"/>
  <c r="CE130"/>
  <c r="CA115"/>
  <c r="CA107"/>
  <c r="CA194" s="1"/>
  <c r="CA99"/>
  <c r="CA91"/>
  <c r="CA72"/>
  <c r="CA67"/>
  <c r="CA35"/>
  <c r="CA14"/>
  <c r="CA18"/>
  <c r="CA174"/>
  <c r="CA172"/>
  <c r="CA192" s="1"/>
  <c r="Q38"/>
  <c r="Q34"/>
  <c r="Q17"/>
  <c r="Q13"/>
  <c r="R40"/>
  <c r="R38"/>
  <c r="R36"/>
  <c r="R32"/>
  <c r="R28"/>
  <c r="R26"/>
  <c r="R15"/>
  <c r="R11"/>
  <c r="Q55"/>
  <c r="R63"/>
  <c r="R61"/>
  <c r="R57"/>
  <c r="R53"/>
  <c r="R48"/>
  <c r="R45"/>
  <c r="R76"/>
  <c r="R71"/>
  <c r="R69"/>
  <c r="R67"/>
  <c r="R65"/>
  <c r="Q153"/>
  <c r="Q148"/>
  <c r="Q142"/>
  <c r="Q137"/>
  <c r="Q132"/>
  <c r="R145"/>
  <c r="R129"/>
  <c r="AB198"/>
  <c r="AL187"/>
  <c r="BL130"/>
  <c r="BL34"/>
  <c r="AF151"/>
  <c r="AF147"/>
  <c r="AF143"/>
  <c r="AF139"/>
  <c r="AF135"/>
  <c r="AF133"/>
  <c r="AF129"/>
  <c r="AF125"/>
  <c r="AQ177"/>
  <c r="AQ179" s="1"/>
  <c r="BK34"/>
  <c r="BB196"/>
  <c r="AT122"/>
  <c r="AM177"/>
  <c r="CE31"/>
  <c r="R31"/>
  <c r="BL121"/>
  <c r="BK121"/>
  <c r="CG192"/>
  <c r="CI177"/>
  <c r="BP198"/>
  <c r="CE154"/>
  <c r="CD151"/>
  <c r="CF151" s="1"/>
  <c r="CE150"/>
  <c r="CF148"/>
  <c r="CD147"/>
  <c r="CF147" s="1"/>
  <c r="CE146"/>
  <c r="CE142"/>
  <c r="CE138"/>
  <c r="CE134"/>
  <c r="CD131"/>
  <c r="CG131" s="1"/>
  <c r="CE125"/>
  <c r="CD115"/>
  <c r="CD107"/>
  <c r="CG107" s="1"/>
  <c r="CD99"/>
  <c r="CG99" s="1"/>
  <c r="CD91"/>
  <c r="CG91" s="1"/>
  <c r="CD81"/>
  <c r="CD76"/>
  <c r="CF76" s="1"/>
  <c r="CD67"/>
  <c r="CE60"/>
  <c r="CD54"/>
  <c r="CE40"/>
  <c r="CD35"/>
  <c r="CD28"/>
  <c r="CD11"/>
  <c r="BZ60"/>
  <c r="BZ18"/>
  <c r="CE126"/>
  <c r="AV159"/>
  <c r="AV131"/>
  <c r="Q24"/>
  <c r="R43"/>
  <c r="Q117"/>
  <c r="Q113"/>
  <c r="Q109"/>
  <c r="Q105"/>
  <c r="Q101"/>
  <c r="Q97"/>
  <c r="Q93"/>
  <c r="Q89"/>
  <c r="Q85"/>
  <c r="R81"/>
  <c r="R77"/>
  <c r="Q144"/>
  <c r="Q126"/>
  <c r="R151"/>
  <c r="R143"/>
  <c r="R135"/>
  <c r="R124"/>
  <c r="Q176"/>
  <c r="R167"/>
  <c r="R161"/>
  <c r="W197"/>
  <c r="W198" s="1"/>
  <c r="AO185"/>
  <c r="CD44"/>
  <c r="BJ196"/>
  <c r="CD171"/>
  <c r="BK153"/>
  <c r="BK145"/>
  <c r="BK137"/>
  <c r="BL126"/>
  <c r="AF176"/>
  <c r="AF172"/>
  <c r="AF192" s="1"/>
  <c r="AF56"/>
  <c r="AF49"/>
  <c r="AR177"/>
  <c r="AR179" s="1"/>
  <c r="AD187"/>
  <c r="AD185" s="1"/>
  <c r="AE161"/>
  <c r="Z186"/>
  <c r="Z185" s="1"/>
  <c r="Z188" s="1"/>
  <c r="Z3" s="1"/>
  <c r="AE121"/>
  <c r="AT120"/>
  <c r="AQ186"/>
  <c r="AQ185" s="1"/>
  <c r="CD176"/>
  <c r="CD162"/>
  <c r="CE171"/>
  <c r="CE157"/>
  <c r="CD150"/>
  <c r="CD142"/>
  <c r="CD134"/>
  <c r="CE124"/>
  <c r="CF74"/>
  <c r="CF71"/>
  <c r="CF66"/>
  <c r="CF62"/>
  <c r="CL53"/>
  <c r="CD40"/>
  <c r="CF37"/>
  <c r="CF34"/>
  <c r="CD32"/>
  <c r="CD15"/>
  <c r="CA193"/>
  <c r="Q118"/>
  <c r="Q114"/>
  <c r="Q110"/>
  <c r="Q106"/>
  <c r="Q102"/>
  <c r="Q98"/>
  <c r="Q94"/>
  <c r="Q90"/>
  <c r="Q86"/>
  <c r="Q150"/>
  <c r="Q140"/>
  <c r="Q134"/>
  <c r="CD125"/>
  <c r="CD160"/>
  <c r="CD19"/>
  <c r="AU193"/>
  <c r="BK38"/>
  <c r="X180"/>
  <c r="X188" s="1"/>
  <c r="AL186"/>
  <c r="AL185" s="1"/>
  <c r="AT183"/>
  <c r="BD177"/>
  <c r="BD179" s="1"/>
  <c r="AU153"/>
  <c r="AU149"/>
  <c r="AU145"/>
  <c r="AU141"/>
  <c r="AU137"/>
  <c r="AU133"/>
  <c r="AU129"/>
  <c r="AU125"/>
  <c r="AF118"/>
  <c r="AF114"/>
  <c r="AF110"/>
  <c r="AF106"/>
  <c r="AF102"/>
  <c r="AF98"/>
  <c r="AF94"/>
  <c r="AF90"/>
  <c r="AF86"/>
  <c r="AF82"/>
  <c r="AF79"/>
  <c r="AE196"/>
  <c r="AF18"/>
  <c r="AE197"/>
  <c r="AF44"/>
  <c r="BY196"/>
  <c r="AD195"/>
  <c r="AD198" s="1"/>
  <c r="AF10"/>
  <c r="AO184"/>
  <c r="AO183" s="1"/>
  <c r="BC194"/>
  <c r="BB192"/>
  <c r="BG177"/>
  <c r="BE182"/>
  <c r="BE180" s="1"/>
  <c r="BE186"/>
  <c r="BE185" s="1"/>
  <c r="BJ187"/>
  <c r="AE193"/>
  <c r="BH195"/>
  <c r="BL153"/>
  <c r="BL149"/>
  <c r="BL145"/>
  <c r="BL141"/>
  <c r="BL137"/>
  <c r="BL133"/>
  <c r="BL161"/>
  <c r="BK126"/>
  <c r="BK11"/>
  <c r="BL94"/>
  <c r="BL82"/>
  <c r="BL68"/>
  <c r="BJ16"/>
  <c r="BJ193" s="1"/>
  <c r="AS177"/>
  <c r="AS179" s="1"/>
  <c r="AT21"/>
  <c r="AT181" s="1"/>
  <c r="BG186"/>
  <c r="BG185" s="1"/>
  <c r="BG181"/>
  <c r="BG180" s="1"/>
  <c r="BV198"/>
  <c r="BS196"/>
  <c r="BS198" s="1"/>
  <c r="BY122"/>
  <c r="BY45"/>
  <c r="BS181"/>
  <c r="BS180" s="1"/>
  <c r="AU13"/>
  <c r="BI177"/>
  <c r="BI179" s="1"/>
  <c r="BL173"/>
  <c r="BL192" s="1"/>
  <c r="BL114"/>
  <c r="BL90"/>
  <c r="AQ181"/>
  <c r="AQ180" s="1"/>
  <c r="AQ188" s="1"/>
  <c r="AQ3" s="1"/>
  <c r="BK102"/>
  <c r="BK86"/>
  <c r="BW180"/>
  <c r="BW188" s="1"/>
  <c r="BW2" s="1"/>
  <c r="BX198"/>
  <c r="BS186"/>
  <c r="BS185" s="1"/>
  <c r="BH197"/>
  <c r="BY195"/>
  <c r="BV3"/>
  <c r="BV2"/>
  <c r="CF20"/>
  <c r="CG75"/>
  <c r="CL43"/>
  <c r="CG20"/>
  <c r="CE184"/>
  <c r="CE183" s="1"/>
  <c r="BT188"/>
  <c r="BK51"/>
  <c r="CE51"/>
  <c r="BJ182"/>
  <c r="BF2"/>
  <c r="BJ195"/>
  <c r="AW194" l="1"/>
  <c r="BM194" s="1"/>
  <c r="CB194" s="1"/>
  <c r="O3"/>
  <c r="K2"/>
  <c r="CL75"/>
  <c r="H3"/>
  <c r="CG53"/>
  <c r="CF53"/>
  <c r="AH197"/>
  <c r="CG30"/>
  <c r="CG22"/>
  <c r="CF22"/>
  <c r="CL22"/>
  <c r="CG34"/>
  <c r="CL34"/>
  <c r="P4"/>
  <c r="CF79"/>
  <c r="CL79"/>
  <c r="CG79"/>
  <c r="AH184"/>
  <c r="AW184" s="1"/>
  <c r="BM184" s="1"/>
  <c r="CB184" s="1"/>
  <c r="CG28"/>
  <c r="AC2"/>
  <c r="CG118"/>
  <c r="CG69"/>
  <c r="CF30"/>
  <c r="AL188"/>
  <c r="AL3" s="1"/>
  <c r="AU194"/>
  <c r="AU187"/>
  <c r="CD194"/>
  <c r="BL194"/>
  <c r="BB198"/>
  <c r="BB2"/>
  <c r="BC198"/>
  <c r="CL26"/>
  <c r="CF43"/>
  <c r="CA184"/>
  <c r="CA183" s="1"/>
  <c r="CA181"/>
  <c r="CD195"/>
  <c r="CG86"/>
  <c r="CF69"/>
  <c r="CF107"/>
  <c r="CF50"/>
  <c r="CD193"/>
  <c r="CD196"/>
  <c r="BZ181"/>
  <c r="BO189"/>
  <c r="CL30"/>
  <c r="BQ180"/>
  <c r="BQ188" s="1"/>
  <c r="BQ3" s="1"/>
  <c r="CD182"/>
  <c r="CL158"/>
  <c r="CD197"/>
  <c r="CD177"/>
  <c r="CM140" s="1"/>
  <c r="CF163"/>
  <c r="CG163"/>
  <c r="CL163"/>
  <c r="P179"/>
  <c r="Q179"/>
  <c r="BX3"/>
  <c r="BX2"/>
  <c r="BR2"/>
  <c r="BR3"/>
  <c r="J3"/>
  <c r="J2"/>
  <c r="AA3"/>
  <c r="AA2"/>
  <c r="CF94"/>
  <c r="CG94"/>
  <c r="CL94"/>
  <c r="CL129"/>
  <c r="CG129"/>
  <c r="AE182"/>
  <c r="AH182" s="1"/>
  <c r="AW182" s="1"/>
  <c r="BM182" s="1"/>
  <c r="AE195"/>
  <c r="AH195" s="1"/>
  <c r="AG45"/>
  <c r="AF45"/>
  <c r="AF195" s="1"/>
  <c r="CL38"/>
  <c r="CG38"/>
  <c r="CL18"/>
  <c r="CG18"/>
  <c r="CL46"/>
  <c r="CF46"/>
  <c r="CG46"/>
  <c r="CF135"/>
  <c r="CG135"/>
  <c r="BL187"/>
  <c r="CA196"/>
  <c r="AU49"/>
  <c r="H2"/>
  <c r="CF129"/>
  <c r="O2"/>
  <c r="K3"/>
  <c r="BK194"/>
  <c r="BK49"/>
  <c r="BL49"/>
  <c r="CG61"/>
  <c r="CL61"/>
  <c r="CG26"/>
  <c r="CF26"/>
  <c r="CG128"/>
  <c r="CL128"/>
  <c r="CF128"/>
  <c r="CG158"/>
  <c r="CF158"/>
  <c r="BW3"/>
  <c r="AT195"/>
  <c r="CG13"/>
  <c r="W2"/>
  <c r="BU2"/>
  <c r="CF110"/>
  <c r="CG110"/>
  <c r="CF29"/>
  <c r="CG29"/>
  <c r="AU45"/>
  <c r="AU182" s="1"/>
  <c r="AV45"/>
  <c r="CG57"/>
  <c r="CF57"/>
  <c r="CD186"/>
  <c r="AP2"/>
  <c r="CE49"/>
  <c r="BK45"/>
  <c r="BL45"/>
  <c r="AN188"/>
  <c r="Q121"/>
  <c r="R121"/>
  <c r="CG43"/>
  <c r="BK184"/>
  <c r="BK183" s="1"/>
  <c r="AO188"/>
  <c r="AO3" s="1"/>
  <c r="AF184"/>
  <c r="AF183" s="1"/>
  <c r="AV187"/>
  <c r="AT182"/>
  <c r="AT180" s="1"/>
  <c r="CF86"/>
  <c r="CF118"/>
  <c r="Y2"/>
  <c r="BH188"/>
  <c r="BH3" s="1"/>
  <c r="AU184"/>
  <c r="AU183" s="1"/>
  <c r="BS188"/>
  <c r="BS2" s="1"/>
  <c r="AD188"/>
  <c r="AD3" s="1"/>
  <c r="AH193"/>
  <c r="AW193" s="1"/>
  <c r="BM193" s="1"/>
  <c r="CB193" s="1"/>
  <c r="CL125"/>
  <c r="CL150"/>
  <c r="CG176"/>
  <c r="CF176"/>
  <c r="CL176"/>
  <c r="AF121"/>
  <c r="AF186" s="1"/>
  <c r="AE186"/>
  <c r="AG121"/>
  <c r="CE121"/>
  <c r="AE4"/>
  <c r="AE177"/>
  <c r="CL28"/>
  <c r="CF28"/>
  <c r="CG54"/>
  <c r="CL54"/>
  <c r="CG81"/>
  <c r="CL81"/>
  <c r="CG115"/>
  <c r="CL115"/>
  <c r="CF134"/>
  <c r="CG134"/>
  <c r="CL147"/>
  <c r="CG147"/>
  <c r="CF154"/>
  <c r="CG154"/>
  <c r="CL154"/>
  <c r="CF31"/>
  <c r="CG31"/>
  <c r="CL31"/>
  <c r="AU122"/>
  <c r="AV122"/>
  <c r="CE122"/>
  <c r="CL17"/>
  <c r="CG17"/>
  <c r="CL50"/>
  <c r="CG50"/>
  <c r="CD184"/>
  <c r="CD183" s="1"/>
  <c r="CL65"/>
  <c r="CG65"/>
  <c r="CL104"/>
  <c r="CG104"/>
  <c r="BL122"/>
  <c r="BL186" s="1"/>
  <c r="BL185" s="1"/>
  <c r="BK122"/>
  <c r="BK186" s="1"/>
  <c r="BJ186"/>
  <c r="BJ197"/>
  <c r="AR2"/>
  <c r="AR3"/>
  <c r="AO2"/>
  <c r="CF17"/>
  <c r="CF91"/>
  <c r="M2"/>
  <c r="CF81"/>
  <c r="CF174"/>
  <c r="CF192" s="1"/>
  <c r="CF104"/>
  <c r="AG194"/>
  <c r="AQ199"/>
  <c r="AU197"/>
  <c r="AU21"/>
  <c r="AU181" s="1"/>
  <c r="AV21"/>
  <c r="AT197"/>
  <c r="CE21"/>
  <c r="AT4"/>
  <c r="CF160"/>
  <c r="CG160"/>
  <c r="CL160"/>
  <c r="CG15"/>
  <c r="CL15"/>
  <c r="CL40"/>
  <c r="CL142"/>
  <c r="CL162"/>
  <c r="CF162"/>
  <c r="CG162"/>
  <c r="AT186"/>
  <c r="AU120"/>
  <c r="CE120"/>
  <c r="AV120"/>
  <c r="CL44"/>
  <c r="CG44"/>
  <c r="BZ193"/>
  <c r="CG11"/>
  <c r="CL11"/>
  <c r="CD4"/>
  <c r="CL76"/>
  <c r="CG76"/>
  <c r="CF146"/>
  <c r="CL146"/>
  <c r="CG146"/>
  <c r="CG151"/>
  <c r="CL151"/>
  <c r="AM179"/>
  <c r="BZ184"/>
  <c r="BZ183" s="1"/>
  <c r="BZ196"/>
  <c r="CL13"/>
  <c r="CL48"/>
  <c r="CG48"/>
  <c r="CF63"/>
  <c r="CL63"/>
  <c r="CG63"/>
  <c r="CL73"/>
  <c r="CG73"/>
  <c r="CG96"/>
  <c r="CL96"/>
  <c r="AH192"/>
  <c r="CE25"/>
  <c r="BL25"/>
  <c r="BL195" s="1"/>
  <c r="BK25"/>
  <c r="BL184"/>
  <c r="BL183" s="1"/>
  <c r="BH198"/>
  <c r="BE188"/>
  <c r="BE3" s="1"/>
  <c r="AH196"/>
  <c r="CF48"/>
  <c r="CF73"/>
  <c r="CF112"/>
  <c r="CF44"/>
  <c r="CF11"/>
  <c r="CF99"/>
  <c r="CF171"/>
  <c r="CG171"/>
  <c r="AF161"/>
  <c r="AF187" s="1"/>
  <c r="CE161"/>
  <c r="AG161"/>
  <c r="CF126"/>
  <c r="CL126"/>
  <c r="CG126"/>
  <c r="CG40"/>
  <c r="CF40"/>
  <c r="CG67"/>
  <c r="CL67"/>
  <c r="CF125"/>
  <c r="CG125"/>
  <c r="CF142"/>
  <c r="CG142"/>
  <c r="CG150"/>
  <c r="CF150"/>
  <c r="CG130"/>
  <c r="CF130"/>
  <c r="CL88"/>
  <c r="CG88"/>
  <c r="CF165"/>
  <c r="CL165"/>
  <c r="CG165"/>
  <c r="BD188"/>
  <c r="BD3" s="1"/>
  <c r="I3"/>
  <c r="I2"/>
  <c r="AQ2"/>
  <c r="CF15"/>
  <c r="BK196"/>
  <c r="BL196"/>
  <c r="AT177"/>
  <c r="AT196"/>
  <c r="BK197"/>
  <c r="CL32"/>
  <c r="CF32"/>
  <c r="CF88"/>
  <c r="CG32"/>
  <c r="CA122"/>
  <c r="CA186" s="1"/>
  <c r="BZ122"/>
  <c r="BZ186" s="1"/>
  <c r="BK16"/>
  <c r="BK193" s="1"/>
  <c r="CE16"/>
  <c r="CE193" s="1"/>
  <c r="BJ181"/>
  <c r="BL16"/>
  <c r="BL181" s="1"/>
  <c r="AF194"/>
  <c r="AF182"/>
  <c r="X3"/>
  <c r="X2"/>
  <c r="BY182"/>
  <c r="BY180" s="1"/>
  <c r="BZ45"/>
  <c r="BY177"/>
  <c r="CA45"/>
  <c r="CE45"/>
  <c r="N2"/>
  <c r="N3"/>
  <c r="AF193"/>
  <c r="AF181"/>
  <c r="CF19"/>
  <c r="CG19"/>
  <c r="CL19"/>
  <c r="CF124"/>
  <c r="CL124"/>
  <c r="CG124"/>
  <c r="CF157"/>
  <c r="CG157"/>
  <c r="CL35"/>
  <c r="CG35"/>
  <c r="CF60"/>
  <c r="CG60"/>
  <c r="CL60"/>
  <c r="CF138"/>
  <c r="CG138"/>
  <c r="CL12"/>
  <c r="CG36"/>
  <c r="CL36"/>
  <c r="CG140"/>
  <c r="CL140"/>
  <c r="CF159"/>
  <c r="CG159"/>
  <c r="AU195"/>
  <c r="BC3"/>
  <c r="BC2"/>
  <c r="BJ177"/>
  <c r="BJ179" s="1"/>
  <c r="BY197"/>
  <c r="BG188"/>
  <c r="BG3" s="1"/>
  <c r="Z2"/>
  <c r="CD181"/>
  <c r="BY186"/>
  <c r="AE187"/>
  <c r="AH187" s="1"/>
  <c r="AW187" s="1"/>
  <c r="BM187" s="1"/>
  <c r="CB187" s="1"/>
  <c r="CD187"/>
  <c r="CA187"/>
  <c r="BZ187"/>
  <c r="CF54"/>
  <c r="CF67"/>
  <c r="CF12"/>
  <c r="L3"/>
  <c r="CF96"/>
  <c r="CF131"/>
  <c r="CF36"/>
  <c r="CF115"/>
  <c r="CF35"/>
  <c r="CL157"/>
  <c r="BT2"/>
  <c r="BT3"/>
  <c r="BJ180"/>
  <c r="BJ198"/>
  <c r="BK182"/>
  <c r="BK195"/>
  <c r="AW197" l="1"/>
  <c r="BM197" s="1"/>
  <c r="CB197" s="1"/>
  <c r="CM12"/>
  <c r="CN12" s="1"/>
  <c r="CM35"/>
  <c r="CN35" s="1"/>
  <c r="CM19"/>
  <c r="CN19" s="1"/>
  <c r="CM11"/>
  <c r="CN11" s="1"/>
  <c r="CE182"/>
  <c r="AF196"/>
  <c r="AW195"/>
  <c r="BM195" s="1"/>
  <c r="AE198"/>
  <c r="AF180"/>
  <c r="AG177"/>
  <c r="CF194"/>
  <c r="AE180"/>
  <c r="CG195"/>
  <c r="AL2"/>
  <c r="CE197"/>
  <c r="BL197"/>
  <c r="CM36"/>
  <c r="CN36" s="1"/>
  <c r="CM81"/>
  <c r="CN81" s="1"/>
  <c r="CM48"/>
  <c r="CN48" s="1"/>
  <c r="CE196"/>
  <c r="BK181"/>
  <c r="CE195"/>
  <c r="CG184"/>
  <c r="CG183" s="1"/>
  <c r="CE177"/>
  <c r="CD178" s="1"/>
  <c r="CD198"/>
  <c r="CN140"/>
  <c r="CD185"/>
  <c r="BQ2"/>
  <c r="CD180"/>
  <c r="AV195"/>
  <c r="AV182"/>
  <c r="BK179"/>
  <c r="BL182"/>
  <c r="BL180" s="1"/>
  <c r="BL188" s="1"/>
  <c r="BH2"/>
  <c r="AN199"/>
  <c r="AN2"/>
  <c r="AG195"/>
  <c r="AG182"/>
  <c r="AG180" s="1"/>
  <c r="BK198"/>
  <c r="CG49"/>
  <c r="CF49"/>
  <c r="CL49"/>
  <c r="AU177"/>
  <c r="BS3"/>
  <c r="AN3"/>
  <c r="BK177"/>
  <c r="BG2"/>
  <c r="BY179"/>
  <c r="BZ179"/>
  <c r="CG25"/>
  <c r="CF25"/>
  <c r="CL25"/>
  <c r="CE186"/>
  <c r="CG120"/>
  <c r="CF120"/>
  <c r="CL120"/>
  <c r="CL121"/>
  <c r="CF121"/>
  <c r="CG121"/>
  <c r="CA185"/>
  <c r="CM160"/>
  <c r="CN160" s="1"/>
  <c r="CM54"/>
  <c r="CN54" s="1"/>
  <c r="CM150"/>
  <c r="CN150" s="1"/>
  <c r="AF197"/>
  <c r="CA197"/>
  <c r="CA182"/>
  <c r="CA180" s="1"/>
  <c r="CA195"/>
  <c r="CA177"/>
  <c r="BL193"/>
  <c r="BL198" s="1"/>
  <c r="BL177"/>
  <c r="AT179"/>
  <c r="AU179"/>
  <c r="CG161"/>
  <c r="CG187" s="1"/>
  <c r="CF161"/>
  <c r="CF187" s="1"/>
  <c r="CL161"/>
  <c r="AV186"/>
  <c r="AV185" s="1"/>
  <c r="AV196"/>
  <c r="CG21"/>
  <c r="CF21"/>
  <c r="CL21"/>
  <c r="CG122"/>
  <c r="CF122"/>
  <c r="CL122"/>
  <c r="BZ185"/>
  <c r="BD2"/>
  <c r="AU180"/>
  <c r="CM96"/>
  <c r="CN96" s="1"/>
  <c r="CM13"/>
  <c r="CN13" s="1"/>
  <c r="CM151"/>
  <c r="CN151" s="1"/>
  <c r="CM44"/>
  <c r="CN44" s="1"/>
  <c r="CM162"/>
  <c r="CN162" s="1"/>
  <c r="CM142"/>
  <c r="CN142" s="1"/>
  <c r="CM15"/>
  <c r="CN15" s="1"/>
  <c r="BZ197"/>
  <c r="CM50"/>
  <c r="CN50" s="1"/>
  <c r="CM28"/>
  <c r="CN28" s="1"/>
  <c r="AF185"/>
  <c r="AF188" s="1"/>
  <c r="CM125"/>
  <c r="CN125" s="1"/>
  <c r="BY185"/>
  <c r="AG197"/>
  <c r="AG187"/>
  <c r="AH181"/>
  <c r="AT185"/>
  <c r="AT188" s="1"/>
  <c r="AT3" s="1"/>
  <c r="AF179"/>
  <c r="AE179"/>
  <c r="AH186"/>
  <c r="AW186" s="1"/>
  <c r="BM186" s="1"/>
  <c r="CB186" s="1"/>
  <c r="AE185"/>
  <c r="AH191"/>
  <c r="CM73"/>
  <c r="CN73" s="1"/>
  <c r="CM76"/>
  <c r="CN76" s="1"/>
  <c r="CM17"/>
  <c r="CN17" s="1"/>
  <c r="CM115"/>
  <c r="CN115" s="1"/>
  <c r="CE187"/>
  <c r="BN186"/>
  <c r="BK185"/>
  <c r="BY198"/>
  <c r="CL45"/>
  <c r="CG45"/>
  <c r="CF45"/>
  <c r="BZ182"/>
  <c r="BZ180" s="1"/>
  <c r="BZ195"/>
  <c r="CG16"/>
  <c r="CL16"/>
  <c r="CF16"/>
  <c r="CF193" s="1"/>
  <c r="CE181"/>
  <c r="AW196"/>
  <c r="BM196" s="1"/>
  <c r="CB196" s="1"/>
  <c r="AT198"/>
  <c r="CM170"/>
  <c r="CN170" s="1"/>
  <c r="CM16"/>
  <c r="CM49"/>
  <c r="CM166"/>
  <c r="CN166" s="1"/>
  <c r="CM118"/>
  <c r="CN118" s="1"/>
  <c r="CM144"/>
  <c r="CN144" s="1"/>
  <c r="CM26"/>
  <c r="CN26" s="1"/>
  <c r="CM27"/>
  <c r="CN27" s="1"/>
  <c r="CM94"/>
  <c r="CN94" s="1"/>
  <c r="CM103"/>
  <c r="CN103" s="1"/>
  <c r="CM43"/>
  <c r="CN43" s="1"/>
  <c r="CM146"/>
  <c r="CN146" s="1"/>
  <c r="CM30"/>
  <c r="CN30" s="1"/>
  <c r="CM57"/>
  <c r="CN57" s="1"/>
  <c r="CM77"/>
  <c r="CN77" s="1"/>
  <c r="CM59"/>
  <c r="CN59" s="1"/>
  <c r="CM127"/>
  <c r="CN127" s="1"/>
  <c r="CM18"/>
  <c r="CN18" s="1"/>
  <c r="CM129"/>
  <c r="CN129" s="1"/>
  <c r="CM34"/>
  <c r="CN34" s="1"/>
  <c r="CM62"/>
  <c r="CN62" s="1"/>
  <c r="CM97"/>
  <c r="CN97" s="1"/>
  <c r="CM39"/>
  <c r="CN39" s="1"/>
  <c r="CM152"/>
  <c r="CN152" s="1"/>
  <c r="CM124"/>
  <c r="CN124" s="1"/>
  <c r="CM83"/>
  <c r="CN83" s="1"/>
  <c r="CM117"/>
  <c r="CN117" s="1"/>
  <c r="CM61"/>
  <c r="CN61" s="1"/>
  <c r="CM169"/>
  <c r="CN169" s="1"/>
  <c r="CM159"/>
  <c r="CN159" s="1"/>
  <c r="CM60"/>
  <c r="CN60" s="1"/>
  <c r="CM58"/>
  <c r="CN58" s="1"/>
  <c r="CM72"/>
  <c r="CN72" s="1"/>
  <c r="CM79"/>
  <c r="CN79" s="1"/>
  <c r="CM143"/>
  <c r="CN143" s="1"/>
  <c r="CM158"/>
  <c r="CN158" s="1"/>
  <c r="CM66"/>
  <c r="CN66" s="1"/>
  <c r="CM24"/>
  <c r="CN24" s="1"/>
  <c r="CM121"/>
  <c r="CN121" s="1"/>
  <c r="CM14"/>
  <c r="CN14" s="1"/>
  <c r="CM139"/>
  <c r="CN139" s="1"/>
  <c r="CM82"/>
  <c r="CN82" s="1"/>
  <c r="CM37"/>
  <c r="CN37" s="1"/>
  <c r="CM75"/>
  <c r="CN75" s="1"/>
  <c r="CM85"/>
  <c r="CN85" s="1"/>
  <c r="CM175"/>
  <c r="CN175" s="1"/>
  <c r="CM63"/>
  <c r="CN63" s="1"/>
  <c r="CM69"/>
  <c r="CN69" s="1"/>
  <c r="CM163"/>
  <c r="CN163" s="1"/>
  <c r="CM10"/>
  <c r="CM74"/>
  <c r="CN74" s="1"/>
  <c r="CM55"/>
  <c r="CN55" s="1"/>
  <c r="CM123"/>
  <c r="CN123" s="1"/>
  <c r="CM42"/>
  <c r="CN42" s="1"/>
  <c r="CM105"/>
  <c r="CN105" s="1"/>
  <c r="CM71"/>
  <c r="CN71" s="1"/>
  <c r="CM168"/>
  <c r="CN168" s="1"/>
  <c r="CM86"/>
  <c r="CN86" s="1"/>
  <c r="CM84"/>
  <c r="CN84" s="1"/>
  <c r="CM149"/>
  <c r="CN149" s="1"/>
  <c r="CM141"/>
  <c r="CN141" s="1"/>
  <c r="CM157"/>
  <c r="CN157" s="1"/>
  <c r="CM46"/>
  <c r="CN46" s="1"/>
  <c r="CM22"/>
  <c r="CN22" s="1"/>
  <c r="CM87"/>
  <c r="CN87" s="1"/>
  <c r="CM29"/>
  <c r="CN29" s="1"/>
  <c r="CM33"/>
  <c r="CN33" s="1"/>
  <c r="CM128"/>
  <c r="CN128" s="1"/>
  <c r="CM80"/>
  <c r="CN80" s="1"/>
  <c r="CM148"/>
  <c r="CN148" s="1"/>
  <c r="CM95"/>
  <c r="CN95" s="1"/>
  <c r="CM120"/>
  <c r="CM154"/>
  <c r="CN154" s="1"/>
  <c r="CM53"/>
  <c r="CN53" s="1"/>
  <c r="CM145"/>
  <c r="CN145" s="1"/>
  <c r="CM153"/>
  <c r="CN153" s="1"/>
  <c r="CM156"/>
  <c r="CN156" s="1"/>
  <c r="CM23"/>
  <c r="CN23" s="1"/>
  <c r="CM167"/>
  <c r="CN167" s="1"/>
  <c r="CM20"/>
  <c r="CN20" s="1"/>
  <c r="CM45"/>
  <c r="CM116"/>
  <c r="CN116" s="1"/>
  <c r="CM68"/>
  <c r="CN68" s="1"/>
  <c r="CM38"/>
  <c r="CN38" s="1"/>
  <c r="CM161"/>
  <c r="CN161" s="1"/>
  <c r="CM126"/>
  <c r="CN126" s="1"/>
  <c r="CM56"/>
  <c r="CN56" s="1"/>
  <c r="CM70"/>
  <c r="CN70" s="1"/>
  <c r="CM78"/>
  <c r="CN78" s="1"/>
  <c r="CM31"/>
  <c r="CN31" s="1"/>
  <c r="CM21"/>
  <c r="CM122"/>
  <c r="CM47"/>
  <c r="CN47" s="1"/>
  <c r="CM25"/>
  <c r="CM164"/>
  <c r="CN164" s="1"/>
  <c r="AU186"/>
  <c r="AU185" s="1"/>
  <c r="AU196"/>
  <c r="AU198" s="1"/>
  <c r="AV197"/>
  <c r="AV177"/>
  <c r="AV181"/>
  <c r="AV180" s="1"/>
  <c r="BJ185"/>
  <c r="BJ188" s="1"/>
  <c r="AG196"/>
  <c r="AG186"/>
  <c r="CF184"/>
  <c r="CF183" s="1"/>
  <c r="CE180"/>
  <c r="BY188"/>
  <c r="CE4"/>
  <c r="L2"/>
  <c r="BE2"/>
  <c r="AF177"/>
  <c r="CM165"/>
  <c r="CN165" s="1"/>
  <c r="CM88"/>
  <c r="CN88" s="1"/>
  <c r="CM67"/>
  <c r="CN67" s="1"/>
  <c r="BZ177"/>
  <c r="P3"/>
  <c r="CM40"/>
  <c r="CN40" s="1"/>
  <c r="CM32"/>
  <c r="CN32" s="1"/>
  <c r="CM104"/>
  <c r="CN104" s="1"/>
  <c r="CM65"/>
  <c r="CN65" s="1"/>
  <c r="CM147"/>
  <c r="CN147" s="1"/>
  <c r="CM176"/>
  <c r="CN176" s="1"/>
  <c r="AD2"/>
  <c r="BN181"/>
  <c r="BK180"/>
  <c r="CB182"/>
  <c r="CB195"/>
  <c r="CD179" l="1"/>
  <c r="AF198"/>
  <c r="CD188"/>
  <c r="CD3" s="1"/>
  <c r="CE198"/>
  <c r="CF196"/>
  <c r="BK188"/>
  <c r="CN120"/>
  <c r="CF197"/>
  <c r="CN49"/>
  <c r="CG186"/>
  <c r="CG185" s="1"/>
  <c r="CG182"/>
  <c r="CG181"/>
  <c r="CF182"/>
  <c r="CF195"/>
  <c r="CF177"/>
  <c r="BZ188"/>
  <c r="CA188"/>
  <c r="CG196"/>
  <c r="AV188"/>
  <c r="CN122"/>
  <c r="CG177"/>
  <c r="BM191"/>
  <c r="AG198"/>
  <c r="CA198"/>
  <c r="AW191"/>
  <c r="P2"/>
  <c r="CF186"/>
  <c r="CF185" s="1"/>
  <c r="CN16"/>
  <c r="CL177"/>
  <c r="CB191"/>
  <c r="AG185"/>
  <c r="AG188" s="1"/>
  <c r="AG189" s="1"/>
  <c r="CN25"/>
  <c r="CF181"/>
  <c r="AH180"/>
  <c r="AW181"/>
  <c r="BZ198"/>
  <c r="CN45"/>
  <c r="CN21"/>
  <c r="CE185"/>
  <c r="CE188" s="1"/>
  <c r="CG194"/>
  <c r="CN10"/>
  <c r="CM177"/>
  <c r="CG193"/>
  <c r="CG198" s="1"/>
  <c r="AE188"/>
  <c r="AE2" s="1"/>
  <c r="CG197"/>
  <c r="AT2"/>
  <c r="AU188"/>
  <c r="AV198"/>
  <c r="CG180" l="1"/>
  <c r="CG188" s="1"/>
  <c r="CD2"/>
  <c r="CF198"/>
  <c r="CN177"/>
  <c r="CF180"/>
  <c r="CF188" s="1"/>
  <c r="CE2"/>
  <c r="CE3"/>
  <c r="AW180"/>
  <c r="BM181"/>
  <c r="AE3"/>
  <c r="AE200"/>
  <c r="AW189" l="1"/>
  <c r="CB181"/>
  <c r="CB180" s="1"/>
  <c r="BM180"/>
</calcChain>
</file>

<file path=xl/comments1.xml><?xml version="1.0" encoding="utf-8"?>
<comments xmlns="http://schemas.openxmlformats.org/spreadsheetml/2006/main">
  <authors>
    <author>smfi</author>
  </authors>
  <commentList>
    <comment ref="V71" authorId="0">
      <text>
        <r>
          <rPr>
            <sz val="9"/>
            <rFont val="Times New Roman"/>
            <family val="1"/>
          </rPr>
          <t>smfi:
Fat Coater calibration trial run</t>
        </r>
      </text>
    </comment>
  </commentList>
</comments>
</file>

<file path=xl/sharedStrings.xml><?xml version="1.0" encoding="utf-8"?>
<sst xmlns="http://schemas.openxmlformats.org/spreadsheetml/2006/main" count="1195" uniqueCount="619">
  <si>
    <t>DAILY PRODUCTION ACHIEVEMENT MONITORING</t>
  </si>
  <si>
    <t>Intra</t>
  </si>
  <si>
    <t>B-MEG TAGOLOAN FEED MILL - CK47</t>
  </si>
  <si>
    <t>Comml</t>
  </si>
  <si>
    <t>accrue - bi2.5k - 392</t>
  </si>
  <si>
    <t>#of SKUs</t>
  </si>
  <si>
    <t>accrue - bi3k - 1588</t>
  </si>
  <si>
    <t>WEEK1</t>
  </si>
  <si>
    <t>ACTUAL DAILY PRODUCTION</t>
  </si>
  <si>
    <t>WEEK2</t>
  </si>
  <si>
    <t>WEEK 3</t>
  </si>
  <si>
    <t>WEEK 4</t>
  </si>
  <si>
    <t>WEEK 5</t>
  </si>
  <si>
    <t>FEEDTYPE</t>
  </si>
  <si>
    <t>UNSPC</t>
  </si>
  <si>
    <t>Plant Code</t>
  </si>
  <si>
    <t>FORMAT</t>
  </si>
  <si>
    <t>New Allocation</t>
  </si>
  <si>
    <t>Adjustment</t>
  </si>
  <si>
    <t>Revised Allocation</t>
  </si>
  <si>
    <t>Production Balance</t>
  </si>
  <si>
    <t>Over Production</t>
  </si>
  <si>
    <t>Jan 02</t>
  </si>
  <si>
    <t>Actual Production</t>
  </si>
  <si>
    <t>Production Backlog</t>
  </si>
  <si>
    <t>Approved 
APO</t>
  </si>
  <si>
    <t>Approved Advance Production</t>
  </si>
  <si>
    <t>Cancellation</t>
  </si>
  <si>
    <t>MAPE</t>
  </si>
  <si>
    <t>WEIGHT</t>
  </si>
  <si>
    <t>WT MAPE</t>
  </si>
  <si>
    <t>Mon</t>
  </si>
  <si>
    <t>Tue</t>
  </si>
  <si>
    <t>Wed</t>
  </si>
  <si>
    <t>Thu</t>
  </si>
  <si>
    <t>Fri</t>
  </si>
  <si>
    <t>Sat</t>
  </si>
  <si>
    <t>Sun</t>
  </si>
  <si>
    <t>TOTAL</t>
  </si>
  <si>
    <t>TRADE</t>
  </si>
  <si>
    <t>B-MEG Premium Hog Pre-Starter Plt 25kg</t>
  </si>
  <si>
    <t>PHPSP 25</t>
  </si>
  <si>
    <t>B-MEG Premium Hog Starter Pellet 50kg</t>
  </si>
  <si>
    <t>PHSP</t>
  </si>
  <si>
    <t>3MM P</t>
  </si>
  <si>
    <t>B-MEG Premium Hog Starter Crumble 50kg</t>
  </si>
  <si>
    <t>PHSC</t>
  </si>
  <si>
    <t>4MM C</t>
  </si>
  <si>
    <t>B-MEG Premium Hog Grower Pellet 50kg</t>
  </si>
  <si>
    <t>PHGP</t>
  </si>
  <si>
    <t>4MM P</t>
  </si>
  <si>
    <t>B-MEG Premium Hog Finisher Pellet 50kg</t>
  </si>
  <si>
    <t>PHFP</t>
  </si>
  <si>
    <t>B-MEG Premium Hog Grower Pellet 2, 50kg</t>
  </si>
  <si>
    <t>PHGP2</t>
  </si>
  <si>
    <t>B-MEG Premium Super Biik 1kgX24</t>
  </si>
  <si>
    <t>Super Biik</t>
  </si>
  <si>
    <t>B-Meg Premium Super Inahin 1, 50KG</t>
  </si>
  <si>
    <t>Inahin 1</t>
  </si>
  <si>
    <t>B-MEG Expert Premium Formulation Hog Pre-Starter Pellet 25kg</t>
  </si>
  <si>
    <t>XPHPSP</t>
  </si>
  <si>
    <t>B-MEG Expert  Premium Formulation Hog Starter Pellet 50kg</t>
  </si>
  <si>
    <t>XPHSP</t>
  </si>
  <si>
    <t>B-MEG Expert Premium Formulation Hog Grower Pellet 50kg</t>
  </si>
  <si>
    <t>XPHGP</t>
  </si>
  <si>
    <t>B-MEG Expert Premium Formulation Hog Finisher Pellet 50kg</t>
  </si>
  <si>
    <t>XPHFP</t>
  </si>
  <si>
    <t>B-MEG  Expert Premium Formulation Hog Gestating Pellet 50kg</t>
  </si>
  <si>
    <t>XPHGestP</t>
  </si>
  <si>
    <t>B-MEG Expert Premium Formulation Hog Lactating Pellet 50kg</t>
  </si>
  <si>
    <t>XPHLactP</t>
  </si>
  <si>
    <t>B-MEG Expert Hog Pre-Starter Pellet 25kg</t>
  </si>
  <si>
    <t>XHPSP 25</t>
  </si>
  <si>
    <t>B-MEG Expert Hog Starter Pellet 3MM 50kg</t>
  </si>
  <si>
    <t>XHSP</t>
  </si>
  <si>
    <t>B-MEG Expert Hog Grower Pellet 50kg</t>
  </si>
  <si>
    <t>XHGP</t>
  </si>
  <si>
    <t>B-MEG Expert Hog Finisher Pellet 50kg</t>
  </si>
  <si>
    <t>XHFP</t>
  </si>
  <si>
    <t>B-MEG Expert Hog Gestating Pellet 50kg</t>
  </si>
  <si>
    <t>XHGestP</t>
  </si>
  <si>
    <t>B-MEG Expert Hog Lactating Pellet 50kg</t>
  </si>
  <si>
    <t>XHLactP</t>
  </si>
  <si>
    <t>Bonanza Hog Starter Pellet 50kg</t>
  </si>
  <si>
    <t>BHSP</t>
  </si>
  <si>
    <t>Bonanza Hog Grower Pellet 50kg</t>
  </si>
  <si>
    <t>BHGP</t>
  </si>
  <si>
    <t>Bonanza Hog Finisher Pellet 50kg</t>
  </si>
  <si>
    <t>BHFP</t>
  </si>
  <si>
    <t>Bonanza Hog Grower Pellet 50kg 6mm Pellet</t>
  </si>
  <si>
    <t>1012150728510</t>
  </si>
  <si>
    <t>6MM P</t>
  </si>
  <si>
    <t>B-MEG Premiun Layer Crumble 1, 50kg</t>
  </si>
  <si>
    <t>LC1</t>
  </si>
  <si>
    <t>B-MEG Duck Layer Pellet 50kg</t>
  </si>
  <si>
    <t>DLP</t>
  </si>
  <si>
    <t>FREE RANGE FOWL</t>
  </si>
  <si>
    <t>B-MEG Integra 1000 50kg</t>
  </si>
  <si>
    <t>BI1000</t>
  </si>
  <si>
    <t>3MM C</t>
  </si>
  <si>
    <t>B-MEG Integra 2000 50kg</t>
  </si>
  <si>
    <t>BI2000</t>
  </si>
  <si>
    <t>B-MEG Integra 2000 50kg - SMIN</t>
  </si>
  <si>
    <t>B-MEG Integra 3000 50kg</t>
  </si>
  <si>
    <t>BI3000</t>
  </si>
  <si>
    <t>B-MEG Integra 3000 50kg - SMIN</t>
  </si>
  <si>
    <t>B-MEG INTEGRA 2500, 50KG</t>
  </si>
  <si>
    <t>BI2500</t>
  </si>
  <si>
    <t>B-MEG INTEGRA 3000 PLUS, 50KG</t>
  </si>
  <si>
    <t>BI3000+</t>
  </si>
  <si>
    <t>B-MEG INTEGRA 3000 PLUS, 50KG SFG</t>
  </si>
  <si>
    <t>B-MEG Alertone 25kg</t>
  </si>
  <si>
    <t>Alertone</t>
  </si>
  <si>
    <t>B-MEG Alertone 25kg - SFG</t>
  </si>
  <si>
    <t>Alertone SFG</t>
  </si>
  <si>
    <t>B-MEG F2000 Starter Crumble 50kg</t>
  </si>
  <si>
    <t>F2000</t>
  </si>
  <si>
    <t>B-MEG F3000 Maintenance Pellets 50kg</t>
  </si>
  <si>
    <t>F3000</t>
  </si>
  <si>
    <t>KEY FARMS</t>
  </si>
  <si>
    <t>B-MEG Essential Broiler Booster Crumble 1, 50kg</t>
  </si>
  <si>
    <t>CBC CYRO</t>
  </si>
  <si>
    <t xml:space="preserve">CBC REG SV </t>
  </si>
  <si>
    <t xml:space="preserve">CBC TV SV </t>
  </si>
  <si>
    <t>CBC UK SV</t>
  </si>
  <si>
    <t>CBC Davao</t>
  </si>
  <si>
    <t>CBC Medvil</t>
  </si>
  <si>
    <t>B-MEG Essential Broiler Starter Crumble 1, 50kg</t>
  </si>
  <si>
    <t>BSC CYRO</t>
  </si>
  <si>
    <t>BSC Davao</t>
  </si>
  <si>
    <t>BSC MEDCY</t>
  </si>
  <si>
    <t>B-MEG Essential Broiler Starter Pellet 1, 50kg</t>
  </si>
  <si>
    <t>BSP JML</t>
  </si>
  <si>
    <t>BSP CAD</t>
  </si>
  <si>
    <t>BSP OGIS</t>
  </si>
  <si>
    <t>B-MEG Essential Broiler Starter Pellet 2, 50kg - GEAR</t>
  </si>
  <si>
    <t>BSP GEAR</t>
  </si>
  <si>
    <t>B-MEG Essential Chick Booster Crumble 1 Segunda, 50kg</t>
  </si>
  <si>
    <t>SEG - CAD</t>
  </si>
  <si>
    <t>B-MEG Essential Broiler Finisher Crumble 1, 50kg</t>
  </si>
  <si>
    <t>BFC CYRO</t>
  </si>
  <si>
    <t>BFC Davao</t>
  </si>
  <si>
    <t>BFC MEDCY</t>
  </si>
  <si>
    <t>B-MEG Essntl Broiler Brdr Layer Pellet 1, 50kg</t>
  </si>
  <si>
    <t xml:space="preserve">BLP1 SCIFI  </t>
  </si>
  <si>
    <t>BLP1 SCIFI  MED</t>
  </si>
  <si>
    <t>B-MEG Essntl Broiler Brdr Layer Pellet 2, 50kg</t>
  </si>
  <si>
    <t xml:space="preserve">BLP2 SCIFI </t>
  </si>
  <si>
    <t>BLP2 SCIFI MED</t>
  </si>
  <si>
    <t>B-MEG Essential Layer Booster Crumble 1, 50kg</t>
  </si>
  <si>
    <t>ELBC1</t>
  </si>
  <si>
    <t>ELBC1 PAFI</t>
  </si>
  <si>
    <t>B-MEG Essential Layer Starter Crumble 1, 50kg</t>
  </si>
  <si>
    <t>ELSC1 PAFI/kingben</t>
  </si>
  <si>
    <t>B-MEG Essential Layer Grower Crumble 1, 50kg</t>
  </si>
  <si>
    <t>ELGC1 QUEZADA/kingben</t>
  </si>
  <si>
    <t>B-MEG Essential Layer Pullet Dev Crumble 1, 50kg</t>
  </si>
  <si>
    <t>EPDC1 PAFI</t>
  </si>
  <si>
    <t>B-MEG Essentail Layer Pre-Lay Crumble 1, 50kg</t>
  </si>
  <si>
    <t>EPLC1 PAFI</t>
  </si>
  <si>
    <t>B-MEG Essential Layer 1 Crumble 1, 50kg</t>
  </si>
  <si>
    <t>ELC1  BNB</t>
  </si>
  <si>
    <t>B-MEG Essential Layer 1 Pellet 1, 50kg</t>
  </si>
  <si>
    <t>ELP1 dekalb</t>
  </si>
  <si>
    <t>ELP1</t>
  </si>
  <si>
    <t>B-MEG Essential Layer 2 Crumble 1, 50kg</t>
  </si>
  <si>
    <t>ELC2  BNB</t>
  </si>
  <si>
    <t>B-MEG Essential Layer 2 Pellet 1, 50kg</t>
  </si>
  <si>
    <t>ELP2 PAFI</t>
  </si>
  <si>
    <t>B-Meg Layer Starter Crumble_Customized</t>
  </si>
  <si>
    <t>ELSC1 NB Cust</t>
  </si>
  <si>
    <t>B-Meg Layer Grower Crumble_Customized</t>
  </si>
  <si>
    <t>ELGC1 NB Cust</t>
  </si>
  <si>
    <t>B-Meg Layer 1 Pellet_Customized</t>
  </si>
  <si>
    <t>ELP1 NB Cust</t>
  </si>
  <si>
    <t>B-Meg Essential Layer 2 Pellet 1, tote bag 50kg</t>
  </si>
  <si>
    <t>ELP2 JEWM Cust</t>
  </si>
  <si>
    <t>B-Meg Layer Pullet Dev Crumble_Customized</t>
  </si>
  <si>
    <t>EPDC1 NB Cust</t>
  </si>
  <si>
    <t>B-Meg Layer Pre-Lay Crumble_Customized</t>
  </si>
  <si>
    <t>EPLC NB Cust</t>
  </si>
  <si>
    <t xml:space="preserve">Essl LC1 Nutribest tote bag </t>
  </si>
  <si>
    <t xml:space="preserve">ELC1 A NB Cust </t>
  </si>
  <si>
    <t>ELC1 B NB Cust</t>
  </si>
  <si>
    <t>B-MEG Essential Piglet Bstr Crum 1, 50kg</t>
  </si>
  <si>
    <t>EPBC1 QPIGS</t>
  </si>
  <si>
    <t>EPBC1 Medvil</t>
  </si>
  <si>
    <t>B-MEG Essential Hog Pre-Starter Crum 1, 50kg</t>
  </si>
  <si>
    <t>EHPSC1 QPIGS</t>
  </si>
  <si>
    <t>B-MEG Essential Hog Starter Pellet 1, 50kg</t>
  </si>
  <si>
    <t>EHSP QPIGS</t>
  </si>
  <si>
    <t>B-MEG Essential Hog Grower Pellet 1, 50kg</t>
  </si>
  <si>
    <t>EHGP QPIGS</t>
  </si>
  <si>
    <t>B-MEG Essential Hog Finisher Pellet 1, 50kg</t>
  </si>
  <si>
    <t>EHFP1 QPIGS</t>
  </si>
  <si>
    <t>B-MEG Essential Hog Brdr Dev Pellet 1, 50kg</t>
  </si>
  <si>
    <t>EHDP NF</t>
  </si>
  <si>
    <t>B-MEG Essential Hog Finisher Pellet 2, 50kg</t>
  </si>
  <si>
    <t>EHFP2 QPIGS</t>
  </si>
  <si>
    <t>INTRA POULTRY</t>
  </si>
  <si>
    <t>INTRA CHICK BOOSTER CRUMBLE, 50KG.</t>
  </si>
  <si>
    <t>ICBC NMIN</t>
  </si>
  <si>
    <t>INTRA BROILER STARTER CRUMBLE, 50KG.</t>
  </si>
  <si>
    <t>IBSC NMIN</t>
  </si>
  <si>
    <t>INTRA BROILER GROWER PELLET, 50KG.</t>
  </si>
  <si>
    <t>IBGP NMIN</t>
  </si>
  <si>
    <t>INTRA BROILER FINISHER PELLET, 50KG.</t>
  </si>
  <si>
    <t>IBFP NMIN</t>
  </si>
  <si>
    <t>ICBC OZA</t>
  </si>
  <si>
    <t>IBSC OZA</t>
  </si>
  <si>
    <t>IBGP OZA</t>
  </si>
  <si>
    <t>IBFP OZA</t>
  </si>
  <si>
    <t>IBSC SMIN</t>
  </si>
  <si>
    <t>IBGP SMIN</t>
  </si>
  <si>
    <t>IBFP SMIN</t>
  </si>
  <si>
    <t>Intra Chick Starter Crumble 2-Cobb</t>
  </si>
  <si>
    <t>ICSC2 Cobb</t>
  </si>
  <si>
    <t>Intra Chick Grower Crumble</t>
  </si>
  <si>
    <t>ICGC</t>
  </si>
  <si>
    <t>Intra Breeder Male Crumble 2</t>
  </si>
  <si>
    <t>IBMC2</t>
  </si>
  <si>
    <t>Intra Breeder Layer Crumble 1</t>
  </si>
  <si>
    <t>IBLC1</t>
  </si>
  <si>
    <t>Intra Breeder Layer Crumble 2</t>
  </si>
  <si>
    <t>IBLC2 NMIN</t>
  </si>
  <si>
    <t>Intra Breeder Layer Cumble 3</t>
  </si>
  <si>
    <t>IBLC3</t>
  </si>
  <si>
    <t>Intra Breeder Male Crumble-ROSS</t>
  </si>
  <si>
    <t>IBMC Ross</t>
  </si>
  <si>
    <t>Intra Brdr Pullet Developer Crumble 50Kg</t>
  </si>
  <si>
    <t>IPDC</t>
  </si>
  <si>
    <t>Intra Breeder Chick Starter Crumble 1 - Hyline Brown</t>
  </si>
  <si>
    <t>HB CSC1</t>
  </si>
  <si>
    <t>Intra Breeder Chick Grower Crumble  - Hyline Brown</t>
  </si>
  <si>
    <t>HB CGC</t>
  </si>
  <si>
    <t>Intra Breeder Pre-lay Crumble - Hyline Brown</t>
  </si>
  <si>
    <t>HB PLC</t>
  </si>
  <si>
    <t>INTRA BREEDER LAYER CRUMBLE 1 HYLINE BROWN</t>
  </si>
  <si>
    <t>HB LC1</t>
  </si>
  <si>
    <t>Intra Breeder Layer Crumble 2-Hyline Brown</t>
  </si>
  <si>
    <t>HB LC2</t>
  </si>
  <si>
    <t>Intra Breeder Layer Crumble 3-Hyline Brown</t>
  </si>
  <si>
    <t>HB LC3</t>
  </si>
  <si>
    <t>Intra Chick Booster Crumble FRC, 50Kg</t>
  </si>
  <si>
    <t>ICBC FRC</t>
  </si>
  <si>
    <t>Intra Broiler Starter Crumble FRC, 50Kg</t>
  </si>
  <si>
    <t>IBSC FRC</t>
  </si>
  <si>
    <t>Intra Broiler Grower Crumble FRC, 50Kg</t>
  </si>
  <si>
    <t>IBGC FRC</t>
  </si>
  <si>
    <t>Intra Broiler Grower Pellet FRC, 50Kg</t>
  </si>
  <si>
    <t>IBGP FRC</t>
  </si>
  <si>
    <t>Intra Broiler Finisher Pellet FRC, 50Kg</t>
  </si>
  <si>
    <t>IBFP FRC</t>
  </si>
  <si>
    <t>INTRA MEATS</t>
  </si>
  <si>
    <t>MFC Hog Booster Crumble Regular 50kg</t>
  </si>
  <si>
    <t>MHBC</t>
  </si>
  <si>
    <t>MFC Hog Pre-Starter Pellet Medicated, 50kg</t>
  </si>
  <si>
    <t>MHPSP</t>
  </si>
  <si>
    <t>MFC HOG STARTER PELLET 1 - MEDICATED</t>
  </si>
  <si>
    <t>MHSP Med</t>
  </si>
  <si>
    <t>MFC HOG STARTER PELLET 1 - REGULAR</t>
  </si>
  <si>
    <t>MHSP Reg</t>
  </si>
  <si>
    <t>MFC HOG GROWER PELLET 1 50KG</t>
  </si>
  <si>
    <t>MGro1</t>
  </si>
  <si>
    <t>MFC HOG GROWER PELLET 2 50KG</t>
  </si>
  <si>
    <t>MGro2</t>
  </si>
  <si>
    <t>MFC HOG GROWER MED PELLET 50KG</t>
  </si>
  <si>
    <t>MGro Med</t>
  </si>
  <si>
    <t>MFC HOG GROWER PELLET FEED ADDITIVE 50KG</t>
  </si>
  <si>
    <t>MGro FA</t>
  </si>
  <si>
    <t>MFC GILT DEVELOPER PELLET 50KG</t>
  </si>
  <si>
    <t>MGDP</t>
  </si>
  <si>
    <t>MFC GILT DEVELOPER PELLET-MEDICATED</t>
  </si>
  <si>
    <t>MGDP Med</t>
  </si>
  <si>
    <t>MFC HOG GESTATING PELLET - REGULAR</t>
  </si>
  <si>
    <t>MGest Reg</t>
  </si>
  <si>
    <t>MFC Hog Gestating Pellet Medicated, 50kg</t>
  </si>
  <si>
    <t>MGest Med</t>
  </si>
  <si>
    <t>MFC Hog Gestating Pellet Dewormer, 50kg</t>
  </si>
  <si>
    <t>MGest Dew</t>
  </si>
  <si>
    <t>MFC HOG LACTATING PELLET - REGULAR</t>
  </si>
  <si>
    <t>MLact Reg</t>
  </si>
  <si>
    <t>MFC HOG LACTATING PELLET - MEDICATED</t>
  </si>
  <si>
    <t>MLact Med</t>
  </si>
  <si>
    <t>MFC HOG BOAR PELLET REGULAR, 50KG</t>
  </si>
  <si>
    <t>MBoar Reg</t>
  </si>
  <si>
    <t>MFC HOG LACTATING PELLET-MEDICATED 50KG 6MM</t>
  </si>
  <si>
    <t>MFC HOG GROWER PELLET FEED ADDITIVE 50KG 6MM</t>
  </si>
  <si>
    <t>MFC HOG GROWER PELLET 2 50kg 6MM</t>
  </si>
  <si>
    <t xml:space="preserve">WT MAPE </t>
  </si>
  <si>
    <t>Operating days</t>
  </si>
  <si>
    <t>operating days</t>
  </si>
  <si>
    <t>SUMMARY PER SEGMENT</t>
  </si>
  <si>
    <t>Daily Efficiency</t>
  </si>
  <si>
    <t>%Achv</t>
  </si>
  <si>
    <t>GENERAL TRADE</t>
  </si>
  <si>
    <t xml:space="preserve">    Trade</t>
  </si>
  <si>
    <t xml:space="preserve">    Free Range Fowl</t>
  </si>
  <si>
    <t>FARMS</t>
  </si>
  <si>
    <t xml:space="preserve">   KFA</t>
  </si>
  <si>
    <t>INTRA</t>
  </si>
  <si>
    <t xml:space="preserve">   Poultry</t>
  </si>
  <si>
    <t xml:space="preserve">   Meats</t>
  </si>
  <si>
    <t>TOTAL FEEDS</t>
  </si>
  <si>
    <t>SUMMARY PER FORMAT</t>
  </si>
  <si>
    <t xml:space="preserve">   2.5 mm P/C</t>
  </si>
  <si>
    <t/>
  </si>
  <si>
    <t xml:space="preserve">   3mm crumble</t>
  </si>
  <si>
    <t xml:space="preserve">   3mm pellet</t>
  </si>
  <si>
    <t xml:space="preserve">   4mm crumble</t>
  </si>
  <si>
    <t xml:space="preserve">   4mm pellet</t>
  </si>
  <si>
    <t>B-MEG INTEGRA 2500, 50KG - SMIN</t>
  </si>
  <si>
    <t>B-MEG INTEGRA 3000 PLUS, 50KG - SMIN</t>
  </si>
  <si>
    <t>B-MEG INTEGRA 5000, 50KG</t>
  </si>
  <si>
    <t>BI5000</t>
  </si>
  <si>
    <t>B-MEG INTEGRA POWERMAXX PREM,CBC,750GX24</t>
  </si>
  <si>
    <t>101216040011</t>
  </si>
  <si>
    <t>Marketing Trial</t>
  </si>
  <si>
    <t>B-MEG INTEGRA POWERMAXX PREM,BSDC750GX24</t>
  </si>
  <si>
    <t>101216040012</t>
  </si>
  <si>
    <t>B-MEG INTEGRA POWERMAXX PREM,SDTP750GX24</t>
  </si>
  <si>
    <t>101216040013</t>
  </si>
  <si>
    <t>B-MEG INTEGRA POWERMAXX PREM, CP,750GX24</t>
  </si>
  <si>
    <t>B-MEG F3000 MAINTENANCE PELLETS 50KG</t>
  </si>
  <si>
    <t>Trial</t>
  </si>
  <si>
    <t>BSP EVH</t>
  </si>
  <si>
    <t>B-MEG Essential Broiler Grower Pellet 1, 50kg</t>
  </si>
  <si>
    <t>BGP Gamma</t>
  </si>
  <si>
    <t>B-MEG Essential Broiler Finisher Pellet 1, 50kg</t>
  </si>
  <si>
    <t>BFP Gamma</t>
  </si>
  <si>
    <t>B-MEG Essential Chick Booster Crumble 1 Primera, 50kg</t>
  </si>
  <si>
    <t>CAD</t>
  </si>
  <si>
    <t>EVH</t>
  </si>
  <si>
    <t>JML</t>
  </si>
  <si>
    <t>INTRA BROILER STARTER CRUMBLE, 50KG. - DVO</t>
  </si>
  <si>
    <t>INTRA BROILER GROWER PELLET, 50KG. - DVO</t>
  </si>
  <si>
    <t>INTRA BROILER FINISHER PELLET, 50KG. - DVO</t>
  </si>
  <si>
    <t>INTRA BROILER STARTER CRUMBLE, 50KG. - OZAMIS</t>
  </si>
  <si>
    <t>INTRA BROILER GROWER PELLET, 50KG. - OZAMIS</t>
  </si>
  <si>
    <t>INTRA BROILER FINISHER PELLET, 50KG. - OZAMIS</t>
  </si>
  <si>
    <t>DAILY OPERATIONAL DOWNTIMES</t>
  </si>
  <si>
    <t>Week</t>
  </si>
  <si>
    <t>Jan 31 - Feb 06</t>
  </si>
  <si>
    <t>Feb 07 - 13</t>
  </si>
  <si>
    <t>Feb 14 - 20</t>
  </si>
  <si>
    <t>Feb 21 - 27</t>
  </si>
  <si>
    <t>Feb 28 - Mar 06</t>
  </si>
  <si>
    <t>CATEGORY</t>
  </si>
  <si>
    <t>DESCRIPTION OF DOWNTIMES</t>
  </si>
  <si>
    <t>HRS.</t>
  </si>
  <si>
    <t>AFFECTED BAGS</t>
  </si>
  <si>
    <t>PLANT RELATED</t>
  </si>
  <si>
    <t>MANPOWER</t>
  </si>
  <si>
    <t>Total No. of Hours</t>
  </si>
  <si>
    <t>MACHINE TROUBLE</t>
  </si>
  <si>
    <t>Derailed intake chain conveyor A1105</t>
  </si>
  <si>
    <t>Leaking of oil of seing machine for bagging 1&amp;2</t>
  </si>
  <si>
    <t>VHM door fault; replaced Linak</t>
  </si>
  <si>
    <t>Damaged VHM Cfam assembly</t>
  </si>
  <si>
    <t>Defective motor pupm of fatcoater at PRR4&amp;5</t>
  </si>
  <si>
    <t>POWER INTERRUPTION</t>
  </si>
  <si>
    <t>RM STOCK-OUT</t>
  </si>
  <si>
    <t>RM TRANSIT DELAY</t>
  </si>
  <si>
    <t>NO AVAILABLE RM</t>
  </si>
  <si>
    <t>OTHERS</t>
  </si>
  <si>
    <t>Lack of manpower</t>
  </si>
  <si>
    <t>REFORMULATION</t>
  </si>
  <si>
    <t>CHANGE DIE/ROLLER</t>
  </si>
  <si>
    <t>LOW PULL-OUT</t>
  </si>
  <si>
    <t>Full FG warehouse</t>
  </si>
  <si>
    <t>Limted Pallets</t>
  </si>
  <si>
    <t>Full RM warehouse</t>
  </si>
  <si>
    <t>Summary:</t>
  </si>
  <si>
    <t>STOCK-OUT</t>
  </si>
  <si>
    <t>RAW MATERIALS</t>
  </si>
  <si>
    <t>CHANGE OVER</t>
  </si>
  <si>
    <t>TRIAL PRODUCTION</t>
  </si>
  <si>
    <t>UNAVAILABILITY OF RM</t>
  </si>
  <si>
    <t>LOW PULL OUT</t>
  </si>
  <si>
    <t>TOTAL DOWNTIMES</t>
  </si>
  <si>
    <t>Underyield</t>
  </si>
  <si>
    <t>BI3k plus MG</t>
  </si>
  <si>
    <t>Bi3k plus MG</t>
  </si>
  <si>
    <t>Total</t>
  </si>
  <si>
    <t>B-MEG STA. CRUZ FEED PLANT - CL49</t>
  </si>
  <si>
    <t>INTRA POULTRY, MEATS, COMMERCIAL</t>
  </si>
  <si>
    <t>Weekly Pullout and Opening Inventory report</t>
  </si>
  <si>
    <t>As of February 14, 2022</t>
  </si>
  <si>
    <t>Feed type</t>
  </si>
  <si>
    <t>MON</t>
  </si>
  <si>
    <t>TUE</t>
  </si>
  <si>
    <t>WED</t>
  </si>
  <si>
    <t>THU</t>
  </si>
  <si>
    <t>FRI</t>
  </si>
  <si>
    <t>SAT</t>
  </si>
  <si>
    <t>SUN</t>
  </si>
  <si>
    <t>Pullout                   
 (Feb 07-13)</t>
  </si>
  <si>
    <t>TOTAL SOH</t>
  </si>
  <si>
    <t>B-Meg Premium Super Inahin 2, 50KG</t>
  </si>
  <si>
    <t>Inahin 2</t>
  </si>
  <si>
    <t>B-MEG Chick Booster Mash 50kg</t>
  </si>
  <si>
    <t>CBM50</t>
  </si>
  <si>
    <t>B-MEG Pigeon Feed Pellet 50kg</t>
  </si>
  <si>
    <t>PFP</t>
  </si>
  <si>
    <t>B-MEG Chick Grower Crumble 50kg</t>
  </si>
  <si>
    <t>CGC</t>
  </si>
  <si>
    <t>B-MEG F1000 Chick Booster Crumble 50kg</t>
  </si>
  <si>
    <t>F1000</t>
  </si>
  <si>
    <t>BSP CYRO</t>
  </si>
  <si>
    <t xml:space="preserve">BSP REG SV </t>
  </si>
  <si>
    <t xml:space="preserve">BSP TV SV </t>
  </si>
  <si>
    <t>BSP UK SV</t>
  </si>
  <si>
    <t>BMEG ESSNTL BRLR STRTR PELLET GEAR, 50KG</t>
  </si>
  <si>
    <t>BSP Gear</t>
  </si>
  <si>
    <t>BFP Davao</t>
  </si>
  <si>
    <t>Tote bags</t>
  </si>
  <si>
    <t>.</t>
  </si>
  <si>
    <t>ICBC davao</t>
  </si>
  <si>
    <t>IBSC davao</t>
  </si>
  <si>
    <t>IBGP davao</t>
  </si>
  <si>
    <t>IBFP davao</t>
  </si>
  <si>
    <t>ICBC gensan</t>
  </si>
  <si>
    <t>IBSC gensan</t>
  </si>
  <si>
    <t>IBGP gensan</t>
  </si>
  <si>
    <t>IBFP gensan</t>
  </si>
  <si>
    <t>Intra Chick Starter Crumble 1</t>
  </si>
  <si>
    <t>ICSC1</t>
  </si>
  <si>
    <t>Intra Chick Starter Crumble 1-Cobb</t>
  </si>
  <si>
    <t>ICSC1 Cobb</t>
  </si>
  <si>
    <t>Intra Chick Starter Crumble 2</t>
  </si>
  <si>
    <t>ICSC2</t>
  </si>
  <si>
    <t>IBLC2</t>
  </si>
  <si>
    <t>Days level</t>
  </si>
  <si>
    <t>Trade</t>
  </si>
  <si>
    <t>FRF</t>
  </si>
  <si>
    <t>KFA</t>
  </si>
  <si>
    <t>Poultry</t>
  </si>
  <si>
    <t>Meats</t>
  </si>
  <si>
    <t>Segment</t>
  </si>
  <si>
    <t>Beginning</t>
  </si>
  <si>
    <t>Production</t>
  </si>
  <si>
    <t>Total SOH</t>
  </si>
  <si>
    <t>Pullout</t>
  </si>
  <si>
    <t>Opening SOH</t>
  </si>
  <si>
    <t>ffs</t>
  </si>
  <si>
    <t>corn</t>
  </si>
  <si>
    <t xml:space="preserve"> </t>
  </si>
  <si>
    <t>Intra/Comml</t>
  </si>
  <si>
    <t>/hr</t>
  </si>
  <si>
    <t>Daily</t>
  </si>
  <si>
    <t>100-0</t>
  </si>
  <si>
    <t>95-05</t>
  </si>
  <si>
    <t>90-10</t>
  </si>
  <si>
    <t>85-15</t>
  </si>
  <si>
    <t>80-20</t>
  </si>
  <si>
    <t>75-25</t>
  </si>
  <si>
    <t>70-30</t>
  </si>
  <si>
    <t>65-35</t>
  </si>
  <si>
    <t>60-40</t>
  </si>
  <si>
    <t>55-45</t>
  </si>
  <si>
    <t>50-50</t>
  </si>
  <si>
    <t>45-55</t>
  </si>
  <si>
    <t>40-60</t>
  </si>
  <si>
    <t>35-65</t>
  </si>
  <si>
    <t>30-70</t>
  </si>
  <si>
    <t>25-75</t>
  </si>
  <si>
    <t>20-80</t>
  </si>
  <si>
    <t>15-85</t>
  </si>
  <si>
    <t>10-90</t>
  </si>
  <si>
    <t>05-95</t>
  </si>
  <si>
    <t>0-100</t>
  </si>
  <si>
    <t>2022 Weekly Manufacturing Meeting</t>
  </si>
  <si>
    <t>BMEG Sta. Cruz Feed Mill</t>
  </si>
  <si>
    <t>Extruded Corn Color Assessment</t>
  </si>
  <si>
    <t>As of</t>
  </si>
  <si>
    <t>January 24</t>
  </si>
  <si>
    <t>Prdn Week</t>
  </si>
  <si>
    <t>January 17-23</t>
  </si>
  <si>
    <t>Factors affecting Color of extruded output:</t>
  </si>
  <si>
    <r>
      <rPr>
        <sz val="11"/>
        <color indexed="8"/>
        <rFont val="Calibri"/>
        <family val="2"/>
      </rPr>
      <t>1. Corn quality -</t>
    </r>
    <r>
      <rPr>
        <i/>
        <sz val="11"/>
        <color indexed="8"/>
        <rFont val="Calibri"/>
        <family val="2"/>
      </rPr>
      <t xml:space="preserve"> the higher the TDG the darker the output as seen in A and B</t>
    </r>
  </si>
  <si>
    <t>A. Production</t>
  </si>
  <si>
    <t>B. Delays</t>
  </si>
  <si>
    <t>C. Consumables Monitoring</t>
  </si>
  <si>
    <r>
      <rPr>
        <b/>
        <sz val="11"/>
        <color indexed="8"/>
        <rFont val="Calibri"/>
        <family val="2"/>
      </rPr>
      <t xml:space="preserve">D. RM update - </t>
    </r>
    <r>
      <rPr>
        <i/>
        <sz val="11"/>
        <color indexed="8"/>
        <rFont val="Calibri"/>
        <family val="2"/>
      </rPr>
      <t>awaiting for delivery</t>
    </r>
  </si>
  <si>
    <t>E. Project and Permits</t>
  </si>
  <si>
    <t>F. Others</t>
  </si>
  <si>
    <r>
      <rPr>
        <sz val="11"/>
        <color indexed="8"/>
        <rFont val="Calibri"/>
        <family val="2"/>
      </rPr>
      <t xml:space="preserve">2. Production setting - </t>
    </r>
    <r>
      <rPr>
        <i/>
        <sz val="11"/>
        <color indexed="8"/>
        <rFont val="Calibri"/>
        <family val="2"/>
      </rPr>
      <t>improper cooling may probably affect the color of the output</t>
    </r>
  </si>
  <si>
    <t>days</t>
  </si>
  <si>
    <t>Operating Hrs</t>
  </si>
  <si>
    <t>hrs</t>
  </si>
  <si>
    <t>Consumables</t>
  </si>
  <si>
    <t>PPR 1&amp;2</t>
  </si>
  <si>
    <t>PPR 3</t>
  </si>
  <si>
    <t>PPR 4&amp;5</t>
  </si>
  <si>
    <t>Warehouse Stockout</t>
  </si>
  <si>
    <t>Projects</t>
  </si>
  <si>
    <t>Repro report</t>
  </si>
  <si>
    <r>
      <rPr>
        <sz val="11"/>
        <color indexed="8"/>
        <rFont val="Calibri"/>
        <family val="2"/>
      </rPr>
      <t xml:space="preserve">3. Storage - </t>
    </r>
    <r>
      <rPr>
        <i/>
        <sz val="11"/>
        <color indexed="8"/>
        <rFont val="Calibri"/>
        <family val="2"/>
      </rPr>
      <t>Longer storing period, especially when not stored in proper conditions, may result to darker color</t>
    </r>
  </si>
  <si>
    <t>Capacity</t>
  </si>
  <si>
    <t>Allocation</t>
  </si>
  <si>
    <t>%Utilization</t>
  </si>
  <si>
    <t>Machine Related delays</t>
  </si>
  <si>
    <t>bags</t>
  </si>
  <si>
    <t>Spare</t>
  </si>
  <si>
    <t>In-transit</t>
  </si>
  <si>
    <t>RM</t>
  </si>
  <si>
    <t>Req'd Qty.</t>
  </si>
  <si>
    <t>Remarks</t>
  </si>
  <si>
    <t>Target date</t>
  </si>
  <si>
    <t>SKU</t>
  </si>
  <si>
    <t>Qty</t>
  </si>
  <si>
    <t>per day</t>
  </si>
  <si>
    <t>Section</t>
  </si>
  <si>
    <t>Delays</t>
  </si>
  <si>
    <t>Hrs</t>
  </si>
  <si>
    <t>Die 6mm</t>
  </si>
  <si>
    <t>bag, blue reprocess</t>
  </si>
  <si>
    <t>8,280 pcs</t>
  </si>
  <si>
    <t>4x1TPH Dry Extrusion</t>
  </si>
  <si>
    <t>Q1 2022</t>
  </si>
  <si>
    <t>Not yet awarded to winning bidder; currently at BPG</t>
  </si>
  <si>
    <t>Results:</t>
  </si>
  <si>
    <t>per week</t>
  </si>
  <si>
    <t>Boiler</t>
  </si>
  <si>
    <t>Boiler low steam due to wet coal deliveries</t>
  </si>
  <si>
    <t>Die 4mm</t>
  </si>
  <si>
    <t>bag, red reprocess</t>
  </si>
  <si>
    <t>4,680 pcs</t>
  </si>
  <si>
    <t>Mash Line</t>
  </si>
  <si>
    <t>MAR 2022</t>
  </si>
  <si>
    <t>With design; awaiting for availability of SMC-RMI</t>
  </si>
  <si>
    <t>- Unground Ext Corn showed slightly darker color in PD 1/3/22 relatable to high TDG of darker Corn used</t>
  </si>
  <si>
    <t>Capacity Assumptions</t>
  </si>
  <si>
    <t>Fatcoating</t>
  </si>
  <si>
    <t>Defective pressure transducer at PPR4 fatcoater</t>
  </si>
  <si>
    <t>Die 3mm</t>
  </si>
  <si>
    <t>Jewm Toxin binder</t>
  </si>
  <si>
    <t>420 MT</t>
  </si>
  <si>
    <t>Basemix</t>
  </si>
  <si>
    <t>APR 2022</t>
  </si>
  <si>
    <t>With design; ongoing aquisition of materials</t>
  </si>
  <si>
    <r>
      <rPr>
        <sz val="11"/>
        <color indexed="8"/>
        <rFont val="Calibri"/>
        <family val="2"/>
      </rPr>
      <t xml:space="preserve">- Ground Ext corn shows </t>
    </r>
    <r>
      <rPr>
        <b/>
        <u/>
        <sz val="11"/>
        <color indexed="8"/>
        <rFont val="Calibri"/>
        <family val="2"/>
      </rPr>
      <t>NO SIGNIFICANT DIFFERENCE</t>
    </r>
    <r>
      <rPr>
        <sz val="11"/>
        <color indexed="8"/>
        <rFont val="Calibri"/>
        <family val="2"/>
      </rPr>
      <t xml:space="preserve"> in color for all 3 prodution dates</t>
    </r>
  </si>
  <si>
    <t>Mix (Intra-Comml)</t>
  </si>
  <si>
    <t>Bagging</t>
  </si>
  <si>
    <t>Defective pallet stopper and motor fault of Robotic palletizer</t>
  </si>
  <si>
    <t>Die 2.5mm</t>
  </si>
  <si>
    <t>Critical Stocks</t>
  </si>
  <si>
    <t>Truck shower</t>
  </si>
  <si>
    <t>With materials; awaiting for availability of SMC-RMI</t>
  </si>
  <si>
    <t>Caasava inclusion</t>
  </si>
  <si>
    <t>across all feedtypes</t>
  </si>
  <si>
    <t>Roller Dimpled</t>
  </si>
  <si>
    <t>MNKA Replacement</t>
  </si>
  <si>
    <t>FEB 2022</t>
  </si>
  <si>
    <t>Ongoing pre-assembly; Awaiting for lacking drive motor</t>
  </si>
  <si>
    <t>Extruded Corn</t>
  </si>
  <si>
    <t>Note:</t>
  </si>
  <si>
    <t>Production details</t>
  </si>
  <si>
    <t>Uptime</t>
  </si>
  <si>
    <t>or</t>
  </si>
  <si>
    <t>Machine uptime</t>
  </si>
  <si>
    <t>Roller Slotted</t>
  </si>
  <si>
    <t>Cassava</t>
  </si>
  <si>
    <t>949 MT</t>
  </si>
  <si>
    <t>Actual stocks - 237 MT</t>
  </si>
  <si>
    <t>Permits</t>
  </si>
  <si>
    <t>All new production will be delivered to WFMC</t>
  </si>
  <si>
    <r>
      <rPr>
        <sz val="11"/>
        <color indexed="8"/>
        <rFont val="Calibri"/>
        <family val="2"/>
      </rPr>
      <t>-</t>
    </r>
    <r>
      <rPr>
        <u/>
        <sz val="11"/>
        <color indexed="8"/>
        <rFont val="Calibri"/>
        <family val="2"/>
      </rPr>
      <t xml:space="preserve"> These samples are comparable to those passed and delivered stocks to WFMC</t>
    </r>
    <r>
      <rPr>
        <sz val="11"/>
        <color indexed="8"/>
        <rFont val="Calibri"/>
        <family val="2"/>
      </rPr>
      <t xml:space="preserve"> (except those reworked stocks)</t>
    </r>
  </si>
  <si>
    <t>Actual</t>
  </si>
  <si>
    <t>Balance</t>
  </si>
  <si>
    <t>Non-Machine Related delays</t>
  </si>
  <si>
    <t>Porcine Meal 50%</t>
  </si>
  <si>
    <t>201 MT</t>
  </si>
  <si>
    <t>Actual stocks - 34 MT</t>
  </si>
  <si>
    <t>Status</t>
  </si>
  <si>
    <t>All 2021 production will be retained for Sta. Cruz usage</t>
  </si>
  <si>
    <t>- Comparrison with BUK1 will be updated once samples arrive</t>
  </si>
  <si>
    <t># of SKUs</t>
  </si>
  <si>
    <t>Type</t>
  </si>
  <si>
    <t>DDGS</t>
  </si>
  <si>
    <t>148 MT</t>
  </si>
  <si>
    <t>Actual stocks - 48 MT</t>
  </si>
  <si>
    <t>Business Permit</t>
  </si>
  <si>
    <t>Expired</t>
  </si>
  <si>
    <t xml:space="preserve">Ongoing application; Sanitary permit is prerequisite </t>
  </si>
  <si>
    <t>Stockout</t>
  </si>
  <si>
    <t>Stockout Crack corn for BI3k plus</t>
  </si>
  <si>
    <t>Wheat</t>
  </si>
  <si>
    <t>534 MT</t>
  </si>
  <si>
    <t>Actual stocks - 382 MT</t>
  </si>
  <si>
    <t>Sanitary Permit</t>
  </si>
  <si>
    <t>Ongoing application; For inspection</t>
  </si>
  <si>
    <t>Ext Corn Inventory Update as of Jan 17, 2022 is 95,365 Kg</t>
  </si>
  <si>
    <t>Contracts</t>
  </si>
  <si>
    <t>Prod Date</t>
  </si>
  <si>
    <t>Qty (Kg)</t>
  </si>
  <si>
    <t>Location</t>
  </si>
  <si>
    <t>Condition/Status</t>
  </si>
  <si>
    <t>Ext Corn</t>
  </si>
  <si>
    <t>11/05-12/11/2021</t>
  </si>
  <si>
    <t>CL20, Door31</t>
  </si>
  <si>
    <t>Ongoing Fumigation (01/21/2022)</t>
  </si>
  <si>
    <t>SMILSI</t>
  </si>
  <si>
    <t>Awaiting for Final draft contract and rate computation c/o SMILSI; Exemption memo c/o Jladingin</t>
  </si>
  <si>
    <t>11/02-26/2021</t>
  </si>
  <si>
    <t>CL49, S001</t>
  </si>
  <si>
    <t>Ongoing Fumigation (01/19/2022)</t>
  </si>
  <si>
    <t>12/29/21-01/03/22</t>
  </si>
  <si>
    <t>For Fumigation</t>
  </si>
  <si>
    <t>10/29-11/25/21</t>
  </si>
  <si>
    <t>01/14/22 F</t>
  </si>
  <si>
    <t>Fit for Use</t>
  </si>
  <si>
    <t>01/15/22 F</t>
  </si>
  <si>
    <t>% achievement</t>
  </si>
  <si>
    <t>01/15/22 S</t>
  </si>
  <si>
    <t>DECEMBER 2022</t>
  </si>
  <si>
    <t>below minimum</t>
  </si>
  <si>
    <t>Stock out cinnamon</t>
  </si>
  <si>
    <t>trial production -- reformulation w/o hard pollard due to infested stocks</t>
  </si>
</sst>
</file>

<file path=xl/styles.xml><?xml version="1.0" encoding="utf-8"?>
<styleSheet xmlns="http://schemas.openxmlformats.org/spreadsheetml/2006/main">
  <numFmts count="15">
    <numFmt numFmtId="43" formatCode="_-* #,##0.00_-;\-* #,##0.00_-;_-* &quot;-&quot;??_-;_-@_-"/>
    <numFmt numFmtId="164" formatCode="_(* #,##0.00_);_(* \(#,##0.00\);_(* &quot;-&quot;??_);_(@_)"/>
    <numFmt numFmtId="165" formatCode="&quot;Php&quot;#,##0_);&quot;(Php&quot;#,##0\)"/>
    <numFmt numFmtId="166" formatCode="0.00_)"/>
    <numFmt numFmtId="167" formatCode="_(* #,##0.00_);_(* \(#,##0.00\);_(* \-??_);_(@_)"/>
    <numFmt numFmtId="169" formatCode="_(* #,##0_);_(* \(#,##0\);_(* \-??_);_(@_)"/>
    <numFmt numFmtId="170" formatCode="_(* #,##0_);_(* \(#,##0\);_(* \-_);_(@_)"/>
    <numFmt numFmtId="171" formatCode="_(* #,##0_);_(* \(#,##0\);_(* &quot;-&quot;??_);_(@_)"/>
    <numFmt numFmtId="172" formatCode="_(* #,##0.0_);_(* \(#,##0.0\);_(* &quot;-&quot;??_);_(@_)"/>
    <numFmt numFmtId="173" formatCode="_-* #,##0.0_-;\-* #,##0.0_-;_-* &quot;-&quot;?_-;_-@_-"/>
    <numFmt numFmtId="174" formatCode="_-* #,##0.000_-;\-* #,##0.000_-;_-* &quot;-&quot;??_-;_-@_-"/>
    <numFmt numFmtId="175" formatCode="0.0"/>
    <numFmt numFmtId="176" formatCode="[$-3409]dd\-mmm\-yy;@"/>
    <numFmt numFmtId="177" formatCode="[$-3409]dddd\,\ mmmm\ dd\,\ yyyy;@"/>
    <numFmt numFmtId="178" formatCode="0.0%"/>
  </numFmts>
  <fonts count="96">
    <font>
      <sz val="11"/>
      <color indexed="8"/>
      <name val="Calibri"/>
      <charset val="134"/>
    </font>
    <font>
      <b/>
      <sz val="11"/>
      <color theme="0"/>
      <name val="Candara"/>
      <family val="2"/>
    </font>
    <font>
      <b/>
      <sz val="10"/>
      <name val="Candara"/>
      <family val="2"/>
    </font>
    <font>
      <sz val="10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3"/>
      <name val="Calibri"/>
      <family val="2"/>
    </font>
    <font>
      <sz val="11"/>
      <color indexed="13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indexed="30"/>
      <name val="Calibri"/>
      <family val="2"/>
    </font>
    <font>
      <b/>
      <sz val="16"/>
      <color indexed="56"/>
      <name val="Calibri"/>
      <family val="2"/>
    </font>
    <font>
      <b/>
      <sz val="22"/>
      <color indexed="56"/>
      <name val="Calibri"/>
      <family val="2"/>
    </font>
    <font>
      <b/>
      <sz val="16"/>
      <color indexed="10"/>
      <name val="Calibri"/>
      <family val="2"/>
    </font>
    <font>
      <b/>
      <sz val="18"/>
      <color indexed="10"/>
      <name val="Calibri"/>
      <family val="2"/>
    </font>
    <font>
      <b/>
      <sz val="14"/>
      <color indexed="10"/>
      <name val="Calibri"/>
      <family val="2"/>
    </font>
    <font>
      <b/>
      <sz val="14"/>
      <color indexed="30"/>
      <name val="Calibri"/>
      <family val="2"/>
    </font>
    <font>
      <b/>
      <sz val="11"/>
      <color indexed="30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b/>
      <sz val="11"/>
      <color indexed="21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6"/>
      <color rgb="FF002060"/>
      <name val="Calibri"/>
      <family val="2"/>
      <scheme val="minor"/>
    </font>
    <font>
      <b/>
      <sz val="16"/>
      <color indexed="56"/>
      <name val="AR BLANCA"/>
    </font>
    <font>
      <sz val="12"/>
      <color indexed="8"/>
      <name val="Calibri"/>
      <family val="2"/>
    </font>
    <font>
      <b/>
      <sz val="14"/>
      <color indexed="10"/>
      <name val="Calibri"/>
      <family val="2"/>
      <scheme val="minor"/>
    </font>
    <font>
      <b/>
      <sz val="16"/>
      <color theme="1"/>
      <name val="DEF"/>
      <charset val="134"/>
    </font>
    <font>
      <b/>
      <sz val="16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4"/>
      <name val="Calibri"/>
      <family val="2"/>
    </font>
    <font>
      <sz val="11"/>
      <color theme="9"/>
      <name val="Calibri"/>
      <family val="2"/>
    </font>
    <font>
      <sz val="11"/>
      <color theme="9" tint="-0.249977111117893"/>
      <name val="Calibri"/>
      <family val="2"/>
    </font>
    <font>
      <b/>
      <sz val="12"/>
      <color theme="1"/>
      <name val="DEF"/>
      <charset val="134"/>
    </font>
    <font>
      <b/>
      <sz val="11"/>
      <color theme="1"/>
      <name val="Calibri"/>
      <family val="2"/>
    </font>
    <font>
      <b/>
      <i/>
      <sz val="12"/>
      <color rgb="FFFF0000"/>
      <name val="Calibri"/>
      <family val="2"/>
    </font>
    <font>
      <b/>
      <sz val="10"/>
      <color theme="1"/>
      <name val="Candara"/>
      <family val="2"/>
    </font>
    <font>
      <sz val="10"/>
      <color theme="1"/>
      <name val="Candara"/>
      <family val="2"/>
    </font>
    <font>
      <b/>
      <sz val="11"/>
      <color indexed="56"/>
      <name val="Calibri"/>
      <family val="2"/>
    </font>
    <font>
      <b/>
      <sz val="11"/>
      <color theme="8" tint="-0.499984740745262"/>
      <name val="Calibri"/>
      <family val="2"/>
    </font>
    <font>
      <b/>
      <i/>
      <sz val="11"/>
      <color rgb="FF002060"/>
      <name val="Calibri"/>
      <family val="2"/>
    </font>
    <font>
      <b/>
      <sz val="11"/>
      <color indexed="13"/>
      <name val="Candara"/>
      <family val="2"/>
    </font>
    <font>
      <b/>
      <sz val="11"/>
      <color indexed="8"/>
      <name val="Candara"/>
      <family val="2"/>
    </font>
    <font>
      <sz val="10"/>
      <name val="Century Gothic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sz val="8"/>
      <name val="Arial"/>
      <family val="2"/>
    </font>
    <font>
      <b/>
      <sz val="11"/>
      <color indexed="17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1"/>
      <color indexed="62"/>
      <name val="Calibri"/>
      <family val="2"/>
    </font>
    <font>
      <b/>
      <sz val="8"/>
      <name val="Arial"/>
      <family val="2"/>
    </font>
    <font>
      <sz val="8"/>
      <color indexed="62"/>
      <name val="Arial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u/>
      <sz val="12"/>
      <color indexed="12"/>
      <name val="Arial"/>
      <family val="2"/>
    </font>
    <font>
      <b/>
      <sz val="18"/>
      <color indexed="62"/>
      <name val="Cambria"/>
      <family val="1"/>
    </font>
    <font>
      <sz val="11"/>
      <color indexed="16"/>
      <name val="Calibri"/>
      <family val="2"/>
    </font>
    <font>
      <sz val="8"/>
      <color indexed="14"/>
      <name val="Arial"/>
      <family val="2"/>
    </font>
    <font>
      <b/>
      <sz val="13"/>
      <color indexed="62"/>
      <name val="Calibri"/>
      <family val="2"/>
    </font>
    <font>
      <b/>
      <sz val="15"/>
      <color indexed="62"/>
      <name val="Calibri"/>
      <family val="2"/>
    </font>
    <font>
      <sz val="11"/>
      <color indexed="48"/>
      <name val="Calibri"/>
      <family val="2"/>
    </font>
    <font>
      <sz val="12"/>
      <name val="Arial"/>
      <family val="2"/>
    </font>
    <font>
      <sz val="11"/>
      <color indexed="14"/>
      <name val="Calibri"/>
      <family val="2"/>
    </font>
    <font>
      <sz val="19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sz val="9"/>
      <name val="Times New Roman"/>
      <family val="1"/>
    </font>
    <font>
      <sz val="11"/>
      <color indexed="8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29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/>
      <bottom style="thick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409">
    <xf numFmtId="0" fontId="0" fillId="0" borderId="0">
      <alignment vertical="center"/>
    </xf>
    <xf numFmtId="164" fontId="95" fillId="0" borderId="0" applyFont="0" applyFill="0" applyBorder="0" applyAlignment="0" applyProtection="0">
      <alignment vertical="center"/>
    </xf>
    <xf numFmtId="0" fontId="60" fillId="30" borderId="50" applyNumberFormat="0" applyProtection="0">
      <alignment horizontal="left" vertical="top" indent="1"/>
    </xf>
    <xf numFmtId="0" fontId="59" fillId="27" borderId="50" applyNumberFormat="0" applyProtection="0">
      <alignment horizontal="left" vertical="top" indent="1"/>
    </xf>
    <xf numFmtId="9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30" borderId="0" applyNumberFormat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39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0" borderId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95" fillId="47" borderId="0" applyNumberFormat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41" borderId="0" applyNumberFormat="0" applyBorder="0" applyAlignment="0" applyProtection="0">
      <alignment vertical="center"/>
    </xf>
    <xf numFmtId="0" fontId="69" fillId="45" borderId="2" applyNumberFormat="0" applyProtection="0">
      <alignment horizontal="right" vertical="center"/>
    </xf>
    <xf numFmtId="9" fontId="95" fillId="0" borderId="0" applyFill="0" applyBorder="0" applyAlignment="0" applyProtection="0">
      <alignment vertical="center"/>
    </xf>
    <xf numFmtId="0" fontId="95" fillId="3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9" fillId="35" borderId="55" applyNumberFormat="0" applyProtection="0">
      <alignment horizontal="right" vertical="center"/>
    </xf>
    <xf numFmtId="0" fontId="69" fillId="49" borderId="55" applyNumberFormat="0" applyProtection="0">
      <alignment horizontal="right" vertical="center"/>
    </xf>
    <xf numFmtId="166" fontId="81" fillId="0" borderId="0">
      <alignment vertical="center"/>
    </xf>
    <xf numFmtId="0" fontId="69" fillId="31" borderId="55" applyNumberFormat="0" applyProtection="0">
      <alignment horizontal="left" vertical="center" indent="1"/>
    </xf>
    <xf numFmtId="0" fontId="33" fillId="50" borderId="0" applyNumberFormat="0" applyBorder="0" applyAlignment="0" applyProtection="0">
      <alignment vertical="center"/>
    </xf>
    <xf numFmtId="4" fontId="69" fillId="31" borderId="55" applyNumberFormat="0" applyProtection="0">
      <alignment horizontal="left" vertical="center" indent="1"/>
    </xf>
    <xf numFmtId="0" fontId="95" fillId="29" borderId="0" applyNumberFormat="0" applyBorder="0" applyAlignment="0" applyProtection="0">
      <alignment vertical="center"/>
    </xf>
    <xf numFmtId="0" fontId="74" fillId="0" borderId="60" applyNumberFormat="0" applyFill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95" fillId="47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95" fillId="39" borderId="0" applyNumberFormat="0" applyBorder="0" applyAlignment="0" applyProtection="0">
      <alignment vertical="center"/>
    </xf>
    <xf numFmtId="0" fontId="95" fillId="39" borderId="0" applyNumberFormat="0" applyBorder="0" applyAlignment="0" applyProtection="0">
      <alignment vertical="center"/>
    </xf>
    <xf numFmtId="0" fontId="69" fillId="32" borderId="55" applyNumberFormat="0" applyProtection="0">
      <alignment horizontal="right" vertical="center"/>
    </xf>
    <xf numFmtId="0" fontId="95" fillId="39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62" fillId="0" borderId="0"/>
    <xf numFmtId="0" fontId="72" fillId="0" borderId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62" fillId="0" borderId="0"/>
    <xf numFmtId="0" fontId="95" fillId="16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9" fontId="58" fillId="0" borderId="2">
      <alignment horizontal="center" vertical="center" shrinkToFit="1"/>
    </xf>
    <xf numFmtId="0" fontId="95" fillId="16" borderId="0" applyNumberFormat="0" applyBorder="0" applyAlignment="0" applyProtection="0">
      <alignment vertical="center"/>
    </xf>
    <xf numFmtId="0" fontId="75" fillId="43" borderId="0" applyBorder="0">
      <alignment vertical="center"/>
    </xf>
    <xf numFmtId="0" fontId="95" fillId="32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95" fillId="36" borderId="0" applyNumberFormat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0" borderId="0">
      <alignment vertical="center"/>
    </xf>
    <xf numFmtId="0" fontId="95" fillId="17" borderId="0" applyNumberFormat="0" applyBorder="0" applyAlignment="0" applyProtection="0">
      <alignment vertical="center"/>
    </xf>
    <xf numFmtId="0" fontId="79" fillId="0" borderId="58" applyNumberFormat="0" applyFill="0" applyAlignment="0" applyProtection="0">
      <alignment vertical="center"/>
    </xf>
    <xf numFmtId="0" fontId="95" fillId="41" borderId="0" applyNumberFormat="0" applyBorder="0" applyAlignment="0" applyProtection="0">
      <alignment vertical="center"/>
    </xf>
    <xf numFmtId="0" fontId="95" fillId="41" borderId="0" applyNumberFormat="0" applyBorder="0" applyAlignment="0" applyProtection="0">
      <alignment vertical="center"/>
    </xf>
    <xf numFmtId="0" fontId="95" fillId="41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170" fontId="95" fillId="0" borderId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95" fillId="3" borderId="0" applyNumberFormat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95" fillId="3" borderId="0" applyNumberFormat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72" fillId="43" borderId="2" applyNumberFormat="0" applyProtection="0">
      <alignment horizontal="left" vertical="center" indent="1"/>
    </xf>
    <xf numFmtId="0" fontId="95" fillId="21" borderId="0" applyNumberFormat="0" applyBorder="0" applyAlignment="0" applyProtection="0">
      <alignment vertical="center"/>
    </xf>
    <xf numFmtId="0" fontId="95" fillId="0" borderId="0">
      <alignment vertical="center"/>
    </xf>
    <xf numFmtId="0" fontId="95" fillId="21" borderId="0" applyNumberFormat="0" applyBorder="0" applyAlignment="0" applyProtection="0">
      <alignment vertical="center"/>
    </xf>
    <xf numFmtId="0" fontId="95" fillId="0" borderId="0">
      <alignment vertical="center"/>
    </xf>
    <xf numFmtId="0" fontId="95" fillId="3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170" fontId="95" fillId="0" borderId="0" applyFill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95" fillId="34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95" fillId="34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95" fillId="33" borderId="0" applyNumberFormat="0" applyBorder="0" applyAlignment="0" applyProtection="0">
      <alignment vertical="center"/>
    </xf>
    <xf numFmtId="0" fontId="69" fillId="48" borderId="55" applyNumberFormat="0" applyProtection="0">
      <alignment horizontal="right" vertical="center"/>
    </xf>
    <xf numFmtId="0" fontId="95" fillId="33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95" fillId="0" borderId="0">
      <alignment vertical="center"/>
    </xf>
    <xf numFmtId="0" fontId="33" fillId="54" borderId="0" applyNumberFormat="0" applyBorder="0" applyAlignment="0" applyProtection="0">
      <alignment vertical="center"/>
    </xf>
    <xf numFmtId="0" fontId="95" fillId="39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95" fillId="37" borderId="0" applyNumberFormat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69" fillId="55" borderId="2" applyNumberFormat="0" applyProtection="0">
      <alignment horizontal="left" vertical="center" indent="1"/>
    </xf>
    <xf numFmtId="0" fontId="95" fillId="37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69" fillId="27" borderId="55" applyNumberFormat="0" applyProtection="0">
      <alignment vertical="center"/>
    </xf>
    <xf numFmtId="0" fontId="69" fillId="0" borderId="55" applyNumberFormat="0" applyProtection="0">
      <alignment horizontal="right"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84" fillId="37" borderId="0" applyNumberFormat="0" applyBorder="0" applyAlignment="0" applyProtection="0">
      <alignment vertical="center"/>
    </xf>
    <xf numFmtId="0" fontId="70" fillId="38" borderId="55" applyNumberFormat="0" applyAlignment="0" applyProtection="0">
      <alignment vertical="center"/>
    </xf>
    <xf numFmtId="0" fontId="66" fillId="3" borderId="53" applyNumberFormat="0" applyAlignment="0" applyProtection="0">
      <alignment vertical="center"/>
    </xf>
    <xf numFmtId="0" fontId="73" fillId="50" borderId="57" applyNumberFormat="0" applyAlignment="0" applyProtection="0">
      <alignment vertical="center"/>
    </xf>
    <xf numFmtId="0" fontId="95" fillId="0" borderId="0">
      <alignment vertical="center"/>
    </xf>
    <xf numFmtId="0" fontId="73" fillId="33" borderId="57" applyNumberFormat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0" borderId="0">
      <alignment vertical="center"/>
    </xf>
    <xf numFmtId="167" fontId="95" fillId="0" borderId="0" applyFill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62" fillId="0" borderId="0"/>
    <xf numFmtId="0" fontId="62" fillId="0" borderId="0"/>
    <xf numFmtId="167" fontId="95" fillId="0" borderId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0" fontId="62" fillId="0" borderId="0"/>
    <xf numFmtId="164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69" fillId="39" borderId="50" applyNumberFormat="0" applyProtection="0">
      <alignment horizontal="left" vertical="top" indent="1"/>
    </xf>
    <xf numFmtId="164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0" fontId="76" fillId="27" borderId="55" applyNumberFormat="0" applyProtection="0">
      <alignment vertical="center"/>
    </xf>
    <xf numFmtId="0" fontId="76" fillId="44" borderId="55" applyNumberFormat="0" applyProtection="0">
      <alignment horizontal="right" vertical="center"/>
    </xf>
    <xf numFmtId="164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43" fontId="95" fillId="0" borderId="0" applyFont="0" applyFill="0" applyBorder="0" applyAlignment="0" applyProtection="0"/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72" fillId="0" borderId="0"/>
    <xf numFmtId="167" fontId="95" fillId="0" borderId="0" applyFill="0" applyBorder="0" applyAlignment="0" applyProtection="0">
      <alignment vertical="center"/>
    </xf>
    <xf numFmtId="0" fontId="71" fillId="0" borderId="61" applyNumberFormat="0" applyFill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69" fillId="58" borderId="55" applyNumberFormat="0" applyProtection="0">
      <alignment horizontal="left" vertical="center" indent="1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69" fillId="40" borderId="55" applyNumberFormat="0" applyProtection="0">
      <alignment horizontal="right" vertical="center"/>
    </xf>
    <xf numFmtId="167" fontId="95" fillId="0" borderId="0" applyFill="0" applyBorder="0" applyAlignment="0" applyProtection="0">
      <alignment vertical="center"/>
    </xf>
    <xf numFmtId="0" fontId="86" fillId="0" borderId="62" applyNumberFormat="0" applyFill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72" fillId="0" borderId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37" borderId="55" applyNumberFormat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0" fontId="95" fillId="37" borderId="55" applyNumberFormat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9" fontId="58" fillId="0" borderId="2">
      <alignment horizontal="center" vertical="center" shrinkToFit="1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69" fillId="44" borderId="63" applyNumberFormat="0">
      <alignment vertical="center"/>
      <protection locked="0"/>
    </xf>
    <xf numFmtId="43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37" borderId="56" applyNumberFormat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0" fontId="72" fillId="0" borderId="0">
      <alignment vertical="center"/>
    </xf>
    <xf numFmtId="0" fontId="95" fillId="37" borderId="56" applyNumberFormat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5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5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63" fillId="3" borderId="51" applyNumberFormat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4" fontId="69" fillId="31" borderId="55" applyNumberFormat="0" applyProtection="0">
      <alignment horizontal="left" vertical="center" indent="1"/>
    </xf>
    <xf numFmtId="167" fontId="95" fillId="0" borderId="0" applyFill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7" fontId="95" fillId="0" borderId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87" fillId="0" borderId="64" applyNumberFormat="0" applyFill="0" applyAlignment="0" applyProtection="0">
      <alignment vertical="center"/>
    </xf>
    <xf numFmtId="0" fontId="68" fillId="0" borderId="54" applyNumberFormat="0" applyFill="0" applyAlignment="0" applyProtection="0">
      <alignment vertical="center"/>
    </xf>
    <xf numFmtId="0" fontId="64" fillId="0" borderId="52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88" fillId="28" borderId="55" applyNumberFormat="0" applyAlignment="0" applyProtection="0">
      <alignment vertical="center"/>
    </xf>
    <xf numFmtId="0" fontId="67" fillId="28" borderId="53" applyNumberFormat="0" applyAlignment="0" applyProtection="0">
      <alignment vertical="center"/>
    </xf>
    <xf numFmtId="9" fontId="58" fillId="0" borderId="2">
      <alignment horizontal="center" vertical="center" shrinkToFit="1"/>
    </xf>
    <xf numFmtId="9" fontId="58" fillId="0" borderId="2">
      <alignment horizontal="center" vertical="center" shrinkToFit="1"/>
    </xf>
    <xf numFmtId="0" fontId="72" fillId="0" borderId="0">
      <alignment vertical="center"/>
    </xf>
    <xf numFmtId="0" fontId="72" fillId="0" borderId="0">
      <alignment vertical="center"/>
    </xf>
    <xf numFmtId="0" fontId="95" fillId="0" borderId="0">
      <alignment vertical="center"/>
    </xf>
    <xf numFmtId="10" fontId="95" fillId="0" borderId="0" applyFill="0" applyBorder="0" applyAlignment="0" applyProtection="0">
      <alignment vertical="center"/>
    </xf>
    <xf numFmtId="0" fontId="7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72" fillId="0" borderId="0">
      <alignment vertical="center"/>
    </xf>
    <xf numFmtId="0" fontId="95" fillId="0" borderId="0">
      <alignment vertical="center"/>
    </xf>
    <xf numFmtId="0" fontId="62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9" fontId="72" fillId="0" borderId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2" fillId="0" borderId="0"/>
    <xf numFmtId="0" fontId="62" fillId="0" borderId="0"/>
    <xf numFmtId="0" fontId="72" fillId="0" borderId="0">
      <alignment vertical="center"/>
    </xf>
    <xf numFmtId="0" fontId="89" fillId="0" borderId="0">
      <alignment vertical="center"/>
    </xf>
    <xf numFmtId="0" fontId="72" fillId="0" borderId="0">
      <alignment vertical="center"/>
    </xf>
    <xf numFmtId="0" fontId="89" fillId="0" borderId="0">
      <alignment vertical="center"/>
    </xf>
    <xf numFmtId="0" fontId="5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95" fillId="0" borderId="0">
      <alignment vertical="center"/>
    </xf>
    <xf numFmtId="0" fontId="72" fillId="0" borderId="0">
      <alignment vertical="center"/>
    </xf>
    <xf numFmtId="0" fontId="95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3" fillId="38" borderId="51" applyNumberFormat="0" applyAlignment="0" applyProtection="0">
      <alignment vertical="center"/>
    </xf>
    <xf numFmtId="10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69" fillId="17" borderId="55" applyNumberFormat="0" applyProtection="0">
      <alignment horizontal="left" vertical="center" indent="1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69" fillId="42" borderId="55" applyNumberFormat="0" applyProtection="0">
      <alignment horizontal="right"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60" fillId="3" borderId="50" applyNumberFormat="0" applyProtection="0">
      <alignment horizontal="left" vertical="center" indent="1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69" fillId="30" borderId="2" applyNumberFormat="0" applyProtection="0">
      <alignment horizontal="left" vertical="center" indent="1"/>
    </xf>
    <xf numFmtId="9" fontId="95" fillId="0" borderId="0" applyFill="0" applyBorder="0" applyAlignment="0" applyProtection="0">
      <alignment vertical="center"/>
    </xf>
    <xf numFmtId="9" fontId="95" fillId="0" borderId="0" applyFill="0" applyBorder="0" applyAlignment="0" applyProtection="0">
      <alignment vertical="center"/>
    </xf>
    <xf numFmtId="0" fontId="69" fillId="27" borderId="55" applyNumberFormat="0" applyProtection="0">
      <alignment horizontal="left" vertical="center" indent="1"/>
    </xf>
    <xf numFmtId="0" fontId="69" fillId="31" borderId="55" applyNumberFormat="0" applyProtection="0">
      <alignment horizontal="left" vertical="center" indent="1"/>
    </xf>
    <xf numFmtId="0" fontId="69" fillId="31" borderId="55" applyNumberFormat="0" applyProtection="0">
      <alignment horizontal="left" vertical="center" indent="1"/>
    </xf>
    <xf numFmtId="0" fontId="69" fillId="41" borderId="55" applyNumberFormat="0" applyProtection="0">
      <alignment horizontal="right" vertical="center"/>
    </xf>
    <xf numFmtId="4" fontId="69" fillId="31" borderId="55" applyNumberFormat="0" applyProtection="0">
      <alignment horizontal="left" vertical="center" indent="1"/>
    </xf>
    <xf numFmtId="0" fontId="69" fillId="46" borderId="55" applyNumberFormat="0" applyProtection="0">
      <alignment horizontal="right" vertical="center"/>
    </xf>
    <xf numFmtId="4" fontId="69" fillId="31" borderId="55" applyNumberFormat="0" applyProtection="0">
      <alignment horizontal="left" vertical="center" indent="1"/>
    </xf>
    <xf numFmtId="0" fontId="72" fillId="43" borderId="2" applyNumberFormat="0" applyProtection="0">
      <alignment horizontal="left" vertical="center" indent="1"/>
    </xf>
    <xf numFmtId="0" fontId="69" fillId="30" borderId="55" applyNumberFormat="0" applyProtection="0">
      <alignment horizontal="right" vertical="center"/>
    </xf>
    <xf numFmtId="0" fontId="69" fillId="39" borderId="2" applyNumberFormat="0" applyProtection="0">
      <alignment horizontal="left" vertical="center" indent="1"/>
    </xf>
    <xf numFmtId="0" fontId="69" fillId="3" borderId="55" applyNumberFormat="0" applyProtection="0">
      <alignment horizontal="left" vertical="center" indent="1"/>
    </xf>
    <xf numFmtId="0" fontId="69" fillId="43" borderId="50" applyNumberFormat="0" applyProtection="0">
      <alignment horizontal="left" vertical="top" indent="1"/>
    </xf>
    <xf numFmtId="0" fontId="69" fillId="30" borderId="50" applyNumberFormat="0" applyProtection="0">
      <alignment horizontal="left" vertical="top" indent="1"/>
    </xf>
    <xf numFmtId="0" fontId="69" fillId="17" borderId="50" applyNumberFormat="0" applyProtection="0">
      <alignment horizontal="left" vertical="top" indent="1"/>
    </xf>
    <xf numFmtId="0" fontId="69" fillId="39" borderId="55" applyNumberFormat="0" applyProtection="0">
      <alignment horizontal="left" vertical="center" indent="1"/>
    </xf>
    <xf numFmtId="0" fontId="60" fillId="37" borderId="50" applyNumberFormat="0" applyProtection="0">
      <alignment vertical="center"/>
    </xf>
    <xf numFmtId="0" fontId="76" fillId="37" borderId="2" applyNumberFormat="0" applyProtection="0">
      <alignment vertical="center"/>
    </xf>
    <xf numFmtId="0" fontId="60" fillId="37" borderId="50" applyNumberFormat="0" applyProtection="0">
      <alignment horizontal="left" vertical="top" indent="1"/>
    </xf>
    <xf numFmtId="0" fontId="91" fillId="38" borderId="2" applyNumberFormat="0" applyProtection="0">
      <alignment horizontal="left" vertical="center" indent="1"/>
    </xf>
    <xf numFmtId="0" fontId="69" fillId="54" borderId="2">
      <alignment vertical="center"/>
    </xf>
    <xf numFmtId="0" fontId="85" fillId="44" borderId="55" applyNumberFormat="0" applyProtection="0">
      <alignment horizontal="right" vertical="center"/>
    </xf>
    <xf numFmtId="0" fontId="6" fillId="0" borderId="65" applyNumberFormat="0" applyFill="0" applyAlignment="0" applyProtection="0">
      <alignment vertical="center"/>
    </xf>
    <xf numFmtId="0" fontId="6" fillId="0" borderId="66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427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171" fontId="0" fillId="0" borderId="0" xfId="1" applyNumberFormat="1" applyFont="1" applyAlignment="1"/>
    <xf numFmtId="0" fontId="3" fillId="0" borderId="2" xfId="0" applyFont="1" applyBorder="1" applyAlignment="1">
      <alignment horizontal="left"/>
    </xf>
    <xf numFmtId="171" fontId="4" fillId="0" borderId="2" xfId="1" applyNumberFormat="1" applyFont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171" fontId="5" fillId="0" borderId="2" xfId="1" applyNumberFormat="1" applyFont="1" applyBorder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7" fillId="5" borderId="0" xfId="0" applyFont="1" applyFill="1" applyAlignment="1"/>
    <xf numFmtId="172" fontId="0" fillId="0" borderId="0" xfId="1" applyNumberFormat="1" applyFont="1" applyAlignment="1"/>
    <xf numFmtId="0" fontId="0" fillId="0" borderId="3" xfId="0" applyBorder="1" applyAlignment="1"/>
    <xf numFmtId="0" fontId="6" fillId="0" borderId="3" xfId="0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9" fontId="0" fillId="0" borderId="3" xfId="7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9" fontId="0" fillId="0" borderId="3" xfId="0" applyNumberFormat="1" applyBorder="1" applyAlignment="1">
      <alignment horizontal="center"/>
    </xf>
    <xf numFmtId="0" fontId="0" fillId="0" borderId="7" xfId="0" applyBorder="1" applyAlignment="1"/>
    <xf numFmtId="0" fontId="9" fillId="0" borderId="0" xfId="0" applyFont="1" applyAlignment="1"/>
    <xf numFmtId="173" fontId="9" fillId="0" borderId="0" xfId="0" applyNumberFormat="1" applyFont="1" applyAlignment="1"/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0" xfId="0" applyFont="1" applyFill="1" applyAlignment="1"/>
    <xf numFmtId="171" fontId="10" fillId="6" borderId="4" xfId="1" applyNumberFormat="1" applyFont="1" applyFill="1" applyBorder="1" applyAlignment="1">
      <alignment vertical="center"/>
    </xf>
    <xf numFmtId="171" fontId="10" fillId="6" borderId="4" xfId="1" applyNumberFormat="1" applyFont="1" applyFill="1" applyBorder="1" applyAlignment="1">
      <alignment horizontal="center" vertical="center"/>
    </xf>
    <xf numFmtId="172" fontId="0" fillId="0" borderId="3" xfId="1" applyNumberFormat="1" applyFont="1" applyBorder="1" applyAlignment="1">
      <alignment horizontal="center" vertical="center"/>
    </xf>
    <xf numFmtId="0" fontId="9" fillId="0" borderId="3" xfId="0" applyFont="1" applyBorder="1" applyAlignment="1"/>
    <xf numFmtId="172" fontId="9" fillId="0" borderId="3" xfId="0" applyNumberFormat="1" applyFont="1" applyBorder="1" applyAlignment="1"/>
    <xf numFmtId="9" fontId="9" fillId="0" borderId="0" xfId="7" applyFont="1" applyAlignment="1">
      <alignment horizontal="center"/>
    </xf>
    <xf numFmtId="171" fontId="10" fillId="6" borderId="4" xfId="1" applyNumberFormat="1" applyFont="1" applyFill="1" applyBorder="1" applyAlignment="1"/>
    <xf numFmtId="0" fontId="10" fillId="6" borderId="4" xfId="0" applyFont="1" applyFill="1" applyBorder="1" applyAlignment="1">
      <alignment horizontal="center"/>
    </xf>
    <xf numFmtId="0" fontId="11" fillId="0" borderId="0" xfId="0" applyFont="1" applyAlignment="1"/>
    <xf numFmtId="0" fontId="6" fillId="9" borderId="0" xfId="0" applyFont="1" applyFill="1" applyAlignment="1"/>
    <xf numFmtId="0" fontId="6" fillId="11" borderId="3" xfId="0" applyFont="1" applyFill="1" applyBorder="1" applyAlignment="1">
      <alignment horizontal="center"/>
    </xf>
    <xf numFmtId="172" fontId="0" fillId="0" borderId="3" xfId="1" applyNumberFormat="1" applyFont="1" applyBorder="1" applyAlignment="1"/>
    <xf numFmtId="172" fontId="0" fillId="11" borderId="3" xfId="1" applyNumberFormat="1" applyFont="1" applyFill="1" applyBorder="1" applyAlignment="1"/>
    <xf numFmtId="172" fontId="0" fillId="11" borderId="3" xfId="1" applyNumberFormat="1" applyFont="1" applyFill="1" applyBorder="1" applyAlignment="1">
      <alignment horizontal="center" vertical="center"/>
    </xf>
    <xf numFmtId="0" fontId="0" fillId="9" borderId="0" xfId="0" applyFill="1" applyAlignment="1"/>
    <xf numFmtId="0" fontId="6" fillId="12" borderId="0" xfId="0" applyFont="1" applyFill="1" applyAlignment="1"/>
    <xf numFmtId="0" fontId="0" fillId="12" borderId="0" xfId="0" applyFill="1" applyAlignment="1"/>
    <xf numFmtId="0" fontId="6" fillId="13" borderId="0" xfId="0" applyFont="1" applyFill="1" applyAlignment="1"/>
    <xf numFmtId="0" fontId="0" fillId="0" borderId="3" xfId="0" applyBorder="1" applyAlignment="1">
      <alignment horizontal="left" vertical="center"/>
    </xf>
    <xf numFmtId="0" fontId="0" fillId="0" borderId="10" xfId="0" applyBorder="1" applyAlignment="1"/>
    <xf numFmtId="0" fontId="0" fillId="0" borderId="11" xfId="0" applyBorder="1" applyAlignment="1"/>
    <xf numFmtId="0" fontId="0" fillId="13" borderId="0" xfId="0" applyFill="1" applyAlignment="1"/>
    <xf numFmtId="0" fontId="6" fillId="0" borderId="0" xfId="0" applyFont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4" xfId="0" applyBorder="1" applyAlignment="1"/>
    <xf numFmtId="0" fontId="0" fillId="0" borderId="14" xfId="0" applyBorder="1" applyAlignment="1"/>
    <xf numFmtId="0" fontId="0" fillId="0" borderId="0" xfId="0" applyAlignment="1">
      <alignment horizontal="center"/>
    </xf>
    <xf numFmtId="9" fontId="0" fillId="0" borderId="0" xfId="0" applyNumberFormat="1" applyAlignment="1"/>
    <xf numFmtId="164" fontId="0" fillId="0" borderId="0" xfId="0" applyNumberFormat="1" applyAlignment="1"/>
    <xf numFmtId="43" fontId="0" fillId="0" borderId="0" xfId="0" applyNumberFormat="1" applyAlignment="1"/>
    <xf numFmtId="9" fontId="0" fillId="0" borderId="0" xfId="7" applyFont="1" applyAlignment="1"/>
    <xf numFmtId="171" fontId="0" fillId="0" borderId="0" xfId="0" applyNumberFormat="1" applyAlignment="1"/>
    <xf numFmtId="174" fontId="0" fillId="0" borderId="0" xfId="0" applyNumberFormat="1" applyAlignment="1"/>
    <xf numFmtId="171" fontId="0" fillId="16" borderId="15" xfId="1" applyNumberFormat="1" applyFont="1" applyFill="1" applyBorder="1" applyAlignment="1"/>
    <xf numFmtId="171" fontId="0" fillId="0" borderId="15" xfId="1" applyNumberFormat="1" applyFont="1" applyFill="1" applyBorder="1" applyAlignment="1"/>
    <xf numFmtId="10" fontId="0" fillId="0" borderId="0" xfId="7" applyNumberFormat="1" applyFont="1" applyAlignment="1"/>
    <xf numFmtId="10" fontId="0" fillId="0" borderId="0" xfId="0" applyNumberFormat="1" applyAlignment="1"/>
    <xf numFmtId="1" fontId="0" fillId="17" borderId="15" xfId="0" applyNumberFormat="1" applyFill="1" applyBorder="1" applyAlignment="1"/>
    <xf numFmtId="171" fontId="12" fillId="17" borderId="15" xfId="1" applyNumberFormat="1" applyFont="1" applyFill="1" applyBorder="1" applyAlignment="1"/>
    <xf numFmtId="14" fontId="0" fillId="0" borderId="0" xfId="0" applyNumberFormat="1" applyAlignment="1"/>
    <xf numFmtId="14" fontId="0" fillId="0" borderId="0" xfId="0" applyNumberFormat="1" applyAlignment="1">
      <alignment horizontal="center"/>
    </xf>
    <xf numFmtId="3" fontId="0" fillId="0" borderId="0" xfId="0" applyNumberFormat="1" applyAlignment="1"/>
    <xf numFmtId="0" fontId="0" fillId="18" borderId="0" xfId="0" applyFill="1" applyAlignment="1"/>
    <xf numFmtId="0" fontId="13" fillId="19" borderId="16" xfId="0" applyFont="1" applyFill="1" applyBorder="1" applyAlignment="1">
      <alignment horizontal="center" vertical="center"/>
    </xf>
    <xf numFmtId="0" fontId="13" fillId="19" borderId="2" xfId="0" applyFont="1" applyFill="1" applyBorder="1" applyAlignment="1">
      <alignment horizontal="center" vertical="center"/>
    </xf>
    <xf numFmtId="0" fontId="13" fillId="19" borderId="17" xfId="0" applyFont="1" applyFill="1" applyBorder="1" applyAlignment="1">
      <alignment horizontal="center" vertical="center"/>
    </xf>
    <xf numFmtId="14" fontId="14" fillId="19" borderId="2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vertical="center" wrapText="1"/>
    </xf>
    <xf numFmtId="0" fontId="0" fillId="0" borderId="2" xfId="0" applyBorder="1" applyAlignment="1"/>
    <xf numFmtId="0" fontId="16" fillId="0" borderId="3" xfId="0" applyFont="1" applyBorder="1" applyAlignment="1"/>
    <xf numFmtId="1" fontId="17" fillId="0" borderId="3" xfId="0" applyNumberFormat="1" applyFont="1" applyBorder="1" applyAlignment="1">
      <alignment horizontal="center"/>
    </xf>
    <xf numFmtId="0" fontId="17" fillId="0" borderId="3" xfId="0" applyFont="1" applyBorder="1" applyAlignment="1"/>
    <xf numFmtId="0" fontId="16" fillId="20" borderId="3" xfId="0" applyFont="1" applyFill="1" applyBorder="1" applyAlignment="1"/>
    <xf numFmtId="1" fontId="17" fillId="20" borderId="3" xfId="0" applyNumberFormat="1" applyFont="1" applyFill="1" applyBorder="1" applyAlignment="1">
      <alignment horizontal="center"/>
    </xf>
    <xf numFmtId="0" fontId="17" fillId="20" borderId="3" xfId="0" applyFont="1" applyFill="1" applyBorder="1" applyAlignment="1"/>
    <xf numFmtId="1" fontId="17" fillId="0" borderId="3" xfId="0" applyNumberFormat="1" applyFont="1" applyBorder="1" applyAlignment="1">
      <alignment horizontal="left"/>
    </xf>
    <xf numFmtId="0" fontId="0" fillId="21" borderId="2" xfId="0" applyFill="1" applyBorder="1" applyAlignment="1"/>
    <xf numFmtId="0" fontId="0" fillId="0" borderId="18" xfId="0" applyBorder="1" applyAlignment="1"/>
    <xf numFmtId="0" fontId="0" fillId="0" borderId="19" xfId="0" applyBorder="1" applyAlignment="1"/>
    <xf numFmtId="175" fontId="0" fillId="0" borderId="0" xfId="0" applyNumberFormat="1" applyAlignment="1"/>
    <xf numFmtId="176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7" fontId="0" fillId="0" borderId="0" xfId="0" applyNumberFormat="1" applyAlignment="1"/>
    <xf numFmtId="177" fontId="19" fillId="0" borderId="0" xfId="0" applyNumberFormat="1" applyFont="1" applyAlignment="1"/>
    <xf numFmtId="177" fontId="20" fillId="0" borderId="0" xfId="0" applyNumberFormat="1" applyFont="1" applyAlignment="1"/>
    <xf numFmtId="177" fontId="22" fillId="0" borderId="0" xfId="0" applyNumberFormat="1" applyFont="1" applyAlignment="1"/>
    <xf numFmtId="177" fontId="21" fillId="0" borderId="0" xfId="0" applyNumberFormat="1" applyFont="1" applyAlignment="1"/>
    <xf numFmtId="177" fontId="24" fillId="0" borderId="2" xfId="0" applyNumberFormat="1" applyFont="1" applyBorder="1" applyAlignment="1">
      <alignment horizontal="center" vertical="center"/>
    </xf>
    <xf numFmtId="177" fontId="25" fillId="0" borderId="2" xfId="0" applyNumberFormat="1" applyFont="1" applyBorder="1" applyAlignment="1">
      <alignment horizontal="center" vertical="center"/>
    </xf>
    <xf numFmtId="177" fontId="26" fillId="19" borderId="21" xfId="0" applyNumberFormat="1" applyFont="1" applyFill="1" applyBorder="1" applyAlignment="1">
      <alignment horizontal="center" vertical="center" wrapText="1"/>
    </xf>
    <xf numFmtId="177" fontId="26" fillId="19" borderId="22" xfId="0" applyNumberFormat="1" applyFont="1" applyFill="1" applyBorder="1" applyAlignment="1">
      <alignment vertical="center" wrapText="1"/>
    </xf>
    <xf numFmtId="177" fontId="27" fillId="0" borderId="16" xfId="0" applyNumberFormat="1" applyFont="1" applyBorder="1" applyAlignment="1">
      <alignment vertical="center" wrapText="1"/>
    </xf>
    <xf numFmtId="2" fontId="0" fillId="0" borderId="0" xfId="0" applyNumberFormat="1" applyAlignment="1">
      <alignment wrapText="1"/>
    </xf>
    <xf numFmtId="2" fontId="0" fillId="0" borderId="2" xfId="0" applyNumberFormat="1" applyBorder="1" applyAlignment="1"/>
    <xf numFmtId="177" fontId="27" fillId="0" borderId="18" xfId="0" applyNumberFormat="1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2" fontId="0" fillId="0" borderId="16" xfId="0" applyNumberFormat="1" applyBorder="1" applyAlignment="1"/>
    <xf numFmtId="0" fontId="27" fillId="0" borderId="23" xfId="0" applyFont="1" applyBorder="1" applyAlignment="1">
      <alignment vertical="center" wrapText="1"/>
    </xf>
    <xf numFmtId="177" fontId="6" fillId="22" borderId="24" xfId="0" applyNumberFormat="1" applyFont="1" applyFill="1" applyBorder="1" applyAlignment="1"/>
    <xf numFmtId="2" fontId="6" fillId="22" borderId="25" xfId="0" applyNumberFormat="1" applyFont="1" applyFill="1" applyBorder="1" applyAlignment="1"/>
    <xf numFmtId="2" fontId="6" fillId="22" borderId="26" xfId="0" applyNumberFormat="1" applyFont="1" applyFill="1" applyBorder="1" applyAlignment="1"/>
    <xf numFmtId="2" fontId="0" fillId="0" borderId="22" xfId="0" applyNumberFormat="1" applyBorder="1" applyAlignment="1">
      <alignment wrapText="1"/>
    </xf>
    <xf numFmtId="175" fontId="0" fillId="0" borderId="21" xfId="0" applyNumberFormat="1" applyBorder="1" applyAlignment="1"/>
    <xf numFmtId="2" fontId="0" fillId="0" borderId="3" xfId="0" applyNumberFormat="1" applyBorder="1">
      <alignment vertical="center"/>
    </xf>
    <xf numFmtId="2" fontId="0" fillId="0" borderId="21" xfId="0" applyNumberFormat="1" applyBorder="1" applyAlignment="1"/>
    <xf numFmtId="175" fontId="0" fillId="0" borderId="3" xfId="0" applyNumberFormat="1" applyBorder="1" applyAlignment="1">
      <alignment vertical="center" wrapText="1"/>
    </xf>
    <xf numFmtId="2" fontId="0" fillId="0" borderId="22" xfId="0" applyNumberFormat="1" applyBorder="1" applyAlignment="1"/>
    <xf numFmtId="2" fontId="0" fillId="0" borderId="17" xfId="0" applyNumberFormat="1" applyBorder="1" applyAlignment="1"/>
    <xf numFmtId="175" fontId="0" fillId="0" borderId="3" xfId="0" applyNumberFormat="1" applyBorder="1">
      <alignment vertical="center"/>
    </xf>
    <xf numFmtId="177" fontId="6" fillId="22" borderId="27" xfId="0" applyNumberFormat="1" applyFont="1" applyFill="1" applyBorder="1" applyAlignment="1"/>
    <xf numFmtId="177" fontId="27" fillId="0" borderId="28" xfId="0" applyNumberFormat="1" applyFont="1" applyBorder="1" applyAlignment="1">
      <alignment vertical="center" wrapText="1"/>
    </xf>
    <xf numFmtId="177" fontId="6" fillId="22" borderId="29" xfId="0" applyNumberFormat="1" applyFont="1" applyFill="1" applyBorder="1" applyAlignment="1"/>
    <xf numFmtId="2" fontId="26" fillId="19" borderId="21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wrapText="1"/>
    </xf>
    <xf numFmtId="2" fontId="6" fillId="22" borderId="29" xfId="0" applyNumberFormat="1" applyFont="1" applyFill="1" applyBorder="1" applyAlignment="1"/>
    <xf numFmtId="2" fontId="0" fillId="0" borderId="2" xfId="0" applyNumberFormat="1" applyBorder="1" applyAlignment="1">
      <alignment horizontal="right" vertical="center"/>
    </xf>
    <xf numFmtId="175" fontId="0" fillId="0" borderId="2" xfId="0" applyNumberFormat="1" applyBorder="1" applyAlignment="1">
      <alignment horizontal="right" vertical="center"/>
    </xf>
    <xf numFmtId="177" fontId="27" fillId="0" borderId="18" xfId="0" applyNumberFormat="1" applyFont="1" applyBorder="1" applyAlignment="1">
      <alignment horizontal="center" vertical="center" wrapText="1"/>
    </xf>
    <xf numFmtId="177" fontId="27" fillId="0" borderId="23" xfId="0" applyNumberFormat="1" applyFont="1" applyBorder="1" applyAlignment="1">
      <alignment vertical="center" wrapText="1"/>
    </xf>
    <xf numFmtId="177" fontId="27" fillId="0" borderId="16" xfId="0" applyNumberFormat="1" applyFont="1" applyBorder="1" applyAlignment="1">
      <alignment horizontal="left" vertical="center" wrapText="1"/>
    </xf>
    <xf numFmtId="1" fontId="0" fillId="0" borderId="2" xfId="0" applyNumberFormat="1" applyBorder="1">
      <alignment vertical="center"/>
    </xf>
    <xf numFmtId="2" fontId="0" fillId="0" borderId="2" xfId="0" applyNumberFormat="1" applyBorder="1">
      <alignment vertical="center"/>
    </xf>
    <xf numFmtId="1" fontId="0" fillId="0" borderId="2" xfId="0" applyNumberFormat="1" applyBorder="1" applyAlignment="1"/>
    <xf numFmtId="2" fontId="0" fillId="0" borderId="30" xfId="0" applyNumberFormat="1" applyBorder="1" applyAlignment="1"/>
    <xf numFmtId="177" fontId="27" fillId="0" borderId="2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/>
    <xf numFmtId="2" fontId="6" fillId="22" borderId="31" xfId="0" applyNumberFormat="1" applyFont="1" applyFill="1" applyBorder="1" applyAlignment="1"/>
    <xf numFmtId="177" fontId="27" fillId="0" borderId="16" xfId="0" applyNumberFormat="1" applyFont="1" applyBorder="1" applyAlignment="1">
      <alignment horizontal="center" vertical="center" wrapText="1"/>
    </xf>
    <xf numFmtId="171" fontId="0" fillId="0" borderId="3" xfId="195" applyNumberFormat="1" applyFont="1" applyBorder="1" applyAlignment="1">
      <alignment vertical="center"/>
    </xf>
    <xf numFmtId="175" fontId="0" fillId="0" borderId="2" xfId="0" applyNumberFormat="1" applyBorder="1" applyAlignment="1"/>
    <xf numFmtId="171" fontId="0" fillId="0" borderId="2" xfId="195" applyNumberFormat="1" applyFont="1" applyBorder="1" applyAlignment="1">
      <alignment vertical="center"/>
    </xf>
    <xf numFmtId="0" fontId="27" fillId="0" borderId="28" xfId="0" applyFont="1" applyBorder="1" applyAlignment="1">
      <alignment vertical="center" wrapText="1"/>
    </xf>
    <xf numFmtId="177" fontId="28" fillId="0" borderId="2" xfId="0" applyNumberFormat="1" applyFont="1" applyBorder="1" applyAlignment="1"/>
    <xf numFmtId="177" fontId="0" fillId="0" borderId="2" xfId="0" applyNumberFormat="1" applyBorder="1" applyAlignment="1"/>
    <xf numFmtId="177" fontId="0" fillId="0" borderId="16" xfId="0" applyNumberFormat="1" applyBorder="1" applyAlignment="1"/>
    <xf numFmtId="177" fontId="6" fillId="22" borderId="25" xfId="0" applyNumberFormat="1" applyFont="1" applyFill="1" applyBorder="1" applyAlignment="1"/>
    <xf numFmtId="177" fontId="27" fillId="0" borderId="0" xfId="0" applyNumberFormat="1" applyFont="1" applyAlignment="1"/>
    <xf numFmtId="177" fontId="28" fillId="0" borderId="0" xfId="0" applyNumberFormat="1" applyFont="1" applyAlignment="1"/>
    <xf numFmtId="176" fontId="29" fillId="0" borderId="2" xfId="0" applyNumberFormat="1" applyFont="1" applyBorder="1" applyAlignment="1">
      <alignment horizontal="left" vertical="center"/>
    </xf>
    <xf numFmtId="176" fontId="29" fillId="0" borderId="0" xfId="0" applyNumberFormat="1" applyFont="1" applyAlignment="1">
      <alignment horizontal="left" vertical="center"/>
    </xf>
    <xf numFmtId="176" fontId="0" fillId="0" borderId="2" xfId="0" applyNumberFormat="1" applyBorder="1">
      <alignment vertical="center"/>
    </xf>
    <xf numFmtId="176" fontId="30" fillId="23" borderId="2" xfId="0" applyNumberFormat="1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6" fillId="23" borderId="2" xfId="0" applyFont="1" applyFill="1" applyBorder="1">
      <alignment vertical="center"/>
    </xf>
    <xf numFmtId="177" fontId="6" fillId="22" borderId="2" xfId="0" applyNumberFormat="1" applyFont="1" applyFill="1" applyBorder="1">
      <alignment vertical="center"/>
    </xf>
    <xf numFmtId="177" fontId="6" fillId="0" borderId="0" xfId="0" applyNumberFormat="1" applyFont="1" applyAlignment="1"/>
    <xf numFmtId="2" fontId="6" fillId="0" borderId="0" xfId="0" applyNumberFormat="1" applyFont="1" applyAlignment="1"/>
    <xf numFmtId="177" fontId="27" fillId="22" borderId="0" xfId="0" applyNumberFormat="1" applyFont="1" applyFill="1" applyAlignment="1">
      <alignment horizontal="right"/>
    </xf>
    <xf numFmtId="0" fontId="0" fillId="22" borderId="0" xfId="0" applyFill="1" applyAlignment="1"/>
    <xf numFmtId="177" fontId="28" fillId="0" borderId="0" xfId="0" applyNumberFormat="1" applyFont="1" applyAlignment="1">
      <alignment horizontal="right"/>
    </xf>
    <xf numFmtId="2" fontId="0" fillId="0" borderId="0" xfId="0" applyNumberFormat="1" applyAlignment="1"/>
    <xf numFmtId="0" fontId="31" fillId="3" borderId="0" xfId="0" applyFont="1" applyFill="1" applyAlignment="1"/>
    <xf numFmtId="0" fontId="32" fillId="0" borderId="0" xfId="0" applyFont="1" applyAlignment="1"/>
    <xf numFmtId="0" fontId="33" fillId="0" borderId="0" xfId="0" applyFont="1" applyAlignment="1"/>
    <xf numFmtId="0" fontId="0" fillId="0" borderId="0" xfId="0" applyAlignment="1">
      <alignment horizontal="left"/>
    </xf>
    <xf numFmtId="38" fontId="0" fillId="0" borderId="0" xfId="0" applyNumberFormat="1" applyAlignment="1">
      <alignment horizontal="center"/>
    </xf>
    <xf numFmtId="0" fontId="34" fillId="0" borderId="0" xfId="0" applyFont="1" applyAlignment="1"/>
    <xf numFmtId="171" fontId="0" fillId="0" borderId="0" xfId="1" applyNumberFormat="1" applyFont="1" applyFill="1" applyAlignment="1">
      <alignment horizontal="left"/>
    </xf>
    <xf numFmtId="0" fontId="35" fillId="7" borderId="32" xfId="0" applyFont="1" applyFill="1" applyBorder="1" applyAlignment="1"/>
    <xf numFmtId="0" fontId="36" fillId="7" borderId="33" xfId="0" applyFont="1" applyFill="1" applyBorder="1" applyAlignment="1"/>
    <xf numFmtId="0" fontId="0" fillId="7" borderId="34" xfId="0" applyFill="1" applyBorder="1" applyAlignment="1"/>
    <xf numFmtId="0" fontId="0" fillId="7" borderId="35" xfId="0" applyFill="1" applyBorder="1" applyAlignment="1">
      <alignment horizontal="left"/>
    </xf>
    <xf numFmtId="0" fontId="6" fillId="24" borderId="3" xfId="0" applyFont="1" applyFill="1" applyBorder="1" applyAlignment="1">
      <alignment horizontal="right"/>
    </xf>
    <xf numFmtId="9" fontId="0" fillId="0" borderId="3" xfId="7" applyFont="1" applyFill="1" applyBorder="1" applyAlignment="1">
      <alignment horizontal="center"/>
    </xf>
    <xf numFmtId="0" fontId="35" fillId="7" borderId="36" xfId="0" applyFont="1" applyFill="1" applyBorder="1" applyAlignment="1"/>
    <xf numFmtId="0" fontId="37" fillId="7" borderId="0" xfId="0" applyFont="1" applyFill="1" applyAlignment="1">
      <alignment horizontal="center"/>
    </xf>
    <xf numFmtId="0" fontId="0" fillId="7" borderId="0" xfId="0" applyFill="1" applyAlignment="1"/>
    <xf numFmtId="0" fontId="0" fillId="7" borderId="37" xfId="0" applyFill="1" applyBorder="1" applyAlignment="1">
      <alignment horizontal="left"/>
    </xf>
    <xf numFmtId="0" fontId="37" fillId="7" borderId="39" xfId="0" applyFont="1" applyFill="1" applyBorder="1" applyAlignment="1">
      <alignment horizontal="center"/>
    </xf>
    <xf numFmtId="0" fontId="0" fillId="7" borderId="39" xfId="0" applyFill="1" applyBorder="1" applyAlignment="1"/>
    <xf numFmtId="0" fontId="0" fillId="7" borderId="40" xfId="0" applyFill="1" applyBorder="1" applyAlignment="1">
      <alignment horizontal="left"/>
    </xf>
    <xf numFmtId="0" fontId="39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16" fontId="40" fillId="0" borderId="3" xfId="0" applyNumberFormat="1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/>
    </xf>
    <xf numFmtId="171" fontId="17" fillId="0" borderId="3" xfId="1" applyNumberFormat="1" applyFont="1" applyFill="1" applyBorder="1" applyAlignment="1"/>
    <xf numFmtId="171" fontId="42" fillId="0" borderId="3" xfId="1" applyNumberFormat="1" applyFont="1" applyFill="1" applyBorder="1" applyAlignment="1">
      <alignment horizontal="center"/>
    </xf>
    <xf numFmtId="0" fontId="17" fillId="20" borderId="3" xfId="0" applyFont="1" applyFill="1" applyBorder="1" applyAlignment="1">
      <alignment horizontal="left"/>
    </xf>
    <xf numFmtId="171" fontId="17" fillId="20" borderId="3" xfId="1" applyNumberFormat="1" applyFont="1" applyFill="1" applyBorder="1" applyAlignment="1"/>
    <xf numFmtId="171" fontId="42" fillId="20" borderId="3" xfId="1" applyNumberFormat="1" applyFont="1" applyFill="1" applyBorder="1" applyAlignment="1">
      <alignment horizontal="center"/>
    </xf>
    <xf numFmtId="0" fontId="0" fillId="20" borderId="3" xfId="0" applyFill="1" applyBorder="1" applyAlignment="1"/>
    <xf numFmtId="3" fontId="0" fillId="0" borderId="3" xfId="0" applyNumberFormat="1" applyBorder="1" applyAlignment="1"/>
    <xf numFmtId="3" fontId="0" fillId="20" borderId="3" xfId="0" applyNumberFormat="1" applyFill="1" applyBorder="1" applyAlignment="1"/>
    <xf numFmtId="16" fontId="41" fillId="0" borderId="2" xfId="0" applyNumberFormat="1" applyFont="1" applyBorder="1" applyAlignment="1">
      <alignment horizontal="center" vertical="center" wrapText="1"/>
    </xf>
    <xf numFmtId="16" fontId="41" fillId="25" borderId="16" xfId="0" applyNumberFormat="1" applyFont="1" applyFill="1" applyBorder="1" applyAlignment="1">
      <alignment horizontal="center" vertical="center" wrapText="1"/>
    </xf>
    <xf numFmtId="172" fontId="17" fillId="0" borderId="3" xfId="1" applyNumberFormat="1" applyFont="1" applyFill="1" applyBorder="1" applyAlignment="1"/>
    <xf numFmtId="172" fontId="17" fillId="20" borderId="3" xfId="1" applyNumberFormat="1" applyFont="1" applyFill="1" applyBorder="1" applyAlignment="1"/>
    <xf numFmtId="171" fontId="34" fillId="20" borderId="3" xfId="1" applyNumberFormat="1" applyFont="1" applyFill="1" applyBorder="1" applyAlignment="1"/>
    <xf numFmtId="171" fontId="0" fillId="20" borderId="3" xfId="1" applyNumberFormat="1" applyFont="1" applyFill="1" applyBorder="1" applyAlignment="1"/>
    <xf numFmtId="171" fontId="34" fillId="0" borderId="3" xfId="1" applyNumberFormat="1" applyFont="1" applyFill="1" applyBorder="1" applyAlignment="1"/>
    <xf numFmtId="171" fontId="0" fillId="0" borderId="3" xfId="1" applyNumberFormat="1" applyFont="1" applyFill="1" applyBorder="1" applyAlignment="1"/>
    <xf numFmtId="171" fontId="43" fillId="20" borderId="3" xfId="1" applyNumberFormat="1" applyFont="1" applyFill="1" applyBorder="1" applyAlignment="1"/>
    <xf numFmtId="171" fontId="43" fillId="0" borderId="3" xfId="1" applyNumberFormat="1" applyFont="1" applyFill="1" applyBorder="1" applyAlignment="1"/>
    <xf numFmtId="16" fontId="21" fillId="0" borderId="2" xfId="0" applyNumberFormat="1" applyFont="1" applyBorder="1" applyAlignment="1">
      <alignment horizontal="center" vertical="center" wrapText="1"/>
    </xf>
    <xf numFmtId="38" fontId="41" fillId="0" borderId="2" xfId="0" applyNumberFormat="1" applyFont="1" applyBorder="1" applyAlignment="1">
      <alignment horizontal="center" vertical="center" wrapText="1"/>
    </xf>
    <xf numFmtId="16" fontId="41" fillId="0" borderId="0" xfId="0" applyNumberFormat="1" applyFont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16" fontId="27" fillId="0" borderId="2" xfId="0" applyNumberFormat="1" applyFont="1" applyBorder="1" applyAlignment="1">
      <alignment horizontal="center" vertical="center" wrapText="1"/>
    </xf>
    <xf numFmtId="38" fontId="41" fillId="25" borderId="0" xfId="0" applyNumberFormat="1" applyFont="1" applyFill="1" applyAlignment="1">
      <alignment horizontal="center" vertical="center" wrapText="1"/>
    </xf>
    <xf numFmtId="16" fontId="41" fillId="25" borderId="0" xfId="0" applyNumberFormat="1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6" fontId="27" fillId="25" borderId="16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2" borderId="3" xfId="0" applyFont="1" applyFill="1" applyBorder="1" applyAlignment="1">
      <alignment vertical="center" wrapText="1"/>
    </xf>
    <xf numFmtId="171" fontId="17" fillId="0" borderId="3" xfId="1" applyNumberFormat="1" applyFont="1" applyFill="1" applyBorder="1" applyAlignment="1">
      <alignment horizontal="center"/>
    </xf>
    <xf numFmtId="171" fontId="17" fillId="0" borderId="0" xfId="1" applyNumberFormat="1" applyFont="1" applyFill="1" applyBorder="1" applyAlignment="1">
      <alignment horizontal="center"/>
    </xf>
    <xf numFmtId="171" fontId="0" fillId="0" borderId="0" xfId="1" applyNumberFormat="1" applyFont="1" applyFill="1" applyBorder="1" applyAlignment="1"/>
    <xf numFmtId="171" fontId="12" fillId="0" borderId="3" xfId="1" applyNumberFormat="1" applyFont="1" applyFill="1" applyBorder="1" applyAlignment="1">
      <alignment horizontal="center"/>
    </xf>
    <xf numFmtId="171" fontId="17" fillId="20" borderId="3" xfId="1" applyNumberFormat="1" applyFont="1" applyFill="1" applyBorder="1" applyAlignment="1">
      <alignment horizontal="center"/>
    </xf>
    <xf numFmtId="171" fontId="12" fillId="20" borderId="3" xfId="1" applyNumberFormat="1" applyFont="1" applyFill="1" applyBorder="1" applyAlignment="1">
      <alignment horizontal="center"/>
    </xf>
    <xf numFmtId="0" fontId="45" fillId="2" borderId="3" xfId="0" applyFont="1" applyFill="1" applyBorder="1" applyAlignment="1">
      <alignment vertical="center" wrapText="1"/>
    </xf>
    <xf numFmtId="0" fontId="0" fillId="0" borderId="20" xfId="0" applyBorder="1" applyAlignment="1"/>
    <xf numFmtId="16" fontId="45" fillId="0" borderId="2" xfId="0" applyNumberFormat="1" applyFont="1" applyBorder="1" applyAlignment="1">
      <alignment horizontal="center" vertical="center" wrapText="1"/>
    </xf>
    <xf numFmtId="38" fontId="27" fillId="0" borderId="2" xfId="0" applyNumberFormat="1" applyFont="1" applyBorder="1" applyAlignment="1">
      <alignment horizontal="center" vertical="center" wrapText="1"/>
    </xf>
    <xf numFmtId="38" fontId="27" fillId="25" borderId="0" xfId="0" applyNumberFormat="1" applyFont="1" applyFill="1" applyAlignment="1">
      <alignment horizontal="center" vertical="center" wrapText="1"/>
    </xf>
    <xf numFmtId="172" fontId="0" fillId="0" borderId="3" xfId="1" applyNumberFormat="1" applyFont="1" applyFill="1" applyBorder="1" applyAlignment="1"/>
    <xf numFmtId="171" fontId="34" fillId="0" borderId="3" xfId="1" applyNumberFormat="1" applyFont="1" applyFill="1" applyBorder="1" applyAlignment="1">
      <alignment horizontal="center"/>
    </xf>
    <xf numFmtId="172" fontId="0" fillId="20" borderId="3" xfId="1" applyNumberFormat="1" applyFont="1" applyFill="1" applyBorder="1" applyAlignment="1"/>
    <xf numFmtId="171" fontId="34" fillId="20" borderId="3" xfId="1" applyNumberFormat="1" applyFont="1" applyFill="1" applyBorder="1" applyAlignment="1">
      <alignment horizontal="center"/>
    </xf>
    <xf numFmtId="171" fontId="34" fillId="0" borderId="0" xfId="0" applyNumberFormat="1" applyFont="1" applyAlignment="1"/>
    <xf numFmtId="9" fontId="34" fillId="0" borderId="0" xfId="7" applyFont="1" applyFill="1" applyAlignment="1"/>
    <xf numFmtId="171" fontId="32" fillId="0" borderId="0" xfId="1" applyNumberFormat="1" applyFont="1" applyAlignment="1"/>
    <xf numFmtId="0" fontId="45" fillId="0" borderId="2" xfId="0" applyFont="1" applyBorder="1" applyAlignment="1">
      <alignment horizontal="center" vertical="center" wrapText="1"/>
    </xf>
    <xf numFmtId="16" fontId="27" fillId="25" borderId="0" xfId="0" applyNumberFormat="1" applyFont="1" applyFill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171" fontId="0" fillId="0" borderId="3" xfId="1" applyNumberFormat="1" applyFont="1" applyFill="1" applyBorder="1" applyAlignment="1">
      <alignment horizontal="center"/>
    </xf>
    <xf numFmtId="171" fontId="0" fillId="0" borderId="0" xfId="1" applyNumberFormat="1" applyFont="1" applyFill="1" applyBorder="1" applyAlignment="1">
      <alignment horizontal="center"/>
    </xf>
    <xf numFmtId="171" fontId="0" fillId="20" borderId="3" xfId="1" applyNumberFormat="1" applyFont="1" applyFill="1" applyBorder="1" applyAlignment="1">
      <alignment horizontal="center"/>
    </xf>
    <xf numFmtId="172" fontId="34" fillId="20" borderId="3" xfId="1" applyNumberFormat="1" applyFont="1" applyFill="1" applyBorder="1" applyAlignment="1"/>
    <xf numFmtId="172" fontId="34" fillId="0" borderId="3" xfId="1" applyNumberFormat="1" applyFont="1" applyFill="1" applyBorder="1" applyAlignment="1"/>
    <xf numFmtId="171" fontId="32" fillId="0" borderId="0" xfId="7" applyNumberFormat="1" applyFont="1" applyAlignment="1"/>
    <xf numFmtId="164" fontId="32" fillId="0" borderId="0" xfId="1" applyFont="1" applyAlignment="1"/>
    <xf numFmtId="13" fontId="32" fillId="0" borderId="0" xfId="1" applyNumberFormat="1" applyFont="1" applyAlignment="1"/>
    <xf numFmtId="171" fontId="44" fillId="0" borderId="3" xfId="1" applyNumberFormat="1" applyFont="1" applyFill="1" applyBorder="1" applyAlignment="1"/>
    <xf numFmtId="9" fontId="32" fillId="0" borderId="0" xfId="7" applyFont="1" applyAlignment="1"/>
    <xf numFmtId="164" fontId="8" fillId="0" borderId="0" xfId="0" applyNumberFormat="1" applyFont="1" applyAlignment="1"/>
    <xf numFmtId="0" fontId="8" fillId="0" borderId="0" xfId="0" applyFont="1" applyAlignment="1"/>
    <xf numFmtId="171" fontId="46" fillId="0" borderId="3" xfId="1" applyNumberFormat="1" applyFont="1" applyFill="1" applyBorder="1" applyAlignment="1"/>
    <xf numFmtId="171" fontId="27" fillId="0" borderId="0" xfId="1" applyNumberFormat="1" applyFont="1" applyFill="1" applyBorder="1" applyAlignment="1">
      <alignment horizontal="left" vertical="center" wrapText="1"/>
    </xf>
    <xf numFmtId="171" fontId="0" fillId="0" borderId="46" xfId="1" applyNumberFormat="1" applyFont="1" applyFill="1" applyBorder="1" applyAlignment="1">
      <alignment horizontal="center"/>
    </xf>
    <xf numFmtId="171" fontId="0" fillId="0" borderId="15" xfId="1" applyNumberFormat="1" applyFont="1" applyFill="1" applyBorder="1" applyAlignment="1">
      <alignment horizontal="center"/>
    </xf>
    <xf numFmtId="10" fontId="0" fillId="0" borderId="47" xfId="7" applyNumberFormat="1" applyFont="1" applyFill="1" applyBorder="1" applyAlignment="1"/>
    <xf numFmtId="9" fontId="0" fillId="0" borderId="0" xfId="7" applyFont="1" applyFill="1" applyBorder="1" applyAlignment="1"/>
    <xf numFmtId="164" fontId="34" fillId="0" borderId="3" xfId="1" applyFont="1" applyFill="1" applyBorder="1" applyAlignment="1"/>
    <xf numFmtId="171" fontId="47" fillId="0" borderId="3" xfId="1" applyNumberFormat="1" applyFont="1" applyFill="1" applyBorder="1" applyAlignment="1"/>
    <xf numFmtId="172" fontId="46" fillId="0" borderId="3" xfId="1" applyNumberFormat="1" applyFont="1" applyFill="1" applyBorder="1" applyAlignment="1"/>
    <xf numFmtId="172" fontId="46" fillId="20" borderId="3" xfId="1" applyNumberFormat="1" applyFont="1" applyFill="1" applyBorder="1" applyAlignment="1"/>
    <xf numFmtId="0" fontId="31" fillId="0" borderId="0" xfId="0" applyFont="1" applyAlignment="1"/>
    <xf numFmtId="0" fontId="48" fillId="3" borderId="0" xfId="0" applyFont="1" applyFill="1" applyAlignment="1"/>
    <xf numFmtId="0" fontId="49" fillId="3" borderId="0" xfId="0" applyFont="1" applyFill="1" applyAlignment="1">
      <alignment horizontal="center"/>
    </xf>
    <xf numFmtId="0" fontId="49" fillId="3" borderId="0" xfId="0" applyFont="1" applyFill="1" applyAlignment="1"/>
    <xf numFmtId="0" fontId="49" fillId="3" borderId="0" xfId="0" applyFont="1" applyFill="1" applyAlignment="1">
      <alignment horizontal="left"/>
    </xf>
    <xf numFmtId="171" fontId="49" fillId="3" borderId="0" xfId="1" applyNumberFormat="1" applyFont="1" applyFill="1" applyAlignment="1"/>
    <xf numFmtId="0" fontId="48" fillId="0" borderId="0" xfId="0" applyFont="1" applyAlignment="1"/>
    <xf numFmtId="0" fontId="49" fillId="0" borderId="0" xfId="0" applyFont="1" applyAlignment="1">
      <alignment horizontal="center"/>
    </xf>
    <xf numFmtId="171" fontId="49" fillId="0" borderId="0" xfId="1" applyNumberFormat="1" applyFont="1" applyAlignment="1"/>
    <xf numFmtId="171" fontId="50" fillId="0" borderId="0" xfId="1" applyNumberFormat="1" applyFont="1" applyAlignment="1"/>
    <xf numFmtId="171" fontId="17" fillId="0" borderId="0" xfId="1" applyNumberFormat="1" applyFont="1" applyAlignment="1"/>
    <xf numFmtId="0" fontId="51" fillId="3" borderId="2" xfId="0" applyFont="1" applyFill="1" applyBorder="1" applyAlignment="1">
      <alignment horizontal="left"/>
    </xf>
    <xf numFmtId="0" fontId="51" fillId="3" borderId="2" xfId="0" applyFont="1" applyFill="1" applyBorder="1" applyAlignment="1">
      <alignment horizontal="center"/>
    </xf>
    <xf numFmtId="171" fontId="51" fillId="3" borderId="2" xfId="1" applyNumberFormat="1" applyFont="1" applyFill="1" applyBorder="1" applyAlignment="1">
      <alignment horizontal="left"/>
    </xf>
    <xf numFmtId="0" fontId="52" fillId="0" borderId="2" xfId="0" applyFont="1" applyBorder="1" applyAlignment="1">
      <alignment horizontal="left"/>
    </xf>
    <xf numFmtId="0" fontId="52" fillId="0" borderId="2" xfId="0" applyFont="1" applyBorder="1" applyAlignment="1">
      <alignment horizontal="center"/>
    </xf>
    <xf numFmtId="171" fontId="52" fillId="0" borderId="2" xfId="1" applyNumberFormat="1" applyFont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171" fontId="5" fillId="4" borderId="2" xfId="1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171" fontId="2" fillId="3" borderId="2" xfId="1" applyNumberFormat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171" fontId="3" fillId="0" borderId="2" xfId="1" applyNumberFormat="1" applyFont="1" applyBorder="1" applyAlignment="1">
      <alignment horizontal="left"/>
    </xf>
    <xf numFmtId="172" fontId="49" fillId="0" borderId="0" xfId="1" applyNumberFormat="1" applyFont="1" applyAlignment="1"/>
    <xf numFmtId="172" fontId="49" fillId="0" borderId="0" xfId="1" applyNumberFormat="1" applyFont="1" applyFill="1" applyAlignment="1"/>
    <xf numFmtId="9" fontId="17" fillId="0" borderId="0" xfId="7" applyFont="1" applyAlignment="1"/>
    <xf numFmtId="171" fontId="53" fillId="0" borderId="0" xfId="1" applyNumberFormat="1" applyFont="1" applyAlignment="1"/>
    <xf numFmtId="171" fontId="2" fillId="3" borderId="2" xfId="1" applyNumberFormat="1" applyFont="1" applyFill="1" applyBorder="1" applyAlignment="1">
      <alignment horizontal="center"/>
    </xf>
    <xf numFmtId="171" fontId="49" fillId="0" borderId="0" xfId="1" applyNumberFormat="1" applyFont="1" applyFill="1" applyAlignment="1"/>
    <xf numFmtId="171" fontId="31" fillId="3" borderId="0" xfId="1" applyNumberFormat="1" applyFont="1" applyFill="1" applyAlignment="1"/>
    <xf numFmtId="172" fontId="32" fillId="0" borderId="0" xfId="1" applyNumberFormat="1" applyFont="1" applyAlignment="1"/>
    <xf numFmtId="9" fontId="17" fillId="22" borderId="0" xfId="7" applyFont="1" applyFill="1" applyAlignment="1">
      <alignment horizontal="center"/>
    </xf>
    <xf numFmtId="171" fontId="49" fillId="22" borderId="0" xfId="1" applyNumberFormat="1" applyFont="1" applyFill="1" applyAlignment="1">
      <alignment horizontal="center"/>
    </xf>
    <xf numFmtId="171" fontId="3" fillId="0" borderId="0" xfId="1" applyNumberFormat="1" applyFont="1" applyFill="1" applyBorder="1" applyAlignment="1">
      <alignment horizontal="left"/>
    </xf>
    <xf numFmtId="172" fontId="32" fillId="0" borderId="0" xfId="1" applyNumberFormat="1" applyFont="1" applyBorder="1" applyAlignment="1"/>
    <xf numFmtId="171" fontId="34" fillId="0" borderId="0" xfId="1" applyNumberFormat="1" applyFont="1" applyAlignment="1"/>
    <xf numFmtId="171" fontId="31" fillId="0" borderId="0" xfId="1" applyNumberFormat="1" applyFont="1" applyFill="1" applyAlignment="1"/>
    <xf numFmtId="9" fontId="6" fillId="22" borderId="0" xfId="7" applyFont="1" applyFill="1" applyAlignment="1">
      <alignment horizontal="center"/>
    </xf>
    <xf numFmtId="171" fontId="54" fillId="10" borderId="0" xfId="1" applyNumberFormat="1" applyFont="1" applyFill="1" applyBorder="1" applyAlignment="1"/>
    <xf numFmtId="172" fontId="43" fillId="20" borderId="3" xfId="1" applyNumberFormat="1" applyFont="1" applyFill="1" applyBorder="1" applyAlignment="1"/>
    <xf numFmtId="171" fontId="17" fillId="0" borderId="0" xfId="7" applyNumberFormat="1" applyFont="1" applyAlignment="1"/>
    <xf numFmtId="171" fontId="32" fillId="0" borderId="0" xfId="1" applyNumberFormat="1" applyFont="1" applyFill="1" applyAlignment="1">
      <alignment horizontal="left"/>
    </xf>
    <xf numFmtId="178" fontId="32" fillId="0" borderId="0" xfId="7" applyNumberFormat="1" applyFont="1" applyAlignment="1">
      <alignment horizontal="center"/>
    </xf>
    <xf numFmtId="10" fontId="31" fillId="0" borderId="47" xfId="7" applyNumberFormat="1" applyFont="1" applyFill="1" applyBorder="1" applyAlignment="1">
      <alignment horizontal="center" vertical="center"/>
    </xf>
    <xf numFmtId="172" fontId="32" fillId="0" borderId="0" xfId="1" applyNumberFormat="1" applyFont="1" applyAlignment="1">
      <alignment horizontal="center"/>
    </xf>
    <xf numFmtId="171" fontId="32" fillId="0" borderId="0" xfId="1" applyNumberFormat="1" applyFont="1" applyAlignment="1">
      <alignment horizontal="center"/>
    </xf>
    <xf numFmtId="9" fontId="32" fillId="0" borderId="0" xfId="7" applyFont="1" applyFill="1" applyBorder="1" applyAlignment="1">
      <alignment horizontal="center" vertical="center"/>
    </xf>
    <xf numFmtId="171" fontId="55" fillId="0" borderId="0" xfId="1" applyNumberFormat="1" applyFont="1" applyAlignment="1"/>
    <xf numFmtId="171" fontId="56" fillId="26" borderId="2" xfId="1" applyNumberFormat="1" applyFont="1" applyFill="1" applyBorder="1" applyAlignment="1">
      <alignment horizontal="left"/>
    </xf>
    <xf numFmtId="0" fontId="31" fillId="0" borderId="49" xfId="0" applyFont="1" applyBorder="1" applyAlignment="1">
      <alignment horizontal="center" vertical="center"/>
    </xf>
    <xf numFmtId="10" fontId="32" fillId="0" borderId="0" xfId="7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4" borderId="0" xfId="0" applyFont="1" applyFill="1" applyAlignment="1"/>
    <xf numFmtId="171" fontId="57" fillId="26" borderId="2" xfId="1" applyNumberFormat="1" applyFont="1" applyFill="1" applyBorder="1" applyAlignment="1">
      <alignment horizontal="left"/>
    </xf>
    <xf numFmtId="0" fontId="27" fillId="2" borderId="0" xfId="0" applyFont="1" applyFill="1" applyAlignment="1">
      <alignment vertical="center" wrapText="1"/>
    </xf>
    <xf numFmtId="171" fontId="0" fillId="20" borderId="0" xfId="1" applyNumberFormat="1" applyFont="1" applyFill="1" applyBorder="1" applyAlignment="1">
      <alignment horizontal="center"/>
    </xf>
    <xf numFmtId="17" fontId="38" fillId="7" borderId="38" xfId="0" quotePrefix="1" applyNumberFormat="1" applyFont="1" applyFill="1" applyBorder="1" applyAlignment="1"/>
    <xf numFmtId="16" fontId="27" fillId="0" borderId="2" xfId="0" quotePrefix="1" applyNumberFormat="1" applyFont="1" applyBorder="1" applyAlignment="1">
      <alignment horizontal="center" vertical="center" wrapText="1"/>
    </xf>
    <xf numFmtId="0" fontId="0" fillId="0" borderId="0" xfId="0" quotePrefix="1" applyAlignment="1"/>
    <xf numFmtId="0" fontId="0" fillId="0" borderId="0" xfId="0" quotePrefix="1" applyAlignment="1">
      <alignment horizontal="center"/>
    </xf>
    <xf numFmtId="17" fontId="0" fillId="0" borderId="0" xfId="0" quotePrefix="1" applyNumberFormat="1" applyAlignment="1"/>
    <xf numFmtId="0" fontId="0" fillId="0" borderId="3" xfId="0" quotePrefix="1" applyBorder="1" applyAlignment="1">
      <alignment horizontal="center"/>
    </xf>
    <xf numFmtId="17" fontId="0" fillId="0" borderId="3" xfId="0" quotePrefix="1" applyNumberFormat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172" fontId="0" fillId="18" borderId="3" xfId="1" applyNumberFormat="1" applyFont="1" applyFill="1" applyBorder="1" applyAlignment="1"/>
    <xf numFmtId="171" fontId="34" fillId="18" borderId="3" xfId="1" applyNumberFormat="1" applyFont="1" applyFill="1" applyBorder="1" applyAlignment="1">
      <alignment horizontal="center"/>
    </xf>
    <xf numFmtId="172" fontId="95" fillId="18" borderId="3" xfId="1" applyNumberFormat="1" applyFont="1" applyFill="1" applyBorder="1" applyAlignment="1"/>
    <xf numFmtId="0" fontId="16" fillId="18" borderId="3" xfId="0" applyFont="1" applyFill="1" applyBorder="1" applyAlignment="1"/>
    <xf numFmtId="171" fontId="32" fillId="0" borderId="0" xfId="1" applyNumberFormat="1" applyFont="1" applyAlignment="1">
      <alignment horizontal="left"/>
    </xf>
    <xf numFmtId="171" fontId="43" fillId="0" borderId="0" xfId="1" applyNumberFormat="1" applyFont="1" applyFill="1" applyBorder="1" applyAlignment="1">
      <alignment horizontal="left"/>
    </xf>
    <xf numFmtId="1" fontId="0" fillId="0" borderId="0" xfId="0" applyNumberFormat="1" applyAlignment="1"/>
    <xf numFmtId="0" fontId="16" fillId="61" borderId="3" xfId="0" applyFont="1" applyFill="1" applyBorder="1" applyAlignment="1"/>
    <xf numFmtId="0" fontId="32" fillId="0" borderId="0" xfId="1" applyNumberFormat="1" applyFont="1" applyAlignment="1">
      <alignment horizontal="left"/>
    </xf>
    <xf numFmtId="171" fontId="95" fillId="0" borderId="3" xfId="1" applyNumberFormat="1" applyFont="1" applyFill="1" applyBorder="1" applyAlignment="1"/>
    <xf numFmtId="171" fontId="95" fillId="60" borderId="3" xfId="1" applyNumberFormat="1" applyFont="1" applyFill="1" applyBorder="1" applyAlignment="1"/>
    <xf numFmtId="171" fontId="46" fillId="20" borderId="3" xfId="1" applyNumberFormat="1" applyFont="1" applyFill="1" applyBorder="1" applyAlignment="1"/>
    <xf numFmtId="171" fontId="32" fillId="0" borderId="0" xfId="1" applyNumberFormat="1" applyFont="1" applyAlignment="1">
      <alignment horizontal="left"/>
    </xf>
    <xf numFmtId="9" fontId="0" fillId="0" borderId="3" xfId="7" applyFont="1" applyFill="1" applyBorder="1" applyAlignment="1"/>
    <xf numFmtId="171" fontId="0" fillId="0" borderId="45" xfId="1" applyNumberFormat="1" applyFont="1" applyFill="1" applyBorder="1" applyAlignment="1"/>
    <xf numFmtId="171" fontId="0" fillId="0" borderId="68" xfId="1" applyNumberFormat="1" applyFont="1" applyFill="1" applyBorder="1" applyAlignment="1"/>
    <xf numFmtId="171" fontId="0" fillId="13" borderId="3" xfId="1" applyNumberFormat="1" applyFont="1" applyFill="1" applyBorder="1" applyAlignment="1">
      <alignment horizontal="center"/>
    </xf>
    <xf numFmtId="171" fontId="34" fillId="13" borderId="3" xfId="1" applyNumberFormat="1" applyFont="1" applyFill="1" applyBorder="1" applyAlignment="1">
      <alignment horizontal="center"/>
    </xf>
    <xf numFmtId="171" fontId="31" fillId="0" borderId="0" xfId="0" applyNumberFormat="1" applyFont="1" applyAlignment="1"/>
    <xf numFmtId="0" fontId="95" fillId="0" borderId="3" xfId="0" applyFont="1" applyBorder="1" applyAlignment="1"/>
    <xf numFmtId="164" fontId="0" fillId="13" borderId="3" xfId="1" applyNumberFormat="1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0" xfId="0" applyAlignment="1">
      <alignment horizontal="left"/>
    </xf>
    <xf numFmtId="16" fontId="41" fillId="17" borderId="41" xfId="0" applyNumberFormat="1" applyFont="1" applyFill="1" applyBorder="1" applyAlignment="1">
      <alignment horizontal="center" vertical="center" wrapText="1"/>
    </xf>
    <xf numFmtId="0" fontId="17" fillId="17" borderId="42" xfId="0" applyFont="1" applyFill="1" applyBorder="1" applyAlignment="1">
      <alignment horizontal="center" vertical="center" wrapText="1"/>
    </xf>
    <xf numFmtId="0" fontId="17" fillId="17" borderId="43" xfId="0" applyFont="1" applyFill="1" applyBorder="1" applyAlignment="1">
      <alignment horizontal="center" vertical="center" wrapText="1"/>
    </xf>
    <xf numFmtId="16" fontId="27" fillId="17" borderId="21" xfId="0" applyNumberFormat="1" applyFont="1" applyFill="1" applyBorder="1" applyAlignment="1">
      <alignment horizontal="center" vertical="center" wrapText="1"/>
    </xf>
    <xf numFmtId="0" fontId="0" fillId="17" borderId="44" xfId="0" applyFill="1" applyBorder="1" applyAlignment="1">
      <alignment horizontal="center" vertical="center" wrapText="1"/>
    </xf>
    <xf numFmtId="0" fontId="34" fillId="17" borderId="44" xfId="0" applyFont="1" applyFill="1" applyBorder="1" applyAlignment="1">
      <alignment horizontal="center" vertical="center" wrapText="1"/>
    </xf>
    <xf numFmtId="0" fontId="0" fillId="17" borderId="22" xfId="0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48" xfId="0" applyFont="1" applyBorder="1" applyAlignment="1">
      <alignment horizontal="right"/>
    </xf>
    <xf numFmtId="0" fontId="0" fillId="0" borderId="44" xfId="0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49" fillId="0" borderId="0" xfId="0" applyFont="1" applyAlignment="1">
      <alignment horizontal="right"/>
    </xf>
    <xf numFmtId="171" fontId="32" fillId="0" borderId="0" xfId="1" applyNumberFormat="1" applyFont="1" applyAlignment="1">
      <alignment horizontal="left"/>
    </xf>
    <xf numFmtId="0" fontId="49" fillId="0" borderId="20" xfId="0" applyFont="1" applyBorder="1" applyAlignment="1">
      <alignment horizontal="right"/>
    </xf>
    <xf numFmtId="177" fontId="27" fillId="0" borderId="16" xfId="0" applyNumberFormat="1" applyFont="1" applyBorder="1" applyAlignment="1">
      <alignment horizontal="left" vertical="center" wrapText="1"/>
    </xf>
    <xf numFmtId="177" fontId="27" fillId="0" borderId="18" xfId="0" applyNumberFormat="1" applyFont="1" applyBorder="1" applyAlignment="1">
      <alignment horizontal="left" vertical="center" wrapText="1"/>
    </xf>
    <xf numFmtId="175" fontId="0" fillId="0" borderId="16" xfId="0" applyNumberFormat="1" applyBorder="1" applyAlignment="1">
      <alignment horizontal="center" vertical="center"/>
    </xf>
    <xf numFmtId="175" fontId="0" fillId="0" borderId="1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77" fontId="23" fillId="0" borderId="20" xfId="0" quotePrefix="1" applyNumberFormat="1" applyFont="1" applyBorder="1" applyAlignment="1">
      <alignment horizontal="center"/>
    </xf>
    <xf numFmtId="177" fontId="23" fillId="0" borderId="20" xfId="0" applyNumberFormat="1" applyFont="1" applyBorder="1" applyAlignment="1">
      <alignment horizontal="center"/>
    </xf>
    <xf numFmtId="177" fontId="26" fillId="19" borderId="21" xfId="0" applyNumberFormat="1" applyFont="1" applyFill="1" applyBorder="1" applyAlignment="1">
      <alignment horizontal="center" vertical="center" wrapText="1"/>
    </xf>
    <xf numFmtId="177" fontId="26" fillId="19" borderId="22" xfId="0" applyNumberFormat="1" applyFont="1" applyFill="1" applyBorder="1" applyAlignment="1">
      <alignment horizontal="center" vertical="center" wrapText="1"/>
    </xf>
    <xf numFmtId="177" fontId="21" fillId="0" borderId="0" xfId="0" applyNumberFormat="1" applyFont="1" applyAlignment="1">
      <alignment horizontal="left"/>
    </xf>
    <xf numFmtId="0" fontId="13" fillId="19" borderId="16" xfId="0" applyFont="1" applyFill="1" applyBorder="1" applyAlignment="1">
      <alignment horizontal="center" vertical="center"/>
    </xf>
    <xf numFmtId="0" fontId="13" fillId="19" borderId="17" xfId="0" applyFont="1" applyFill="1" applyBorder="1" applyAlignment="1">
      <alignment horizontal="center" vertical="center"/>
    </xf>
    <xf numFmtId="0" fontId="13" fillId="19" borderId="16" xfId="0" applyFont="1" applyFill="1" applyBorder="1" applyAlignment="1">
      <alignment horizontal="center" vertical="center" wrapText="1"/>
    </xf>
    <xf numFmtId="0" fontId="13" fillId="19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14" borderId="1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6" fillId="14" borderId="0" xfId="0" applyFont="1" applyFill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6" fillId="10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7" fillId="8" borderId="4" xfId="0" applyFont="1" applyFill="1" applyBorder="1" applyAlignment="1">
      <alignment horizontal="left"/>
    </xf>
    <xf numFmtId="0" fontId="6" fillId="0" borderId="3" xfId="0" applyFont="1" applyBorder="1" applyAlignment="1">
      <alignment horizontal="center" wrapText="1"/>
    </xf>
    <xf numFmtId="0" fontId="0" fillId="0" borderId="67" xfId="0" applyBorder="1" applyAlignment="1"/>
    <xf numFmtId="0" fontId="0" fillId="20" borderId="67" xfId="0" applyFill="1" applyBorder="1" applyAlignment="1"/>
    <xf numFmtId="3" fontId="0" fillId="0" borderId="67" xfId="0" applyNumberFormat="1" applyBorder="1" applyAlignment="1"/>
    <xf numFmtId="171" fontId="34" fillId="0" borderId="67" xfId="1" applyNumberFormat="1" applyFont="1" applyFill="1" applyBorder="1" applyAlignment="1"/>
    <xf numFmtId="171" fontId="0" fillId="0" borderId="67" xfId="1" applyNumberFormat="1" applyFont="1" applyFill="1" applyBorder="1" applyAlignment="1"/>
    <xf numFmtId="171" fontId="34" fillId="20" borderId="67" xfId="1" applyNumberFormat="1" applyFont="1" applyFill="1" applyBorder="1" applyAlignment="1"/>
    <xf numFmtId="171" fontId="0" fillId="20" borderId="67" xfId="1" applyNumberFormat="1" applyFont="1" applyFill="1" applyBorder="1" applyAlignment="1"/>
    <xf numFmtId="3" fontId="0" fillId="20" borderId="67" xfId="0" applyNumberFormat="1" applyFill="1" applyBorder="1" applyAlignment="1"/>
    <xf numFmtId="171" fontId="43" fillId="20" borderId="67" xfId="1" applyNumberFormat="1" applyFont="1" applyFill="1" applyBorder="1" applyAlignment="1"/>
    <xf numFmtId="171" fontId="17" fillId="0" borderId="0" xfId="1" applyNumberFormat="1" applyFont="1" applyFill="1" applyBorder="1" applyAlignment="1">
      <alignment horizontal="left"/>
    </xf>
    <xf numFmtId="171" fontId="17" fillId="18" borderId="3" xfId="1" applyNumberFormat="1" applyFont="1" applyFill="1" applyBorder="1" applyAlignment="1">
      <alignment horizontal="center"/>
    </xf>
    <xf numFmtId="171" fontId="17" fillId="14" borderId="3" xfId="1" applyNumberFormat="1" applyFont="1" applyFill="1" applyBorder="1" applyAlignment="1">
      <alignment horizontal="center"/>
    </xf>
    <xf numFmtId="171" fontId="17" fillId="0" borderId="0" xfId="1" applyNumberFormat="1" applyFont="1" applyFill="1" applyBorder="1" applyAlignment="1">
      <alignment horizontal="center" wrapText="1"/>
    </xf>
  </cellXfs>
  <cellStyles count="409">
    <cellStyle name="20% - Accent1 2" xfId="47"/>
    <cellStyle name="20% - Accent1 2 2" xfId="15"/>
    <cellStyle name="20% - Accent1 3" xfId="49"/>
    <cellStyle name="20% - Accent1 3 2" xfId="50"/>
    <cellStyle name="20% - Accent2 2" xfId="51"/>
    <cellStyle name="20% - Accent2 2 2" xfId="52"/>
    <cellStyle name="20% - Accent2 3" xfId="43"/>
    <cellStyle name="20% - Accent2 3 2" xfId="53"/>
    <cellStyle name="20% - Accent3 2" xfId="18"/>
    <cellStyle name="20% - Accent3 2 2" xfId="41"/>
    <cellStyle name="20% - Accent3 3" xfId="19"/>
    <cellStyle name="20% - Accent3 3 2" xfId="54"/>
    <cellStyle name="20% - Accent4 2" xfId="45"/>
    <cellStyle name="20% - Accent4 2 2" xfId="44"/>
    <cellStyle name="20% - Accent4 3" xfId="46"/>
    <cellStyle name="20% - Accent4 3 2" xfId="56"/>
    <cellStyle name="20% - Accent5 2" xfId="58"/>
    <cellStyle name="20% - Accent5 2 2" xfId="59"/>
    <cellStyle name="20% - Accent5 3" xfId="61"/>
    <cellStyle name="20% - Accent5 3 2" xfId="33"/>
    <cellStyle name="20% - Accent6 2" xfId="62"/>
    <cellStyle name="20% - Accent6 2 2" xfId="64"/>
    <cellStyle name="20% - Accent6 3" xfId="27"/>
    <cellStyle name="20% - Accent6 3 2" xfId="66"/>
    <cellStyle name="40% - Accent1 2" xfId="71"/>
    <cellStyle name="40% - Accent1 2 2" xfId="72"/>
    <cellStyle name="40% - Accent1 3" xfId="73"/>
    <cellStyle name="40% - Accent1 3 2" xfId="74"/>
    <cellStyle name="40% - Accent2 2" xfId="75"/>
    <cellStyle name="40% - Accent2 2 2" xfId="77"/>
    <cellStyle name="40% - Accent2 3" xfId="78"/>
    <cellStyle name="40% - Accent2 3 2" xfId="80"/>
    <cellStyle name="40% - Accent3 2" xfId="82"/>
    <cellStyle name="40% - Accent3 2 2" xfId="83"/>
    <cellStyle name="40% - Accent3 3" xfId="86"/>
    <cellStyle name="40% - Accent3 3 2" xfId="87"/>
    <cellStyle name="40% - Accent4 2" xfId="88"/>
    <cellStyle name="40% - Accent4 2 2" xfId="89"/>
    <cellStyle name="40% - Accent4 3" xfId="91"/>
    <cellStyle name="40% - Accent4 3 2" xfId="93"/>
    <cellStyle name="40% - Accent5 2" xfId="95"/>
    <cellStyle name="40% - Accent5 2 2" xfId="96"/>
    <cellStyle name="40% - Accent5 3" xfId="97"/>
    <cellStyle name="40% - Accent5 3 2" xfId="99"/>
    <cellStyle name="40% - Accent6 2" xfId="101"/>
    <cellStyle name="40% - Accent6 2 2" xfId="102"/>
    <cellStyle name="40% - Accent6 3" xfId="103"/>
    <cellStyle name="40% - Accent6 3 2" xfId="30"/>
    <cellStyle name="60% - Accent1 2" xfId="104"/>
    <cellStyle name="60% - Accent1 3" xfId="105"/>
    <cellStyle name="60% - Accent2 2" xfId="108"/>
    <cellStyle name="60% - Accent2 3" xfId="109"/>
    <cellStyle name="60% - Accent3 2" xfId="26"/>
    <cellStyle name="60% - Accent3 3" xfId="110"/>
    <cellStyle name="60% - Accent4 2" xfId="111"/>
    <cellStyle name="60% - Accent4 3" xfId="112"/>
    <cellStyle name="60% - Accent5 2" xfId="113"/>
    <cellStyle name="60% - Accent5 3" xfId="114"/>
    <cellStyle name="60% - Accent6 2" xfId="115"/>
    <cellStyle name="60% - Accent6 3" xfId="117"/>
    <cellStyle name="Accent1 - 20%" xfId="22"/>
    <cellStyle name="Accent1 - 20% 2" xfId="48"/>
    <cellStyle name="Accent1 - 40%" xfId="120"/>
    <cellStyle name="Accent1 - 40% 2" xfId="124"/>
    <cellStyle name="Accent1 - 60%" xfId="127"/>
    <cellStyle name="Accent1 2" xfId="129"/>
    <cellStyle name="Accent1 3" xfId="130"/>
    <cellStyle name="Accent2 - 20%" xfId="132"/>
    <cellStyle name="Accent2 - 20% 2" xfId="134"/>
    <cellStyle name="Accent2 - 40%" xfId="9"/>
    <cellStyle name="Accent2 - 40% 2" xfId="136"/>
    <cellStyle name="Accent2 - 60%" xfId="139"/>
    <cellStyle name="Accent2 2" xfId="141"/>
    <cellStyle name="Accent2 3" xfId="142"/>
    <cellStyle name="Accent3 - 20%" xfId="143"/>
    <cellStyle name="Accent3 - 20% 2" xfId="145"/>
    <cellStyle name="Accent3 - 40%" xfId="146"/>
    <cellStyle name="Accent3 - 40% 2" xfId="147"/>
    <cellStyle name="Accent3 - 60%" xfId="148"/>
    <cellStyle name="Accent3 2" xfId="150"/>
    <cellStyle name="Accent3 3" xfId="25"/>
    <cellStyle name="Accent4 - 20%" xfId="151"/>
    <cellStyle name="Accent4 - 20% 2" xfId="153"/>
    <cellStyle name="Accent4 - 40%" xfId="154"/>
    <cellStyle name="Accent4 - 40% 2" xfId="156"/>
    <cellStyle name="Accent4 - 60%" xfId="158"/>
    <cellStyle name="Accent4 2" xfId="39"/>
    <cellStyle name="Accent4 3" xfId="160"/>
    <cellStyle name="Accent5 - 20%" xfId="14"/>
    <cellStyle name="Accent5 - 20% 2" xfId="161"/>
    <cellStyle name="Accent5 - 40%" xfId="162"/>
    <cellStyle name="Accent5 - 40% 2" xfId="163"/>
    <cellStyle name="Accent5 - 60%" xfId="84"/>
    <cellStyle name="Accent5 2" xfId="144"/>
    <cellStyle name="Accent5 3" xfId="165"/>
    <cellStyle name="Accent6 - 20%" xfId="167"/>
    <cellStyle name="Accent6 - 20% 2" xfId="170"/>
    <cellStyle name="Accent6 - 40%" xfId="157"/>
    <cellStyle name="Accent6 - 40% 2" xfId="171"/>
    <cellStyle name="Accent6 - 60%" xfId="172"/>
    <cellStyle name="Accent6 2" xfId="175"/>
    <cellStyle name="Accent6 3" xfId="176"/>
    <cellStyle name="Bad 2" xfId="177"/>
    <cellStyle name="Bad 3" xfId="11"/>
    <cellStyle name="Calculation 2" xfId="178"/>
    <cellStyle name="Calculation 3" xfId="179"/>
    <cellStyle name="Check Cell 2" xfId="180"/>
    <cellStyle name="Check Cell 3" xfId="182"/>
    <cellStyle name="Comma" xfId="1" builtinId="3"/>
    <cellStyle name="Comma [0] 3" xfId="140"/>
    <cellStyle name="Comma [0] 3 2" xfId="106"/>
    <cellStyle name="Comma 10" xfId="185"/>
    <cellStyle name="Comma 10 2" xfId="189"/>
    <cellStyle name="Comma 11" xfId="190"/>
    <cellStyle name="Comma 11 2" xfId="192"/>
    <cellStyle name="Comma 11 2 2" xfId="28"/>
    <cellStyle name="Comma 11 3" xfId="193"/>
    <cellStyle name="Comma 12" xfId="195"/>
    <cellStyle name="Comma 12 2" xfId="196"/>
    <cellStyle name="Comma 13" xfId="149"/>
    <cellStyle name="Comma 2" xfId="197"/>
    <cellStyle name="Comma 2 10" xfId="198"/>
    <cellStyle name="Comma 2 10 2" xfId="199"/>
    <cellStyle name="Comma 2 11" xfId="200"/>
    <cellStyle name="Comma 2 11 2" xfId="201"/>
    <cellStyle name="Comma 2 12" xfId="63"/>
    <cellStyle name="Comma 2 12 2" xfId="65"/>
    <cellStyle name="Comma 2 12 8" xfId="202"/>
    <cellStyle name="Comma 2 12 8 2" xfId="205"/>
    <cellStyle name="Comma 2 12 8 2 2" xfId="166"/>
    <cellStyle name="Comma 2 12 8 3" xfId="206"/>
    <cellStyle name="Comma 2 13" xfId="29"/>
    <cellStyle name="Comma 2 13 2" xfId="67"/>
    <cellStyle name="Comma 2 14" xfId="207"/>
    <cellStyle name="Comma 2 14 2" xfId="12"/>
    <cellStyle name="Comma 2 15" xfId="208"/>
    <cellStyle name="Comma 2 15 2" xfId="13"/>
    <cellStyle name="Comma 2 16" xfId="210"/>
    <cellStyle name="Comma 2 16 2" xfId="211"/>
    <cellStyle name="Comma 2 17" xfId="212"/>
    <cellStyle name="Comma 2 17 2" xfId="213"/>
    <cellStyle name="Comma 2 18" xfId="214"/>
    <cellStyle name="Comma 2 18 2" xfId="216"/>
    <cellStyle name="Comma 2 19" xfId="217"/>
    <cellStyle name="Comma 2 2" xfId="218"/>
    <cellStyle name="Comma 2 2 2" xfId="219"/>
    <cellStyle name="Comma 2 2 2 2" xfId="220"/>
    <cellStyle name="Comma 2 2 3" xfId="221"/>
    <cellStyle name="Comma 2 20" xfId="209"/>
    <cellStyle name="Comma 2 3" xfId="222"/>
    <cellStyle name="Comma 2 3 2" xfId="223"/>
    <cellStyle name="Comma 2 4" xfId="24"/>
    <cellStyle name="Comma 2 4 2" xfId="225"/>
    <cellStyle name="Comma 2 5" xfId="227"/>
    <cellStyle name="Comma 2 5 2" xfId="228"/>
    <cellStyle name="Comma 2 5 2 2" xfId="229"/>
    <cellStyle name="Comma 2 5 3" xfId="5"/>
    <cellStyle name="Comma 2 6" xfId="231"/>
    <cellStyle name="Comma 2 6 2" xfId="232"/>
    <cellStyle name="Comma 2 7" xfId="233"/>
    <cellStyle name="Comma 2 7 2" xfId="234"/>
    <cellStyle name="Comma 2 8" xfId="236"/>
    <cellStyle name="Comma 2 8 2" xfId="237"/>
    <cellStyle name="Comma 2 9" xfId="239"/>
    <cellStyle name="Comma 2 9 2" xfId="241"/>
    <cellStyle name="Comma 2_(042310)2010 - 2014 LRP Sales Volumes from sonia" xfId="242"/>
    <cellStyle name="Comma 3" xfId="244"/>
    <cellStyle name="Comma 3 2" xfId="246"/>
    <cellStyle name="Comma 3 2 2" xfId="249"/>
    <cellStyle name="Comma 3 2 2 2" xfId="250"/>
    <cellStyle name="Comma 3 2 2 2 2" xfId="251"/>
    <cellStyle name="Comma 3 2 2 3" xfId="252"/>
    <cellStyle name="Comma 3 2 2 3 2" xfId="183"/>
    <cellStyle name="Comma 3 2 2 4" xfId="254"/>
    <cellStyle name="Comma 3 2 3" xfId="255"/>
    <cellStyle name="Comma 3 2 3 2" xfId="256"/>
    <cellStyle name="Comma 3 2 4" xfId="257"/>
    <cellStyle name="Comma 3 3" xfId="258"/>
    <cellStyle name="Comma 3 3 2" xfId="260"/>
    <cellStyle name="Comma 3 4" xfId="261"/>
    <cellStyle name="Comma 3 4 2" xfId="262"/>
    <cellStyle name="Comma 3 5" xfId="264"/>
    <cellStyle name="Comma 32" xfId="107"/>
    <cellStyle name="Comma 33" xfId="265"/>
    <cellStyle name="Comma 34" xfId="266"/>
    <cellStyle name="Comma 35" xfId="267"/>
    <cellStyle name="Comma 36" xfId="269"/>
    <cellStyle name="Comma 4" xfId="270"/>
    <cellStyle name="Comma 4 2" xfId="273"/>
    <cellStyle name="Comma 4 2 2" xfId="121"/>
    <cellStyle name="Comma 4 2 2 2" xfId="125"/>
    <cellStyle name="Comma 4 2 3" xfId="277"/>
    <cellStyle name="Comma 4 2 3 2" xfId="279"/>
    <cellStyle name="Comma 4 2 4" xfId="281"/>
    <cellStyle name="Comma 4 3" xfId="283"/>
    <cellStyle name="Comma 4 3 2" xfId="285"/>
    <cellStyle name="Comma 4 4" xfId="287"/>
    <cellStyle name="Comma 4 4 2" xfId="128"/>
    <cellStyle name="Comma 4 5" xfId="152"/>
    <cellStyle name="Comma 4_PS7-KFA VISMIN" xfId="118"/>
    <cellStyle name="Comma 42" xfId="243"/>
    <cellStyle name="Comma 43" xfId="288"/>
    <cellStyle name="Comma 44" xfId="21"/>
    <cellStyle name="Comma 45" xfId="10"/>
    <cellStyle name="Comma 46" xfId="85"/>
    <cellStyle name="Comma 5" xfId="289"/>
    <cellStyle name="Comma 5 2" xfId="290"/>
    <cellStyle name="Comma 5 2 2" xfId="16"/>
    <cellStyle name="Comma 5 3" xfId="292"/>
    <cellStyle name="Comma 5 3 2" xfId="6"/>
    <cellStyle name="Comma 5 4" xfId="293"/>
    <cellStyle name="Comma 6" xfId="294"/>
    <cellStyle name="Comma 6 2" xfId="296"/>
    <cellStyle name="Comma 7" xfId="299"/>
    <cellStyle name="Comma 7 2" xfId="301"/>
    <cellStyle name="Comma 8" xfId="302"/>
    <cellStyle name="Comma 8 2" xfId="303"/>
    <cellStyle name="Comma 9" xfId="263"/>
    <cellStyle name="Comma 9 2" xfId="304"/>
    <cellStyle name="Comma 9 2 2" xfId="305"/>
    <cellStyle name="Comma 9 3" xfId="306"/>
    <cellStyle name="Emphasis 1" xfId="307"/>
    <cellStyle name="Emphasis 2" xfId="308"/>
    <cellStyle name="Emphasis 3" xfId="309"/>
    <cellStyle name="Explanatory Text 2" xfId="310"/>
    <cellStyle name="Explanatory Text 3" xfId="57"/>
    <cellStyle name="Good 2" xfId="295"/>
    <cellStyle name="Good 2 2" xfId="297"/>
    <cellStyle name="Good 3" xfId="300"/>
    <cellStyle name="Grey" xfId="253"/>
    <cellStyle name="Heading 1 2" xfId="312"/>
    <cellStyle name="Heading 1 3" xfId="313"/>
    <cellStyle name="Heading 2 2" xfId="240"/>
    <cellStyle name="Heading 2 3" xfId="314"/>
    <cellStyle name="Heading 3 2" xfId="42"/>
    <cellStyle name="Heading 3 3" xfId="315"/>
    <cellStyle name="Heading 4 2" xfId="55"/>
    <cellStyle name="Heading 4 3" xfId="316"/>
    <cellStyle name="Hyperlink 2" xfId="137"/>
    <cellStyle name="Input [yellow]" xfId="317"/>
    <cellStyle name="Input 2" xfId="318"/>
    <cellStyle name="Input 3" xfId="319"/>
    <cellStyle name="Linked Cell 2" xfId="226"/>
    <cellStyle name="Linked Cell 3" xfId="100"/>
    <cellStyle name="n" xfId="320"/>
    <cellStyle name="n_charts for march 23 meeting(1). pls email tom sunday" xfId="79"/>
    <cellStyle name="n_SALES MTG@VILLA_031209" xfId="259"/>
    <cellStyle name="n_trade lock up_mar to may 2009" xfId="321"/>
    <cellStyle name="Neutral 2" xfId="68"/>
    <cellStyle name="Neutral 3" xfId="186"/>
    <cellStyle name="Normal" xfId="0" builtinId="0"/>
    <cellStyle name="Normal - Style1" xfId="37"/>
    <cellStyle name="Normal 10" xfId="322"/>
    <cellStyle name="Normal 11" xfId="323"/>
    <cellStyle name="Normal 12" xfId="181"/>
    <cellStyle name="Normal 12 2" xfId="159"/>
    <cellStyle name="Normal 13" xfId="184"/>
    <cellStyle name="Normal 13 2" xfId="324"/>
    <cellStyle name="Normal 14" xfId="326"/>
    <cellStyle name="Normal 15" xfId="327"/>
    <cellStyle name="Normal 16" xfId="329"/>
    <cellStyle name="Normal 17" xfId="69"/>
    <cellStyle name="Normal 18" xfId="187"/>
    <cellStyle name="Normal 19" xfId="191"/>
    <cellStyle name="Normal 2" xfId="331"/>
    <cellStyle name="Normal 2 10" xfId="332"/>
    <cellStyle name="Normal 2 2" xfId="333"/>
    <cellStyle name="Normal 2 2 2" xfId="334"/>
    <cellStyle name="Normal 2 2 3" xfId="224"/>
    <cellStyle name="Normal 2 2_LRP NORTHMIN SESSION" xfId="335"/>
    <cellStyle name="Normal 2 3" xfId="336"/>
    <cellStyle name="Normal 2 4" xfId="337"/>
    <cellStyle name="Normal 2 5" xfId="339"/>
    <cellStyle name="Normal 2 6" xfId="340"/>
    <cellStyle name="Normal 2 7" xfId="341"/>
    <cellStyle name="Normal 2 8" xfId="342"/>
    <cellStyle name="Normal 2 9" xfId="76"/>
    <cellStyle name="Normal 2_LRP NORTHMIN SESSION" xfId="274"/>
    <cellStyle name="Normal 20" xfId="328"/>
    <cellStyle name="Normal 21" xfId="330"/>
    <cellStyle name="Normal 22" xfId="70"/>
    <cellStyle name="Normal 23" xfId="188"/>
    <cellStyle name="Normal 3" xfId="343"/>
    <cellStyle name="Normal 3 2" xfId="344"/>
    <cellStyle name="Normal 3 2 2" xfId="345"/>
    <cellStyle name="Normal 3 3" xfId="346"/>
    <cellStyle name="Normal 4" xfId="347"/>
    <cellStyle name="Normal 4 2" xfId="348"/>
    <cellStyle name="Normal 4 3" xfId="349"/>
    <cellStyle name="Normal 5" xfId="350"/>
    <cellStyle name="Normal 5 2" xfId="133"/>
    <cellStyle name="Normal 5 2 2" xfId="135"/>
    <cellStyle name="Normal 5 3" xfId="17"/>
    <cellStyle name="Normal 5_Mindanao Plant Allocation-October 1-7 (revised as of sep 29)" xfId="98"/>
    <cellStyle name="Normal 6" xfId="351"/>
    <cellStyle name="Normal 7" xfId="352"/>
    <cellStyle name="Normal 7 2" xfId="8"/>
    <cellStyle name="Normal 8" xfId="353"/>
    <cellStyle name="Normal 9" xfId="354"/>
    <cellStyle name="Note 2" xfId="245"/>
    <cellStyle name="Note 2 2" xfId="247"/>
    <cellStyle name="Note 3" xfId="271"/>
    <cellStyle name="Note 3 2" xfId="275"/>
    <cellStyle name="Output 2" xfId="355"/>
    <cellStyle name="Output 3" xfId="291"/>
    <cellStyle name="Percent" xfId="7" builtinId="5"/>
    <cellStyle name="Percent [2]" xfId="325"/>
    <cellStyle name="Percent [2] 2" xfId="356"/>
    <cellStyle name="Percent 2" xfId="92"/>
    <cellStyle name="Percent 2 10" xfId="357"/>
    <cellStyle name="Percent 2 10 2" xfId="358"/>
    <cellStyle name="Percent 2 11" xfId="122"/>
    <cellStyle name="Percent 2 11 2" xfId="126"/>
    <cellStyle name="Percent 2 12" xfId="278"/>
    <cellStyle name="Percent 2 12 2" xfId="280"/>
    <cellStyle name="Percent 2 13" xfId="282"/>
    <cellStyle name="Percent 2 13 2" xfId="272"/>
    <cellStyle name="Percent 2 14" xfId="359"/>
    <cellStyle name="Percent 2 2" xfId="94"/>
    <cellStyle name="Percent 2 2 2" xfId="4"/>
    <cellStyle name="Percent 2 2 2 2" xfId="360"/>
    <cellStyle name="Percent 2 2 3" xfId="138"/>
    <cellStyle name="Percent 2 3" xfId="362"/>
    <cellStyle name="Percent 2 3 2" xfId="363"/>
    <cellStyle name="Percent 2 4" xfId="364"/>
    <cellStyle name="Percent 2 4 2" xfId="365"/>
    <cellStyle name="Percent 2 5" xfId="367"/>
    <cellStyle name="Percent 2 5 2" xfId="368"/>
    <cellStyle name="Percent 2 6" xfId="361"/>
    <cellStyle name="Percent 2 6 2" xfId="23"/>
    <cellStyle name="Percent 2 7" xfId="370"/>
    <cellStyle name="Percent 2 7 2" xfId="371"/>
    <cellStyle name="Percent 2 8" xfId="276"/>
    <cellStyle name="Percent 2 8 2" xfId="123"/>
    <cellStyle name="Percent 2 9" xfId="284"/>
    <cellStyle name="Percent 2 9 2" xfId="286"/>
    <cellStyle name="Percent 2_(042310)2010 - 2014 LRP Sales Volumes from sonia" xfId="338"/>
    <cellStyle name="Percent 3" xfId="90"/>
    <cellStyle name="Percent 3 2" xfId="373"/>
    <cellStyle name="Percent 3 2 2" xfId="374"/>
    <cellStyle name="Percent 3 2 2 2" xfId="375"/>
    <cellStyle name="Percent 3 2 3" xfId="376"/>
    <cellStyle name="Percent 3 3" xfId="377"/>
    <cellStyle name="Percent 3 3 2" xfId="378"/>
    <cellStyle name="Percent 3 4" xfId="168"/>
    <cellStyle name="Percent 4" xfId="379"/>
    <cellStyle name="Percent 4 2" xfId="32"/>
    <cellStyle name="Percent 5" xfId="116"/>
    <cellStyle name="Percent 5 2" xfId="215"/>
    <cellStyle name="Percent 6" xfId="119"/>
    <cellStyle name="Percent 6 2" xfId="380"/>
    <cellStyle name="Percent 7" xfId="230"/>
    <cellStyle name="Percent 7 2" xfId="311"/>
    <cellStyle name="Percent 8" xfId="382"/>
    <cellStyle name="Percent 8 2" xfId="383"/>
    <cellStyle name="Percent 9" xfId="248"/>
    <cellStyle name="SAPBEXaggData" xfId="173"/>
    <cellStyle name="SAPBEXaggDataEmph" xfId="203"/>
    <cellStyle name="SAPBEXaggItem" xfId="384"/>
    <cellStyle name="SAPBEXaggItemX" xfId="3"/>
    <cellStyle name="SAPBEXchaText" xfId="386"/>
    <cellStyle name="SAPBEXexcBad7" xfId="35"/>
    <cellStyle name="SAPBEXexcBad8" xfId="36"/>
    <cellStyle name="SAPBEXexcBad9" xfId="31"/>
    <cellStyle name="SAPBEXexcCritical4" xfId="387"/>
    <cellStyle name="SAPBEXexcCritical5" xfId="389"/>
    <cellStyle name="SAPBEXexcCritical6" xfId="155"/>
    <cellStyle name="SAPBEXexcGood1" xfId="238"/>
    <cellStyle name="SAPBEXexcGood2" xfId="369"/>
    <cellStyle name="SAPBEXexcGood3" xfId="60"/>
    <cellStyle name="SAPBEXfilterDrill" xfId="169"/>
    <cellStyle name="SAPBEXfilterItem" xfId="391"/>
    <cellStyle name="SAPBEXfilterText" xfId="131"/>
    <cellStyle name="SAPBEXformats" xfId="392"/>
    <cellStyle name="SAPBEXheaderItem" xfId="393"/>
    <cellStyle name="SAPBEXheaderText" xfId="381"/>
    <cellStyle name="SAPBEXHLevel0" xfId="394"/>
    <cellStyle name="SAPBEXHLevel0X" xfId="395"/>
    <cellStyle name="SAPBEXHLevel1" xfId="235"/>
    <cellStyle name="SAPBEXHLevel1X" xfId="396"/>
    <cellStyle name="SAPBEXHLevel2" xfId="366"/>
    <cellStyle name="SAPBEXHLevel2X" xfId="397"/>
    <cellStyle name="SAPBEXHLevel3" xfId="398"/>
    <cellStyle name="SAPBEXHLevel3X" xfId="194"/>
    <cellStyle name="SAPBEXinputData" xfId="268"/>
    <cellStyle name="SAPBEXItemHeader" xfId="81"/>
    <cellStyle name="SAPBEXresData" xfId="399"/>
    <cellStyle name="SAPBEXresDataEmph" xfId="400"/>
    <cellStyle name="SAPBEXresItem" xfId="372"/>
    <cellStyle name="SAPBEXresItemX" xfId="401"/>
    <cellStyle name="SAPBEXstdData" xfId="174"/>
    <cellStyle name="SAPBEXstdDataEmph" xfId="204"/>
    <cellStyle name="SAPBEXstdItem" xfId="385"/>
    <cellStyle name="SAPBEXstdItem 2" xfId="38"/>
    <cellStyle name="SAPBEXstdItem 3" xfId="40"/>
    <cellStyle name="SAPBEXstdItem 4" xfId="298"/>
    <cellStyle name="SAPBEXstdItem 5" xfId="388"/>
    <cellStyle name="SAPBEXstdItem 6" xfId="390"/>
    <cellStyle name="SAPBEXstdItemX" xfId="2"/>
    <cellStyle name="SAPBEXtitle" xfId="402"/>
    <cellStyle name="SAPBEXunassignedItem" xfId="403"/>
    <cellStyle name="SAPBEXundefined" xfId="404"/>
    <cellStyle name="Sheet Title" xfId="164"/>
    <cellStyle name="Title 2" xfId="34"/>
    <cellStyle name="Title 3" xfId="20"/>
    <cellStyle name="Total 2" xfId="405"/>
    <cellStyle name="Total 3" xfId="406"/>
    <cellStyle name="Warning Text 2" xfId="407"/>
    <cellStyle name="Warning Text 3" xfId="408"/>
  </cellStyles>
  <dxfs count="0"/>
  <tableStyles count="0" defaultTableStyle="TableStyleMedium2" defaultPivotStyle="PivotStyleLight16"/>
  <colors>
    <mruColors>
      <color rgb="FFFFE5E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1447800</xdr:colOff>
      <xdr:row>5</xdr:row>
      <xdr:rowOff>0</xdr:rowOff>
    </xdr:to>
    <xdr:pic>
      <xdr:nvPicPr>
        <xdr:cNvPr id="14472" name="Picture 1">
          <a:extLst>
            <a:ext uri="{FF2B5EF4-FFF2-40B4-BE49-F238E27FC236}">
              <a16:creationId xmlns:a16="http://schemas.microsoft.com/office/drawing/2014/main" xmlns="" id="{00000000-0008-0000-0300-000088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76200" y="47625"/>
          <a:ext cx="1371600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9525</xdr:rowOff>
    </xdr:from>
    <xdr:to>
      <xdr:col>2</xdr:col>
      <xdr:colOff>1905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60350" y="9525"/>
          <a:ext cx="1128395" cy="7010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35</xdr:col>
      <xdr:colOff>529051</xdr:colOff>
      <xdr:row>0</xdr:row>
      <xdr:rowOff>131878</xdr:rowOff>
    </xdr:from>
    <xdr:to>
      <xdr:col>42</xdr:col>
      <xdr:colOff>93020</xdr:colOff>
      <xdr:row>26</xdr:row>
      <xdr:rowOff>113720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7391"/>
        <a:stretch>
          <a:fillRect/>
        </a:stretch>
      </xdr:blipFill>
      <xdr:spPr>
        <a:xfrm>
          <a:off x="36472495" y="131445"/>
          <a:ext cx="3884295" cy="4592320"/>
        </a:xfrm>
        <a:prstGeom prst="rect">
          <a:avLst/>
        </a:prstGeom>
      </xdr:spPr>
    </xdr:pic>
    <xdr:clientData/>
  </xdr:twoCellAnchor>
  <xdr:twoCellAnchor>
    <xdr:from>
      <xdr:col>37</xdr:col>
      <xdr:colOff>444395</xdr:colOff>
      <xdr:row>7</xdr:row>
      <xdr:rowOff>96206</xdr:rowOff>
    </xdr:from>
    <xdr:to>
      <xdr:col>38</xdr:col>
      <xdr:colOff>88243</xdr:colOff>
      <xdr:row>9</xdr:row>
      <xdr:rowOff>29945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 txBox="1"/>
      </xdr:nvSpPr>
      <xdr:spPr>
        <a:xfrm>
          <a:off x="37621845" y="1231265"/>
          <a:ext cx="260985" cy="2997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</a:t>
          </a:r>
        </a:p>
      </xdr:txBody>
    </xdr:sp>
    <xdr:clientData/>
  </xdr:twoCellAnchor>
  <xdr:twoCellAnchor>
    <xdr:from>
      <xdr:col>36</xdr:col>
      <xdr:colOff>422861</xdr:colOff>
      <xdr:row>15</xdr:row>
      <xdr:rowOff>16693</xdr:rowOff>
    </xdr:from>
    <xdr:to>
      <xdr:col>37</xdr:col>
      <xdr:colOff>66709</xdr:colOff>
      <xdr:row>16</xdr:row>
      <xdr:rowOff>140932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 txBox="1"/>
      </xdr:nvSpPr>
      <xdr:spPr>
        <a:xfrm>
          <a:off x="36983035" y="2614930"/>
          <a:ext cx="261620" cy="30670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B</a:t>
          </a:r>
        </a:p>
      </xdr:txBody>
    </xdr:sp>
    <xdr:clientData/>
  </xdr:twoCellAnchor>
  <xdr:twoCellAnchor>
    <xdr:from>
      <xdr:col>37</xdr:col>
      <xdr:colOff>257</xdr:colOff>
      <xdr:row>21</xdr:row>
      <xdr:rowOff>177376</xdr:rowOff>
    </xdr:from>
    <xdr:to>
      <xdr:col>37</xdr:col>
      <xdr:colOff>252240</xdr:colOff>
      <xdr:row>23</xdr:row>
      <xdr:rowOff>111115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 txBox="1"/>
      </xdr:nvSpPr>
      <xdr:spPr>
        <a:xfrm>
          <a:off x="37177980" y="3872865"/>
          <a:ext cx="252095" cy="29908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a%20c/2005%20Data/zipfiles/Opex/TSQC%20Vet%20M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ghay\Ghay%20Files\2005\Actual\May\0505%20PREM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a%20c/2005%20Data/zipfiles/My%20Documents/Gaye%20Files/Budget/Funds%202003/prdn%20op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.lotus.notes.data/Opex/Marketing%20Petfood%20Flor%2082504%201024a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a%20c/2005%20Data/zipfiles/Opex/Marketing%20Petfood%20Flor%2082504%201024a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EI3~1/AppData/Local/Temp/02%20CDO1%20DPAM_ADHERENCE%20_Feb%202015%20(5wks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umabat/Documents/Operations%20Planning/unsorted%20files/FILES7/USB%20FILES/San%20Miguel%20Foods%20Inc/MARCH%20DPAM/03%20DPAM_CDO1%20MAR%202014%20(reviewed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umabat/AppData/Local/Temp/notesA0172B/10%20DPAM_CDO1%20OCT%202014%20-%20Adheren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xedcosts"/>
      <sheetName val="assumptions"/>
      <sheetName val="capex"/>
      <sheetName val="depreciation"/>
      <sheetName val="summary"/>
      <sheetName val="chart"/>
      <sheetName val="PF bridge"/>
      <sheetName val="Year to Date"/>
      <sheetName val="For the Month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etmed"/>
      <sheetName val="petfood"/>
      <sheetName val="common"/>
      <sheetName val="volume bags"/>
      <sheetName val="project"/>
      <sheetName val="total"/>
      <sheetName val="premat"/>
      <sheetName val="lrp"/>
      <sheetName val="pet"/>
      <sheetName val="vet"/>
      <sheetName val="PF bridge"/>
      <sheetName val="fixedcosts"/>
      <sheetName val="For the Month"/>
      <sheetName val="Year to Date"/>
      <sheetName val="list"/>
      <sheetName val="CAC"/>
      <sheetName val="ROWENA FRANCISCO"/>
      <sheetName val="KYZEINGELIQUE GOZUM"/>
      <sheetName val="JONATHAN DAYAG"/>
      <sheetName val="MARIO REYES"/>
      <sheetName val="DEGIELYN DELA CRUZ"/>
      <sheetName val="ALVIN ROQUE"/>
      <sheetName val="volume_bags"/>
      <sheetName val="PF_bridge"/>
      <sheetName val="For_the_Month"/>
      <sheetName val="Year_to_Date"/>
      <sheetName val="Adex"/>
      <sheetName val="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xedcosts"/>
      <sheetName val="flow"/>
      <sheetName val="deadline"/>
      <sheetName val="assumptions"/>
      <sheetName val="variableexp"/>
      <sheetName val="capex"/>
      <sheetName val="depreciation"/>
      <sheetName val="summary"/>
      <sheetName val="chart"/>
      <sheetName val="2002 exptd"/>
      <sheetName val="Year to Date"/>
      <sheetName val="PF bridge"/>
      <sheetName val="Sheet1"/>
      <sheetName val="1&gt; DSO &amp; TAR 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fixedcosts"/>
      <sheetName val="capex"/>
      <sheetName val="depreciation"/>
      <sheetName val="summary"/>
      <sheetName val="chart"/>
      <sheetName val="ALLOCATION"/>
      <sheetName val="2009 fixedcosts"/>
      <sheetName val="WORKSHEET"/>
      <sheetName val="Year to Date"/>
      <sheetName val="PF bri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fixedcosts"/>
      <sheetName val="capex"/>
      <sheetName val="depreciation"/>
      <sheetName val="summary"/>
      <sheetName val="chart"/>
      <sheetName val="Year to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DO1"/>
      <sheetName val="CDO1-downtimes"/>
      <sheetName val="EIS Report"/>
      <sheetName val="CDO1-Production Adherence"/>
      <sheetName val="Sheet2"/>
      <sheetName val="Sheet3"/>
      <sheetName val="Sheet1"/>
      <sheetName val="Daily Prod Rep"/>
      <sheetName val="Year to 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lloc &amp; prod"/>
      <sheetName val="downtimes"/>
      <sheetName val="S&amp;OP"/>
      <sheetName val="fixedcosts"/>
    </sheetNames>
    <sheetDataSet>
      <sheetData sheetId="0">
        <row r="3">
          <cell r="A3" t="str">
            <v>MARCH 2014</v>
          </cell>
        </row>
      </sheetData>
      <sheetData sheetId="1"/>
      <sheetData sheetId="2">
        <row r="218">
          <cell r="C218" t="str">
            <v>Wk1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lloc &amp; prod"/>
      <sheetName val="downtimes"/>
      <sheetName val="S&amp;OP"/>
      <sheetName val="Yield"/>
      <sheetName val="Sheet2"/>
      <sheetName val="fixedcosts"/>
    </sheetNames>
    <sheetDataSet>
      <sheetData sheetId="0">
        <row r="384">
          <cell r="G384" t="str">
            <v>TOTAL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miter lim="800000"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miter lim="800000"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rgb="FF002060"/>
    <pageSetUpPr fitToPage="1"/>
  </sheetPr>
  <dimension ref="A1:GN202"/>
  <sheetViews>
    <sheetView showGridLines="0" tabSelected="1" zoomScale="70" zoomScaleNormal="70" workbookViewId="0">
      <pane xSplit="2" ySplit="12" topLeftCell="F13" activePane="bottomRight" state="frozen"/>
      <selection pane="topRight"/>
      <selection pane="bottomLeft"/>
      <selection pane="bottomRight" activeCell="P24" sqref="P24"/>
    </sheetView>
  </sheetViews>
  <sheetFormatPr defaultColWidth="9" defaultRowHeight="15"/>
  <cols>
    <col min="1" max="1" width="1.5703125" style="170" customWidth="1"/>
    <col min="2" max="2" width="48.140625" customWidth="1"/>
    <col min="3" max="3" width="17" style="58" customWidth="1"/>
    <col min="4" max="4" width="14.85546875" customWidth="1"/>
    <col min="5" max="5" width="11" style="171" customWidth="1"/>
    <col min="6" max="8" width="14.42578125" customWidth="1"/>
    <col min="9" max="15" width="12.42578125" customWidth="1"/>
    <col min="16" max="16" width="15.42578125" customWidth="1"/>
    <col min="17" max="17" width="15.42578125" style="172" customWidth="1"/>
    <col min="18" max="18" width="15.42578125" style="58" customWidth="1"/>
    <col min="19" max="19" width="20.5703125" style="58" customWidth="1"/>
    <col min="20" max="20" width="13.42578125" customWidth="1"/>
    <col min="21" max="23" width="14.42578125" customWidth="1"/>
    <col min="24" max="24" width="16.42578125" customWidth="1"/>
    <col min="25" max="28" width="14" customWidth="1"/>
    <col min="29" max="29" width="14" style="173" customWidth="1"/>
    <col min="30" max="30" width="14" customWidth="1"/>
    <col min="31" max="31" width="16" customWidth="1"/>
    <col min="32" max="32" width="16.42578125" customWidth="1"/>
    <col min="33" max="34" width="18.28515625" customWidth="1"/>
    <col min="35" max="35" width="11.5703125" customWidth="1"/>
    <col min="36" max="36" width="18.5703125" style="173" customWidth="1"/>
    <col min="37" max="37" width="14.42578125" customWidth="1"/>
    <col min="38" max="38" width="13" customWidth="1"/>
    <col min="39" max="45" width="13.5703125" customWidth="1"/>
    <col min="46" max="47" width="13.85546875" customWidth="1"/>
    <col min="48" max="48" width="20" customWidth="1"/>
    <col min="49" max="49" width="38.7109375" customWidth="1"/>
    <col min="50" max="50" width="12.42578125" customWidth="1"/>
    <col min="51" max="51" width="12.5703125" hidden="1" customWidth="1"/>
    <col min="52" max="52" width="18.5703125" customWidth="1"/>
    <col min="53" max="53" width="14.42578125" customWidth="1"/>
    <col min="54" max="54" width="13" customWidth="1"/>
    <col min="55" max="60" width="13.5703125" customWidth="1"/>
    <col min="61" max="61" width="14.85546875" customWidth="1"/>
    <col min="62" max="62" width="13.5703125" customWidth="1"/>
    <col min="63" max="63" width="13.85546875" customWidth="1"/>
    <col min="64" max="64" width="20" customWidth="1"/>
    <col min="65" max="66" width="21.42578125" customWidth="1"/>
    <col min="67" max="67" width="18.5703125" customWidth="1"/>
    <col min="68" max="68" width="14.42578125" customWidth="1"/>
    <col min="69" max="69" width="13" customWidth="1"/>
    <col min="70" max="70" width="13.140625" customWidth="1"/>
    <col min="71" max="71" width="14" customWidth="1"/>
    <col min="72" max="76" width="14.42578125" customWidth="1"/>
    <col min="77" max="77" width="12.85546875" customWidth="1"/>
    <col min="78" max="78" width="13.85546875" customWidth="1"/>
    <col min="79" max="79" width="19.42578125" bestFit="1" customWidth="1"/>
    <col min="80" max="80" width="16.140625" hidden="1" customWidth="1"/>
    <col min="81" max="81" width="25" style="174" customWidth="1"/>
    <col min="82" max="82" width="14.42578125" customWidth="1"/>
    <col min="83" max="83" width="16" customWidth="1"/>
    <col min="84" max="84" width="16.5703125" customWidth="1"/>
    <col min="85" max="85" width="14" customWidth="1"/>
    <col min="86" max="86" width="14" hidden="1" customWidth="1"/>
    <col min="87" max="87" width="17.7109375" hidden="1" customWidth="1"/>
    <col min="88" max="88" width="14.7109375" hidden="1" customWidth="1"/>
    <col min="89" max="89" width="4.5703125" hidden="1" customWidth="1"/>
    <col min="90" max="90" width="8.28515625" hidden="1" customWidth="1"/>
    <col min="91" max="91" width="10.28515625" hidden="1" customWidth="1"/>
    <col min="92" max="92" width="12.42578125" hidden="1" customWidth="1"/>
    <col min="93" max="93" width="10.140625" hidden="1" customWidth="1"/>
    <col min="97" max="97" width="12.85546875" bestFit="1" customWidth="1"/>
  </cols>
  <sheetData>
    <row r="1" spans="2:92" ht="10.5" customHeight="1"/>
    <row r="2" spans="2:92" ht="19.5" customHeight="1">
      <c r="B2" s="175" t="s">
        <v>0</v>
      </c>
      <c r="C2" s="176"/>
      <c r="D2" s="177"/>
      <c r="E2" s="178"/>
      <c r="G2" s="179" t="s">
        <v>1</v>
      </c>
      <c r="H2" s="180">
        <f t="shared" ref="H2:P2" si="0">IFERROR(H185/H188," ")</f>
        <v>0.3287101248266297</v>
      </c>
      <c r="I2" s="180">
        <f t="shared" si="0"/>
        <v>0.42297144700758188</v>
      </c>
      <c r="J2" s="180">
        <f t="shared" si="0"/>
        <v>0.59031657355679701</v>
      </c>
      <c r="K2" s="180">
        <f t="shared" si="0"/>
        <v>0.44295302013422821</v>
      </c>
      <c r="L2" s="180">
        <f t="shared" si="0"/>
        <v>0.18007157656809192</v>
      </c>
      <c r="M2" s="180">
        <f t="shared" si="0"/>
        <v>0.31544279092461575</v>
      </c>
      <c r="N2" s="180">
        <f t="shared" si="0"/>
        <v>0</v>
      </c>
      <c r="O2" s="180">
        <f t="shared" si="0"/>
        <v>0.25650976464697045</v>
      </c>
      <c r="P2" s="180">
        <f t="shared" si="0"/>
        <v>0.33875823475242617</v>
      </c>
      <c r="V2" s="179" t="s">
        <v>1</v>
      </c>
      <c r="W2" s="180" t="str">
        <f t="shared" ref="W2:AE2" si="1">IFERROR(W185/W188," ")</f>
        <v xml:space="preserve"> </v>
      </c>
      <c r="X2" s="180" t="str">
        <f t="shared" si="1"/>
        <v xml:space="preserve"> </v>
      </c>
      <c r="Y2" s="180" t="str">
        <f t="shared" si="1"/>
        <v xml:space="preserve"> </v>
      </c>
      <c r="Z2" s="180" t="str">
        <f t="shared" si="1"/>
        <v xml:space="preserve"> </v>
      </c>
      <c r="AA2" s="180" t="str">
        <f t="shared" si="1"/>
        <v xml:space="preserve"> </v>
      </c>
      <c r="AB2" s="180" t="str">
        <f t="shared" si="1"/>
        <v xml:space="preserve"> </v>
      </c>
      <c r="AC2" s="180" t="str">
        <f t="shared" si="1"/>
        <v xml:space="preserve"> </v>
      </c>
      <c r="AD2" s="180" t="str">
        <f t="shared" si="1"/>
        <v xml:space="preserve"> </v>
      </c>
      <c r="AE2" s="180" t="str">
        <f t="shared" si="1"/>
        <v xml:space="preserve"> </v>
      </c>
      <c r="AJ2" s="245">
        <f>SUM(AJ43:AJ49)</f>
        <v>0</v>
      </c>
      <c r="AK2" s="179" t="s">
        <v>1</v>
      </c>
      <c r="AL2" s="180" t="str">
        <f t="shared" ref="AL2:AT2" si="2">IFERROR(AL185/AL188," ")</f>
        <v xml:space="preserve"> </v>
      </c>
      <c r="AM2" s="180" t="str">
        <f t="shared" si="2"/>
        <v xml:space="preserve"> </v>
      </c>
      <c r="AN2" s="180" t="str">
        <f t="shared" si="2"/>
        <v xml:space="preserve"> </v>
      </c>
      <c r="AO2" s="180" t="str">
        <f t="shared" si="2"/>
        <v xml:space="preserve"> </v>
      </c>
      <c r="AP2" s="180" t="str">
        <f t="shared" si="2"/>
        <v xml:space="preserve"> </v>
      </c>
      <c r="AQ2" s="180" t="str">
        <f t="shared" si="2"/>
        <v xml:space="preserve"> </v>
      </c>
      <c r="AR2" s="180" t="str">
        <f t="shared" si="2"/>
        <v xml:space="preserve"> </v>
      </c>
      <c r="AS2" s="180" t="str">
        <f t="shared" si="2"/>
        <v xml:space="preserve"> </v>
      </c>
      <c r="AT2" s="180" t="str">
        <f t="shared" si="2"/>
        <v xml:space="preserve"> </v>
      </c>
      <c r="BA2" s="179" t="s">
        <v>1</v>
      </c>
      <c r="BB2" s="180" t="str">
        <f t="shared" ref="BB2:BI2" si="3">IFERROR(BB185/BB188," ")</f>
        <v xml:space="preserve"> </v>
      </c>
      <c r="BC2" s="180" t="str">
        <f t="shared" si="3"/>
        <v xml:space="preserve"> </v>
      </c>
      <c r="BD2" s="180" t="str">
        <f t="shared" si="3"/>
        <v xml:space="preserve"> </v>
      </c>
      <c r="BE2" s="180" t="str">
        <f t="shared" si="3"/>
        <v xml:space="preserve"> </v>
      </c>
      <c r="BF2" s="180" t="str">
        <f t="shared" si="3"/>
        <v xml:space="preserve"> </v>
      </c>
      <c r="BG2" s="180" t="str">
        <f t="shared" si="3"/>
        <v xml:space="preserve"> </v>
      </c>
      <c r="BH2" s="180" t="str">
        <f t="shared" si="3"/>
        <v xml:space="preserve"> </v>
      </c>
      <c r="BI2" s="180" t="str">
        <f t="shared" si="3"/>
        <v xml:space="preserve"> </v>
      </c>
      <c r="BJ2" s="261"/>
      <c r="BP2" s="179" t="s">
        <v>1</v>
      </c>
      <c r="BQ2" s="180" t="str">
        <f t="shared" ref="BQ2:BX2" si="4">IFERROR(BQ185/BQ188," ")</f>
        <v xml:space="preserve"> </v>
      </c>
      <c r="BR2" s="180" t="str">
        <f t="shared" si="4"/>
        <v xml:space="preserve"> </v>
      </c>
      <c r="BS2" s="180" t="str">
        <f t="shared" si="4"/>
        <v xml:space="preserve"> </v>
      </c>
      <c r="BT2" s="180" t="str">
        <f t="shared" si="4"/>
        <v xml:space="preserve"> </v>
      </c>
      <c r="BU2" s="180" t="str">
        <f t="shared" si="4"/>
        <v xml:space="preserve"> </v>
      </c>
      <c r="BV2" s="180" t="str">
        <f t="shared" si="4"/>
        <v xml:space="preserve"> </v>
      </c>
      <c r="BW2" s="180" t="str">
        <f t="shared" si="4"/>
        <v xml:space="preserve"> </v>
      </c>
      <c r="BX2" s="180" t="str">
        <f t="shared" si="4"/>
        <v xml:space="preserve"> </v>
      </c>
      <c r="BY2" s="358"/>
      <c r="BZ2" s="359"/>
      <c r="CC2" s="179" t="s">
        <v>1</v>
      </c>
      <c r="CD2" s="180">
        <f t="shared" ref="CD2:CE2" si="5">IFERROR(CD185/CD188," ")</f>
        <v>0.3287101248266297</v>
      </c>
      <c r="CE2" s="180">
        <f t="shared" si="5"/>
        <v>0.33875823475242617</v>
      </c>
    </row>
    <row r="3" spans="2:92" ht="19.5" customHeight="1">
      <c r="B3" s="181" t="s">
        <v>2</v>
      </c>
      <c r="C3" s="182"/>
      <c r="D3" s="183"/>
      <c r="E3" s="184"/>
      <c r="G3" s="179" t="s">
        <v>3</v>
      </c>
      <c r="H3" s="180">
        <f t="shared" ref="H3:P3" si="6">IFERROR(((SUM(H180,H183))/H188)," ")</f>
        <v>0.67128987517337035</v>
      </c>
      <c r="I3" s="180">
        <f t="shared" si="6"/>
        <v>0.57702855299241818</v>
      </c>
      <c r="J3" s="180">
        <f t="shared" si="6"/>
        <v>0.40968342644320299</v>
      </c>
      <c r="K3" s="180">
        <f t="shared" si="6"/>
        <v>0.55704697986577179</v>
      </c>
      <c r="L3" s="180">
        <f t="shared" si="6"/>
        <v>0.81992842343190808</v>
      </c>
      <c r="M3" s="180">
        <f t="shared" si="6"/>
        <v>0.6845572090753842</v>
      </c>
      <c r="N3" s="180">
        <f t="shared" si="6"/>
        <v>1</v>
      </c>
      <c r="O3" s="180">
        <f t="shared" si="6"/>
        <v>0.74349023535302949</v>
      </c>
      <c r="P3" s="180">
        <f t="shared" si="6"/>
        <v>0.66124176524757383</v>
      </c>
      <c r="V3" s="179" t="s">
        <v>3</v>
      </c>
      <c r="W3" s="180" t="str">
        <f t="shared" ref="W3:AE3" si="7">IFERROR(((SUM(W180,W183))/W188)," ")</f>
        <v xml:space="preserve"> </v>
      </c>
      <c r="X3" s="180" t="str">
        <f t="shared" si="7"/>
        <v xml:space="preserve"> </v>
      </c>
      <c r="Y3" s="180" t="str">
        <f t="shared" si="7"/>
        <v xml:space="preserve"> </v>
      </c>
      <c r="Z3" s="180" t="str">
        <f t="shared" si="7"/>
        <v xml:space="preserve"> </v>
      </c>
      <c r="AA3" s="180" t="str">
        <f t="shared" si="7"/>
        <v xml:space="preserve"> </v>
      </c>
      <c r="AB3" s="180" t="str">
        <f t="shared" si="7"/>
        <v xml:space="preserve"> </v>
      </c>
      <c r="AC3" s="180" t="str">
        <f t="shared" si="7"/>
        <v xml:space="preserve"> </v>
      </c>
      <c r="AD3" s="180" t="str">
        <f t="shared" si="7"/>
        <v xml:space="preserve"> </v>
      </c>
      <c r="AE3" s="180" t="str">
        <f t="shared" si="7"/>
        <v xml:space="preserve"> </v>
      </c>
      <c r="AJ3" s="246" t="e">
        <f>+AJ2/AJ177</f>
        <v>#DIV/0!</v>
      </c>
      <c r="AK3" s="179" t="s">
        <v>3</v>
      </c>
      <c r="AL3" s="180" t="str">
        <f t="shared" ref="AL3:AT3" si="8">IFERROR(((SUM(AL180,AL183))/AL188)," ")</f>
        <v xml:space="preserve"> </v>
      </c>
      <c r="AM3" s="180" t="str">
        <f t="shared" si="8"/>
        <v xml:space="preserve"> </v>
      </c>
      <c r="AN3" s="180" t="str">
        <f t="shared" si="8"/>
        <v xml:space="preserve"> </v>
      </c>
      <c r="AO3" s="180" t="str">
        <f t="shared" si="8"/>
        <v xml:space="preserve"> </v>
      </c>
      <c r="AP3" s="180" t="str">
        <f t="shared" si="8"/>
        <v xml:space="preserve"> </v>
      </c>
      <c r="AQ3" s="180" t="str">
        <f t="shared" si="8"/>
        <v xml:space="preserve"> </v>
      </c>
      <c r="AR3" s="180" t="str">
        <f t="shared" si="8"/>
        <v xml:space="preserve"> </v>
      </c>
      <c r="AS3" s="180" t="str">
        <f t="shared" si="8"/>
        <v xml:space="preserve"> </v>
      </c>
      <c r="AT3" s="180" t="str">
        <f t="shared" si="8"/>
        <v xml:space="preserve"> </v>
      </c>
      <c r="AU3" s="63"/>
      <c r="BA3" s="179" t="s">
        <v>3</v>
      </c>
      <c r="BB3" s="180" t="str">
        <f t="shared" ref="BB3:BI3" si="9">IFERROR(((SUM(BB180,BB183))/BB188)," ")</f>
        <v xml:space="preserve"> </v>
      </c>
      <c r="BC3" s="180" t="str">
        <f t="shared" si="9"/>
        <v xml:space="preserve"> </v>
      </c>
      <c r="BD3" s="180" t="str">
        <f t="shared" si="9"/>
        <v xml:space="preserve"> </v>
      </c>
      <c r="BE3" s="180" t="str">
        <f t="shared" si="9"/>
        <v xml:space="preserve"> </v>
      </c>
      <c r="BF3" s="180" t="str">
        <f t="shared" si="9"/>
        <v xml:space="preserve"> </v>
      </c>
      <c r="BG3" s="180" t="str">
        <f t="shared" si="9"/>
        <v xml:space="preserve"> </v>
      </c>
      <c r="BH3" s="180" t="str">
        <f t="shared" si="9"/>
        <v xml:space="preserve"> </v>
      </c>
      <c r="BI3" s="180" t="str">
        <f t="shared" si="9"/>
        <v xml:space="preserve"> </v>
      </c>
      <c r="BJ3" s="262" t="s">
        <v>4</v>
      </c>
      <c r="BK3" s="63"/>
      <c r="BP3" s="179" t="s">
        <v>3</v>
      </c>
      <c r="BQ3" s="180" t="str">
        <f t="shared" ref="BQ3:BX3" si="10">IFERROR(((SUM(BQ180,BQ183))/BQ188)," ")</f>
        <v xml:space="preserve"> </v>
      </c>
      <c r="BR3" s="180" t="str">
        <f t="shared" si="10"/>
        <v xml:space="preserve"> </v>
      </c>
      <c r="BS3" s="180" t="str">
        <f t="shared" si="10"/>
        <v xml:space="preserve"> </v>
      </c>
      <c r="BT3" s="180" t="str">
        <f t="shared" si="10"/>
        <v xml:space="preserve"> </v>
      </c>
      <c r="BU3" s="180" t="str">
        <f t="shared" si="10"/>
        <v xml:space="preserve"> </v>
      </c>
      <c r="BV3" s="180" t="str">
        <f t="shared" si="10"/>
        <v xml:space="preserve"> </v>
      </c>
      <c r="BW3" s="180" t="str">
        <f t="shared" si="10"/>
        <v xml:space="preserve"> </v>
      </c>
      <c r="BX3" s="180" t="str">
        <f t="shared" si="10"/>
        <v xml:space="preserve"> </v>
      </c>
      <c r="BY3" s="358"/>
      <c r="BZ3" s="359"/>
      <c r="CA3" s="63"/>
      <c r="CB3" s="63"/>
      <c r="CC3" s="179" t="s">
        <v>3</v>
      </c>
      <c r="CD3" s="180">
        <f t="shared" ref="CD3:CE3" si="11">IFERROR(((SUM(CD180,CD183))/CD188)," ")</f>
        <v>0.67128987517337035</v>
      </c>
      <c r="CE3" s="180">
        <f t="shared" si="11"/>
        <v>0.66124176524757383</v>
      </c>
    </row>
    <row r="4" spans="2:92" ht="19.5" customHeight="1">
      <c r="B4" s="329" t="s">
        <v>615</v>
      </c>
      <c r="C4" s="185"/>
      <c r="D4" s="186"/>
      <c r="E4" s="187"/>
      <c r="G4" s="179" t="s">
        <v>5</v>
      </c>
      <c r="H4" s="18">
        <f t="shared" ref="H4:P4" si="12">COUNTIF(H10:H176,"&gt;0")</f>
        <v>36</v>
      </c>
      <c r="I4" s="18">
        <f t="shared" si="12"/>
        <v>10</v>
      </c>
      <c r="J4" s="18">
        <f t="shared" si="12"/>
        <v>8</v>
      </c>
      <c r="K4" s="18">
        <f t="shared" si="12"/>
        <v>2</v>
      </c>
      <c r="L4" s="18">
        <f t="shared" si="12"/>
        <v>10</v>
      </c>
      <c r="M4" s="18">
        <f t="shared" si="12"/>
        <v>11</v>
      </c>
      <c r="N4" s="18">
        <f t="shared" si="12"/>
        <v>6</v>
      </c>
      <c r="O4" s="18">
        <f t="shared" si="12"/>
        <v>11</v>
      </c>
      <c r="P4" s="18">
        <f t="shared" si="12"/>
        <v>33</v>
      </c>
      <c r="V4" s="179" t="s">
        <v>5</v>
      </c>
      <c r="W4" s="18">
        <f t="shared" ref="W4:AE4" si="13">COUNTIF(W10:W176,"&gt;0")</f>
        <v>0</v>
      </c>
      <c r="X4" s="18">
        <f t="shared" si="13"/>
        <v>0</v>
      </c>
      <c r="Y4" s="18">
        <f t="shared" si="13"/>
        <v>0</v>
      </c>
      <c r="Z4" s="18">
        <f t="shared" si="13"/>
        <v>0</v>
      </c>
      <c r="AA4" s="18">
        <f t="shared" si="13"/>
        <v>0</v>
      </c>
      <c r="AB4" s="18">
        <f t="shared" si="13"/>
        <v>0</v>
      </c>
      <c r="AC4" s="18">
        <f t="shared" si="13"/>
        <v>0</v>
      </c>
      <c r="AD4" s="18">
        <f t="shared" si="13"/>
        <v>0</v>
      </c>
      <c r="AE4" s="18">
        <f t="shared" si="13"/>
        <v>0</v>
      </c>
      <c r="AK4" s="179" t="s">
        <v>5</v>
      </c>
      <c r="AL4" s="18">
        <f t="shared" ref="AL4:AT4" si="14">COUNTIF(AL10:AL176,"&gt;0")</f>
        <v>0</v>
      </c>
      <c r="AM4" s="18">
        <f t="shared" si="14"/>
        <v>0</v>
      </c>
      <c r="AN4" s="18">
        <f t="shared" si="14"/>
        <v>0</v>
      </c>
      <c r="AO4" s="18">
        <f t="shared" si="14"/>
        <v>0</v>
      </c>
      <c r="AP4" s="18">
        <f t="shared" si="14"/>
        <v>0</v>
      </c>
      <c r="AQ4" s="18">
        <f t="shared" si="14"/>
        <v>0</v>
      </c>
      <c r="AR4" s="18">
        <f t="shared" si="14"/>
        <v>0</v>
      </c>
      <c r="AS4" s="18">
        <f t="shared" si="14"/>
        <v>0</v>
      </c>
      <c r="AT4" s="18">
        <f t="shared" si="14"/>
        <v>0</v>
      </c>
      <c r="AU4" s="60"/>
      <c r="BA4" s="179" t="s">
        <v>5</v>
      </c>
      <c r="BB4" s="18">
        <f t="shared" ref="BB4:BI4" si="15">COUNTIF(BB10:BB176,"&gt;0")</f>
        <v>0</v>
      </c>
      <c r="BC4" s="18">
        <f t="shared" si="15"/>
        <v>0</v>
      </c>
      <c r="BD4" s="18">
        <f t="shared" si="15"/>
        <v>0</v>
      </c>
      <c r="BE4" s="18">
        <f t="shared" si="15"/>
        <v>0</v>
      </c>
      <c r="BF4" s="18">
        <f t="shared" si="15"/>
        <v>0</v>
      </c>
      <c r="BG4" s="18">
        <f t="shared" si="15"/>
        <v>0</v>
      </c>
      <c r="BH4" s="18">
        <f t="shared" si="15"/>
        <v>0</v>
      </c>
      <c r="BI4" s="18">
        <f t="shared" si="15"/>
        <v>0</v>
      </c>
      <c r="BJ4" s="262" t="s">
        <v>6</v>
      </c>
      <c r="BK4" s="60"/>
      <c r="BP4" s="179" t="s">
        <v>5</v>
      </c>
      <c r="BQ4" s="18">
        <f t="shared" ref="BQ4:BX4" si="16">COUNTIF(BQ10:BQ176,"&gt;0")</f>
        <v>0</v>
      </c>
      <c r="BR4" s="18">
        <f t="shared" si="16"/>
        <v>0</v>
      </c>
      <c r="BS4" s="18">
        <f t="shared" si="16"/>
        <v>0</v>
      </c>
      <c r="BT4" s="18">
        <f t="shared" si="16"/>
        <v>0</v>
      </c>
      <c r="BU4" s="18">
        <f t="shared" si="16"/>
        <v>0</v>
      </c>
      <c r="BV4" s="18">
        <f t="shared" si="16"/>
        <v>0</v>
      </c>
      <c r="BW4" s="18">
        <f t="shared" si="16"/>
        <v>0</v>
      </c>
      <c r="BX4" s="18">
        <f t="shared" si="16"/>
        <v>0</v>
      </c>
      <c r="BY4" s="358"/>
      <c r="BZ4" s="359"/>
      <c r="CA4" s="60"/>
      <c r="CB4" s="60"/>
      <c r="CC4" s="179" t="s">
        <v>5</v>
      </c>
      <c r="CD4" s="18">
        <f t="shared" ref="CD4:CE4" si="17">COUNTIF(CD10:CD176,"&gt;0")</f>
        <v>36</v>
      </c>
      <c r="CE4" s="18">
        <f t="shared" si="17"/>
        <v>33</v>
      </c>
    </row>
    <row r="5" spans="2:92">
      <c r="AE5" s="237"/>
      <c r="BJ5" s="262"/>
      <c r="CA5">
        <f>600+3960</f>
        <v>4560</v>
      </c>
    </row>
    <row r="6" spans="2:92" ht="21">
      <c r="B6" s="188"/>
      <c r="C6" s="189"/>
      <c r="D6" s="190"/>
      <c r="E6" s="191"/>
      <c r="F6" s="192" t="s">
        <v>7</v>
      </c>
      <c r="G6" s="190"/>
      <c r="H6" s="190"/>
      <c r="I6" s="360" t="s">
        <v>8</v>
      </c>
      <c r="J6" s="361"/>
      <c r="K6" s="361"/>
      <c r="L6" s="361"/>
      <c r="M6" s="361"/>
      <c r="N6" s="361"/>
      <c r="O6" s="362"/>
      <c r="S6" s="189"/>
      <c r="U6" s="218" t="s">
        <v>9</v>
      </c>
      <c r="X6" s="363" t="s">
        <v>8</v>
      </c>
      <c r="Y6" s="364"/>
      <c r="Z6" s="364"/>
      <c r="AA6" s="364"/>
      <c r="AB6" s="364"/>
      <c r="AC6" s="365"/>
      <c r="AD6" s="366"/>
      <c r="AJ6" s="218" t="s">
        <v>10</v>
      </c>
      <c r="AM6" s="363" t="s">
        <v>8</v>
      </c>
      <c r="AN6" s="364"/>
      <c r="AO6" s="364"/>
      <c r="AP6" s="364"/>
      <c r="AQ6" s="364"/>
      <c r="AR6" s="364"/>
      <c r="AS6" s="366"/>
      <c r="AT6" s="367"/>
      <c r="AU6" s="368"/>
      <c r="AV6" s="369"/>
      <c r="AZ6" s="218" t="s">
        <v>11</v>
      </c>
      <c r="BC6" s="363" t="s">
        <v>8</v>
      </c>
      <c r="BD6" s="364"/>
      <c r="BE6" s="364"/>
      <c r="BF6" s="364"/>
      <c r="BG6" s="364"/>
      <c r="BH6" s="364"/>
      <c r="BI6" s="366"/>
      <c r="BO6" s="218" t="s">
        <v>12</v>
      </c>
      <c r="BR6" s="363" t="s">
        <v>8</v>
      </c>
      <c r="BS6" s="364"/>
      <c r="BT6" s="364"/>
      <c r="BU6" s="364"/>
      <c r="BV6" s="364"/>
      <c r="BW6" s="364"/>
      <c r="BX6" s="366"/>
      <c r="CA6">
        <f>5536+872</f>
        <v>6408</v>
      </c>
      <c r="CD6" s="363" t="str">
        <f>+B4</f>
        <v>DECEMBER 2022</v>
      </c>
      <c r="CE6" s="371"/>
      <c r="CF6" s="371"/>
      <c r="CG6" s="371"/>
      <c r="CH6" s="372"/>
      <c r="CI6" s="372"/>
      <c r="CJ6" s="373"/>
    </row>
    <row r="7" spans="2:92" ht="49.5" customHeight="1">
      <c r="B7" s="193" t="s">
        <v>13</v>
      </c>
      <c r="C7" s="193" t="s">
        <v>14</v>
      </c>
      <c r="D7" s="193" t="s">
        <v>15</v>
      </c>
      <c r="E7" s="193" t="s">
        <v>16</v>
      </c>
      <c r="F7" s="194" t="s">
        <v>17</v>
      </c>
      <c r="G7" s="193" t="s">
        <v>18</v>
      </c>
      <c r="H7" s="193" t="s">
        <v>19</v>
      </c>
      <c r="I7" s="208">
        <v>44893</v>
      </c>
      <c r="J7" s="208">
        <f t="shared" ref="J7:O7" si="18">+I7+1</f>
        <v>44894</v>
      </c>
      <c r="K7" s="208">
        <f t="shared" si="18"/>
        <v>44895</v>
      </c>
      <c r="L7" s="208">
        <f t="shared" si="18"/>
        <v>44896</v>
      </c>
      <c r="M7" s="208">
        <f t="shared" si="18"/>
        <v>44897</v>
      </c>
      <c r="N7" s="208">
        <f t="shared" si="18"/>
        <v>44898</v>
      </c>
      <c r="O7" s="208">
        <f t="shared" si="18"/>
        <v>44899</v>
      </c>
      <c r="P7" s="208" t="str">
        <f>F6</f>
        <v>WEEK1</v>
      </c>
      <c r="Q7" s="219" t="s">
        <v>20</v>
      </c>
      <c r="R7" s="208" t="s">
        <v>21</v>
      </c>
      <c r="S7" s="220"/>
      <c r="U7" s="221" t="s">
        <v>17</v>
      </c>
      <c r="V7" s="221" t="s">
        <v>18</v>
      </c>
      <c r="W7" s="221" t="s">
        <v>19</v>
      </c>
      <c r="X7" s="222">
        <f>O7+1</f>
        <v>44900</v>
      </c>
      <c r="Y7" s="222">
        <f t="shared" ref="Y7:AD7" si="19">+X7+1</f>
        <v>44901</v>
      </c>
      <c r="Z7" s="222">
        <f t="shared" si="19"/>
        <v>44902</v>
      </c>
      <c r="AA7" s="222">
        <f t="shared" si="19"/>
        <v>44903</v>
      </c>
      <c r="AB7" s="222">
        <f t="shared" si="19"/>
        <v>44904</v>
      </c>
      <c r="AC7" s="238">
        <f t="shared" si="19"/>
        <v>44905</v>
      </c>
      <c r="AD7" s="222">
        <f t="shared" si="19"/>
        <v>44906</v>
      </c>
      <c r="AE7" s="222" t="str">
        <f>+U6</f>
        <v>WEEK2</v>
      </c>
      <c r="AF7" s="239" t="s">
        <v>20</v>
      </c>
      <c r="AG7" s="222" t="s">
        <v>21</v>
      </c>
      <c r="AJ7" s="248" t="s">
        <v>17</v>
      </c>
      <c r="AK7" s="221" t="s">
        <v>18</v>
      </c>
      <c r="AL7" s="221" t="s">
        <v>19</v>
      </c>
      <c r="AM7" s="222">
        <f>AD7+1</f>
        <v>44907</v>
      </c>
      <c r="AN7" s="222">
        <f t="shared" ref="AN7:AS7" si="20">+AM7+1</f>
        <v>44908</v>
      </c>
      <c r="AO7" s="222">
        <f t="shared" si="20"/>
        <v>44909</v>
      </c>
      <c r="AP7" s="222">
        <f t="shared" si="20"/>
        <v>44910</v>
      </c>
      <c r="AQ7" s="222">
        <f t="shared" si="20"/>
        <v>44911</v>
      </c>
      <c r="AR7" s="222">
        <f t="shared" si="20"/>
        <v>44912</v>
      </c>
      <c r="AS7" s="222">
        <f t="shared" si="20"/>
        <v>44913</v>
      </c>
      <c r="AT7" s="222" t="str">
        <f>+AJ6</f>
        <v>WEEK 3</v>
      </c>
      <c r="AU7" s="239" t="s">
        <v>20</v>
      </c>
      <c r="AV7" s="222" t="s">
        <v>21</v>
      </c>
      <c r="AW7" s="247"/>
      <c r="AX7" s="247"/>
      <c r="AZ7" s="221" t="s">
        <v>17</v>
      </c>
      <c r="BA7" s="221" t="s">
        <v>18</v>
      </c>
      <c r="BB7" s="221" t="s">
        <v>19</v>
      </c>
      <c r="BC7" s="222">
        <f>AS7+1</f>
        <v>44914</v>
      </c>
      <c r="BD7" s="222">
        <f t="shared" ref="BD7:BI7" si="21">+BC7+1</f>
        <v>44915</v>
      </c>
      <c r="BE7" s="222">
        <f t="shared" si="21"/>
        <v>44916</v>
      </c>
      <c r="BF7" s="222">
        <f t="shared" si="21"/>
        <v>44917</v>
      </c>
      <c r="BG7" s="222">
        <f t="shared" si="21"/>
        <v>44918</v>
      </c>
      <c r="BH7" s="222">
        <f t="shared" si="21"/>
        <v>44919</v>
      </c>
      <c r="BI7" s="222">
        <f t="shared" si="21"/>
        <v>44920</v>
      </c>
      <c r="BJ7" s="222" t="str">
        <f>+AZ6</f>
        <v>WEEK 4</v>
      </c>
      <c r="BK7" s="239" t="s">
        <v>20</v>
      </c>
      <c r="BL7" s="222" t="s">
        <v>21</v>
      </c>
      <c r="BO7" s="221" t="s">
        <v>17</v>
      </c>
      <c r="BP7" s="221" t="s">
        <v>18</v>
      </c>
      <c r="BQ7" s="221" t="s">
        <v>19</v>
      </c>
      <c r="BR7" s="222">
        <f>BI7+1</f>
        <v>44921</v>
      </c>
      <c r="BS7" s="222">
        <f t="shared" ref="BS7" si="22">+BR7+1</f>
        <v>44922</v>
      </c>
      <c r="BT7" s="222">
        <f t="shared" ref="BT7" si="23">+BS7+1</f>
        <v>44923</v>
      </c>
      <c r="BU7" s="222">
        <f t="shared" ref="BU7" si="24">+BT7+1</f>
        <v>44924</v>
      </c>
      <c r="BV7" s="222">
        <f t="shared" ref="BV7" si="25">+BU7+1</f>
        <v>44925</v>
      </c>
      <c r="BW7" s="222">
        <f t="shared" ref="BW7" si="26">+BV7+1</f>
        <v>44926</v>
      </c>
      <c r="BX7" s="222">
        <f t="shared" ref="BX7" si="27">+BW7+1</f>
        <v>44927</v>
      </c>
      <c r="BY7" s="222" t="str">
        <f>+BO6</f>
        <v>WEEK 5</v>
      </c>
      <c r="BZ7" s="239" t="s">
        <v>20</v>
      </c>
      <c r="CA7" s="222" t="s">
        <v>21</v>
      </c>
      <c r="CB7" s="222"/>
      <c r="CC7" s="330" t="s">
        <v>22</v>
      </c>
      <c r="CD7" s="221" t="s">
        <v>19</v>
      </c>
      <c r="CE7" s="221" t="s">
        <v>23</v>
      </c>
      <c r="CF7" s="221" t="s">
        <v>24</v>
      </c>
      <c r="CG7" s="221" t="s">
        <v>21</v>
      </c>
      <c r="CH7" s="221" t="s">
        <v>25</v>
      </c>
      <c r="CI7" s="221" t="s">
        <v>26</v>
      </c>
      <c r="CJ7" s="221" t="s">
        <v>27</v>
      </c>
      <c r="CL7" s="225" t="s">
        <v>28</v>
      </c>
      <c r="CM7" s="225" t="s">
        <v>29</v>
      </c>
      <c r="CN7" s="225" t="s">
        <v>30</v>
      </c>
    </row>
    <row r="8" spans="2:92" ht="18.75">
      <c r="B8" s="195"/>
      <c r="C8" s="196"/>
      <c r="D8" s="195"/>
      <c r="E8" s="197"/>
      <c r="F8" s="196"/>
      <c r="G8" s="196"/>
      <c r="H8" s="196"/>
      <c r="I8" s="209" t="s">
        <v>31</v>
      </c>
      <c r="J8" s="209" t="s">
        <v>32</v>
      </c>
      <c r="K8" s="209" t="s">
        <v>33</v>
      </c>
      <c r="L8" s="209" t="s">
        <v>34</v>
      </c>
      <c r="M8" s="209" t="s">
        <v>35</v>
      </c>
      <c r="N8" s="209" t="s">
        <v>36</v>
      </c>
      <c r="O8" s="209" t="s">
        <v>37</v>
      </c>
      <c r="P8" s="209" t="s">
        <v>38</v>
      </c>
      <c r="Q8" s="223"/>
      <c r="R8" s="224"/>
      <c r="S8" s="220"/>
      <c r="U8" s="225"/>
      <c r="V8" s="225"/>
      <c r="W8" s="225"/>
      <c r="X8" s="226" t="s">
        <v>31</v>
      </c>
      <c r="Y8" s="226" t="s">
        <v>32</v>
      </c>
      <c r="Z8" s="226" t="s">
        <v>33</v>
      </c>
      <c r="AA8" s="226" t="s">
        <v>34</v>
      </c>
      <c r="AB8" s="226" t="s">
        <v>35</v>
      </c>
      <c r="AC8" s="226" t="s">
        <v>36</v>
      </c>
      <c r="AD8" s="226" t="s">
        <v>37</v>
      </c>
      <c r="AE8" s="226" t="s">
        <v>38</v>
      </c>
      <c r="AF8" s="240"/>
      <c r="AG8" s="249"/>
      <c r="AH8" s="247"/>
      <c r="AJ8" s="250"/>
      <c r="AK8" s="225"/>
      <c r="AL8" s="225"/>
      <c r="AM8" s="226" t="s">
        <v>31</v>
      </c>
      <c r="AN8" s="226" t="s">
        <v>32</v>
      </c>
      <c r="AO8" s="226" t="s">
        <v>33</v>
      </c>
      <c r="AP8" s="226" t="s">
        <v>34</v>
      </c>
      <c r="AQ8" s="226" t="s">
        <v>35</v>
      </c>
      <c r="AR8" s="226" t="s">
        <v>36</v>
      </c>
      <c r="AS8" s="226" t="s">
        <v>37</v>
      </c>
      <c r="AT8" s="226" t="s">
        <v>38</v>
      </c>
      <c r="AU8" s="240"/>
      <c r="AV8" s="249"/>
      <c r="AW8" s="247"/>
      <c r="AX8" s="247"/>
      <c r="AZ8" s="225"/>
      <c r="BA8" s="225"/>
      <c r="BB8" s="225"/>
      <c r="BC8" s="226" t="s">
        <v>31</v>
      </c>
      <c r="BD8" s="226" t="s">
        <v>32</v>
      </c>
      <c r="BE8" s="226" t="s">
        <v>33</v>
      </c>
      <c r="BF8" s="226" t="s">
        <v>34</v>
      </c>
      <c r="BG8" s="226" t="s">
        <v>35</v>
      </c>
      <c r="BH8" s="226" t="s">
        <v>36</v>
      </c>
      <c r="BI8" s="226" t="s">
        <v>37</v>
      </c>
      <c r="BJ8" s="226" t="s">
        <v>38</v>
      </c>
      <c r="BK8" s="240"/>
      <c r="BL8" s="249"/>
      <c r="BO8" s="225"/>
      <c r="BP8" s="225"/>
      <c r="BQ8" s="225"/>
      <c r="BR8" s="226" t="s">
        <v>31</v>
      </c>
      <c r="BS8" s="226" t="s">
        <v>32</v>
      </c>
      <c r="BT8" s="226" t="s">
        <v>33</v>
      </c>
      <c r="BU8" s="226" t="s">
        <v>34</v>
      </c>
      <c r="BV8" s="226" t="s">
        <v>35</v>
      </c>
      <c r="BW8" s="226" t="s">
        <v>36</v>
      </c>
      <c r="BX8" s="226" t="s">
        <v>37</v>
      </c>
      <c r="BY8" s="226" t="s">
        <v>38</v>
      </c>
      <c r="BZ8" s="240"/>
      <c r="CA8" s="249"/>
      <c r="CB8" s="249"/>
      <c r="CD8" s="225"/>
      <c r="CE8" s="225"/>
      <c r="CF8" s="225"/>
      <c r="CG8" s="225"/>
      <c r="CH8" s="225"/>
      <c r="CI8" s="225"/>
      <c r="CJ8" s="225"/>
    </row>
    <row r="9" spans="2:92" ht="18.75">
      <c r="B9" s="79" t="s">
        <v>39</v>
      </c>
      <c r="C9" s="80"/>
      <c r="D9" s="80"/>
      <c r="E9" s="198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227"/>
      <c r="T9" s="228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47"/>
      <c r="AI9" s="228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47"/>
      <c r="AX9" s="247"/>
      <c r="AY9" s="228"/>
      <c r="AZ9" s="229"/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8"/>
      <c r="BN9" s="228"/>
      <c r="BO9" s="229"/>
      <c r="BP9" s="229"/>
      <c r="BQ9" s="229"/>
      <c r="BR9" s="229"/>
      <c r="BS9" s="229"/>
      <c r="BT9" s="229"/>
      <c r="BU9" s="229"/>
      <c r="BV9" s="229"/>
      <c r="BW9" s="229"/>
      <c r="BX9" s="229"/>
      <c r="BY9" s="229"/>
      <c r="BZ9" s="229"/>
      <c r="CA9" s="229"/>
      <c r="CB9" s="327"/>
      <c r="CC9" s="264"/>
      <c r="CD9" s="229"/>
      <c r="CE9" s="229"/>
      <c r="CF9" s="229"/>
      <c r="CG9" s="229"/>
      <c r="CH9" s="228"/>
      <c r="CI9" s="228"/>
      <c r="CJ9" s="228"/>
    </row>
    <row r="10" spans="2:92" ht="15.75" hidden="1">
      <c r="B10" s="82" t="s">
        <v>40</v>
      </c>
      <c r="C10" s="83">
        <v>1012150756003</v>
      </c>
      <c r="D10" s="84" t="s">
        <v>41</v>
      </c>
      <c r="E10" s="199">
        <v>2.5</v>
      </c>
      <c r="F10" s="200"/>
      <c r="G10" s="200"/>
      <c r="H10" s="201">
        <f>+F10+G10</f>
        <v>0</v>
      </c>
      <c r="I10" s="200"/>
      <c r="J10" s="200"/>
      <c r="K10" s="200"/>
      <c r="L10" s="200"/>
      <c r="M10" s="200"/>
      <c r="N10" s="200"/>
      <c r="O10" s="200"/>
      <c r="P10" s="210">
        <f>SUM(I10:O10)</f>
        <v>0</v>
      </c>
      <c r="Q10" s="230">
        <f>IF((P10-H10)&lt;0,(P10-H10),0)</f>
        <v>0</v>
      </c>
      <c r="R10" s="230">
        <f>IF((P10-H10)&gt;0,(P10-H10),0)</f>
        <v>0</v>
      </c>
      <c r="S10" s="231"/>
      <c r="T10" s="232"/>
      <c r="U10" s="215"/>
      <c r="V10" s="215"/>
      <c r="W10" s="233">
        <f>+U10+V10</f>
        <v>0</v>
      </c>
      <c r="X10" s="214"/>
      <c r="Y10" s="214"/>
      <c r="Z10" s="215"/>
      <c r="AA10" s="214"/>
      <c r="AB10" s="214"/>
      <c r="AC10" s="214"/>
      <c r="AD10" s="215"/>
      <c r="AE10" s="241">
        <f>SUM(X10:AD10)</f>
        <v>0</v>
      </c>
      <c r="AF10" s="242">
        <f>IF((AE10-W10)&lt;0,(AE10-W10),0)</f>
        <v>0</v>
      </c>
      <c r="AG10" s="251">
        <f>IF((AE10-W10)&gt;0,(AE10-W10),0)</f>
        <v>0</v>
      </c>
      <c r="AH10" s="247"/>
      <c r="AI10" s="252"/>
      <c r="AJ10" s="214"/>
      <c r="AK10" s="215"/>
      <c r="AL10" s="233">
        <f>+AJ10+AK10</f>
        <v>0</v>
      </c>
      <c r="AM10" s="241"/>
      <c r="AN10" s="215"/>
      <c r="AO10" s="215"/>
      <c r="AP10" s="215"/>
      <c r="AQ10" s="215"/>
      <c r="AR10" s="215"/>
      <c r="AS10" s="241"/>
      <c r="AT10" s="241">
        <f>SUM(AM10:AS10)</f>
        <v>0</v>
      </c>
      <c r="AU10" s="242">
        <f>IF((AT10-AL10)&lt;0,(AT10-AL10),0)</f>
        <v>0</v>
      </c>
      <c r="AV10" s="251">
        <f>IF((AT10-AL10)&gt;0,(AT10-AL10),0)</f>
        <v>0</v>
      </c>
      <c r="AW10" s="247"/>
      <c r="AX10" s="247"/>
      <c r="AY10" s="252"/>
      <c r="AZ10" s="214"/>
      <c r="BA10" s="215"/>
      <c r="BB10" s="233">
        <f t="shared" ref="BB10:BB40" si="28">AZ10+BA10</f>
        <v>0</v>
      </c>
      <c r="BC10" s="215"/>
      <c r="BD10" s="215"/>
      <c r="BE10" s="241"/>
      <c r="BF10" s="215"/>
      <c r="BG10" s="215"/>
      <c r="BH10" s="215"/>
      <c r="BI10" s="215"/>
      <c r="BJ10" s="241">
        <f>SUM(BC10:BI10)</f>
        <v>0</v>
      </c>
      <c r="BK10" s="242">
        <f t="shared" ref="BK10:BK76" si="29">IF((BJ10-BB10)&lt;0,(BJ10-BB10),0)</f>
        <v>0</v>
      </c>
      <c r="BL10" s="251">
        <f t="shared" ref="BL10:BL76" si="30">IF((BJ10-BB10)&gt;0,(BJ10-BB10),0)</f>
        <v>0</v>
      </c>
      <c r="BM10" s="252"/>
      <c r="BN10" s="252"/>
      <c r="BO10" s="13"/>
      <c r="BP10" s="215"/>
      <c r="BQ10" s="233">
        <f>+BO10-BP10</f>
        <v>0</v>
      </c>
      <c r="BR10" s="214"/>
      <c r="BS10" s="214"/>
      <c r="BT10" s="214"/>
      <c r="BU10" s="214"/>
      <c r="BV10" s="215"/>
      <c r="BW10" s="215"/>
      <c r="BX10" s="215"/>
      <c r="BY10" s="241">
        <f>SUM(BR10:BX10)</f>
        <v>0</v>
      </c>
      <c r="BZ10" s="242">
        <f t="shared" ref="BZ10:BZ79" si="31">IF((BY10-BQ10)&lt;0,(BY10-BQ10),0)</f>
        <v>0</v>
      </c>
      <c r="CA10" s="251">
        <f>IF((BY10-BQ10)&gt;0,(BY10-BQ10),0)</f>
        <v>0</v>
      </c>
      <c r="CB10" s="252"/>
      <c r="CC10" s="252"/>
      <c r="CD10" s="251">
        <f t="shared" ref="CD10:CD40" si="32">H10+W10+AL10+BB10+BQ10</f>
        <v>0</v>
      </c>
      <c r="CE10" s="251">
        <f t="shared" ref="CE10:CE49" si="33">+P10+AE10+AT10+BJ10+BY10+CC10</f>
        <v>0</v>
      </c>
      <c r="CF10" s="251">
        <f>IF((CE10-CD10)&lt;0,(CE10-CD10),0)</f>
        <v>0</v>
      </c>
      <c r="CG10" s="251">
        <f>IF((CE10-CD10)&gt;0,(CE10-CD10),0)</f>
        <v>0</v>
      </c>
      <c r="CH10" s="265">
        <v>0</v>
      </c>
      <c r="CI10" s="266">
        <f>SUM(G10,V10,AK10,BA10,BP10)</f>
        <v>0</v>
      </c>
      <c r="CJ10" s="266">
        <v>0</v>
      </c>
      <c r="CK10" s="63"/>
      <c r="CL10" s="267">
        <f t="shared" ref="CL10:CL76" si="34">IFERROR(1-ABS(CD10-CE10)/CE10,0)</f>
        <v>0</v>
      </c>
      <c r="CM10" s="267">
        <f t="shared" ref="CM10:CM40" si="35">CD10/CD$177</f>
        <v>0</v>
      </c>
      <c r="CN10" s="267">
        <f>CL10*CM10</f>
        <v>0</v>
      </c>
    </row>
    <row r="11" spans="2:92" ht="15.75" hidden="1">
      <c r="B11" s="85" t="s">
        <v>42</v>
      </c>
      <c r="C11" s="86">
        <v>1012150756006</v>
      </c>
      <c r="D11" s="87" t="s">
        <v>43</v>
      </c>
      <c r="E11" s="202" t="s">
        <v>44</v>
      </c>
      <c r="F11" s="203"/>
      <c r="G11" s="203"/>
      <c r="H11" s="204">
        <f t="shared" ref="H11:H77" si="36">+F11+G11</f>
        <v>0</v>
      </c>
      <c r="I11" s="203"/>
      <c r="J11" s="203"/>
      <c r="K11" s="203"/>
      <c r="L11" s="203"/>
      <c r="M11" s="203"/>
      <c r="N11" s="203"/>
      <c r="O11" s="203"/>
      <c r="P11" s="211">
        <f t="shared" ref="P11:P70" si="37">SUM(I11:O11)</f>
        <v>0</v>
      </c>
      <c r="Q11" s="234">
        <f t="shared" ref="Q11:Q79" si="38">IF((P11-H11)&lt;0,(P11-H11),0)</f>
        <v>0</v>
      </c>
      <c r="R11" s="234">
        <f t="shared" ref="R11:R77" si="39">IF((P11-H11)&gt;0,(P11-H11),0)</f>
        <v>0</v>
      </c>
      <c r="S11" s="231"/>
      <c r="T11" s="232"/>
      <c r="U11" s="213"/>
      <c r="V11" s="213"/>
      <c r="W11" s="235">
        <f t="shared" ref="W11:W77" si="40">+U11+V11</f>
        <v>0</v>
      </c>
      <c r="X11" s="212"/>
      <c r="Y11" s="212"/>
      <c r="Z11" s="213"/>
      <c r="AA11" s="212"/>
      <c r="AB11" s="212"/>
      <c r="AC11" s="212"/>
      <c r="AD11" s="213"/>
      <c r="AE11" s="243">
        <f t="shared" ref="AE11:AE77" si="41">SUM(X11:AD11)</f>
        <v>0</v>
      </c>
      <c r="AF11" s="244">
        <f t="shared" ref="AF11:AF77" si="42">IF((AE11-W11)&lt;0,(AE11-W11),0)</f>
        <v>0</v>
      </c>
      <c r="AG11" s="253">
        <f t="shared" ref="AG11:AG77" si="43">IF((AE11-W11)&gt;0,(AE11-W11),0)</f>
        <v>0</v>
      </c>
      <c r="AH11" s="247"/>
      <c r="AI11" s="252"/>
      <c r="AJ11" s="212"/>
      <c r="AK11" s="213"/>
      <c r="AL11" s="235">
        <f t="shared" ref="AL11:AL77" si="44">+AJ11+AK11</f>
        <v>0</v>
      </c>
      <c r="AM11" s="243"/>
      <c r="AN11" s="213"/>
      <c r="AO11" s="213"/>
      <c r="AP11" s="213"/>
      <c r="AQ11" s="213"/>
      <c r="AR11" s="213"/>
      <c r="AS11" s="243"/>
      <c r="AT11" s="243">
        <f t="shared" ref="AT11:AT77" si="45">SUM(AM11:AS11)</f>
        <v>0</v>
      </c>
      <c r="AU11" s="244">
        <f t="shared" ref="AU11:AU77" si="46">IF((AT11-AL11)&lt;0,(AT11-AL11),0)</f>
        <v>0</v>
      </c>
      <c r="AV11" s="253">
        <f t="shared" ref="AV11:AV77" si="47">IF((AT11-AL11)&gt;0,(AT11-AL11),0)</f>
        <v>0</v>
      </c>
      <c r="AW11" s="247"/>
      <c r="AX11" s="247"/>
      <c r="AY11" s="252"/>
      <c r="AZ11" s="212"/>
      <c r="BA11" s="213"/>
      <c r="BB11" s="235">
        <f t="shared" si="28"/>
        <v>0</v>
      </c>
      <c r="BC11" s="213"/>
      <c r="BD11" s="213"/>
      <c r="BE11" s="243"/>
      <c r="BF11" s="213"/>
      <c r="BG11" s="213"/>
      <c r="BH11" s="213"/>
      <c r="BI11" s="213"/>
      <c r="BJ11" s="243">
        <f t="shared" ref="BJ11:BJ77" si="48">SUM(BC11:BI11)</f>
        <v>0</v>
      </c>
      <c r="BK11" s="244">
        <f t="shared" si="29"/>
        <v>0</v>
      </c>
      <c r="BL11" s="253">
        <f t="shared" si="30"/>
        <v>0</v>
      </c>
      <c r="BM11" s="252"/>
      <c r="BN11" s="252"/>
      <c r="BO11" s="205"/>
      <c r="BP11" s="213"/>
      <c r="BQ11" s="235">
        <f t="shared" ref="BQ11:BQ77" si="49">+BO11-BP11</f>
        <v>0</v>
      </c>
      <c r="BR11" s="212"/>
      <c r="BS11" s="212"/>
      <c r="BT11" s="212"/>
      <c r="BU11" s="212"/>
      <c r="BV11" s="213"/>
      <c r="BW11" s="213"/>
      <c r="BX11" s="213"/>
      <c r="BY11" s="243">
        <f t="shared" ref="BY11:BY77" si="50">SUM(BR11:BX11)</f>
        <v>0</v>
      </c>
      <c r="BZ11" s="244">
        <f t="shared" si="31"/>
        <v>0</v>
      </c>
      <c r="CA11" s="253">
        <f t="shared" ref="CA11:CA77" si="51">IF((BY11-BQ11)&gt;0,(BY11-BQ11),0)</f>
        <v>0</v>
      </c>
      <c r="CB11" s="328"/>
      <c r="CC11" s="252"/>
      <c r="CD11" s="253">
        <f t="shared" si="32"/>
        <v>0</v>
      </c>
      <c r="CE11" s="253">
        <f t="shared" si="33"/>
        <v>0</v>
      </c>
      <c r="CF11" s="253">
        <f t="shared" ref="CF11:CF77" si="52">IF((CE11-CD11)&lt;0,(CE11-CD11),0)</f>
        <v>0</v>
      </c>
      <c r="CG11" s="253">
        <f t="shared" ref="CG11:CG77" si="53">IF((CE11-CD11)&gt;0,(CE11-CD11),0)</f>
        <v>0</v>
      </c>
      <c r="CH11" s="265"/>
      <c r="CI11" s="266"/>
      <c r="CJ11" s="266"/>
      <c r="CK11" s="63"/>
      <c r="CL11" s="267">
        <f t="shared" si="34"/>
        <v>0</v>
      </c>
      <c r="CM11" s="267">
        <f t="shared" si="35"/>
        <v>0</v>
      </c>
      <c r="CN11" s="267">
        <f t="shared" ref="CN11:CN77" si="54">CL11*CM11</f>
        <v>0</v>
      </c>
    </row>
    <row r="12" spans="2:92" ht="15.75" hidden="1">
      <c r="B12" s="82" t="s">
        <v>45</v>
      </c>
      <c r="C12" s="83">
        <v>1012150756008</v>
      </c>
      <c r="D12" s="84" t="s">
        <v>46</v>
      </c>
      <c r="E12" s="199" t="s">
        <v>47</v>
      </c>
      <c r="F12" s="200"/>
      <c r="G12" s="200"/>
      <c r="H12" s="201">
        <f t="shared" si="36"/>
        <v>0</v>
      </c>
      <c r="I12" s="200"/>
      <c r="J12" s="200"/>
      <c r="K12" s="200"/>
      <c r="L12" s="200"/>
      <c r="M12" s="200"/>
      <c r="N12" s="200"/>
      <c r="O12" s="200"/>
      <c r="P12" s="210">
        <f t="shared" si="37"/>
        <v>0</v>
      </c>
      <c r="Q12" s="230">
        <f t="shared" si="38"/>
        <v>0</v>
      </c>
      <c r="R12" s="230">
        <f t="shared" si="39"/>
        <v>0</v>
      </c>
      <c r="S12" s="231"/>
      <c r="T12" s="232"/>
      <c r="U12" s="215"/>
      <c r="V12" s="215"/>
      <c r="W12" s="233">
        <f t="shared" si="40"/>
        <v>0</v>
      </c>
      <c r="X12" s="214"/>
      <c r="Y12" s="214"/>
      <c r="Z12" s="215"/>
      <c r="AA12" s="214"/>
      <c r="AB12" s="214"/>
      <c r="AC12" s="214"/>
      <c r="AD12" s="215"/>
      <c r="AE12" s="241">
        <f t="shared" si="41"/>
        <v>0</v>
      </c>
      <c r="AF12" s="242">
        <f t="shared" si="42"/>
        <v>0</v>
      </c>
      <c r="AG12" s="251">
        <f t="shared" si="43"/>
        <v>0</v>
      </c>
      <c r="AH12" s="247"/>
      <c r="AI12" s="252"/>
      <c r="AJ12" s="214"/>
      <c r="AK12" s="215"/>
      <c r="AL12" s="233">
        <f t="shared" si="44"/>
        <v>0</v>
      </c>
      <c r="AM12" s="241"/>
      <c r="AN12" s="215"/>
      <c r="AO12" s="215"/>
      <c r="AP12" s="215"/>
      <c r="AQ12" s="215"/>
      <c r="AR12" s="215"/>
      <c r="AS12" s="241"/>
      <c r="AT12" s="241">
        <f t="shared" si="45"/>
        <v>0</v>
      </c>
      <c r="AU12" s="242">
        <f t="shared" si="46"/>
        <v>0</v>
      </c>
      <c r="AV12" s="251">
        <f t="shared" si="47"/>
        <v>0</v>
      </c>
      <c r="AW12" s="247"/>
      <c r="AX12" s="247"/>
      <c r="AY12" s="252"/>
      <c r="AZ12" s="214"/>
      <c r="BA12" s="215"/>
      <c r="BB12" s="233">
        <f t="shared" si="28"/>
        <v>0</v>
      </c>
      <c r="BC12" s="215"/>
      <c r="BD12" s="215"/>
      <c r="BE12" s="241"/>
      <c r="BF12" s="215"/>
      <c r="BG12" s="215"/>
      <c r="BH12" s="215"/>
      <c r="BI12" s="215"/>
      <c r="BJ12" s="241">
        <f t="shared" si="48"/>
        <v>0</v>
      </c>
      <c r="BK12" s="242">
        <f t="shared" si="29"/>
        <v>0</v>
      </c>
      <c r="BL12" s="251">
        <f t="shared" si="30"/>
        <v>0</v>
      </c>
      <c r="BM12" s="252"/>
      <c r="BN12" s="252"/>
      <c r="BO12" s="13"/>
      <c r="BP12" s="215"/>
      <c r="BQ12" s="233">
        <f t="shared" si="49"/>
        <v>0</v>
      </c>
      <c r="BR12" s="214"/>
      <c r="BS12" s="214"/>
      <c r="BT12" s="214"/>
      <c r="BU12" s="214"/>
      <c r="BV12" s="215"/>
      <c r="BW12" s="215"/>
      <c r="BX12" s="215"/>
      <c r="BY12" s="241">
        <f t="shared" si="50"/>
        <v>0</v>
      </c>
      <c r="BZ12" s="242">
        <f t="shared" si="31"/>
        <v>0</v>
      </c>
      <c r="CA12" s="251">
        <f t="shared" si="51"/>
        <v>0</v>
      </c>
      <c r="CB12" s="252"/>
      <c r="CC12" s="252"/>
      <c r="CD12" s="251">
        <f t="shared" si="32"/>
        <v>0</v>
      </c>
      <c r="CE12" s="251">
        <f t="shared" si="33"/>
        <v>0</v>
      </c>
      <c r="CF12" s="251">
        <f t="shared" si="52"/>
        <v>0</v>
      </c>
      <c r="CG12" s="251">
        <f t="shared" si="53"/>
        <v>0</v>
      </c>
      <c r="CH12" s="265"/>
      <c r="CI12" s="266"/>
      <c r="CJ12" s="266"/>
      <c r="CK12" s="63"/>
      <c r="CL12" s="267">
        <f t="shared" si="34"/>
        <v>0</v>
      </c>
      <c r="CM12" s="267">
        <f t="shared" si="35"/>
        <v>0</v>
      </c>
      <c r="CN12" s="267">
        <f t="shared" si="54"/>
        <v>0</v>
      </c>
    </row>
    <row r="13" spans="2:92" ht="15.75">
      <c r="B13" s="85" t="s">
        <v>48</v>
      </c>
      <c r="C13" s="86">
        <v>1012150756011</v>
      </c>
      <c r="D13" s="87" t="s">
        <v>49</v>
      </c>
      <c r="E13" s="202" t="s">
        <v>50</v>
      </c>
      <c r="F13" s="205"/>
      <c r="G13" s="213"/>
      <c r="H13" s="235">
        <f t="shared" ref="H13:H33" si="55">+F13-G13</f>
        <v>0</v>
      </c>
      <c r="I13" s="212"/>
      <c r="J13" s="212"/>
      <c r="K13" s="212"/>
      <c r="L13" s="212"/>
      <c r="M13" s="213"/>
      <c r="N13" s="213"/>
      <c r="O13" s="213"/>
      <c r="P13" s="211">
        <f t="shared" si="37"/>
        <v>0</v>
      </c>
      <c r="Q13" s="234">
        <f t="shared" si="38"/>
        <v>0</v>
      </c>
      <c r="R13" s="234">
        <f t="shared" si="39"/>
        <v>0</v>
      </c>
      <c r="S13" s="231"/>
      <c r="T13" s="232"/>
      <c r="U13" s="213"/>
      <c r="V13" s="213"/>
      <c r="W13" s="235">
        <f t="shared" si="40"/>
        <v>0</v>
      </c>
      <c r="X13" s="212"/>
      <c r="Y13" s="212"/>
      <c r="Z13" s="212"/>
      <c r="AA13" s="212"/>
      <c r="AB13" s="212"/>
      <c r="AC13" s="212"/>
      <c r="AD13" s="212"/>
      <c r="AE13" s="243">
        <f t="shared" si="41"/>
        <v>0</v>
      </c>
      <c r="AF13" s="244">
        <f t="shared" si="42"/>
        <v>0</v>
      </c>
      <c r="AG13" s="253">
        <f t="shared" si="43"/>
        <v>0</v>
      </c>
      <c r="AH13" s="247"/>
      <c r="AI13" s="252"/>
      <c r="AJ13" s="212"/>
      <c r="AK13" s="213"/>
      <c r="AL13" s="235">
        <f t="shared" si="44"/>
        <v>0</v>
      </c>
      <c r="AM13" s="254"/>
      <c r="AN13" s="212"/>
      <c r="AO13" s="212"/>
      <c r="AP13" s="212"/>
      <c r="AQ13" s="212"/>
      <c r="AR13" s="212"/>
      <c r="AS13" s="254"/>
      <c r="AT13" s="243">
        <f t="shared" si="45"/>
        <v>0</v>
      </c>
      <c r="AU13" s="244">
        <f t="shared" si="46"/>
        <v>0</v>
      </c>
      <c r="AV13" s="253">
        <f t="shared" si="47"/>
        <v>0</v>
      </c>
      <c r="AW13" s="247"/>
      <c r="AX13" s="247"/>
      <c r="AY13" s="252"/>
      <c r="AZ13" s="212"/>
      <c r="BA13" s="213"/>
      <c r="BB13" s="235">
        <f t="shared" si="28"/>
        <v>0</v>
      </c>
      <c r="BC13" s="212"/>
      <c r="BD13" s="212"/>
      <c r="BE13" s="254"/>
      <c r="BF13" s="212"/>
      <c r="BG13" s="212"/>
      <c r="BH13" s="212"/>
      <c r="BI13" s="212"/>
      <c r="BJ13" s="243">
        <f t="shared" si="48"/>
        <v>0</v>
      </c>
      <c r="BK13" s="244">
        <f t="shared" si="29"/>
        <v>0</v>
      </c>
      <c r="BL13" s="253">
        <f t="shared" si="30"/>
        <v>0</v>
      </c>
      <c r="BM13" s="252"/>
      <c r="BN13" s="252"/>
      <c r="BO13" s="205"/>
      <c r="BP13" s="213"/>
      <c r="BQ13" s="235">
        <f t="shared" si="49"/>
        <v>0</v>
      </c>
      <c r="BR13" s="212"/>
      <c r="BS13" s="212"/>
      <c r="BT13" s="212"/>
      <c r="BU13" s="212"/>
      <c r="BV13" s="213"/>
      <c r="BW13" s="213"/>
      <c r="BX13" s="213"/>
      <c r="BY13" s="243">
        <f t="shared" si="50"/>
        <v>0</v>
      </c>
      <c r="BZ13" s="244">
        <f t="shared" si="31"/>
        <v>0</v>
      </c>
      <c r="CA13" s="253">
        <f t="shared" si="51"/>
        <v>0</v>
      </c>
      <c r="CB13" s="328"/>
      <c r="CC13" s="252"/>
      <c r="CD13" s="253">
        <f t="shared" si="32"/>
        <v>0</v>
      </c>
      <c r="CE13" s="253">
        <f t="shared" si="33"/>
        <v>0</v>
      </c>
      <c r="CF13" s="253">
        <f t="shared" si="52"/>
        <v>0</v>
      </c>
      <c r="CG13" s="253">
        <f t="shared" si="53"/>
        <v>0</v>
      </c>
      <c r="CH13" s="265"/>
      <c r="CI13" s="266"/>
      <c r="CJ13" s="266"/>
      <c r="CK13" s="63"/>
      <c r="CL13" s="267">
        <f t="shared" si="34"/>
        <v>0</v>
      </c>
      <c r="CM13" s="267">
        <f t="shared" si="35"/>
        <v>0</v>
      </c>
      <c r="CN13" s="267">
        <f t="shared" si="54"/>
        <v>0</v>
      </c>
    </row>
    <row r="14" spans="2:92" ht="15.75">
      <c r="B14" s="82" t="s">
        <v>51</v>
      </c>
      <c r="C14" s="83">
        <v>1012150756013</v>
      </c>
      <c r="D14" s="84" t="s">
        <v>52</v>
      </c>
      <c r="E14" s="199" t="s">
        <v>50</v>
      </c>
      <c r="F14" s="13"/>
      <c r="G14" s="215"/>
      <c r="H14" s="233">
        <f t="shared" si="55"/>
        <v>0</v>
      </c>
      <c r="I14" s="214"/>
      <c r="J14" s="214"/>
      <c r="K14" s="214"/>
      <c r="L14" s="214"/>
      <c r="M14" s="215"/>
      <c r="N14" s="215"/>
      <c r="O14" s="215"/>
      <c r="P14" s="210">
        <f t="shared" si="37"/>
        <v>0</v>
      </c>
      <c r="Q14" s="230">
        <f t="shared" si="38"/>
        <v>0</v>
      </c>
      <c r="R14" s="230">
        <f t="shared" si="39"/>
        <v>0</v>
      </c>
      <c r="S14" s="231"/>
      <c r="T14" s="232"/>
      <c r="U14" s="215"/>
      <c r="V14" s="215"/>
      <c r="W14" s="233">
        <f t="shared" si="40"/>
        <v>0</v>
      </c>
      <c r="X14" s="214"/>
      <c r="Y14" s="214"/>
      <c r="Z14" s="214"/>
      <c r="AA14" s="214"/>
      <c r="AB14" s="214"/>
      <c r="AC14" s="214"/>
      <c r="AD14" s="214"/>
      <c r="AE14" s="241">
        <f t="shared" si="41"/>
        <v>0</v>
      </c>
      <c r="AF14" s="242">
        <f t="shared" si="42"/>
        <v>0</v>
      </c>
      <c r="AG14" s="251">
        <f t="shared" si="43"/>
        <v>0</v>
      </c>
      <c r="AH14" s="247"/>
      <c r="AI14" s="252"/>
      <c r="AJ14" s="214"/>
      <c r="AK14" s="215"/>
      <c r="AL14" s="233">
        <f t="shared" si="44"/>
        <v>0</v>
      </c>
      <c r="AM14" s="255"/>
      <c r="AN14" s="214"/>
      <c r="AO14" s="214"/>
      <c r="AP14" s="214"/>
      <c r="AQ14" s="214"/>
      <c r="AR14" s="214"/>
      <c r="AS14" s="255"/>
      <c r="AT14" s="241">
        <f t="shared" si="45"/>
        <v>0</v>
      </c>
      <c r="AU14" s="242">
        <f t="shared" si="46"/>
        <v>0</v>
      </c>
      <c r="AV14" s="251">
        <f t="shared" si="47"/>
        <v>0</v>
      </c>
      <c r="AW14" s="247"/>
      <c r="AX14" s="247"/>
      <c r="AY14" s="252"/>
      <c r="AZ14" s="214"/>
      <c r="BA14" s="215"/>
      <c r="BB14" s="233">
        <f t="shared" si="28"/>
        <v>0</v>
      </c>
      <c r="BC14" s="214"/>
      <c r="BD14" s="214"/>
      <c r="BE14" s="255"/>
      <c r="BF14" s="214"/>
      <c r="BG14" s="214"/>
      <c r="BH14" s="214"/>
      <c r="BI14" s="214"/>
      <c r="BJ14" s="241">
        <f t="shared" si="48"/>
        <v>0</v>
      </c>
      <c r="BK14" s="242">
        <f t="shared" si="29"/>
        <v>0</v>
      </c>
      <c r="BL14" s="251">
        <f t="shared" si="30"/>
        <v>0</v>
      </c>
      <c r="BM14" s="252"/>
      <c r="BN14" s="252"/>
      <c r="BO14" s="13"/>
      <c r="BP14" s="215"/>
      <c r="BQ14" s="233">
        <f t="shared" si="49"/>
        <v>0</v>
      </c>
      <c r="BR14" s="214"/>
      <c r="BS14" s="214"/>
      <c r="BT14" s="214"/>
      <c r="BU14" s="214"/>
      <c r="BV14" s="215"/>
      <c r="BW14" s="215"/>
      <c r="BX14" s="215"/>
      <c r="BY14" s="241">
        <f t="shared" si="50"/>
        <v>0</v>
      </c>
      <c r="BZ14" s="242">
        <f t="shared" si="31"/>
        <v>0</v>
      </c>
      <c r="CA14" s="251">
        <f t="shared" si="51"/>
        <v>0</v>
      </c>
      <c r="CB14" s="252"/>
      <c r="CC14" s="252"/>
      <c r="CD14" s="251">
        <f t="shared" si="32"/>
        <v>0</v>
      </c>
      <c r="CE14" s="251">
        <f t="shared" si="33"/>
        <v>0</v>
      </c>
      <c r="CF14" s="251">
        <f t="shared" si="52"/>
        <v>0</v>
      </c>
      <c r="CG14" s="251">
        <f t="shared" si="53"/>
        <v>0</v>
      </c>
      <c r="CH14" s="265"/>
      <c r="CI14" s="266"/>
      <c r="CJ14" s="266"/>
      <c r="CK14" s="63"/>
      <c r="CL14" s="267">
        <f t="shared" si="34"/>
        <v>0</v>
      </c>
      <c r="CM14" s="267">
        <f t="shared" si="35"/>
        <v>0</v>
      </c>
      <c r="CN14" s="267">
        <f t="shared" si="54"/>
        <v>0</v>
      </c>
    </row>
    <row r="15" spans="2:92" ht="15.75">
      <c r="B15" s="85" t="s">
        <v>53</v>
      </c>
      <c r="C15" s="86">
        <v>1012150756326</v>
      </c>
      <c r="D15" s="87" t="s">
        <v>54</v>
      </c>
      <c r="E15" s="202" t="s">
        <v>50</v>
      </c>
      <c r="F15" s="205"/>
      <c r="G15" s="213"/>
      <c r="H15" s="235">
        <f t="shared" si="55"/>
        <v>0</v>
      </c>
      <c r="I15" s="212"/>
      <c r="J15" s="212"/>
      <c r="K15" s="212"/>
      <c r="L15" s="212"/>
      <c r="M15" s="213"/>
      <c r="N15" s="213"/>
      <c r="O15" s="213"/>
      <c r="P15" s="211">
        <f t="shared" si="37"/>
        <v>0</v>
      </c>
      <c r="Q15" s="234">
        <f t="shared" si="38"/>
        <v>0</v>
      </c>
      <c r="R15" s="234">
        <f t="shared" si="39"/>
        <v>0</v>
      </c>
      <c r="S15" s="231"/>
      <c r="T15" s="232"/>
      <c r="U15" s="213"/>
      <c r="V15" s="213"/>
      <c r="W15" s="235">
        <f t="shared" si="40"/>
        <v>0</v>
      </c>
      <c r="X15" s="212"/>
      <c r="Y15" s="212"/>
      <c r="Z15" s="212"/>
      <c r="AA15" s="212"/>
      <c r="AB15" s="212"/>
      <c r="AC15" s="212"/>
      <c r="AD15" s="212"/>
      <c r="AE15" s="243">
        <f t="shared" si="41"/>
        <v>0</v>
      </c>
      <c r="AF15" s="244">
        <f t="shared" si="42"/>
        <v>0</v>
      </c>
      <c r="AG15" s="253">
        <f t="shared" si="43"/>
        <v>0</v>
      </c>
      <c r="AH15" s="247"/>
      <c r="AI15" s="252"/>
      <c r="AJ15" s="212"/>
      <c r="AK15" s="213"/>
      <c r="AL15" s="235">
        <f t="shared" si="44"/>
        <v>0</v>
      </c>
      <c r="AM15" s="254"/>
      <c r="AN15" s="212"/>
      <c r="AO15" s="212"/>
      <c r="AP15" s="212"/>
      <c r="AQ15" s="212"/>
      <c r="AR15" s="212"/>
      <c r="AS15" s="254"/>
      <c r="AT15" s="243">
        <f t="shared" si="45"/>
        <v>0</v>
      </c>
      <c r="AU15" s="244">
        <f t="shared" si="46"/>
        <v>0</v>
      </c>
      <c r="AV15" s="253">
        <f t="shared" si="47"/>
        <v>0</v>
      </c>
      <c r="AW15" s="247"/>
      <c r="AX15" s="247"/>
      <c r="AY15" s="252"/>
      <c r="AZ15" s="212"/>
      <c r="BA15" s="213"/>
      <c r="BB15" s="235">
        <f t="shared" si="28"/>
        <v>0</v>
      </c>
      <c r="BC15" s="212"/>
      <c r="BD15" s="212"/>
      <c r="BE15" s="254"/>
      <c r="BF15" s="212"/>
      <c r="BG15" s="212"/>
      <c r="BH15" s="212"/>
      <c r="BI15" s="212"/>
      <c r="BJ15" s="243">
        <f t="shared" si="48"/>
        <v>0</v>
      </c>
      <c r="BK15" s="244">
        <f t="shared" si="29"/>
        <v>0</v>
      </c>
      <c r="BL15" s="253">
        <f t="shared" si="30"/>
        <v>0</v>
      </c>
      <c r="BM15" s="252"/>
      <c r="BN15" s="252"/>
      <c r="BO15" s="205"/>
      <c r="BP15" s="213"/>
      <c r="BQ15" s="235">
        <f t="shared" si="49"/>
        <v>0</v>
      </c>
      <c r="BR15" s="212"/>
      <c r="BS15" s="212"/>
      <c r="BT15" s="212"/>
      <c r="BU15" s="212"/>
      <c r="BV15" s="213"/>
      <c r="BW15" s="213"/>
      <c r="BX15" s="213"/>
      <c r="BY15" s="243">
        <f t="shared" si="50"/>
        <v>0</v>
      </c>
      <c r="BZ15" s="244">
        <f t="shared" si="31"/>
        <v>0</v>
      </c>
      <c r="CA15" s="253">
        <f t="shared" si="51"/>
        <v>0</v>
      </c>
      <c r="CB15" s="328"/>
      <c r="CC15" s="252"/>
      <c r="CD15" s="253">
        <f t="shared" si="32"/>
        <v>0</v>
      </c>
      <c r="CE15" s="253">
        <f t="shared" si="33"/>
        <v>0</v>
      </c>
      <c r="CF15" s="253">
        <f t="shared" si="52"/>
        <v>0</v>
      </c>
      <c r="CG15" s="253">
        <f t="shared" si="53"/>
        <v>0</v>
      </c>
      <c r="CH15" s="265"/>
      <c r="CI15" s="266"/>
      <c r="CJ15" s="266"/>
      <c r="CK15" s="63"/>
      <c r="CL15" s="267">
        <f t="shared" si="34"/>
        <v>0</v>
      </c>
      <c r="CM15" s="267">
        <f t="shared" si="35"/>
        <v>0</v>
      </c>
      <c r="CN15" s="267">
        <f t="shared" si="54"/>
        <v>0</v>
      </c>
    </row>
    <row r="16" spans="2:92" ht="15.75">
      <c r="B16" s="82" t="s">
        <v>55</v>
      </c>
      <c r="C16" s="83">
        <v>1012150705400</v>
      </c>
      <c r="D16" s="84" t="s">
        <v>56</v>
      </c>
      <c r="E16" s="199">
        <v>2.5</v>
      </c>
      <c r="F16" s="13">
        <v>40</v>
      </c>
      <c r="G16" s="215"/>
      <c r="H16" s="233">
        <f t="shared" si="55"/>
        <v>40</v>
      </c>
      <c r="I16" s="214"/>
      <c r="J16" s="214"/>
      <c r="K16" s="214"/>
      <c r="L16" s="214"/>
      <c r="M16" s="346"/>
      <c r="N16" s="346"/>
      <c r="O16" s="346"/>
      <c r="P16" s="210">
        <f t="shared" si="37"/>
        <v>0</v>
      </c>
      <c r="Q16" s="425">
        <f t="shared" si="38"/>
        <v>-40</v>
      </c>
      <c r="R16" s="230">
        <f t="shared" si="39"/>
        <v>0</v>
      </c>
      <c r="S16" s="423" t="s">
        <v>616</v>
      </c>
      <c r="T16" s="232"/>
      <c r="U16" s="215"/>
      <c r="V16" s="215"/>
      <c r="W16" s="233">
        <f t="shared" si="40"/>
        <v>0</v>
      </c>
      <c r="X16" s="214"/>
      <c r="Y16" s="214"/>
      <c r="Z16" s="214"/>
      <c r="AA16" s="214"/>
      <c r="AB16" s="214"/>
      <c r="AC16" s="214"/>
      <c r="AD16" s="214"/>
      <c r="AE16" s="241">
        <f t="shared" si="41"/>
        <v>0</v>
      </c>
      <c r="AF16" s="338">
        <f t="shared" si="42"/>
        <v>0</v>
      </c>
      <c r="AG16" s="251">
        <f t="shared" si="43"/>
        <v>0</v>
      </c>
      <c r="AH16" s="247"/>
      <c r="AI16" s="252"/>
      <c r="AJ16" s="214"/>
      <c r="AK16" s="215"/>
      <c r="AL16" s="233">
        <f t="shared" si="44"/>
        <v>0</v>
      </c>
      <c r="AM16" s="255"/>
      <c r="AN16" s="214"/>
      <c r="AO16" s="214"/>
      <c r="AP16" s="214"/>
      <c r="AQ16" s="214"/>
      <c r="AR16" s="214"/>
      <c r="AS16" s="255"/>
      <c r="AT16" s="241">
        <f t="shared" si="45"/>
        <v>0</v>
      </c>
      <c r="AU16" s="242">
        <f t="shared" si="46"/>
        <v>0</v>
      </c>
      <c r="AV16" s="251">
        <f t="shared" si="47"/>
        <v>0</v>
      </c>
      <c r="AW16" s="247"/>
      <c r="AX16" s="247"/>
      <c r="AY16" s="252"/>
      <c r="AZ16" s="214"/>
      <c r="BA16" s="215"/>
      <c r="BB16" s="233">
        <f t="shared" si="28"/>
        <v>0</v>
      </c>
      <c r="BC16" s="214"/>
      <c r="BD16" s="214"/>
      <c r="BE16" s="255"/>
      <c r="BF16" s="214"/>
      <c r="BG16" s="214"/>
      <c r="BH16" s="214"/>
      <c r="BI16" s="214"/>
      <c r="BJ16" s="241">
        <f t="shared" si="48"/>
        <v>0</v>
      </c>
      <c r="BK16" s="242">
        <f t="shared" si="29"/>
        <v>0</v>
      </c>
      <c r="BL16" s="251">
        <f t="shared" si="30"/>
        <v>0</v>
      </c>
      <c r="BM16" s="351"/>
      <c r="BN16" s="352"/>
      <c r="BO16" s="13"/>
      <c r="BP16" s="215"/>
      <c r="BQ16" s="233">
        <f t="shared" si="49"/>
        <v>0</v>
      </c>
      <c r="BR16" s="214"/>
      <c r="BS16" s="214"/>
      <c r="BT16" s="214"/>
      <c r="BU16" s="214"/>
      <c r="BV16" s="215"/>
      <c r="BW16" s="215"/>
      <c r="BX16" s="215"/>
      <c r="BY16" s="241">
        <f t="shared" si="50"/>
        <v>0</v>
      </c>
      <c r="BZ16" s="242">
        <f t="shared" si="31"/>
        <v>0</v>
      </c>
      <c r="CA16" s="251">
        <f t="shared" si="51"/>
        <v>0</v>
      </c>
      <c r="CB16" s="252"/>
      <c r="CC16" s="252"/>
      <c r="CD16" s="251">
        <f t="shared" si="32"/>
        <v>40</v>
      </c>
      <c r="CE16" s="354">
        <f t="shared" si="33"/>
        <v>0</v>
      </c>
      <c r="CF16" s="251">
        <f t="shared" si="52"/>
        <v>-40</v>
      </c>
      <c r="CG16" s="251">
        <f t="shared" si="53"/>
        <v>0</v>
      </c>
      <c r="CH16" s="265"/>
      <c r="CI16" s="266"/>
      <c r="CJ16" s="266"/>
      <c r="CK16" s="63"/>
      <c r="CL16" s="267">
        <f t="shared" si="34"/>
        <v>0</v>
      </c>
      <c r="CM16" s="267">
        <f t="shared" si="35"/>
        <v>6.9348127600554787E-4</v>
      </c>
      <c r="CN16" s="267">
        <f t="shared" si="54"/>
        <v>0</v>
      </c>
    </row>
    <row r="17" spans="2:95" ht="15.75" hidden="1">
      <c r="B17" s="85" t="s">
        <v>57</v>
      </c>
      <c r="C17" s="86">
        <v>1012150737093</v>
      </c>
      <c r="D17" s="87" t="s">
        <v>58</v>
      </c>
      <c r="E17" s="202" t="s">
        <v>50</v>
      </c>
      <c r="F17" s="205"/>
      <c r="G17" s="213"/>
      <c r="H17" s="235">
        <f t="shared" si="55"/>
        <v>0</v>
      </c>
      <c r="I17" s="212"/>
      <c r="J17" s="212"/>
      <c r="K17" s="212"/>
      <c r="L17" s="212"/>
      <c r="M17" s="347"/>
      <c r="N17" s="347"/>
      <c r="O17" s="347"/>
      <c r="P17" s="211">
        <f t="shared" si="37"/>
        <v>0</v>
      </c>
      <c r="Q17" s="234">
        <f t="shared" si="38"/>
        <v>0</v>
      </c>
      <c r="R17" s="234">
        <f t="shared" si="39"/>
        <v>0</v>
      </c>
      <c r="S17" s="231"/>
      <c r="T17" s="232"/>
      <c r="U17" s="213"/>
      <c r="V17" s="213"/>
      <c r="W17" s="235">
        <f t="shared" si="40"/>
        <v>0</v>
      </c>
      <c r="X17" s="212"/>
      <c r="Y17" s="212"/>
      <c r="Z17" s="212"/>
      <c r="AA17" s="212"/>
      <c r="AB17" s="212"/>
      <c r="AC17" s="212"/>
      <c r="AD17" s="212"/>
      <c r="AE17" s="243">
        <f t="shared" si="41"/>
        <v>0</v>
      </c>
      <c r="AF17" s="244">
        <f t="shared" si="42"/>
        <v>0</v>
      </c>
      <c r="AG17" s="253">
        <f t="shared" si="43"/>
        <v>0</v>
      </c>
      <c r="AH17" s="247"/>
      <c r="AI17" s="252"/>
      <c r="AJ17" s="212"/>
      <c r="AK17" s="213"/>
      <c r="AL17" s="235">
        <f t="shared" si="44"/>
        <v>0</v>
      </c>
      <c r="AM17" s="254"/>
      <c r="AN17" s="212"/>
      <c r="AO17" s="212"/>
      <c r="AP17" s="212"/>
      <c r="AQ17" s="212"/>
      <c r="AR17" s="212"/>
      <c r="AS17" s="254"/>
      <c r="AT17" s="243">
        <f t="shared" si="45"/>
        <v>0</v>
      </c>
      <c r="AU17" s="244">
        <f t="shared" si="46"/>
        <v>0</v>
      </c>
      <c r="AV17" s="253">
        <f t="shared" si="47"/>
        <v>0</v>
      </c>
      <c r="AW17" s="247"/>
      <c r="AX17" s="247"/>
      <c r="AY17" s="252"/>
      <c r="AZ17" s="212"/>
      <c r="BA17" s="213"/>
      <c r="BB17" s="235">
        <f t="shared" si="28"/>
        <v>0</v>
      </c>
      <c r="BC17" s="212"/>
      <c r="BD17" s="212"/>
      <c r="BE17" s="254"/>
      <c r="BF17" s="212"/>
      <c r="BG17" s="212"/>
      <c r="BH17" s="212"/>
      <c r="BI17" s="212"/>
      <c r="BJ17" s="243">
        <f t="shared" si="48"/>
        <v>0</v>
      </c>
      <c r="BK17" s="244">
        <f t="shared" si="29"/>
        <v>0</v>
      </c>
      <c r="BL17" s="253">
        <f t="shared" si="30"/>
        <v>0</v>
      </c>
      <c r="BM17" s="252"/>
      <c r="BN17" s="252"/>
      <c r="BO17" s="205"/>
      <c r="BP17" s="213"/>
      <c r="BQ17" s="235">
        <f t="shared" si="49"/>
        <v>0</v>
      </c>
      <c r="BR17" s="212"/>
      <c r="BS17" s="212"/>
      <c r="BT17" s="212"/>
      <c r="BU17" s="212"/>
      <c r="BV17" s="213"/>
      <c r="BW17" s="213"/>
      <c r="BX17" s="213"/>
      <c r="BY17" s="243">
        <f t="shared" si="50"/>
        <v>0</v>
      </c>
      <c r="BZ17" s="244">
        <f t="shared" si="31"/>
        <v>0</v>
      </c>
      <c r="CA17" s="253">
        <f t="shared" si="51"/>
        <v>0</v>
      </c>
      <c r="CB17" s="328"/>
      <c r="CC17" s="252"/>
      <c r="CD17" s="253">
        <f t="shared" si="32"/>
        <v>0</v>
      </c>
      <c r="CE17" s="244">
        <f t="shared" si="33"/>
        <v>0</v>
      </c>
      <c r="CF17" s="253">
        <f t="shared" si="52"/>
        <v>0</v>
      </c>
      <c r="CG17" s="253">
        <f t="shared" si="53"/>
        <v>0</v>
      </c>
      <c r="CH17" s="265"/>
      <c r="CI17" s="266"/>
      <c r="CJ17" s="266"/>
      <c r="CK17" s="63"/>
      <c r="CL17" s="267">
        <f t="shared" si="34"/>
        <v>0</v>
      </c>
      <c r="CM17" s="267">
        <f t="shared" si="35"/>
        <v>0</v>
      </c>
      <c r="CN17" s="267">
        <f t="shared" si="54"/>
        <v>0</v>
      </c>
    </row>
    <row r="18" spans="2:95" ht="15.75">
      <c r="B18" s="82" t="s">
        <v>59</v>
      </c>
      <c r="C18" s="83">
        <v>1012150764006</v>
      </c>
      <c r="D18" s="84" t="s">
        <v>60</v>
      </c>
      <c r="E18" s="199">
        <v>2.5</v>
      </c>
      <c r="F18" s="414"/>
      <c r="G18" s="215"/>
      <c r="H18" s="233">
        <f t="shared" si="55"/>
        <v>0</v>
      </c>
      <c r="I18" s="214"/>
      <c r="J18" s="214"/>
      <c r="K18" s="214"/>
      <c r="L18" s="214"/>
      <c r="M18" s="346"/>
      <c r="N18" s="346"/>
      <c r="O18" s="346"/>
      <c r="P18" s="210">
        <f t="shared" si="37"/>
        <v>0</v>
      </c>
      <c r="Q18" s="230">
        <f t="shared" si="38"/>
        <v>0</v>
      </c>
      <c r="R18" s="230">
        <f t="shared" si="39"/>
        <v>0</v>
      </c>
      <c r="S18" s="231"/>
      <c r="T18" s="232"/>
      <c r="U18" s="215"/>
      <c r="V18" s="215"/>
      <c r="W18" s="233">
        <f t="shared" si="40"/>
        <v>0</v>
      </c>
      <c r="X18" s="214"/>
      <c r="Y18" s="214"/>
      <c r="Z18" s="214"/>
      <c r="AA18" s="214"/>
      <c r="AB18" s="214"/>
      <c r="AC18" s="214"/>
      <c r="AD18" s="214"/>
      <c r="AE18" s="241">
        <f t="shared" si="41"/>
        <v>0</v>
      </c>
      <c r="AF18" s="242">
        <f t="shared" si="42"/>
        <v>0</v>
      </c>
      <c r="AG18" s="251">
        <f t="shared" si="43"/>
        <v>0</v>
      </c>
      <c r="AH18" s="247"/>
      <c r="AI18" s="252"/>
      <c r="AJ18" s="214"/>
      <c r="AK18" s="215"/>
      <c r="AL18" s="233">
        <f t="shared" si="44"/>
        <v>0</v>
      </c>
      <c r="AM18" s="255"/>
      <c r="AN18" s="214"/>
      <c r="AO18" s="214"/>
      <c r="AP18" s="214"/>
      <c r="AQ18" s="214"/>
      <c r="AR18" s="214"/>
      <c r="AS18" s="255"/>
      <c r="AT18" s="241">
        <f t="shared" si="45"/>
        <v>0</v>
      </c>
      <c r="AU18" s="242">
        <f t="shared" si="46"/>
        <v>0</v>
      </c>
      <c r="AV18" s="251">
        <f t="shared" si="47"/>
        <v>0</v>
      </c>
      <c r="AW18" s="247"/>
      <c r="AX18" s="247"/>
      <c r="AY18" s="252"/>
      <c r="AZ18" s="214"/>
      <c r="BA18" s="215"/>
      <c r="BB18" s="233">
        <f t="shared" si="28"/>
        <v>0</v>
      </c>
      <c r="BC18" s="214"/>
      <c r="BD18" s="214"/>
      <c r="BE18" s="255"/>
      <c r="BF18" s="214"/>
      <c r="BG18" s="214"/>
      <c r="BH18" s="214"/>
      <c r="BI18" s="214"/>
      <c r="BJ18" s="241">
        <f t="shared" si="48"/>
        <v>0</v>
      </c>
      <c r="BK18" s="242">
        <f t="shared" si="29"/>
        <v>0</v>
      </c>
      <c r="BL18" s="251">
        <f t="shared" si="30"/>
        <v>0</v>
      </c>
      <c r="BM18" s="252"/>
      <c r="BN18" s="252"/>
      <c r="BO18" s="13"/>
      <c r="BP18" s="215"/>
      <c r="BQ18" s="233">
        <f t="shared" si="49"/>
        <v>0</v>
      </c>
      <c r="BR18" s="214"/>
      <c r="BS18" s="214"/>
      <c r="BT18" s="214"/>
      <c r="BU18" s="214"/>
      <c r="BV18" s="215"/>
      <c r="BW18" s="215"/>
      <c r="BX18" s="215"/>
      <c r="BY18" s="241">
        <f t="shared" si="50"/>
        <v>0</v>
      </c>
      <c r="BZ18" s="242">
        <f t="shared" si="31"/>
        <v>0</v>
      </c>
      <c r="CA18" s="251">
        <f t="shared" si="51"/>
        <v>0</v>
      </c>
      <c r="CB18" s="252"/>
      <c r="CC18" s="252"/>
      <c r="CD18" s="251">
        <f t="shared" si="32"/>
        <v>0</v>
      </c>
      <c r="CE18" s="242">
        <f t="shared" si="33"/>
        <v>0</v>
      </c>
      <c r="CF18" s="251">
        <f t="shared" si="52"/>
        <v>0</v>
      </c>
      <c r="CG18" s="251">
        <f t="shared" si="53"/>
        <v>0</v>
      </c>
      <c r="CH18" s="265"/>
      <c r="CI18" s="266"/>
      <c r="CJ18" s="266"/>
      <c r="CK18" s="63"/>
      <c r="CL18" s="267">
        <f t="shared" si="34"/>
        <v>0</v>
      </c>
      <c r="CM18" s="267">
        <f t="shared" si="35"/>
        <v>0</v>
      </c>
      <c r="CN18" s="267">
        <f t="shared" si="54"/>
        <v>0</v>
      </c>
    </row>
    <row r="19" spans="2:95" ht="15.75">
      <c r="B19" s="85" t="s">
        <v>61</v>
      </c>
      <c r="C19" s="86">
        <v>1012150764007</v>
      </c>
      <c r="D19" s="87" t="s">
        <v>62</v>
      </c>
      <c r="E19" s="202" t="s">
        <v>44</v>
      </c>
      <c r="F19" s="415"/>
      <c r="G19" s="213"/>
      <c r="H19" s="235">
        <f t="shared" si="55"/>
        <v>0</v>
      </c>
      <c r="I19" s="212"/>
      <c r="J19" s="212"/>
      <c r="K19" s="212"/>
      <c r="L19" s="212"/>
      <c r="M19" s="213"/>
      <c r="N19" s="213"/>
      <c r="O19" s="213"/>
      <c r="P19" s="211">
        <f t="shared" si="37"/>
        <v>0</v>
      </c>
      <c r="Q19" s="234">
        <f t="shared" si="38"/>
        <v>0</v>
      </c>
      <c r="R19" s="234">
        <f t="shared" si="39"/>
        <v>0</v>
      </c>
      <c r="S19" s="231"/>
      <c r="T19" s="232"/>
      <c r="U19" s="213"/>
      <c r="V19" s="213"/>
      <c r="W19" s="235">
        <f t="shared" si="40"/>
        <v>0</v>
      </c>
      <c r="X19" s="212"/>
      <c r="Y19" s="212"/>
      <c r="Z19" s="212"/>
      <c r="AA19" s="212"/>
      <c r="AB19" s="212"/>
      <c r="AC19" s="212"/>
      <c r="AD19" s="212"/>
      <c r="AE19" s="243">
        <f t="shared" si="41"/>
        <v>0</v>
      </c>
      <c r="AF19" s="243">
        <f t="shared" si="42"/>
        <v>0</v>
      </c>
      <c r="AG19" s="253">
        <f t="shared" si="43"/>
        <v>0</v>
      </c>
      <c r="AH19" s="247"/>
      <c r="AI19" s="252"/>
      <c r="AJ19" s="212"/>
      <c r="AK19" s="213"/>
      <c r="AL19" s="235">
        <f t="shared" si="44"/>
        <v>0</v>
      </c>
      <c r="AM19" s="254"/>
      <c r="AN19" s="212"/>
      <c r="AO19" s="212"/>
      <c r="AP19" s="212"/>
      <c r="AQ19" s="212"/>
      <c r="AR19" s="212"/>
      <c r="AS19" s="254"/>
      <c r="AT19" s="243">
        <f t="shared" si="45"/>
        <v>0</v>
      </c>
      <c r="AU19" s="244">
        <f t="shared" si="46"/>
        <v>0</v>
      </c>
      <c r="AV19" s="253">
        <f t="shared" si="47"/>
        <v>0</v>
      </c>
      <c r="AW19" s="247"/>
      <c r="AX19" s="247"/>
      <c r="AY19" s="252"/>
      <c r="AZ19" s="212"/>
      <c r="BA19" s="213"/>
      <c r="BB19" s="235">
        <f t="shared" si="28"/>
        <v>0</v>
      </c>
      <c r="BC19" s="212"/>
      <c r="BD19" s="212"/>
      <c r="BE19" s="254"/>
      <c r="BF19" s="212"/>
      <c r="BG19" s="212"/>
      <c r="BH19" s="212"/>
      <c r="BI19" s="212"/>
      <c r="BJ19" s="243">
        <f t="shared" si="48"/>
        <v>0</v>
      </c>
      <c r="BK19" s="244">
        <f t="shared" si="29"/>
        <v>0</v>
      </c>
      <c r="BL19" s="253">
        <f t="shared" si="30"/>
        <v>0</v>
      </c>
      <c r="BM19" s="252"/>
      <c r="BN19" s="252"/>
      <c r="BO19" s="205"/>
      <c r="BP19" s="213"/>
      <c r="BQ19" s="235">
        <f t="shared" si="49"/>
        <v>0</v>
      </c>
      <c r="BR19" s="212"/>
      <c r="BS19" s="212"/>
      <c r="BT19" s="212"/>
      <c r="BU19" s="212"/>
      <c r="BV19" s="213"/>
      <c r="BW19" s="213"/>
      <c r="BX19" s="213"/>
      <c r="BY19" s="243">
        <f t="shared" si="50"/>
        <v>0</v>
      </c>
      <c r="BZ19" s="244">
        <f t="shared" si="31"/>
        <v>0</v>
      </c>
      <c r="CA19" s="253">
        <f t="shared" si="51"/>
        <v>0</v>
      </c>
      <c r="CB19" s="328"/>
      <c r="CC19" s="252"/>
      <c r="CD19" s="253">
        <f t="shared" si="32"/>
        <v>0</v>
      </c>
      <c r="CE19" s="354">
        <f t="shared" si="33"/>
        <v>0</v>
      </c>
      <c r="CF19" s="253">
        <f t="shared" si="52"/>
        <v>0</v>
      </c>
      <c r="CG19" s="253">
        <f t="shared" si="53"/>
        <v>0</v>
      </c>
      <c r="CH19" s="265"/>
      <c r="CI19" s="266"/>
      <c r="CJ19" s="266"/>
      <c r="CK19" s="63"/>
      <c r="CL19" s="267">
        <f t="shared" si="34"/>
        <v>0</v>
      </c>
      <c r="CM19" s="267">
        <f t="shared" si="35"/>
        <v>0</v>
      </c>
      <c r="CN19" s="267">
        <f t="shared" si="54"/>
        <v>0</v>
      </c>
    </row>
    <row r="20" spans="2:95" ht="15.75">
      <c r="B20" s="82" t="s">
        <v>63</v>
      </c>
      <c r="C20" s="83">
        <v>1012150764008</v>
      </c>
      <c r="D20" s="84" t="s">
        <v>64</v>
      </c>
      <c r="E20" s="199" t="s">
        <v>50</v>
      </c>
      <c r="F20" s="414">
        <v>1440</v>
      </c>
      <c r="G20" s="215"/>
      <c r="H20" s="233">
        <f t="shared" si="55"/>
        <v>1440</v>
      </c>
      <c r="I20" s="417">
        <f>863+560</f>
        <v>1423</v>
      </c>
      <c r="J20" s="417"/>
      <c r="K20" s="417"/>
      <c r="L20" s="417"/>
      <c r="M20" s="418"/>
      <c r="N20" s="215"/>
      <c r="O20" s="215"/>
      <c r="P20" s="210">
        <f t="shared" si="37"/>
        <v>1423</v>
      </c>
      <c r="Q20" s="230">
        <f t="shared" si="38"/>
        <v>-17</v>
      </c>
      <c r="R20" s="230">
        <f t="shared" si="39"/>
        <v>0</v>
      </c>
      <c r="S20" s="231"/>
      <c r="T20" s="232"/>
      <c r="U20" s="215"/>
      <c r="V20" s="215"/>
      <c r="W20" s="233">
        <f t="shared" si="40"/>
        <v>0</v>
      </c>
      <c r="X20" s="214"/>
      <c r="Y20" s="214"/>
      <c r="Z20" s="214"/>
      <c r="AA20" s="214"/>
      <c r="AB20" s="214"/>
      <c r="AC20" s="214"/>
      <c r="AD20" s="214"/>
      <c r="AE20" s="241">
        <f t="shared" si="41"/>
        <v>0</v>
      </c>
      <c r="AF20" s="241">
        <f t="shared" si="42"/>
        <v>0</v>
      </c>
      <c r="AG20" s="251">
        <f t="shared" si="43"/>
        <v>0</v>
      </c>
      <c r="AH20" s="247"/>
      <c r="AI20" s="252"/>
      <c r="AJ20" s="214"/>
      <c r="AK20" s="215"/>
      <c r="AL20" s="233">
        <f t="shared" si="44"/>
        <v>0</v>
      </c>
      <c r="AM20" s="255"/>
      <c r="AN20" s="214"/>
      <c r="AO20" s="214"/>
      <c r="AP20" s="214"/>
      <c r="AQ20" s="214"/>
      <c r="AR20" s="214"/>
      <c r="AS20" s="255"/>
      <c r="AT20" s="241">
        <f t="shared" si="45"/>
        <v>0</v>
      </c>
      <c r="AU20" s="242">
        <f t="shared" si="46"/>
        <v>0</v>
      </c>
      <c r="AV20" s="251">
        <f t="shared" si="47"/>
        <v>0</v>
      </c>
      <c r="AW20" s="247"/>
      <c r="AX20" s="247"/>
      <c r="AY20" s="252"/>
      <c r="AZ20" s="214"/>
      <c r="BA20" s="215"/>
      <c r="BB20" s="233">
        <f t="shared" si="28"/>
        <v>0</v>
      </c>
      <c r="BC20" s="214"/>
      <c r="BD20" s="214"/>
      <c r="BE20" s="214"/>
      <c r="BF20" s="214"/>
      <c r="BG20" s="214"/>
      <c r="BH20" s="214"/>
      <c r="BI20" s="214"/>
      <c r="BJ20" s="241">
        <f t="shared" si="48"/>
        <v>0</v>
      </c>
      <c r="BK20" s="242">
        <f t="shared" si="29"/>
        <v>0</v>
      </c>
      <c r="BL20" s="251">
        <f t="shared" si="30"/>
        <v>0</v>
      </c>
      <c r="BM20" s="252"/>
      <c r="BN20" s="252"/>
      <c r="BO20" s="13"/>
      <c r="BP20" s="215"/>
      <c r="BQ20" s="233">
        <f t="shared" si="49"/>
        <v>0</v>
      </c>
      <c r="BR20" s="214"/>
      <c r="BS20" s="214"/>
      <c r="BT20" s="214"/>
      <c r="BU20" s="214"/>
      <c r="BV20" s="215"/>
      <c r="BW20" s="215"/>
      <c r="BX20" s="215"/>
      <c r="BY20" s="241">
        <f t="shared" si="50"/>
        <v>0</v>
      </c>
      <c r="BZ20" s="242">
        <f t="shared" si="31"/>
        <v>0</v>
      </c>
      <c r="CA20" s="251">
        <f t="shared" si="51"/>
        <v>0</v>
      </c>
      <c r="CB20" s="252"/>
      <c r="CC20" s="252"/>
      <c r="CD20" s="251">
        <f t="shared" si="32"/>
        <v>1440</v>
      </c>
      <c r="CE20" s="354">
        <f t="shared" si="33"/>
        <v>1423</v>
      </c>
      <c r="CF20" s="251">
        <f t="shared" si="52"/>
        <v>-17</v>
      </c>
      <c r="CG20" s="251">
        <f t="shared" si="53"/>
        <v>0</v>
      </c>
      <c r="CH20" s="265"/>
      <c r="CI20" s="266"/>
      <c r="CJ20" s="266"/>
      <c r="CK20" s="63"/>
      <c r="CL20" s="267">
        <f t="shared" si="34"/>
        <v>0.98805340829234012</v>
      </c>
      <c r="CM20" s="267">
        <f t="shared" si="35"/>
        <v>2.4965325936199722E-2</v>
      </c>
      <c r="CN20" s="267">
        <f t="shared" si="54"/>
        <v>2.4667075380391291E-2</v>
      </c>
    </row>
    <row r="21" spans="2:95" ht="15.75">
      <c r="B21" s="85" t="s">
        <v>65</v>
      </c>
      <c r="C21" s="86">
        <v>1012150764009</v>
      </c>
      <c r="D21" s="87" t="s">
        <v>66</v>
      </c>
      <c r="E21" s="202" t="s">
        <v>50</v>
      </c>
      <c r="F21" s="415">
        <v>200</v>
      </c>
      <c r="G21" s="213"/>
      <c r="H21" s="235">
        <f t="shared" si="55"/>
        <v>200</v>
      </c>
      <c r="I21" s="419"/>
      <c r="J21" s="419"/>
      <c r="K21" s="419"/>
      <c r="L21" s="419">
        <v>199</v>
      </c>
      <c r="M21" s="420"/>
      <c r="N21" s="213"/>
      <c r="O21" s="213"/>
      <c r="P21" s="211">
        <f t="shared" si="37"/>
        <v>199</v>
      </c>
      <c r="Q21" s="234">
        <f t="shared" si="38"/>
        <v>-1</v>
      </c>
      <c r="R21" s="234">
        <f t="shared" si="39"/>
        <v>0</v>
      </c>
      <c r="S21" s="231"/>
      <c r="T21" s="232"/>
      <c r="U21" s="213"/>
      <c r="V21" s="213"/>
      <c r="W21" s="235">
        <f t="shared" si="40"/>
        <v>0</v>
      </c>
      <c r="X21" s="212"/>
      <c r="Y21" s="212"/>
      <c r="Z21" s="212"/>
      <c r="AA21" s="212"/>
      <c r="AB21" s="212"/>
      <c r="AC21" s="212"/>
      <c r="AD21" s="212"/>
      <c r="AE21" s="243">
        <f t="shared" si="41"/>
        <v>0</v>
      </c>
      <c r="AF21" s="243">
        <f t="shared" si="42"/>
        <v>0</v>
      </c>
      <c r="AG21" s="253">
        <f t="shared" si="43"/>
        <v>0</v>
      </c>
      <c r="AH21" s="247"/>
      <c r="AI21" s="252"/>
      <c r="AJ21" s="212"/>
      <c r="AK21" s="213"/>
      <c r="AL21" s="235">
        <f t="shared" si="44"/>
        <v>0</v>
      </c>
      <c r="AM21" s="254"/>
      <c r="AN21" s="212"/>
      <c r="AO21" s="212"/>
      <c r="AP21" s="212"/>
      <c r="AQ21" s="212"/>
      <c r="AR21" s="212"/>
      <c r="AS21" s="254"/>
      <c r="AT21" s="243">
        <f t="shared" si="45"/>
        <v>0</v>
      </c>
      <c r="AU21" s="244">
        <f t="shared" si="46"/>
        <v>0</v>
      </c>
      <c r="AV21" s="253">
        <f t="shared" si="47"/>
        <v>0</v>
      </c>
      <c r="AW21" s="247"/>
      <c r="AX21" s="247"/>
      <c r="AY21" s="252"/>
      <c r="AZ21" s="212"/>
      <c r="BA21" s="213"/>
      <c r="BB21" s="235">
        <f t="shared" si="28"/>
        <v>0</v>
      </c>
      <c r="BC21" s="212"/>
      <c r="BD21" s="212"/>
      <c r="BE21" s="254"/>
      <c r="BF21" s="212"/>
      <c r="BG21" s="212"/>
      <c r="BH21" s="212"/>
      <c r="BI21" s="212"/>
      <c r="BJ21" s="243">
        <f t="shared" si="48"/>
        <v>0</v>
      </c>
      <c r="BK21" s="244">
        <f t="shared" si="29"/>
        <v>0</v>
      </c>
      <c r="BL21" s="253">
        <f t="shared" si="30"/>
        <v>0</v>
      </c>
      <c r="BM21" s="252"/>
      <c r="BN21" s="252"/>
      <c r="BO21" s="205"/>
      <c r="BP21" s="213"/>
      <c r="BQ21" s="235">
        <f t="shared" si="49"/>
        <v>0</v>
      </c>
      <c r="BR21" s="212"/>
      <c r="BS21" s="212"/>
      <c r="BT21" s="212"/>
      <c r="BU21" s="212"/>
      <c r="BV21" s="213"/>
      <c r="BW21" s="213"/>
      <c r="BX21" s="213"/>
      <c r="BY21" s="243">
        <f t="shared" si="50"/>
        <v>0</v>
      </c>
      <c r="BZ21" s="244">
        <f t="shared" si="31"/>
        <v>0</v>
      </c>
      <c r="CA21" s="253">
        <f t="shared" si="51"/>
        <v>0</v>
      </c>
      <c r="CB21" s="328"/>
      <c r="CC21" s="252"/>
      <c r="CD21" s="253">
        <f t="shared" si="32"/>
        <v>200</v>
      </c>
      <c r="CE21" s="354">
        <f t="shared" si="33"/>
        <v>199</v>
      </c>
      <c r="CF21" s="253">
        <f t="shared" si="52"/>
        <v>-1</v>
      </c>
      <c r="CG21" s="253">
        <f t="shared" si="53"/>
        <v>0</v>
      </c>
      <c r="CH21" s="265"/>
      <c r="CI21" s="266"/>
      <c r="CJ21" s="266"/>
      <c r="CK21" s="63"/>
      <c r="CL21" s="267">
        <f t="shared" si="34"/>
        <v>0.99497487437185927</v>
      </c>
      <c r="CM21" s="267">
        <f t="shared" si="35"/>
        <v>3.4674063800277394E-3</v>
      </c>
      <c r="CN21" s="267">
        <f t="shared" si="54"/>
        <v>3.4499822273642835E-3</v>
      </c>
      <c r="CP21" s="63"/>
    </row>
    <row r="22" spans="2:95" ht="15.75">
      <c r="B22" s="82" t="s">
        <v>67</v>
      </c>
      <c r="C22" s="83">
        <v>1012150764010</v>
      </c>
      <c r="D22" s="84" t="s">
        <v>68</v>
      </c>
      <c r="E22" s="199" t="s">
        <v>50</v>
      </c>
      <c r="F22" s="414"/>
      <c r="G22" s="215"/>
      <c r="H22" s="233">
        <f t="shared" si="55"/>
        <v>0</v>
      </c>
      <c r="I22" s="417"/>
      <c r="J22" s="417"/>
      <c r="K22" s="417"/>
      <c r="L22" s="417"/>
      <c r="M22" s="418"/>
      <c r="N22" s="215"/>
      <c r="O22" s="215"/>
      <c r="P22" s="210">
        <f t="shared" si="37"/>
        <v>0</v>
      </c>
      <c r="Q22" s="230">
        <f t="shared" si="38"/>
        <v>0</v>
      </c>
      <c r="R22" s="230">
        <f t="shared" si="39"/>
        <v>0</v>
      </c>
      <c r="S22" s="231"/>
      <c r="T22" s="232"/>
      <c r="U22" s="215"/>
      <c r="V22" s="215"/>
      <c r="W22" s="233">
        <f t="shared" si="40"/>
        <v>0</v>
      </c>
      <c r="X22" s="214"/>
      <c r="Y22" s="214"/>
      <c r="Z22" s="214"/>
      <c r="AA22" s="214"/>
      <c r="AB22" s="214"/>
      <c r="AC22" s="214"/>
      <c r="AD22" s="214"/>
      <c r="AE22" s="241">
        <f t="shared" si="41"/>
        <v>0</v>
      </c>
      <c r="AF22" s="241">
        <f t="shared" si="42"/>
        <v>0</v>
      </c>
      <c r="AG22" s="251">
        <f t="shared" si="43"/>
        <v>0</v>
      </c>
      <c r="AH22" s="247"/>
      <c r="AI22" s="252"/>
      <c r="AJ22" s="214"/>
      <c r="AK22" s="215"/>
      <c r="AL22" s="233">
        <f t="shared" si="44"/>
        <v>0</v>
      </c>
      <c r="AM22" s="255"/>
      <c r="AN22" s="214"/>
      <c r="AO22" s="214"/>
      <c r="AP22" s="214"/>
      <c r="AQ22" s="214"/>
      <c r="AR22" s="214"/>
      <c r="AS22" s="255"/>
      <c r="AT22" s="241">
        <f t="shared" si="45"/>
        <v>0</v>
      </c>
      <c r="AU22" s="242">
        <f t="shared" si="46"/>
        <v>0</v>
      </c>
      <c r="AV22" s="251">
        <f t="shared" si="47"/>
        <v>0</v>
      </c>
      <c r="AW22" s="247"/>
      <c r="AX22" s="247"/>
      <c r="AY22" s="252"/>
      <c r="AZ22" s="214"/>
      <c r="BA22" s="215"/>
      <c r="BB22" s="233">
        <f t="shared" si="28"/>
        <v>0</v>
      </c>
      <c r="BC22" s="214"/>
      <c r="BD22" s="214"/>
      <c r="BE22" s="255"/>
      <c r="BF22" s="214"/>
      <c r="BG22" s="214"/>
      <c r="BH22" s="214"/>
      <c r="BI22" s="214"/>
      <c r="BJ22" s="241">
        <f t="shared" si="48"/>
        <v>0</v>
      </c>
      <c r="BK22" s="242">
        <f t="shared" si="29"/>
        <v>0</v>
      </c>
      <c r="BL22" s="251">
        <f t="shared" si="30"/>
        <v>0</v>
      </c>
      <c r="BM22" s="252"/>
      <c r="BN22" s="252"/>
      <c r="BO22" s="13"/>
      <c r="BP22" s="215"/>
      <c r="BQ22" s="233">
        <f t="shared" si="49"/>
        <v>0</v>
      </c>
      <c r="BR22" s="214"/>
      <c r="BS22" s="214"/>
      <c r="BT22" s="214"/>
      <c r="BU22" s="214"/>
      <c r="BV22" s="215"/>
      <c r="BW22" s="215"/>
      <c r="BX22" s="215"/>
      <c r="BY22" s="241">
        <f t="shared" si="50"/>
        <v>0</v>
      </c>
      <c r="BZ22" s="242">
        <f t="shared" si="31"/>
        <v>0</v>
      </c>
      <c r="CA22" s="251">
        <f t="shared" si="51"/>
        <v>0</v>
      </c>
      <c r="CB22" s="252"/>
      <c r="CC22" s="252"/>
      <c r="CD22" s="251">
        <f t="shared" si="32"/>
        <v>0</v>
      </c>
      <c r="CE22" s="354">
        <f t="shared" si="33"/>
        <v>0</v>
      </c>
      <c r="CF22" s="251">
        <f t="shared" si="52"/>
        <v>0</v>
      </c>
      <c r="CG22" s="251">
        <f t="shared" si="53"/>
        <v>0</v>
      </c>
      <c r="CH22" s="265"/>
      <c r="CI22" s="266"/>
      <c r="CJ22" s="266"/>
      <c r="CK22" s="63"/>
      <c r="CL22" s="267">
        <f t="shared" si="34"/>
        <v>0</v>
      </c>
      <c r="CM22" s="267">
        <f t="shared" si="35"/>
        <v>0</v>
      </c>
      <c r="CN22" s="267">
        <f t="shared" si="54"/>
        <v>0</v>
      </c>
    </row>
    <row r="23" spans="2:95" ht="15.75">
      <c r="B23" s="85" t="s">
        <v>69</v>
      </c>
      <c r="C23" s="86">
        <v>1012150764011</v>
      </c>
      <c r="D23" s="87" t="s">
        <v>70</v>
      </c>
      <c r="E23" s="202" t="s">
        <v>50</v>
      </c>
      <c r="F23" s="415"/>
      <c r="G23" s="213"/>
      <c r="H23" s="235">
        <f t="shared" si="55"/>
        <v>0</v>
      </c>
      <c r="I23" s="419"/>
      <c r="J23" s="419"/>
      <c r="K23" s="419"/>
      <c r="L23" s="419"/>
      <c r="M23" s="420"/>
      <c r="N23" s="213"/>
      <c r="O23" s="213"/>
      <c r="P23" s="211">
        <f t="shared" si="37"/>
        <v>0</v>
      </c>
      <c r="Q23" s="234">
        <f t="shared" si="38"/>
        <v>0</v>
      </c>
      <c r="R23" s="234">
        <f t="shared" si="39"/>
        <v>0</v>
      </c>
      <c r="S23" s="231"/>
      <c r="T23" s="232"/>
      <c r="U23" s="213"/>
      <c r="V23" s="213"/>
      <c r="W23" s="235">
        <f t="shared" si="40"/>
        <v>0</v>
      </c>
      <c r="X23" s="212"/>
      <c r="Y23" s="212"/>
      <c r="Z23" s="212"/>
      <c r="AA23" s="212"/>
      <c r="AB23" s="212"/>
      <c r="AC23" s="212"/>
      <c r="AD23" s="212"/>
      <c r="AE23" s="243">
        <f t="shared" si="41"/>
        <v>0</v>
      </c>
      <c r="AF23" s="243">
        <f t="shared" si="42"/>
        <v>0</v>
      </c>
      <c r="AG23" s="253">
        <f t="shared" si="43"/>
        <v>0</v>
      </c>
      <c r="AH23" s="247"/>
      <c r="AI23" s="252"/>
      <c r="AJ23" s="212"/>
      <c r="AK23" s="213"/>
      <c r="AL23" s="235">
        <f t="shared" si="44"/>
        <v>0</v>
      </c>
      <c r="AM23" s="254"/>
      <c r="AN23" s="212"/>
      <c r="AO23" s="212"/>
      <c r="AP23" s="212"/>
      <c r="AQ23" s="212"/>
      <c r="AR23" s="212"/>
      <c r="AS23" s="254"/>
      <c r="AT23" s="243">
        <f t="shared" si="45"/>
        <v>0</v>
      </c>
      <c r="AU23" s="244">
        <f t="shared" si="46"/>
        <v>0</v>
      </c>
      <c r="AV23" s="253">
        <f t="shared" si="47"/>
        <v>0</v>
      </c>
      <c r="AW23" s="247"/>
      <c r="AX23" s="247"/>
      <c r="AY23" s="252"/>
      <c r="AZ23" s="212"/>
      <c r="BA23" s="213"/>
      <c r="BB23" s="235">
        <f t="shared" si="28"/>
        <v>0</v>
      </c>
      <c r="BC23" s="212"/>
      <c r="BD23" s="212"/>
      <c r="BE23" s="254"/>
      <c r="BF23" s="212"/>
      <c r="BG23" s="212"/>
      <c r="BH23" s="212"/>
      <c r="BI23" s="212"/>
      <c r="BJ23" s="243">
        <f t="shared" si="48"/>
        <v>0</v>
      </c>
      <c r="BK23" s="244">
        <f t="shared" si="29"/>
        <v>0</v>
      </c>
      <c r="BL23" s="253">
        <f t="shared" si="30"/>
        <v>0</v>
      </c>
      <c r="BM23" s="252"/>
      <c r="BN23" s="252"/>
      <c r="BO23" s="205"/>
      <c r="BP23" s="213"/>
      <c r="BQ23" s="235">
        <f t="shared" si="49"/>
        <v>0</v>
      </c>
      <c r="BR23" s="212"/>
      <c r="BS23" s="212"/>
      <c r="BT23" s="212"/>
      <c r="BU23" s="212"/>
      <c r="BV23" s="213"/>
      <c r="BW23" s="213"/>
      <c r="BX23" s="213"/>
      <c r="BY23" s="243">
        <f t="shared" si="50"/>
        <v>0</v>
      </c>
      <c r="BZ23" s="244">
        <f t="shared" si="31"/>
        <v>0</v>
      </c>
      <c r="CA23" s="253">
        <f t="shared" si="51"/>
        <v>0</v>
      </c>
      <c r="CB23" s="328"/>
      <c r="CC23" s="252"/>
      <c r="CD23" s="253">
        <f t="shared" si="32"/>
        <v>0</v>
      </c>
      <c r="CE23" s="253">
        <f t="shared" si="33"/>
        <v>0</v>
      </c>
      <c r="CF23" s="253">
        <f t="shared" si="52"/>
        <v>0</v>
      </c>
      <c r="CG23" s="253">
        <f t="shared" si="53"/>
        <v>0</v>
      </c>
      <c r="CH23" s="265"/>
      <c r="CI23" s="266"/>
      <c r="CJ23" s="266"/>
      <c r="CK23" s="63"/>
      <c r="CL23" s="267">
        <f t="shared" si="34"/>
        <v>0</v>
      </c>
      <c r="CM23" s="267">
        <f t="shared" si="35"/>
        <v>0</v>
      </c>
      <c r="CN23" s="267">
        <f t="shared" si="54"/>
        <v>0</v>
      </c>
    </row>
    <row r="24" spans="2:95" ht="15.75">
      <c r="B24" s="82" t="s">
        <v>71</v>
      </c>
      <c r="C24" s="83">
        <v>1012150756017</v>
      </c>
      <c r="D24" s="84" t="s">
        <v>72</v>
      </c>
      <c r="E24" s="199">
        <v>2.5</v>
      </c>
      <c r="F24" s="414"/>
      <c r="G24" s="215"/>
      <c r="H24" s="233">
        <f t="shared" si="55"/>
        <v>0</v>
      </c>
      <c r="I24" s="417"/>
      <c r="J24" s="417"/>
      <c r="K24" s="417"/>
      <c r="L24" s="417"/>
      <c r="M24" s="418"/>
      <c r="N24" s="215"/>
      <c r="O24" s="215"/>
      <c r="P24" s="210">
        <f t="shared" si="37"/>
        <v>0</v>
      </c>
      <c r="Q24" s="230">
        <f t="shared" si="38"/>
        <v>0</v>
      </c>
      <c r="R24" s="230">
        <f t="shared" si="39"/>
        <v>0</v>
      </c>
      <c r="S24" s="231"/>
      <c r="T24" s="232"/>
      <c r="U24" s="215"/>
      <c r="V24" s="215"/>
      <c r="W24" s="233">
        <f t="shared" si="40"/>
        <v>0</v>
      </c>
      <c r="X24" s="214"/>
      <c r="Y24" s="214"/>
      <c r="Z24" s="214"/>
      <c r="AA24" s="214"/>
      <c r="AB24" s="214"/>
      <c r="AC24" s="214"/>
      <c r="AD24" s="214"/>
      <c r="AE24" s="241">
        <f t="shared" si="41"/>
        <v>0</v>
      </c>
      <c r="AF24" s="241">
        <f t="shared" si="42"/>
        <v>0</v>
      </c>
      <c r="AG24" s="251">
        <f t="shared" si="43"/>
        <v>0</v>
      </c>
      <c r="AH24" s="247"/>
      <c r="AI24" s="252"/>
      <c r="AJ24" s="214"/>
      <c r="AK24" s="215"/>
      <c r="AL24" s="233">
        <f t="shared" si="44"/>
        <v>0</v>
      </c>
      <c r="AM24" s="255"/>
      <c r="AN24" s="214"/>
      <c r="AO24" s="214"/>
      <c r="AP24" s="214"/>
      <c r="AQ24" s="214"/>
      <c r="AR24" s="214"/>
      <c r="AS24" s="255"/>
      <c r="AT24" s="241">
        <f t="shared" si="45"/>
        <v>0</v>
      </c>
      <c r="AU24" s="242">
        <f t="shared" si="46"/>
        <v>0</v>
      </c>
      <c r="AV24" s="251">
        <f t="shared" si="47"/>
        <v>0</v>
      </c>
      <c r="AW24" s="247"/>
      <c r="AX24" s="247"/>
      <c r="AY24" s="252"/>
      <c r="AZ24" s="214"/>
      <c r="BA24" s="215"/>
      <c r="BB24" s="233">
        <f t="shared" si="28"/>
        <v>0</v>
      </c>
      <c r="BC24" s="214"/>
      <c r="BD24" s="214"/>
      <c r="BE24" s="255"/>
      <c r="BF24" s="214"/>
      <c r="BG24" s="214"/>
      <c r="BH24" s="214"/>
      <c r="BI24" s="214"/>
      <c r="BJ24" s="241">
        <f t="shared" si="48"/>
        <v>0</v>
      </c>
      <c r="BK24" s="242">
        <f t="shared" si="29"/>
        <v>0</v>
      </c>
      <c r="BL24" s="251">
        <f t="shared" si="30"/>
        <v>0</v>
      </c>
      <c r="BM24" s="252"/>
      <c r="BN24" s="252"/>
      <c r="BO24" s="13"/>
      <c r="BP24" s="215"/>
      <c r="BQ24" s="233">
        <f t="shared" si="49"/>
        <v>0</v>
      </c>
      <c r="BR24" s="214"/>
      <c r="BS24" s="214"/>
      <c r="BT24" s="214"/>
      <c r="BU24" s="214"/>
      <c r="BV24" s="215"/>
      <c r="BW24" s="215"/>
      <c r="BX24" s="215"/>
      <c r="BY24" s="241">
        <f t="shared" si="50"/>
        <v>0</v>
      </c>
      <c r="BZ24" s="242">
        <f t="shared" si="31"/>
        <v>0</v>
      </c>
      <c r="CA24" s="251">
        <f t="shared" si="51"/>
        <v>0</v>
      </c>
      <c r="CB24" s="252"/>
      <c r="CC24" s="252"/>
      <c r="CD24" s="251">
        <f t="shared" si="32"/>
        <v>0</v>
      </c>
      <c r="CE24" s="242">
        <f t="shared" si="33"/>
        <v>0</v>
      </c>
      <c r="CF24" s="251">
        <f t="shared" si="52"/>
        <v>0</v>
      </c>
      <c r="CG24" s="251">
        <f t="shared" si="53"/>
        <v>0</v>
      </c>
      <c r="CH24" s="265"/>
      <c r="CI24" s="266"/>
      <c r="CJ24" s="266"/>
      <c r="CK24" s="63"/>
      <c r="CL24" s="267">
        <f t="shared" si="34"/>
        <v>0</v>
      </c>
      <c r="CM24" s="267">
        <f t="shared" si="35"/>
        <v>0</v>
      </c>
      <c r="CN24" s="267">
        <f t="shared" si="54"/>
        <v>0</v>
      </c>
    </row>
    <row r="25" spans="2:95" ht="15.75">
      <c r="B25" s="85" t="s">
        <v>73</v>
      </c>
      <c r="C25" s="86">
        <v>1012150756021</v>
      </c>
      <c r="D25" s="87" t="s">
        <v>74</v>
      </c>
      <c r="E25" s="202" t="s">
        <v>44</v>
      </c>
      <c r="F25" s="415">
        <v>880</v>
      </c>
      <c r="G25" s="213"/>
      <c r="H25" s="235">
        <f t="shared" si="55"/>
        <v>880</v>
      </c>
      <c r="I25" s="419"/>
      <c r="J25" s="419"/>
      <c r="K25" s="419"/>
      <c r="L25" s="419">
        <v>640</v>
      </c>
      <c r="M25" s="420">
        <v>232</v>
      </c>
      <c r="N25" s="213"/>
      <c r="O25" s="213"/>
      <c r="P25" s="211">
        <f t="shared" si="37"/>
        <v>872</v>
      </c>
      <c r="Q25" s="234">
        <f t="shared" si="38"/>
        <v>-8</v>
      </c>
      <c r="R25" s="234">
        <f t="shared" si="39"/>
        <v>0</v>
      </c>
      <c r="S25" s="231"/>
      <c r="T25" s="232"/>
      <c r="U25" s="213"/>
      <c r="V25" s="213"/>
      <c r="W25" s="235">
        <f t="shared" si="40"/>
        <v>0</v>
      </c>
      <c r="X25" s="212"/>
      <c r="Y25" s="212"/>
      <c r="Z25" s="212"/>
      <c r="AA25" s="212"/>
      <c r="AB25" s="212"/>
      <c r="AC25" s="212"/>
      <c r="AD25" s="212"/>
      <c r="AE25" s="243">
        <f t="shared" si="41"/>
        <v>0</v>
      </c>
      <c r="AF25" s="243">
        <f t="shared" si="42"/>
        <v>0</v>
      </c>
      <c r="AG25" s="253">
        <f t="shared" si="43"/>
        <v>0</v>
      </c>
      <c r="AH25" s="247"/>
      <c r="AI25" s="252"/>
      <c r="AJ25" s="212"/>
      <c r="AK25" s="213"/>
      <c r="AL25" s="235">
        <f t="shared" si="44"/>
        <v>0</v>
      </c>
      <c r="AM25" s="254"/>
      <c r="AN25" s="212"/>
      <c r="AO25" s="212"/>
      <c r="AP25" s="212"/>
      <c r="AQ25" s="212"/>
      <c r="AR25" s="212"/>
      <c r="AS25" s="254"/>
      <c r="AT25" s="243">
        <f t="shared" si="45"/>
        <v>0</v>
      </c>
      <c r="AU25" s="244">
        <f t="shared" si="46"/>
        <v>0</v>
      </c>
      <c r="AV25" s="253">
        <f t="shared" si="47"/>
        <v>0</v>
      </c>
      <c r="AW25" s="247"/>
      <c r="AX25" s="247"/>
      <c r="AY25" s="252"/>
      <c r="AZ25" s="212"/>
      <c r="BA25" s="213"/>
      <c r="BB25" s="235">
        <f t="shared" si="28"/>
        <v>0</v>
      </c>
      <c r="BC25" s="212"/>
      <c r="BD25" s="212"/>
      <c r="BE25" s="254"/>
      <c r="BF25" s="212"/>
      <c r="BG25" s="212"/>
      <c r="BH25" s="212"/>
      <c r="BI25" s="212"/>
      <c r="BJ25" s="243">
        <f t="shared" si="48"/>
        <v>0</v>
      </c>
      <c r="BK25" s="244">
        <f t="shared" si="29"/>
        <v>0</v>
      </c>
      <c r="BL25" s="253">
        <f t="shared" si="30"/>
        <v>0</v>
      </c>
      <c r="BM25" s="252"/>
      <c r="BN25" s="252"/>
      <c r="BO25" s="205"/>
      <c r="BP25" s="213"/>
      <c r="BQ25" s="235">
        <f t="shared" si="49"/>
        <v>0</v>
      </c>
      <c r="BR25" s="212"/>
      <c r="BS25" s="212"/>
      <c r="BT25" s="212"/>
      <c r="BU25" s="212"/>
      <c r="BV25" s="213"/>
      <c r="BW25" s="213"/>
      <c r="BX25" s="213"/>
      <c r="BY25" s="243">
        <f t="shared" si="50"/>
        <v>0</v>
      </c>
      <c r="BZ25" s="244">
        <f t="shared" si="31"/>
        <v>0</v>
      </c>
      <c r="CA25" s="253">
        <f t="shared" si="51"/>
        <v>0</v>
      </c>
      <c r="CB25" s="328"/>
      <c r="CC25" s="252"/>
      <c r="CD25" s="253">
        <f t="shared" si="32"/>
        <v>880</v>
      </c>
      <c r="CE25" s="354">
        <f t="shared" si="33"/>
        <v>872</v>
      </c>
      <c r="CF25" s="253">
        <f t="shared" si="52"/>
        <v>-8</v>
      </c>
      <c r="CG25" s="253">
        <f t="shared" si="53"/>
        <v>0</v>
      </c>
      <c r="CH25" s="265"/>
      <c r="CI25" s="266"/>
      <c r="CJ25" s="266"/>
      <c r="CK25" s="63"/>
      <c r="CL25" s="267">
        <f t="shared" si="34"/>
        <v>0.99082568807339455</v>
      </c>
      <c r="CM25" s="267">
        <f t="shared" si="35"/>
        <v>1.5256588072122053E-2</v>
      </c>
      <c r="CN25" s="267">
        <f t="shared" si="54"/>
        <v>1.5116619374212678E-2</v>
      </c>
    </row>
    <row r="26" spans="2:95" ht="15.75">
      <c r="B26" s="82" t="s">
        <v>75</v>
      </c>
      <c r="C26" s="83">
        <v>1012150756022</v>
      </c>
      <c r="D26" s="84" t="s">
        <v>76</v>
      </c>
      <c r="E26" s="199" t="s">
        <v>50</v>
      </c>
      <c r="F26" s="416">
        <v>2520</v>
      </c>
      <c r="G26" s="215"/>
      <c r="H26" s="233">
        <f t="shared" si="55"/>
        <v>2520</v>
      </c>
      <c r="I26" s="417"/>
      <c r="J26" s="417">
        <f>1337+960</f>
        <v>2297</v>
      </c>
      <c r="K26" s="417"/>
      <c r="L26" s="417">
        <v>156</v>
      </c>
      <c r="M26" s="418"/>
      <c r="N26" s="215"/>
      <c r="O26" s="215"/>
      <c r="P26" s="210">
        <f t="shared" si="37"/>
        <v>2453</v>
      </c>
      <c r="Q26" s="230">
        <f t="shared" si="38"/>
        <v>-67</v>
      </c>
      <c r="R26" s="230">
        <f t="shared" si="39"/>
        <v>0</v>
      </c>
      <c r="S26" s="231"/>
      <c r="T26" s="232"/>
      <c r="U26" s="215"/>
      <c r="V26" s="215"/>
      <c r="W26" s="233">
        <f t="shared" si="40"/>
        <v>0</v>
      </c>
      <c r="X26" s="214"/>
      <c r="Y26" s="214"/>
      <c r="Z26" s="214"/>
      <c r="AA26" s="214"/>
      <c r="AB26" s="214"/>
      <c r="AC26" s="214"/>
      <c r="AD26" s="214"/>
      <c r="AE26" s="241">
        <f t="shared" si="41"/>
        <v>0</v>
      </c>
      <c r="AF26" s="241">
        <f t="shared" si="42"/>
        <v>0</v>
      </c>
      <c r="AG26" s="251">
        <f t="shared" si="43"/>
        <v>0</v>
      </c>
      <c r="AH26" s="341"/>
      <c r="AI26" s="252"/>
      <c r="AJ26" s="214"/>
      <c r="AK26" s="215"/>
      <c r="AL26" s="233">
        <f t="shared" si="44"/>
        <v>0</v>
      </c>
      <c r="AM26" s="255"/>
      <c r="AN26" s="214"/>
      <c r="AO26" s="214"/>
      <c r="AP26" s="214"/>
      <c r="AQ26" s="259"/>
      <c r="AR26" s="214"/>
      <c r="AS26" s="255"/>
      <c r="AT26" s="241">
        <f t="shared" si="45"/>
        <v>0</v>
      </c>
      <c r="AU26" s="242">
        <f t="shared" si="46"/>
        <v>0</v>
      </c>
      <c r="AV26" s="251">
        <f t="shared" si="47"/>
        <v>0</v>
      </c>
      <c r="AW26" s="247"/>
      <c r="AX26" s="247"/>
      <c r="AY26" s="252"/>
      <c r="AZ26" s="214"/>
      <c r="BA26" s="215"/>
      <c r="BB26" s="233">
        <f t="shared" si="28"/>
        <v>0</v>
      </c>
      <c r="BC26" s="214"/>
      <c r="BD26" s="214"/>
      <c r="BE26" s="214"/>
      <c r="BF26" s="214"/>
      <c r="BG26" s="214"/>
      <c r="BH26" s="214"/>
      <c r="BI26" s="214"/>
      <c r="BJ26" s="241">
        <f t="shared" si="48"/>
        <v>0</v>
      </c>
      <c r="BK26" s="242">
        <f t="shared" si="29"/>
        <v>0</v>
      </c>
      <c r="BL26" s="251">
        <f t="shared" si="30"/>
        <v>0</v>
      </c>
      <c r="BM26" s="252"/>
      <c r="BN26" s="252"/>
      <c r="BO26" s="206"/>
      <c r="BP26" s="215"/>
      <c r="BQ26" s="233">
        <f t="shared" si="49"/>
        <v>0</v>
      </c>
      <c r="BR26" s="214"/>
      <c r="BS26" s="214"/>
      <c r="BT26" s="214"/>
      <c r="BU26" s="214"/>
      <c r="BV26" s="215"/>
      <c r="BW26" s="215"/>
      <c r="BX26" s="215"/>
      <c r="BY26" s="241">
        <f t="shared" si="50"/>
        <v>0</v>
      </c>
      <c r="BZ26" s="242">
        <f t="shared" si="31"/>
        <v>0</v>
      </c>
      <c r="CA26" s="251">
        <f>IF((BY26-BQ26)&gt;0,(BY26-BQ26),0)</f>
        <v>0</v>
      </c>
      <c r="CB26" s="252"/>
      <c r="CC26" s="252"/>
      <c r="CD26" s="251">
        <f t="shared" si="32"/>
        <v>2520</v>
      </c>
      <c r="CE26" s="353">
        <f t="shared" si="33"/>
        <v>2453</v>
      </c>
      <c r="CF26" s="251">
        <f t="shared" si="52"/>
        <v>-67</v>
      </c>
      <c r="CG26" s="251">
        <f t="shared" si="53"/>
        <v>0</v>
      </c>
      <c r="CH26" s="265"/>
      <c r="CI26" s="266"/>
      <c r="CJ26" s="266"/>
      <c r="CK26" s="63"/>
      <c r="CL26" s="267">
        <f t="shared" si="34"/>
        <v>0.97268650631879328</v>
      </c>
      <c r="CM26" s="267">
        <f t="shared" si="35"/>
        <v>4.3689320388349516E-2</v>
      </c>
      <c r="CN26" s="267">
        <f t="shared" si="54"/>
        <v>4.2496012411986119E-2</v>
      </c>
    </row>
    <row r="27" spans="2:95" ht="15.75">
      <c r="B27" s="85" t="s">
        <v>77</v>
      </c>
      <c r="C27" s="86">
        <v>1012150756024</v>
      </c>
      <c r="D27" s="87" t="s">
        <v>78</v>
      </c>
      <c r="E27" s="202" t="s">
        <v>50</v>
      </c>
      <c r="F27" s="415">
        <v>720</v>
      </c>
      <c r="G27" s="213"/>
      <c r="H27" s="235">
        <f t="shared" si="55"/>
        <v>720</v>
      </c>
      <c r="I27" s="419">
        <v>715</v>
      </c>
      <c r="J27" s="419"/>
      <c r="K27" s="419"/>
      <c r="L27" s="419"/>
      <c r="M27" s="420"/>
      <c r="N27" s="213"/>
      <c r="O27" s="213"/>
      <c r="P27" s="211">
        <f t="shared" si="37"/>
        <v>715</v>
      </c>
      <c r="Q27" s="234">
        <f t="shared" si="38"/>
        <v>-5</v>
      </c>
      <c r="R27" s="234">
        <f t="shared" si="39"/>
        <v>0</v>
      </c>
      <c r="S27" s="231"/>
      <c r="T27" s="232"/>
      <c r="U27" s="213"/>
      <c r="V27" s="213"/>
      <c r="W27" s="235">
        <f t="shared" si="40"/>
        <v>0</v>
      </c>
      <c r="X27" s="212"/>
      <c r="Y27" s="212"/>
      <c r="Z27" s="212"/>
      <c r="AA27" s="212"/>
      <c r="AB27" s="212"/>
      <c r="AC27" s="212"/>
      <c r="AD27" s="212"/>
      <c r="AE27" s="243">
        <f t="shared" si="41"/>
        <v>0</v>
      </c>
      <c r="AF27" s="243">
        <f t="shared" si="42"/>
        <v>0</v>
      </c>
      <c r="AG27" s="253">
        <f t="shared" si="43"/>
        <v>0</v>
      </c>
      <c r="AH27" s="341"/>
      <c r="AI27" s="252"/>
      <c r="AJ27" s="212"/>
      <c r="AK27" s="213"/>
      <c r="AL27" s="235">
        <f t="shared" si="44"/>
        <v>0</v>
      </c>
      <c r="AM27" s="254"/>
      <c r="AN27" s="212"/>
      <c r="AO27" s="212"/>
      <c r="AP27" s="212"/>
      <c r="AQ27" s="212"/>
      <c r="AR27" s="212"/>
      <c r="AS27" s="254"/>
      <c r="AT27" s="243">
        <f t="shared" si="45"/>
        <v>0</v>
      </c>
      <c r="AU27" s="244">
        <f t="shared" si="46"/>
        <v>0</v>
      </c>
      <c r="AV27" s="253">
        <f t="shared" si="47"/>
        <v>0</v>
      </c>
      <c r="AW27" s="247"/>
      <c r="AX27" s="247"/>
      <c r="AY27" s="252"/>
      <c r="AZ27" s="212"/>
      <c r="BA27" s="213"/>
      <c r="BB27" s="235">
        <f t="shared" si="28"/>
        <v>0</v>
      </c>
      <c r="BC27" s="212"/>
      <c r="BD27" s="212"/>
      <c r="BE27" s="254"/>
      <c r="BF27" s="212"/>
      <c r="BG27" s="212"/>
      <c r="BH27" s="212"/>
      <c r="BI27" s="212"/>
      <c r="BJ27" s="243">
        <f t="shared" si="48"/>
        <v>0</v>
      </c>
      <c r="BK27" s="244">
        <f t="shared" si="29"/>
        <v>0</v>
      </c>
      <c r="BL27" s="253">
        <f t="shared" si="30"/>
        <v>0</v>
      </c>
      <c r="BM27" s="252"/>
      <c r="BN27" s="252"/>
      <c r="BO27" s="205"/>
      <c r="BP27" s="213"/>
      <c r="BQ27" s="235">
        <f t="shared" si="49"/>
        <v>0</v>
      </c>
      <c r="BR27" s="212"/>
      <c r="BS27" s="212"/>
      <c r="BT27" s="212"/>
      <c r="BU27" s="212"/>
      <c r="BV27" s="213"/>
      <c r="BW27" s="213"/>
      <c r="BX27" s="213"/>
      <c r="BY27" s="243">
        <f t="shared" si="50"/>
        <v>0</v>
      </c>
      <c r="BZ27" s="244">
        <f t="shared" si="31"/>
        <v>0</v>
      </c>
      <c r="CA27" s="253">
        <f t="shared" si="51"/>
        <v>0</v>
      </c>
      <c r="CB27" s="328"/>
      <c r="CC27" s="252"/>
      <c r="CD27" s="253">
        <f t="shared" si="32"/>
        <v>720</v>
      </c>
      <c r="CE27" s="354">
        <f t="shared" si="33"/>
        <v>715</v>
      </c>
      <c r="CF27" s="253">
        <f t="shared" si="52"/>
        <v>-5</v>
      </c>
      <c r="CG27" s="253">
        <f t="shared" si="53"/>
        <v>0</v>
      </c>
      <c r="CH27" s="265"/>
      <c r="CI27" s="266"/>
      <c r="CJ27" s="266"/>
      <c r="CK27" s="63"/>
      <c r="CL27" s="267">
        <f t="shared" si="34"/>
        <v>0.99300699300699302</v>
      </c>
      <c r="CM27" s="267">
        <f t="shared" si="35"/>
        <v>1.2482662968099861E-2</v>
      </c>
      <c r="CN27" s="267">
        <f t="shared" si="54"/>
        <v>1.2395371618672589E-2</v>
      </c>
      <c r="CQ27" s="343"/>
    </row>
    <row r="28" spans="2:95" ht="15.75">
      <c r="B28" s="82" t="s">
        <v>79</v>
      </c>
      <c r="C28" s="83">
        <v>1012150756026</v>
      </c>
      <c r="D28" s="84" t="s">
        <v>80</v>
      </c>
      <c r="E28" s="199" t="s">
        <v>50</v>
      </c>
      <c r="F28" s="414">
        <v>1000</v>
      </c>
      <c r="G28" s="215"/>
      <c r="H28" s="233">
        <f t="shared" si="55"/>
        <v>1000</v>
      </c>
      <c r="I28" s="417">
        <v>800</v>
      </c>
      <c r="J28" s="417">
        <v>214</v>
      </c>
      <c r="K28" s="417"/>
      <c r="L28" s="417"/>
      <c r="M28" s="418"/>
      <c r="N28" s="215"/>
      <c r="O28" s="215"/>
      <c r="P28" s="210">
        <f t="shared" si="37"/>
        <v>1014</v>
      </c>
      <c r="Q28" s="230">
        <f t="shared" si="38"/>
        <v>0</v>
      </c>
      <c r="R28" s="230">
        <f t="shared" si="39"/>
        <v>14</v>
      </c>
      <c r="S28" s="231"/>
      <c r="T28" s="232"/>
      <c r="U28" s="215"/>
      <c r="V28" s="215"/>
      <c r="W28" s="233">
        <f t="shared" si="40"/>
        <v>0</v>
      </c>
      <c r="X28" s="214"/>
      <c r="Y28" s="214"/>
      <c r="Z28" s="214"/>
      <c r="AA28" s="214"/>
      <c r="AB28" s="214"/>
      <c r="AC28" s="214"/>
      <c r="AD28" s="214"/>
      <c r="AE28" s="241">
        <f t="shared" si="41"/>
        <v>0</v>
      </c>
      <c r="AF28" s="337">
        <f t="shared" si="42"/>
        <v>0</v>
      </c>
      <c r="AG28" s="251">
        <f t="shared" si="43"/>
        <v>0</v>
      </c>
      <c r="AH28" s="341"/>
      <c r="AI28" s="252"/>
      <c r="AJ28" s="214"/>
      <c r="AK28" s="215"/>
      <c r="AL28" s="233">
        <f t="shared" si="44"/>
        <v>0</v>
      </c>
      <c r="AM28" s="255"/>
      <c r="AN28" s="214"/>
      <c r="AO28" s="214"/>
      <c r="AP28" s="214"/>
      <c r="AQ28" s="214"/>
      <c r="AR28" s="214"/>
      <c r="AS28" s="255"/>
      <c r="AT28" s="241">
        <f t="shared" si="45"/>
        <v>0</v>
      </c>
      <c r="AU28" s="242">
        <f t="shared" si="46"/>
        <v>0</v>
      </c>
      <c r="AV28" s="251">
        <f t="shared" si="47"/>
        <v>0</v>
      </c>
      <c r="AW28" s="247"/>
      <c r="AX28" s="247"/>
      <c r="AY28" s="252"/>
      <c r="AZ28" s="214"/>
      <c r="BA28" s="215"/>
      <c r="BB28" s="233">
        <f t="shared" si="28"/>
        <v>0</v>
      </c>
      <c r="BC28" s="214"/>
      <c r="BD28" s="214"/>
      <c r="BE28" s="255"/>
      <c r="BF28" s="214"/>
      <c r="BG28" s="214"/>
      <c r="BH28" s="214"/>
      <c r="BI28" s="214"/>
      <c r="BJ28" s="241">
        <f t="shared" si="48"/>
        <v>0</v>
      </c>
      <c r="BK28" s="242">
        <f t="shared" si="29"/>
        <v>0</v>
      </c>
      <c r="BL28" s="251">
        <f t="shared" si="30"/>
        <v>0</v>
      </c>
      <c r="BM28" s="252"/>
      <c r="BN28" s="252"/>
      <c r="BO28" s="13"/>
      <c r="BP28" s="215"/>
      <c r="BQ28" s="233">
        <f t="shared" si="49"/>
        <v>0</v>
      </c>
      <c r="BR28" s="214"/>
      <c r="BS28" s="214"/>
      <c r="BT28" s="214"/>
      <c r="BU28" s="214"/>
      <c r="BV28" s="215"/>
      <c r="BW28" s="215"/>
      <c r="BX28" s="215"/>
      <c r="BY28" s="241">
        <f t="shared" si="50"/>
        <v>0</v>
      </c>
      <c r="BZ28" s="242">
        <f t="shared" si="31"/>
        <v>0</v>
      </c>
      <c r="CA28" s="251">
        <f t="shared" si="51"/>
        <v>0</v>
      </c>
      <c r="CB28" s="252"/>
      <c r="CC28" s="252"/>
      <c r="CD28" s="251">
        <f t="shared" si="32"/>
        <v>1000</v>
      </c>
      <c r="CE28" s="354">
        <f t="shared" si="33"/>
        <v>1014</v>
      </c>
      <c r="CF28" s="251">
        <f t="shared" si="52"/>
        <v>0</v>
      </c>
      <c r="CG28" s="251">
        <f t="shared" si="53"/>
        <v>14</v>
      </c>
      <c r="CH28" s="265"/>
      <c r="CI28" s="266"/>
      <c r="CJ28" s="266"/>
      <c r="CK28" s="63"/>
      <c r="CL28" s="267">
        <f t="shared" si="34"/>
        <v>0.98619329388560162</v>
      </c>
      <c r="CM28" s="267">
        <f t="shared" si="35"/>
        <v>1.7337031900138695E-2</v>
      </c>
      <c r="CN28" s="267">
        <f t="shared" si="54"/>
        <v>1.7097664595797531E-2</v>
      </c>
    </row>
    <row r="29" spans="2:95" ht="15.75">
      <c r="B29" s="85" t="s">
        <v>81</v>
      </c>
      <c r="C29" s="86">
        <v>1012150756027</v>
      </c>
      <c r="D29" s="87" t="s">
        <v>82</v>
      </c>
      <c r="E29" s="202" t="s">
        <v>50</v>
      </c>
      <c r="F29" s="415">
        <v>520</v>
      </c>
      <c r="G29" s="213"/>
      <c r="H29" s="235">
        <f t="shared" si="55"/>
        <v>520</v>
      </c>
      <c r="I29" s="419"/>
      <c r="J29" s="419"/>
      <c r="K29" s="419"/>
      <c r="L29" s="419">
        <v>524</v>
      </c>
      <c r="M29" s="420"/>
      <c r="N29" s="213"/>
      <c r="O29" s="213"/>
      <c r="P29" s="211">
        <f t="shared" si="37"/>
        <v>524</v>
      </c>
      <c r="Q29" s="234">
        <f t="shared" si="38"/>
        <v>0</v>
      </c>
      <c r="R29" s="234">
        <f t="shared" si="39"/>
        <v>4</v>
      </c>
      <c r="S29" s="231"/>
      <c r="T29" s="232"/>
      <c r="U29" s="213"/>
      <c r="V29" s="213"/>
      <c r="W29" s="235">
        <f t="shared" si="40"/>
        <v>0</v>
      </c>
      <c r="X29" s="212"/>
      <c r="Y29" s="212"/>
      <c r="Z29" s="212"/>
      <c r="AA29" s="212"/>
      <c r="AB29" s="212"/>
      <c r="AC29" s="212"/>
      <c r="AD29" s="212"/>
      <c r="AE29" s="243">
        <f t="shared" si="41"/>
        <v>0</v>
      </c>
      <c r="AF29" s="243">
        <f t="shared" si="42"/>
        <v>0</v>
      </c>
      <c r="AG29" s="253">
        <f t="shared" si="43"/>
        <v>0</v>
      </c>
      <c r="AH29" s="341"/>
      <c r="AI29" s="252"/>
      <c r="AJ29" s="212"/>
      <c r="AK29" s="213"/>
      <c r="AL29" s="235">
        <f t="shared" si="44"/>
        <v>0</v>
      </c>
      <c r="AM29" s="254"/>
      <c r="AN29" s="212"/>
      <c r="AO29" s="212"/>
      <c r="AP29" s="212"/>
      <c r="AQ29" s="212"/>
      <c r="AR29" s="212"/>
      <c r="AS29" s="254"/>
      <c r="AT29" s="243">
        <f t="shared" si="45"/>
        <v>0</v>
      </c>
      <c r="AU29" s="244">
        <f t="shared" si="46"/>
        <v>0</v>
      </c>
      <c r="AV29" s="253">
        <f t="shared" si="47"/>
        <v>0</v>
      </c>
      <c r="AW29" s="247"/>
      <c r="AX29" s="247"/>
      <c r="AY29" s="252"/>
      <c r="AZ29" s="212"/>
      <c r="BA29" s="213"/>
      <c r="BB29" s="235">
        <f t="shared" si="28"/>
        <v>0</v>
      </c>
      <c r="BC29" s="212"/>
      <c r="BD29" s="212"/>
      <c r="BE29" s="254"/>
      <c r="BF29" s="212"/>
      <c r="BG29" s="212"/>
      <c r="BH29" s="212"/>
      <c r="BI29" s="212"/>
      <c r="BJ29" s="243">
        <f t="shared" si="48"/>
        <v>0</v>
      </c>
      <c r="BK29" s="244">
        <f t="shared" si="29"/>
        <v>0</v>
      </c>
      <c r="BL29" s="253">
        <f t="shared" si="30"/>
        <v>0</v>
      </c>
      <c r="BM29" s="252"/>
      <c r="BN29" s="252"/>
      <c r="BO29" s="205"/>
      <c r="BP29" s="213"/>
      <c r="BQ29" s="235">
        <f t="shared" si="49"/>
        <v>0</v>
      </c>
      <c r="BR29" s="212"/>
      <c r="BS29" s="212"/>
      <c r="BT29" s="212"/>
      <c r="BU29" s="212"/>
      <c r="BV29" s="213"/>
      <c r="BW29" s="213"/>
      <c r="BX29" s="213"/>
      <c r="BY29" s="243">
        <f t="shared" si="50"/>
        <v>0</v>
      </c>
      <c r="BZ29" s="244">
        <f t="shared" si="31"/>
        <v>0</v>
      </c>
      <c r="CA29" s="253">
        <f t="shared" si="51"/>
        <v>0</v>
      </c>
      <c r="CB29" s="328"/>
      <c r="CC29" s="252"/>
      <c r="CD29" s="253">
        <f t="shared" si="32"/>
        <v>520</v>
      </c>
      <c r="CE29" s="354">
        <f t="shared" si="33"/>
        <v>524</v>
      </c>
      <c r="CF29" s="253">
        <f t="shared" si="52"/>
        <v>0</v>
      </c>
      <c r="CG29" s="253">
        <f t="shared" si="53"/>
        <v>4</v>
      </c>
      <c r="CH29" s="265"/>
      <c r="CI29" s="266"/>
      <c r="CJ29" s="266"/>
      <c r="CK29" s="63"/>
      <c r="CL29" s="267">
        <f t="shared" si="34"/>
        <v>0.99236641221374045</v>
      </c>
      <c r="CM29" s="267">
        <f t="shared" si="35"/>
        <v>9.0152565880721215E-3</v>
      </c>
      <c r="CN29" s="267">
        <f t="shared" si="54"/>
        <v>8.9464378354914189E-3</v>
      </c>
    </row>
    <row r="30" spans="2:95" ht="15.75">
      <c r="B30" s="82" t="s">
        <v>83</v>
      </c>
      <c r="C30" s="83">
        <v>1012150728181</v>
      </c>
      <c r="D30" s="84" t="s">
        <v>84</v>
      </c>
      <c r="E30" s="199" t="s">
        <v>44</v>
      </c>
      <c r="F30" s="414">
        <v>1000</v>
      </c>
      <c r="G30" s="215"/>
      <c r="H30" s="233">
        <f t="shared" si="55"/>
        <v>1000</v>
      </c>
      <c r="I30" s="417"/>
      <c r="J30" s="417"/>
      <c r="K30" s="417"/>
      <c r="L30" s="417"/>
      <c r="M30" s="418">
        <f>480+504</f>
        <v>984</v>
      </c>
      <c r="N30" s="215"/>
      <c r="O30" s="215"/>
      <c r="P30" s="210">
        <f t="shared" si="37"/>
        <v>984</v>
      </c>
      <c r="Q30" s="230">
        <f t="shared" si="38"/>
        <v>-16</v>
      </c>
      <c r="R30" s="230">
        <f t="shared" si="39"/>
        <v>0</v>
      </c>
      <c r="S30" s="231"/>
      <c r="T30" s="232"/>
      <c r="U30" s="215"/>
      <c r="V30" s="215"/>
      <c r="W30" s="233">
        <f t="shared" si="40"/>
        <v>0</v>
      </c>
      <c r="X30" s="214"/>
      <c r="Y30" s="214"/>
      <c r="Z30" s="214"/>
      <c r="AA30" s="214"/>
      <c r="AB30" s="214"/>
      <c r="AC30" s="214"/>
      <c r="AD30" s="214"/>
      <c r="AE30" s="241">
        <f t="shared" si="41"/>
        <v>0</v>
      </c>
      <c r="AF30" s="242">
        <f t="shared" si="42"/>
        <v>0</v>
      </c>
      <c r="AG30" s="251">
        <f t="shared" si="43"/>
        <v>0</v>
      </c>
      <c r="AH30" s="341"/>
      <c r="AI30" s="252"/>
      <c r="AJ30" s="214"/>
      <c r="AK30" s="215"/>
      <c r="AL30" s="233">
        <f t="shared" si="44"/>
        <v>0</v>
      </c>
      <c r="AM30" s="255"/>
      <c r="AN30" s="214"/>
      <c r="AO30" s="214"/>
      <c r="AP30" s="214"/>
      <c r="AQ30" s="214"/>
      <c r="AR30" s="214"/>
      <c r="AS30" s="255"/>
      <c r="AT30" s="241">
        <f t="shared" si="45"/>
        <v>0</v>
      </c>
      <c r="AU30" s="242">
        <f t="shared" si="46"/>
        <v>0</v>
      </c>
      <c r="AV30" s="251">
        <f t="shared" si="47"/>
        <v>0</v>
      </c>
      <c r="AW30" s="247"/>
      <c r="AX30" s="247"/>
      <c r="AY30" s="252"/>
      <c r="AZ30" s="214"/>
      <c r="BA30" s="215"/>
      <c r="BB30" s="233">
        <f t="shared" si="28"/>
        <v>0</v>
      </c>
      <c r="BC30" s="214"/>
      <c r="BD30" s="214"/>
      <c r="BE30" s="255"/>
      <c r="BF30" s="214"/>
      <c r="BG30" s="214"/>
      <c r="BH30" s="214"/>
      <c r="BI30" s="214"/>
      <c r="BJ30" s="241">
        <f t="shared" si="48"/>
        <v>0</v>
      </c>
      <c r="BK30" s="242">
        <f t="shared" si="29"/>
        <v>0</v>
      </c>
      <c r="BL30" s="251">
        <f t="shared" si="30"/>
        <v>0</v>
      </c>
      <c r="BM30" s="252"/>
      <c r="BN30" s="252"/>
      <c r="BO30" s="356"/>
      <c r="BP30" s="215"/>
      <c r="BQ30" s="233">
        <f t="shared" si="49"/>
        <v>0</v>
      </c>
      <c r="BR30" s="214"/>
      <c r="BS30" s="214"/>
      <c r="BT30" s="214"/>
      <c r="BU30" s="214"/>
      <c r="BV30" s="215"/>
      <c r="BW30" s="215"/>
      <c r="BX30" s="215"/>
      <c r="BY30" s="241">
        <f t="shared" si="50"/>
        <v>0</v>
      </c>
      <c r="BZ30" s="242">
        <f t="shared" si="31"/>
        <v>0</v>
      </c>
      <c r="CA30" s="251">
        <f t="shared" si="51"/>
        <v>0</v>
      </c>
      <c r="CB30" s="252"/>
      <c r="CC30" s="252"/>
      <c r="CD30" s="251">
        <f t="shared" si="32"/>
        <v>1000</v>
      </c>
      <c r="CE30" s="354">
        <f t="shared" si="33"/>
        <v>984</v>
      </c>
      <c r="CF30" s="251">
        <f t="shared" si="52"/>
        <v>-16</v>
      </c>
      <c r="CG30" s="251">
        <f t="shared" si="53"/>
        <v>0</v>
      </c>
      <c r="CH30" s="265"/>
      <c r="CI30" s="266"/>
      <c r="CJ30" s="266"/>
      <c r="CK30" s="63"/>
      <c r="CL30" s="267">
        <f t="shared" si="34"/>
        <v>0.98373983739837401</v>
      </c>
      <c r="CM30" s="267">
        <f t="shared" si="35"/>
        <v>1.7337031900138695E-2</v>
      </c>
      <c r="CN30" s="267">
        <f t="shared" si="54"/>
        <v>1.7055128942412862E-2</v>
      </c>
    </row>
    <row r="31" spans="2:95" ht="15.75">
      <c r="B31" s="85" t="s">
        <v>85</v>
      </c>
      <c r="C31" s="86">
        <v>1012150728960</v>
      </c>
      <c r="D31" s="87" t="s">
        <v>86</v>
      </c>
      <c r="E31" s="202" t="s">
        <v>50</v>
      </c>
      <c r="F31" s="415">
        <v>2800</v>
      </c>
      <c r="G31" s="213"/>
      <c r="H31" s="235">
        <f t="shared" si="55"/>
        <v>2800</v>
      </c>
      <c r="I31" s="419">
        <v>176</v>
      </c>
      <c r="J31" s="419">
        <v>500</v>
      </c>
      <c r="K31" s="419">
        <v>1660</v>
      </c>
      <c r="L31" s="419">
        <f>201+280</f>
        <v>481</v>
      </c>
      <c r="M31" s="420"/>
      <c r="N31" s="213"/>
      <c r="O31" s="213"/>
      <c r="P31" s="211">
        <f t="shared" si="37"/>
        <v>2817</v>
      </c>
      <c r="Q31" s="234">
        <f t="shared" si="38"/>
        <v>0</v>
      </c>
      <c r="R31" s="234">
        <f t="shared" si="39"/>
        <v>17</v>
      </c>
      <c r="S31" s="231"/>
      <c r="T31" s="232"/>
      <c r="U31" s="213"/>
      <c r="V31" s="213"/>
      <c r="W31" s="235">
        <f t="shared" si="40"/>
        <v>0</v>
      </c>
      <c r="X31" s="212"/>
      <c r="Y31" s="212"/>
      <c r="Z31" s="212"/>
      <c r="AA31" s="212"/>
      <c r="AB31" s="212"/>
      <c r="AC31" s="212"/>
      <c r="AD31" s="212"/>
      <c r="AE31" s="243">
        <f t="shared" si="41"/>
        <v>0</v>
      </c>
      <c r="AF31" s="244">
        <f t="shared" si="42"/>
        <v>0</v>
      </c>
      <c r="AG31" s="253">
        <f t="shared" si="43"/>
        <v>0</v>
      </c>
      <c r="AH31" s="341"/>
      <c r="AI31" s="252"/>
      <c r="AJ31" s="212"/>
      <c r="AK31" s="213"/>
      <c r="AL31" s="235">
        <f t="shared" si="44"/>
        <v>0</v>
      </c>
      <c r="AM31" s="254"/>
      <c r="AN31" s="212"/>
      <c r="AO31" s="212"/>
      <c r="AP31" s="212"/>
      <c r="AQ31" s="212"/>
      <c r="AR31" s="254"/>
      <c r="AS31" s="254"/>
      <c r="AT31" s="243">
        <f t="shared" si="45"/>
        <v>0</v>
      </c>
      <c r="AU31" s="244">
        <f t="shared" si="46"/>
        <v>0</v>
      </c>
      <c r="AV31" s="253">
        <f t="shared" si="47"/>
        <v>0</v>
      </c>
      <c r="AW31" s="247"/>
      <c r="AX31" s="247"/>
      <c r="AY31" s="252"/>
      <c r="AZ31" s="212"/>
      <c r="BA31" s="213"/>
      <c r="BB31" s="235">
        <f t="shared" si="28"/>
        <v>0</v>
      </c>
      <c r="BC31" s="212"/>
      <c r="BD31" s="212"/>
      <c r="BE31" s="254"/>
      <c r="BF31" s="212"/>
      <c r="BG31" s="212"/>
      <c r="BH31" s="212"/>
      <c r="BI31" s="212"/>
      <c r="BJ31" s="243">
        <f t="shared" si="48"/>
        <v>0</v>
      </c>
      <c r="BK31" s="244">
        <f t="shared" si="29"/>
        <v>0</v>
      </c>
      <c r="BL31" s="253">
        <f t="shared" si="30"/>
        <v>0</v>
      </c>
      <c r="BM31" s="252"/>
      <c r="BN31" s="252"/>
      <c r="BO31" s="205"/>
      <c r="BP31" s="213"/>
      <c r="BQ31" s="235">
        <f t="shared" si="49"/>
        <v>0</v>
      </c>
      <c r="BR31" s="212"/>
      <c r="BS31" s="212"/>
      <c r="BT31" s="212"/>
      <c r="BU31" s="212"/>
      <c r="BV31" s="213"/>
      <c r="BW31" s="213"/>
      <c r="BX31" s="213"/>
      <c r="BY31" s="243">
        <f t="shared" si="50"/>
        <v>0</v>
      </c>
      <c r="BZ31" s="244">
        <f t="shared" si="31"/>
        <v>0</v>
      </c>
      <c r="CA31" s="253">
        <f t="shared" si="51"/>
        <v>0</v>
      </c>
      <c r="CB31" s="328"/>
      <c r="CC31" s="252"/>
      <c r="CD31" s="253">
        <f t="shared" si="32"/>
        <v>2800</v>
      </c>
      <c r="CE31" s="354">
        <f t="shared" si="33"/>
        <v>2817</v>
      </c>
      <c r="CF31" s="253">
        <f t="shared" si="52"/>
        <v>0</v>
      </c>
      <c r="CG31" s="253">
        <f t="shared" si="53"/>
        <v>17</v>
      </c>
      <c r="CH31" s="265"/>
      <c r="CI31" s="266"/>
      <c r="CJ31" s="266"/>
      <c r="CK31" s="63"/>
      <c r="CL31" s="267">
        <f t="shared" si="34"/>
        <v>0.99396521121760739</v>
      </c>
      <c r="CM31" s="267">
        <f t="shared" si="35"/>
        <v>4.8543689320388349E-2</v>
      </c>
      <c r="CN31" s="267">
        <f t="shared" si="54"/>
        <v>4.8250738408621714E-2</v>
      </c>
    </row>
    <row r="32" spans="2:95" ht="15.75">
      <c r="B32" s="82" t="s">
        <v>87</v>
      </c>
      <c r="C32" s="83">
        <v>1012150728560</v>
      </c>
      <c r="D32" s="84" t="s">
        <v>88</v>
      </c>
      <c r="E32" s="199" t="s">
        <v>50</v>
      </c>
      <c r="F32" s="414">
        <v>480</v>
      </c>
      <c r="G32" s="215"/>
      <c r="H32" s="233">
        <f t="shared" si="55"/>
        <v>480</v>
      </c>
      <c r="I32" s="417"/>
      <c r="J32" s="417"/>
      <c r="K32" s="417"/>
      <c r="L32" s="417">
        <f>353+120</f>
        <v>473</v>
      </c>
      <c r="M32" s="418"/>
      <c r="N32" s="215"/>
      <c r="O32" s="215"/>
      <c r="P32" s="210">
        <f t="shared" si="37"/>
        <v>473</v>
      </c>
      <c r="Q32" s="230">
        <f t="shared" si="38"/>
        <v>-7</v>
      </c>
      <c r="R32" s="230">
        <f t="shared" si="39"/>
        <v>0</v>
      </c>
      <c r="S32" s="231"/>
      <c r="T32" s="232"/>
      <c r="U32" s="215"/>
      <c r="V32" s="215"/>
      <c r="W32" s="233">
        <f t="shared" si="40"/>
        <v>0</v>
      </c>
      <c r="X32" s="214"/>
      <c r="Y32" s="214"/>
      <c r="Z32" s="214"/>
      <c r="AA32" s="214"/>
      <c r="AB32" s="214"/>
      <c r="AC32" s="214"/>
      <c r="AD32" s="214"/>
      <c r="AE32" s="241">
        <f t="shared" si="41"/>
        <v>0</v>
      </c>
      <c r="AF32" s="242">
        <f t="shared" si="42"/>
        <v>0</v>
      </c>
      <c r="AG32" s="251">
        <f t="shared" si="43"/>
        <v>0</v>
      </c>
      <c r="AH32" s="341"/>
      <c r="AI32" s="252"/>
      <c r="AJ32" s="214"/>
      <c r="AK32" s="215"/>
      <c r="AL32" s="233">
        <f t="shared" si="44"/>
        <v>0</v>
      </c>
      <c r="AM32" s="255"/>
      <c r="AN32" s="214"/>
      <c r="AO32" s="214"/>
      <c r="AP32" s="214"/>
      <c r="AQ32" s="214"/>
      <c r="AR32" s="214"/>
      <c r="AS32" s="255"/>
      <c r="AT32" s="241">
        <f t="shared" si="45"/>
        <v>0</v>
      </c>
      <c r="AU32" s="242">
        <f t="shared" si="46"/>
        <v>0</v>
      </c>
      <c r="AV32" s="251">
        <f t="shared" si="47"/>
        <v>0</v>
      </c>
      <c r="AW32" s="247"/>
      <c r="AX32" s="247"/>
      <c r="AY32" s="252"/>
      <c r="AZ32" s="214"/>
      <c r="BA32" s="215"/>
      <c r="BB32" s="233">
        <f t="shared" si="28"/>
        <v>0</v>
      </c>
      <c r="BC32" s="214"/>
      <c r="BD32" s="214"/>
      <c r="BE32" s="255"/>
      <c r="BF32" s="214"/>
      <c r="BG32" s="214"/>
      <c r="BH32" s="214"/>
      <c r="BI32" s="214"/>
      <c r="BJ32" s="241">
        <f t="shared" si="48"/>
        <v>0</v>
      </c>
      <c r="BK32" s="242">
        <f t="shared" si="29"/>
        <v>0</v>
      </c>
      <c r="BL32" s="251">
        <f t="shared" si="30"/>
        <v>0</v>
      </c>
      <c r="BM32" s="252"/>
      <c r="BN32" s="252"/>
      <c r="BO32" s="13"/>
      <c r="BP32" s="215"/>
      <c r="BQ32" s="233">
        <f t="shared" si="49"/>
        <v>0</v>
      </c>
      <c r="BR32" s="214"/>
      <c r="BS32" s="214"/>
      <c r="BT32" s="214"/>
      <c r="BU32" s="214"/>
      <c r="BV32" s="215"/>
      <c r="BW32" s="215"/>
      <c r="BX32" s="215"/>
      <c r="BY32" s="241">
        <f t="shared" si="50"/>
        <v>0</v>
      </c>
      <c r="BZ32" s="242">
        <f t="shared" si="31"/>
        <v>0</v>
      </c>
      <c r="CA32" s="251">
        <f t="shared" si="51"/>
        <v>0</v>
      </c>
      <c r="CB32" s="252"/>
      <c r="CC32" s="252"/>
      <c r="CD32" s="251">
        <f t="shared" si="32"/>
        <v>480</v>
      </c>
      <c r="CE32" s="354">
        <f t="shared" si="33"/>
        <v>473</v>
      </c>
      <c r="CF32" s="251">
        <f t="shared" si="52"/>
        <v>-7</v>
      </c>
      <c r="CG32" s="251">
        <f t="shared" si="53"/>
        <v>0</v>
      </c>
      <c r="CH32" s="265"/>
      <c r="CI32" s="266"/>
      <c r="CJ32" s="266"/>
      <c r="CK32" s="63"/>
      <c r="CL32" s="267">
        <f t="shared" si="34"/>
        <v>0.985200845665962</v>
      </c>
      <c r="CM32" s="267">
        <f t="shared" si="35"/>
        <v>8.321775312066574E-3</v>
      </c>
      <c r="CN32" s="267">
        <f t="shared" si="54"/>
        <v>8.1986200748901134E-3</v>
      </c>
    </row>
    <row r="33" spans="2:92" ht="15.75">
      <c r="B33" s="85" t="s">
        <v>89</v>
      </c>
      <c r="C33" s="86" t="s">
        <v>90</v>
      </c>
      <c r="D33" s="87" t="s">
        <v>86</v>
      </c>
      <c r="E33" s="202" t="s">
        <v>91</v>
      </c>
      <c r="F33" s="415"/>
      <c r="G33" s="213"/>
      <c r="H33" s="235">
        <f t="shared" si="55"/>
        <v>0</v>
      </c>
      <c r="I33" s="212"/>
      <c r="J33" s="212"/>
      <c r="K33" s="212"/>
      <c r="L33" s="212"/>
      <c r="M33" s="213"/>
      <c r="N33" s="213"/>
      <c r="O33" s="213"/>
      <c r="P33" s="211">
        <f t="shared" si="37"/>
        <v>0</v>
      </c>
      <c r="Q33" s="234">
        <f t="shared" si="38"/>
        <v>0</v>
      </c>
      <c r="R33" s="234">
        <f t="shared" si="39"/>
        <v>0</v>
      </c>
      <c r="S33" s="231"/>
      <c r="T33" s="232"/>
      <c r="U33" s="213"/>
      <c r="V33" s="213"/>
      <c r="W33" s="235">
        <f t="shared" si="40"/>
        <v>0</v>
      </c>
      <c r="X33" s="212"/>
      <c r="Y33" s="212"/>
      <c r="Z33" s="212"/>
      <c r="AA33" s="212"/>
      <c r="AB33" s="212"/>
      <c r="AC33" s="212"/>
      <c r="AD33" s="212"/>
      <c r="AE33" s="243">
        <f t="shared" si="41"/>
        <v>0</v>
      </c>
      <c r="AF33" s="244">
        <f t="shared" si="42"/>
        <v>0</v>
      </c>
      <c r="AG33" s="253">
        <f t="shared" si="43"/>
        <v>0</v>
      </c>
      <c r="AH33" s="341"/>
      <c r="AI33" s="252"/>
      <c r="AJ33" s="212"/>
      <c r="AK33" s="213"/>
      <c r="AL33" s="235">
        <f t="shared" si="44"/>
        <v>0</v>
      </c>
      <c r="AM33" s="254"/>
      <c r="AN33" s="212"/>
      <c r="AO33" s="212"/>
      <c r="AP33" s="212"/>
      <c r="AQ33" s="212"/>
      <c r="AR33" s="212"/>
      <c r="AS33" s="254"/>
      <c r="AT33" s="243">
        <f t="shared" si="45"/>
        <v>0</v>
      </c>
      <c r="AU33" s="244">
        <f t="shared" si="46"/>
        <v>0</v>
      </c>
      <c r="AV33" s="253">
        <f t="shared" si="47"/>
        <v>0</v>
      </c>
      <c r="AW33" s="247"/>
      <c r="AX33" s="247"/>
      <c r="AY33" s="252"/>
      <c r="AZ33" s="212"/>
      <c r="BA33" s="213"/>
      <c r="BB33" s="235">
        <f t="shared" si="28"/>
        <v>0</v>
      </c>
      <c r="BC33" s="212"/>
      <c r="BD33" s="212"/>
      <c r="BE33" s="254"/>
      <c r="BF33" s="212"/>
      <c r="BG33" s="212"/>
      <c r="BH33" s="212"/>
      <c r="BI33" s="212"/>
      <c r="BJ33" s="243">
        <f t="shared" si="48"/>
        <v>0</v>
      </c>
      <c r="BK33" s="244">
        <f t="shared" si="29"/>
        <v>0</v>
      </c>
      <c r="BL33" s="253">
        <f t="shared" si="30"/>
        <v>0</v>
      </c>
      <c r="BM33" s="252"/>
      <c r="BN33" s="252"/>
      <c r="BO33" s="205"/>
      <c r="BP33" s="213"/>
      <c r="BQ33" s="235">
        <f t="shared" si="49"/>
        <v>0</v>
      </c>
      <c r="BR33" s="212"/>
      <c r="BS33" s="212"/>
      <c r="BT33" s="212"/>
      <c r="BU33" s="212"/>
      <c r="BV33" s="213"/>
      <c r="BW33" s="213"/>
      <c r="BX33" s="213"/>
      <c r="BY33" s="243">
        <f t="shared" si="50"/>
        <v>0</v>
      </c>
      <c r="BZ33" s="244">
        <f t="shared" si="31"/>
        <v>0</v>
      </c>
      <c r="CA33" s="253">
        <f t="shared" si="51"/>
        <v>0</v>
      </c>
      <c r="CB33" s="328"/>
      <c r="CC33" s="252"/>
      <c r="CD33" s="253">
        <f t="shared" si="32"/>
        <v>0</v>
      </c>
      <c r="CE33" s="253">
        <f t="shared" si="33"/>
        <v>0</v>
      </c>
      <c r="CF33" s="253">
        <f t="shared" si="52"/>
        <v>0</v>
      </c>
      <c r="CG33" s="253">
        <f t="shared" si="53"/>
        <v>0</v>
      </c>
      <c r="CH33" s="265"/>
      <c r="CI33" s="266"/>
      <c r="CJ33" s="266"/>
      <c r="CK33" s="63"/>
      <c r="CL33" s="267">
        <f t="shared" si="34"/>
        <v>0</v>
      </c>
      <c r="CM33" s="267">
        <f t="shared" si="35"/>
        <v>0</v>
      </c>
      <c r="CN33" s="267">
        <f t="shared" si="54"/>
        <v>0</v>
      </c>
    </row>
    <row r="34" spans="2:92" ht="15.75" hidden="1">
      <c r="B34" s="82" t="s">
        <v>92</v>
      </c>
      <c r="C34" s="83">
        <v>1012160456013</v>
      </c>
      <c r="D34" s="84" t="s">
        <v>93</v>
      </c>
      <c r="E34" s="199" t="s">
        <v>47</v>
      </c>
      <c r="F34" s="200"/>
      <c r="G34" s="200"/>
      <c r="H34" s="201">
        <f t="shared" si="36"/>
        <v>0</v>
      </c>
      <c r="I34" s="200"/>
      <c r="J34" s="200"/>
      <c r="K34" s="200"/>
      <c r="L34" s="200"/>
      <c r="M34" s="200"/>
      <c r="N34" s="200"/>
      <c r="O34" s="200"/>
      <c r="P34" s="210">
        <f t="shared" si="37"/>
        <v>0</v>
      </c>
      <c r="Q34" s="230">
        <f t="shared" si="38"/>
        <v>0</v>
      </c>
      <c r="R34" s="230">
        <f t="shared" si="39"/>
        <v>0</v>
      </c>
      <c r="S34" s="231"/>
      <c r="T34" s="232"/>
      <c r="U34" s="215"/>
      <c r="V34" s="215"/>
      <c r="W34" s="233">
        <f t="shared" si="40"/>
        <v>0</v>
      </c>
      <c r="X34" s="214"/>
      <c r="Y34" s="214"/>
      <c r="Z34" s="214"/>
      <c r="AA34" s="214"/>
      <c r="AB34" s="214"/>
      <c r="AC34" s="214"/>
      <c r="AD34" s="214"/>
      <c r="AE34" s="241">
        <f t="shared" si="41"/>
        <v>0</v>
      </c>
      <c r="AF34" s="242">
        <f t="shared" si="42"/>
        <v>0</v>
      </c>
      <c r="AG34" s="251">
        <f t="shared" si="43"/>
        <v>0</v>
      </c>
      <c r="AH34" s="341"/>
      <c r="AI34" s="252"/>
      <c r="AJ34" s="214"/>
      <c r="AK34" s="215"/>
      <c r="AL34" s="233">
        <f t="shared" si="44"/>
        <v>0</v>
      </c>
      <c r="AM34" s="255"/>
      <c r="AN34" s="214"/>
      <c r="AO34" s="214"/>
      <c r="AP34" s="214"/>
      <c r="AQ34" s="214"/>
      <c r="AR34" s="214"/>
      <c r="AS34" s="255"/>
      <c r="AT34" s="241">
        <f t="shared" si="45"/>
        <v>0</v>
      </c>
      <c r="AU34" s="242">
        <f t="shared" si="46"/>
        <v>0</v>
      </c>
      <c r="AV34" s="251">
        <f t="shared" si="47"/>
        <v>0</v>
      </c>
      <c r="AW34" s="247"/>
      <c r="AX34" s="247"/>
      <c r="AY34" s="252"/>
      <c r="AZ34" s="214"/>
      <c r="BA34" s="215"/>
      <c r="BB34" s="233">
        <f t="shared" si="28"/>
        <v>0</v>
      </c>
      <c r="BC34" s="214"/>
      <c r="BD34" s="214"/>
      <c r="BE34" s="255"/>
      <c r="BF34" s="214"/>
      <c r="BG34" s="214"/>
      <c r="BH34" s="214"/>
      <c r="BI34" s="214"/>
      <c r="BJ34" s="241">
        <f t="shared" si="48"/>
        <v>0</v>
      </c>
      <c r="BK34" s="242">
        <f t="shared" si="29"/>
        <v>0</v>
      </c>
      <c r="BL34" s="251">
        <f t="shared" si="30"/>
        <v>0</v>
      </c>
      <c r="BM34" s="252"/>
      <c r="BN34" s="252"/>
      <c r="BO34" s="13"/>
      <c r="BP34" s="215"/>
      <c r="BQ34" s="233">
        <f t="shared" si="49"/>
        <v>0</v>
      </c>
      <c r="BR34" s="214"/>
      <c r="BS34" s="214"/>
      <c r="BT34" s="214"/>
      <c r="BU34" s="214"/>
      <c r="BV34" s="215"/>
      <c r="BW34" s="215"/>
      <c r="BX34" s="215"/>
      <c r="BY34" s="241">
        <f t="shared" si="50"/>
        <v>0</v>
      </c>
      <c r="BZ34" s="242">
        <f t="shared" si="31"/>
        <v>0</v>
      </c>
      <c r="CA34" s="251">
        <f t="shared" si="51"/>
        <v>0</v>
      </c>
      <c r="CB34" s="252"/>
      <c r="CC34" s="252"/>
      <c r="CD34" s="251">
        <f t="shared" si="32"/>
        <v>0</v>
      </c>
      <c r="CE34" s="251">
        <f t="shared" si="33"/>
        <v>0</v>
      </c>
      <c r="CF34" s="251">
        <f t="shared" si="52"/>
        <v>0</v>
      </c>
      <c r="CG34" s="251">
        <f t="shared" si="53"/>
        <v>0</v>
      </c>
      <c r="CH34" s="265"/>
      <c r="CI34" s="266"/>
      <c r="CJ34" s="266"/>
      <c r="CK34" s="63"/>
      <c r="CL34" s="267">
        <f t="shared" si="34"/>
        <v>0</v>
      </c>
      <c r="CM34" s="267">
        <f t="shared" si="35"/>
        <v>0</v>
      </c>
      <c r="CN34" s="267">
        <f t="shared" si="54"/>
        <v>0</v>
      </c>
    </row>
    <row r="35" spans="2:92" ht="15.75" hidden="1">
      <c r="B35" s="85" t="s">
        <v>94</v>
      </c>
      <c r="C35" s="86">
        <v>1012160456034</v>
      </c>
      <c r="D35" s="87" t="s">
        <v>95</v>
      </c>
      <c r="E35" s="202" t="s">
        <v>50</v>
      </c>
      <c r="F35" s="203"/>
      <c r="G35" s="203"/>
      <c r="H35" s="204">
        <f t="shared" si="36"/>
        <v>0</v>
      </c>
      <c r="I35" s="203"/>
      <c r="J35" s="203"/>
      <c r="K35" s="203"/>
      <c r="L35" s="203"/>
      <c r="M35" s="203"/>
      <c r="N35" s="203"/>
      <c r="O35" s="203"/>
      <c r="P35" s="211">
        <f t="shared" si="37"/>
        <v>0</v>
      </c>
      <c r="Q35" s="234">
        <f t="shared" si="38"/>
        <v>0</v>
      </c>
      <c r="R35" s="234">
        <f t="shared" si="39"/>
        <v>0</v>
      </c>
      <c r="S35" s="231"/>
      <c r="T35" s="232"/>
      <c r="U35" s="213"/>
      <c r="V35" s="213"/>
      <c r="W35" s="235">
        <f t="shared" si="40"/>
        <v>0</v>
      </c>
      <c r="X35" s="212"/>
      <c r="Y35" s="212"/>
      <c r="Z35" s="212"/>
      <c r="AA35" s="212"/>
      <c r="AB35" s="212"/>
      <c r="AC35" s="212"/>
      <c r="AD35" s="212"/>
      <c r="AE35" s="243">
        <f t="shared" si="41"/>
        <v>0</v>
      </c>
      <c r="AF35" s="244">
        <f t="shared" si="42"/>
        <v>0</v>
      </c>
      <c r="AG35" s="253">
        <f t="shared" si="43"/>
        <v>0</v>
      </c>
      <c r="AH35" s="341"/>
      <c r="AI35" s="252"/>
      <c r="AJ35" s="212"/>
      <c r="AK35" s="213"/>
      <c r="AL35" s="235">
        <f t="shared" si="44"/>
        <v>0</v>
      </c>
      <c r="AM35" s="254"/>
      <c r="AN35" s="212"/>
      <c r="AO35" s="212"/>
      <c r="AP35" s="212"/>
      <c r="AQ35" s="212"/>
      <c r="AR35" s="212"/>
      <c r="AS35" s="254"/>
      <c r="AT35" s="243">
        <f t="shared" si="45"/>
        <v>0</v>
      </c>
      <c r="AU35" s="244">
        <f t="shared" si="46"/>
        <v>0</v>
      </c>
      <c r="AV35" s="253">
        <f t="shared" si="47"/>
        <v>0</v>
      </c>
      <c r="AW35" s="247"/>
      <c r="AX35" s="247"/>
      <c r="AY35" s="252"/>
      <c r="AZ35" s="212"/>
      <c r="BA35" s="213"/>
      <c r="BB35" s="235">
        <f t="shared" si="28"/>
        <v>0</v>
      </c>
      <c r="BC35" s="212"/>
      <c r="BD35" s="212"/>
      <c r="BE35" s="254"/>
      <c r="BF35" s="212"/>
      <c r="BG35" s="212"/>
      <c r="BH35" s="212"/>
      <c r="BI35" s="212"/>
      <c r="BJ35" s="243">
        <f t="shared" si="48"/>
        <v>0</v>
      </c>
      <c r="BK35" s="244">
        <f t="shared" si="29"/>
        <v>0</v>
      </c>
      <c r="BL35" s="253">
        <f t="shared" si="30"/>
        <v>0</v>
      </c>
      <c r="BM35" s="252"/>
      <c r="BN35" s="252"/>
      <c r="BO35" s="205"/>
      <c r="BP35" s="213"/>
      <c r="BQ35" s="235">
        <f t="shared" si="49"/>
        <v>0</v>
      </c>
      <c r="BR35" s="212"/>
      <c r="BS35" s="212"/>
      <c r="BT35" s="212"/>
      <c r="BU35" s="212"/>
      <c r="BV35" s="213"/>
      <c r="BW35" s="213"/>
      <c r="BX35" s="213"/>
      <c r="BY35" s="243">
        <f t="shared" si="50"/>
        <v>0</v>
      </c>
      <c r="BZ35" s="244">
        <f t="shared" si="31"/>
        <v>0</v>
      </c>
      <c r="CA35" s="253">
        <f t="shared" si="51"/>
        <v>0</v>
      </c>
      <c r="CB35" s="328"/>
      <c r="CC35" s="252"/>
      <c r="CD35" s="253">
        <f t="shared" si="32"/>
        <v>0</v>
      </c>
      <c r="CE35" s="253">
        <f t="shared" si="33"/>
        <v>0</v>
      </c>
      <c r="CF35" s="253">
        <f t="shared" si="52"/>
        <v>0</v>
      </c>
      <c r="CG35" s="253">
        <f t="shared" si="53"/>
        <v>0</v>
      </c>
      <c r="CH35" s="265"/>
      <c r="CI35" s="266"/>
      <c r="CJ35" s="266"/>
      <c r="CK35" s="63"/>
      <c r="CL35" s="267">
        <f t="shared" si="34"/>
        <v>0</v>
      </c>
      <c r="CM35" s="267">
        <f t="shared" si="35"/>
        <v>0</v>
      </c>
      <c r="CN35" s="267">
        <f t="shared" si="54"/>
        <v>0</v>
      </c>
    </row>
    <row r="36" spans="2:92" ht="15.75" hidden="1">
      <c r="B36" s="82"/>
      <c r="C36" s="83"/>
      <c r="D36" s="84"/>
      <c r="E36" s="199"/>
      <c r="F36" s="200"/>
      <c r="G36" s="200"/>
      <c r="H36" s="201">
        <f t="shared" si="36"/>
        <v>0</v>
      </c>
      <c r="I36" s="200"/>
      <c r="J36" s="200"/>
      <c r="K36" s="200"/>
      <c r="L36" s="200"/>
      <c r="M36" s="200"/>
      <c r="N36" s="200"/>
      <c r="O36" s="200"/>
      <c r="P36" s="210">
        <f t="shared" si="37"/>
        <v>0</v>
      </c>
      <c r="Q36" s="230">
        <f t="shared" si="38"/>
        <v>0</v>
      </c>
      <c r="R36" s="230">
        <f t="shared" si="39"/>
        <v>0</v>
      </c>
      <c r="S36" s="231"/>
      <c r="T36" s="232"/>
      <c r="U36" s="215"/>
      <c r="V36" s="215"/>
      <c r="W36" s="233">
        <f t="shared" si="40"/>
        <v>0</v>
      </c>
      <c r="X36" s="214"/>
      <c r="Y36" s="214"/>
      <c r="Z36" s="214"/>
      <c r="AA36" s="214"/>
      <c r="AB36" s="214"/>
      <c r="AC36" s="214"/>
      <c r="AD36" s="214"/>
      <c r="AE36" s="241">
        <f t="shared" si="41"/>
        <v>0</v>
      </c>
      <c r="AF36" s="242">
        <f t="shared" si="42"/>
        <v>0</v>
      </c>
      <c r="AG36" s="251">
        <f t="shared" si="43"/>
        <v>0</v>
      </c>
      <c r="AH36" s="341"/>
      <c r="AI36" s="252"/>
      <c r="AJ36" s="214"/>
      <c r="AK36" s="215"/>
      <c r="AL36" s="233">
        <f t="shared" si="44"/>
        <v>0</v>
      </c>
      <c r="AM36" s="255"/>
      <c r="AN36" s="214"/>
      <c r="AO36" s="214"/>
      <c r="AP36" s="214"/>
      <c r="AQ36" s="214"/>
      <c r="AR36" s="214"/>
      <c r="AS36" s="255"/>
      <c r="AT36" s="241">
        <f t="shared" si="45"/>
        <v>0</v>
      </c>
      <c r="AU36" s="242">
        <f t="shared" si="46"/>
        <v>0</v>
      </c>
      <c r="AV36" s="251">
        <f t="shared" si="47"/>
        <v>0</v>
      </c>
      <c r="AW36" s="247"/>
      <c r="AX36" s="247"/>
      <c r="AY36" s="252"/>
      <c r="AZ36" s="214"/>
      <c r="BA36" s="215"/>
      <c r="BB36" s="233">
        <f t="shared" si="28"/>
        <v>0</v>
      </c>
      <c r="BC36" s="214"/>
      <c r="BD36" s="214"/>
      <c r="BE36" s="255"/>
      <c r="BF36" s="214"/>
      <c r="BG36" s="214"/>
      <c r="BH36" s="214"/>
      <c r="BI36" s="214"/>
      <c r="BJ36" s="241">
        <f t="shared" si="48"/>
        <v>0</v>
      </c>
      <c r="BK36" s="242">
        <f t="shared" si="29"/>
        <v>0</v>
      </c>
      <c r="BL36" s="251">
        <f t="shared" si="30"/>
        <v>0</v>
      </c>
      <c r="BM36" s="252"/>
      <c r="BN36" s="252"/>
      <c r="BO36" s="13"/>
      <c r="BP36" s="215"/>
      <c r="BQ36" s="233">
        <f t="shared" si="49"/>
        <v>0</v>
      </c>
      <c r="BR36" s="214"/>
      <c r="BS36" s="214"/>
      <c r="BT36" s="214"/>
      <c r="BU36" s="214"/>
      <c r="BV36" s="215"/>
      <c r="BW36" s="215"/>
      <c r="BX36" s="215"/>
      <c r="BY36" s="241">
        <f t="shared" si="50"/>
        <v>0</v>
      </c>
      <c r="BZ36" s="242">
        <f t="shared" si="31"/>
        <v>0</v>
      </c>
      <c r="CA36" s="251">
        <f t="shared" si="51"/>
        <v>0</v>
      </c>
      <c r="CB36" s="252"/>
      <c r="CC36" s="252"/>
      <c r="CD36" s="251">
        <f t="shared" si="32"/>
        <v>0</v>
      </c>
      <c r="CE36" s="251">
        <f t="shared" si="33"/>
        <v>0</v>
      </c>
      <c r="CF36" s="251">
        <f t="shared" si="52"/>
        <v>0</v>
      </c>
      <c r="CG36" s="251">
        <f t="shared" si="53"/>
        <v>0</v>
      </c>
      <c r="CH36" s="265"/>
      <c r="CI36" s="266"/>
      <c r="CJ36" s="266"/>
      <c r="CK36" s="63"/>
      <c r="CL36" s="267">
        <f t="shared" si="34"/>
        <v>0</v>
      </c>
      <c r="CM36" s="267">
        <f t="shared" si="35"/>
        <v>0</v>
      </c>
      <c r="CN36" s="267">
        <f t="shared" si="54"/>
        <v>0</v>
      </c>
    </row>
    <row r="37" spans="2:92" ht="15.75" hidden="1">
      <c r="B37" s="85"/>
      <c r="C37" s="86"/>
      <c r="D37" s="87"/>
      <c r="E37" s="202"/>
      <c r="F37" s="203"/>
      <c r="G37" s="203"/>
      <c r="H37" s="204">
        <f t="shared" si="36"/>
        <v>0</v>
      </c>
      <c r="I37" s="203"/>
      <c r="J37" s="203"/>
      <c r="K37" s="203"/>
      <c r="L37" s="203"/>
      <c r="M37" s="203"/>
      <c r="N37" s="203"/>
      <c r="O37" s="203"/>
      <c r="P37" s="211">
        <f t="shared" si="37"/>
        <v>0</v>
      </c>
      <c r="Q37" s="234">
        <f t="shared" si="38"/>
        <v>0</v>
      </c>
      <c r="R37" s="234">
        <f t="shared" si="39"/>
        <v>0</v>
      </c>
      <c r="S37" s="231"/>
      <c r="T37" s="232"/>
      <c r="U37" s="213"/>
      <c r="V37" s="213"/>
      <c r="W37" s="235">
        <f t="shared" si="40"/>
        <v>0</v>
      </c>
      <c r="X37" s="212"/>
      <c r="Y37" s="212"/>
      <c r="Z37" s="212"/>
      <c r="AA37" s="212"/>
      <c r="AB37" s="212"/>
      <c r="AC37" s="212"/>
      <c r="AD37" s="212"/>
      <c r="AE37" s="243">
        <f t="shared" si="41"/>
        <v>0</v>
      </c>
      <c r="AF37" s="244">
        <f t="shared" si="42"/>
        <v>0</v>
      </c>
      <c r="AG37" s="253">
        <f t="shared" si="43"/>
        <v>0</v>
      </c>
      <c r="AH37" s="341"/>
      <c r="AI37" s="252"/>
      <c r="AJ37" s="212"/>
      <c r="AK37" s="213"/>
      <c r="AL37" s="235">
        <f t="shared" si="44"/>
        <v>0</v>
      </c>
      <c r="AM37" s="254"/>
      <c r="AN37" s="212"/>
      <c r="AO37" s="212"/>
      <c r="AP37" s="212"/>
      <c r="AQ37" s="212"/>
      <c r="AR37" s="212"/>
      <c r="AS37" s="254"/>
      <c r="AT37" s="243">
        <f t="shared" si="45"/>
        <v>0</v>
      </c>
      <c r="AU37" s="244">
        <f t="shared" si="46"/>
        <v>0</v>
      </c>
      <c r="AV37" s="253">
        <f t="shared" si="47"/>
        <v>0</v>
      </c>
      <c r="AW37" s="247"/>
      <c r="AX37" s="247"/>
      <c r="AY37" s="252"/>
      <c r="AZ37" s="212"/>
      <c r="BA37" s="213"/>
      <c r="BB37" s="235">
        <f t="shared" si="28"/>
        <v>0</v>
      </c>
      <c r="BC37" s="212"/>
      <c r="BD37" s="212"/>
      <c r="BE37" s="254"/>
      <c r="BF37" s="212"/>
      <c r="BG37" s="212"/>
      <c r="BH37" s="212"/>
      <c r="BI37" s="212"/>
      <c r="BJ37" s="243">
        <f t="shared" si="48"/>
        <v>0</v>
      </c>
      <c r="BK37" s="244">
        <f t="shared" si="29"/>
        <v>0</v>
      </c>
      <c r="BL37" s="253">
        <f t="shared" si="30"/>
        <v>0</v>
      </c>
      <c r="BM37" s="252"/>
      <c r="BN37" s="252"/>
      <c r="BO37" s="205"/>
      <c r="BP37" s="213"/>
      <c r="BQ37" s="235">
        <f t="shared" si="49"/>
        <v>0</v>
      </c>
      <c r="BR37" s="212"/>
      <c r="BS37" s="212"/>
      <c r="BT37" s="212"/>
      <c r="BU37" s="212"/>
      <c r="BV37" s="213"/>
      <c r="BW37" s="213"/>
      <c r="BX37" s="213"/>
      <c r="BY37" s="243">
        <f t="shared" si="50"/>
        <v>0</v>
      </c>
      <c r="BZ37" s="244">
        <f t="shared" si="31"/>
        <v>0</v>
      </c>
      <c r="CA37" s="253">
        <f t="shared" si="51"/>
        <v>0</v>
      </c>
      <c r="CB37" s="328"/>
      <c r="CC37" s="252"/>
      <c r="CD37" s="253">
        <f t="shared" si="32"/>
        <v>0</v>
      </c>
      <c r="CE37" s="253">
        <f t="shared" si="33"/>
        <v>0</v>
      </c>
      <c r="CF37" s="253">
        <f t="shared" si="52"/>
        <v>0</v>
      </c>
      <c r="CG37" s="253">
        <f t="shared" si="53"/>
        <v>0</v>
      </c>
      <c r="CH37" s="265"/>
      <c r="CI37" s="266"/>
      <c r="CJ37" s="266"/>
      <c r="CK37" s="63"/>
      <c r="CL37" s="267">
        <f t="shared" si="34"/>
        <v>0</v>
      </c>
      <c r="CM37" s="267">
        <f t="shared" si="35"/>
        <v>0</v>
      </c>
      <c r="CN37" s="267">
        <f t="shared" si="54"/>
        <v>0</v>
      </c>
    </row>
    <row r="38" spans="2:92" ht="15.75" hidden="1">
      <c r="B38" s="82"/>
      <c r="C38" s="83"/>
      <c r="D38" s="84"/>
      <c r="E38" s="199"/>
      <c r="F38" s="200"/>
      <c r="G38" s="200"/>
      <c r="H38" s="201">
        <f t="shared" si="36"/>
        <v>0</v>
      </c>
      <c r="I38" s="200"/>
      <c r="J38" s="200"/>
      <c r="K38" s="200"/>
      <c r="L38" s="200"/>
      <c r="M38" s="200"/>
      <c r="N38" s="200"/>
      <c r="O38" s="200"/>
      <c r="P38" s="210">
        <f t="shared" si="37"/>
        <v>0</v>
      </c>
      <c r="Q38" s="230">
        <f t="shared" si="38"/>
        <v>0</v>
      </c>
      <c r="R38" s="230">
        <f t="shared" si="39"/>
        <v>0</v>
      </c>
      <c r="S38" s="231"/>
      <c r="T38" s="232"/>
      <c r="U38" s="215"/>
      <c r="V38" s="215"/>
      <c r="W38" s="233">
        <f t="shared" si="40"/>
        <v>0</v>
      </c>
      <c r="X38" s="214"/>
      <c r="Y38" s="214"/>
      <c r="Z38" s="214"/>
      <c r="AA38" s="214"/>
      <c r="AB38" s="214"/>
      <c r="AC38" s="214"/>
      <c r="AD38" s="214"/>
      <c r="AE38" s="241">
        <f t="shared" si="41"/>
        <v>0</v>
      </c>
      <c r="AF38" s="242">
        <f t="shared" si="42"/>
        <v>0</v>
      </c>
      <c r="AG38" s="251">
        <f t="shared" si="43"/>
        <v>0</v>
      </c>
      <c r="AH38" s="341"/>
      <c r="AI38" s="252"/>
      <c r="AJ38" s="214"/>
      <c r="AK38" s="215"/>
      <c r="AL38" s="233">
        <f t="shared" si="44"/>
        <v>0</v>
      </c>
      <c r="AM38" s="255"/>
      <c r="AN38" s="214"/>
      <c r="AO38" s="214"/>
      <c r="AP38" s="214"/>
      <c r="AQ38" s="214"/>
      <c r="AR38" s="214"/>
      <c r="AS38" s="255"/>
      <c r="AT38" s="241">
        <f t="shared" si="45"/>
        <v>0</v>
      </c>
      <c r="AU38" s="242">
        <f t="shared" si="46"/>
        <v>0</v>
      </c>
      <c r="AV38" s="251">
        <f t="shared" si="47"/>
        <v>0</v>
      </c>
      <c r="AW38" s="247"/>
      <c r="AX38" s="247"/>
      <c r="AY38" s="252"/>
      <c r="AZ38" s="214"/>
      <c r="BA38" s="215"/>
      <c r="BB38" s="233">
        <f t="shared" si="28"/>
        <v>0</v>
      </c>
      <c r="BC38" s="214"/>
      <c r="BD38" s="214"/>
      <c r="BE38" s="255"/>
      <c r="BF38" s="214"/>
      <c r="BG38" s="214"/>
      <c r="BH38" s="214"/>
      <c r="BI38" s="214"/>
      <c r="BJ38" s="241">
        <f t="shared" si="48"/>
        <v>0</v>
      </c>
      <c r="BK38" s="242">
        <f t="shared" si="29"/>
        <v>0</v>
      </c>
      <c r="BL38" s="251">
        <f t="shared" si="30"/>
        <v>0</v>
      </c>
      <c r="BM38" s="252"/>
      <c r="BN38" s="252"/>
      <c r="BO38" s="13"/>
      <c r="BP38" s="215"/>
      <c r="BQ38" s="233">
        <f t="shared" si="49"/>
        <v>0</v>
      </c>
      <c r="BR38" s="214"/>
      <c r="BS38" s="214"/>
      <c r="BT38" s="214"/>
      <c r="BU38" s="214"/>
      <c r="BV38" s="215"/>
      <c r="BW38" s="215"/>
      <c r="BX38" s="215"/>
      <c r="BY38" s="241">
        <f t="shared" si="50"/>
        <v>0</v>
      </c>
      <c r="BZ38" s="242">
        <f t="shared" si="31"/>
        <v>0</v>
      </c>
      <c r="CA38" s="251">
        <f t="shared" si="51"/>
        <v>0</v>
      </c>
      <c r="CB38" s="252"/>
      <c r="CC38" s="252"/>
      <c r="CD38" s="251">
        <f t="shared" si="32"/>
        <v>0</v>
      </c>
      <c r="CE38" s="251">
        <f t="shared" si="33"/>
        <v>0</v>
      </c>
      <c r="CF38" s="251">
        <f t="shared" si="52"/>
        <v>0</v>
      </c>
      <c r="CG38" s="251">
        <f t="shared" si="53"/>
        <v>0</v>
      </c>
      <c r="CH38" s="265"/>
      <c r="CI38" s="266"/>
      <c r="CJ38" s="266"/>
      <c r="CK38" s="63"/>
      <c r="CL38" s="267">
        <f t="shared" si="34"/>
        <v>0</v>
      </c>
      <c r="CM38" s="267">
        <f t="shared" si="35"/>
        <v>0</v>
      </c>
      <c r="CN38" s="267">
        <f t="shared" si="54"/>
        <v>0</v>
      </c>
    </row>
    <row r="39" spans="2:92" ht="15.75" hidden="1">
      <c r="B39" s="85"/>
      <c r="C39" s="86"/>
      <c r="D39" s="87"/>
      <c r="E39" s="202"/>
      <c r="F39" s="203"/>
      <c r="G39" s="203"/>
      <c r="H39" s="204">
        <f t="shared" si="36"/>
        <v>0</v>
      </c>
      <c r="I39" s="203"/>
      <c r="J39" s="203"/>
      <c r="K39" s="203"/>
      <c r="L39" s="203"/>
      <c r="M39" s="203"/>
      <c r="N39" s="203"/>
      <c r="O39" s="203"/>
      <c r="P39" s="211">
        <f t="shared" si="37"/>
        <v>0</v>
      </c>
      <c r="Q39" s="234">
        <f t="shared" si="38"/>
        <v>0</v>
      </c>
      <c r="R39" s="234">
        <f t="shared" si="39"/>
        <v>0</v>
      </c>
      <c r="S39" s="231"/>
      <c r="T39" s="232"/>
      <c r="U39" s="213"/>
      <c r="V39" s="213"/>
      <c r="W39" s="235">
        <f t="shared" si="40"/>
        <v>0</v>
      </c>
      <c r="X39" s="212"/>
      <c r="Y39" s="212"/>
      <c r="Z39" s="212"/>
      <c r="AA39" s="212"/>
      <c r="AB39" s="212"/>
      <c r="AC39" s="212"/>
      <c r="AD39" s="212"/>
      <c r="AE39" s="243">
        <f t="shared" si="41"/>
        <v>0</v>
      </c>
      <c r="AF39" s="244">
        <f t="shared" si="42"/>
        <v>0</v>
      </c>
      <c r="AG39" s="253">
        <f t="shared" si="43"/>
        <v>0</v>
      </c>
      <c r="AH39" s="341"/>
      <c r="AI39" s="252"/>
      <c r="AJ39" s="212"/>
      <c r="AK39" s="213"/>
      <c r="AL39" s="235">
        <f t="shared" si="44"/>
        <v>0</v>
      </c>
      <c r="AM39" s="254"/>
      <c r="AN39" s="212"/>
      <c r="AO39" s="212"/>
      <c r="AP39" s="212"/>
      <c r="AQ39" s="212"/>
      <c r="AR39" s="212"/>
      <c r="AS39" s="254"/>
      <c r="AT39" s="243">
        <f t="shared" si="45"/>
        <v>0</v>
      </c>
      <c r="AU39" s="244">
        <f t="shared" si="46"/>
        <v>0</v>
      </c>
      <c r="AV39" s="253">
        <f t="shared" si="47"/>
        <v>0</v>
      </c>
      <c r="AW39" s="247"/>
      <c r="AX39" s="247"/>
      <c r="AY39" s="252"/>
      <c r="AZ39" s="212"/>
      <c r="BA39" s="213"/>
      <c r="BB39" s="235">
        <f t="shared" si="28"/>
        <v>0</v>
      </c>
      <c r="BC39" s="212"/>
      <c r="BD39" s="212"/>
      <c r="BE39" s="254"/>
      <c r="BF39" s="212"/>
      <c r="BG39" s="212"/>
      <c r="BH39" s="212"/>
      <c r="BI39" s="212"/>
      <c r="BJ39" s="243">
        <f t="shared" si="48"/>
        <v>0</v>
      </c>
      <c r="BK39" s="244">
        <f t="shared" si="29"/>
        <v>0</v>
      </c>
      <c r="BL39" s="253">
        <f t="shared" si="30"/>
        <v>0</v>
      </c>
      <c r="BM39" s="252"/>
      <c r="BN39" s="252"/>
      <c r="BO39" s="205"/>
      <c r="BP39" s="213"/>
      <c r="BQ39" s="235">
        <f t="shared" si="49"/>
        <v>0</v>
      </c>
      <c r="BR39" s="212"/>
      <c r="BS39" s="212"/>
      <c r="BT39" s="212"/>
      <c r="BU39" s="212"/>
      <c r="BV39" s="213"/>
      <c r="BW39" s="213"/>
      <c r="BX39" s="213"/>
      <c r="BY39" s="243">
        <f t="shared" si="50"/>
        <v>0</v>
      </c>
      <c r="BZ39" s="244">
        <f t="shared" si="31"/>
        <v>0</v>
      </c>
      <c r="CA39" s="253">
        <f t="shared" si="51"/>
        <v>0</v>
      </c>
      <c r="CB39" s="328"/>
      <c r="CC39" s="252"/>
      <c r="CD39" s="253">
        <f t="shared" si="32"/>
        <v>0</v>
      </c>
      <c r="CE39" s="253">
        <f t="shared" si="33"/>
        <v>0</v>
      </c>
      <c r="CF39" s="253">
        <f t="shared" si="52"/>
        <v>0</v>
      </c>
      <c r="CG39" s="253">
        <f t="shared" si="53"/>
        <v>0</v>
      </c>
      <c r="CH39" s="265"/>
      <c r="CI39" s="266"/>
      <c r="CJ39" s="266"/>
      <c r="CK39" s="63"/>
      <c r="CL39" s="267">
        <f t="shared" si="34"/>
        <v>0</v>
      </c>
      <c r="CM39" s="267">
        <f t="shared" si="35"/>
        <v>0</v>
      </c>
      <c r="CN39" s="267">
        <f t="shared" si="54"/>
        <v>0</v>
      </c>
    </row>
    <row r="40" spans="2:92" ht="15.75" hidden="1">
      <c r="B40" s="82"/>
      <c r="C40" s="83"/>
      <c r="D40" s="84"/>
      <c r="E40" s="199"/>
      <c r="F40" s="200"/>
      <c r="G40" s="200"/>
      <c r="H40" s="201">
        <f t="shared" si="36"/>
        <v>0</v>
      </c>
      <c r="I40" s="200"/>
      <c r="J40" s="200"/>
      <c r="K40" s="200"/>
      <c r="L40" s="200"/>
      <c r="M40" s="200"/>
      <c r="N40" s="200"/>
      <c r="O40" s="200"/>
      <c r="P40" s="210">
        <f t="shared" si="37"/>
        <v>0</v>
      </c>
      <c r="Q40" s="230">
        <f t="shared" si="38"/>
        <v>0</v>
      </c>
      <c r="R40" s="230">
        <f t="shared" si="39"/>
        <v>0</v>
      </c>
      <c r="S40" s="231"/>
      <c r="T40" s="232"/>
      <c r="U40" s="215"/>
      <c r="V40" s="215"/>
      <c r="W40" s="233">
        <f t="shared" si="40"/>
        <v>0</v>
      </c>
      <c r="X40" s="214"/>
      <c r="Y40" s="214"/>
      <c r="Z40" s="214"/>
      <c r="AA40" s="214"/>
      <c r="AB40" s="214"/>
      <c r="AC40" s="214"/>
      <c r="AD40" s="214"/>
      <c r="AE40" s="241">
        <f t="shared" si="41"/>
        <v>0</v>
      </c>
      <c r="AF40" s="242">
        <f t="shared" si="42"/>
        <v>0</v>
      </c>
      <c r="AG40" s="251">
        <f t="shared" si="43"/>
        <v>0</v>
      </c>
      <c r="AH40" s="341"/>
      <c r="AI40" s="252"/>
      <c r="AJ40" s="214"/>
      <c r="AK40" s="215"/>
      <c r="AL40" s="233">
        <f t="shared" si="44"/>
        <v>0</v>
      </c>
      <c r="AM40" s="255"/>
      <c r="AN40" s="214"/>
      <c r="AO40" s="214"/>
      <c r="AP40" s="214"/>
      <c r="AQ40" s="214"/>
      <c r="AR40" s="214"/>
      <c r="AS40" s="255"/>
      <c r="AT40" s="241">
        <f t="shared" si="45"/>
        <v>0</v>
      </c>
      <c r="AU40" s="242">
        <f t="shared" si="46"/>
        <v>0</v>
      </c>
      <c r="AV40" s="251">
        <f t="shared" si="47"/>
        <v>0</v>
      </c>
      <c r="AW40" s="247"/>
      <c r="AX40" s="247"/>
      <c r="AY40" s="252"/>
      <c r="AZ40" s="214"/>
      <c r="BA40" s="215"/>
      <c r="BB40" s="233">
        <f t="shared" si="28"/>
        <v>0</v>
      </c>
      <c r="BC40" s="214"/>
      <c r="BD40" s="214"/>
      <c r="BE40" s="255"/>
      <c r="BF40" s="214"/>
      <c r="BG40" s="214"/>
      <c r="BH40" s="214"/>
      <c r="BI40" s="214"/>
      <c r="BJ40" s="241">
        <f t="shared" si="48"/>
        <v>0</v>
      </c>
      <c r="BK40" s="242">
        <f t="shared" si="29"/>
        <v>0</v>
      </c>
      <c r="BL40" s="251">
        <f t="shared" si="30"/>
        <v>0</v>
      </c>
      <c r="BM40" s="252"/>
      <c r="BN40" s="252"/>
      <c r="BO40" s="13"/>
      <c r="BP40" s="215"/>
      <c r="BQ40" s="233">
        <f t="shared" si="49"/>
        <v>0</v>
      </c>
      <c r="BR40" s="214"/>
      <c r="BS40" s="214"/>
      <c r="BT40" s="214"/>
      <c r="BU40" s="214"/>
      <c r="BV40" s="215"/>
      <c r="BW40" s="215"/>
      <c r="BX40" s="215"/>
      <c r="BY40" s="241">
        <f t="shared" si="50"/>
        <v>0</v>
      </c>
      <c r="BZ40" s="242">
        <f t="shared" si="31"/>
        <v>0</v>
      </c>
      <c r="CA40" s="251">
        <f t="shared" si="51"/>
        <v>0</v>
      </c>
      <c r="CB40" s="252"/>
      <c r="CC40" s="252"/>
      <c r="CD40" s="251">
        <f t="shared" si="32"/>
        <v>0</v>
      </c>
      <c r="CE40" s="251">
        <f t="shared" si="33"/>
        <v>0</v>
      </c>
      <c r="CF40" s="251">
        <f t="shared" si="52"/>
        <v>0</v>
      </c>
      <c r="CG40" s="251">
        <f t="shared" si="53"/>
        <v>0</v>
      </c>
      <c r="CH40" s="265"/>
      <c r="CI40" s="266"/>
      <c r="CJ40" s="266"/>
      <c r="CK40" s="63"/>
      <c r="CL40" s="267">
        <f t="shared" si="34"/>
        <v>0</v>
      </c>
      <c r="CM40" s="267">
        <f t="shared" si="35"/>
        <v>0</v>
      </c>
      <c r="CN40" s="267">
        <f t="shared" si="54"/>
        <v>0</v>
      </c>
    </row>
    <row r="41" spans="2:92" ht="18.75">
      <c r="B41" s="79" t="s">
        <v>96</v>
      </c>
      <c r="C41" s="80"/>
      <c r="D41" s="80"/>
      <c r="E41" s="198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231"/>
      <c r="T41" s="232"/>
      <c r="U41" s="229"/>
      <c r="V41" s="229"/>
      <c r="W41" s="229"/>
      <c r="X41" s="236"/>
      <c r="Y41" s="236"/>
      <c r="Z41" s="236"/>
      <c r="AA41" s="236"/>
      <c r="AB41" s="236"/>
      <c r="AC41" s="236"/>
      <c r="AD41" s="236"/>
      <c r="AE41" s="229"/>
      <c r="AF41" s="229"/>
      <c r="AG41" s="229"/>
      <c r="AH41" s="341"/>
      <c r="AI41" s="228"/>
      <c r="AJ41" s="229"/>
      <c r="AK41" s="229"/>
      <c r="AL41" s="229"/>
      <c r="AM41" s="236"/>
      <c r="AN41" s="236"/>
      <c r="AO41" s="236"/>
      <c r="AP41" s="236"/>
      <c r="AQ41" s="236"/>
      <c r="AR41" s="236"/>
      <c r="AS41" s="236"/>
      <c r="AT41" s="229"/>
      <c r="AU41" s="229"/>
      <c r="AV41" s="229"/>
      <c r="AW41" s="247"/>
      <c r="AX41" s="247"/>
      <c r="AY41" s="228"/>
      <c r="AZ41" s="229"/>
      <c r="BA41" s="229"/>
      <c r="BB41" s="229"/>
      <c r="BC41" s="236"/>
      <c r="BD41" s="236"/>
      <c r="BE41" s="236"/>
      <c r="BF41" s="236"/>
      <c r="BG41" s="236"/>
      <c r="BH41" s="236"/>
      <c r="BI41" s="236"/>
      <c r="BJ41" s="229"/>
      <c r="BK41" s="229"/>
      <c r="BL41" s="229"/>
      <c r="BM41" s="228"/>
      <c r="BN41" s="228"/>
      <c r="BO41" s="229"/>
      <c r="BP41" s="229"/>
      <c r="BQ41" s="229"/>
      <c r="BR41" s="229"/>
      <c r="BS41" s="229"/>
      <c r="BT41" s="229"/>
      <c r="BU41" s="229"/>
      <c r="BV41" s="229"/>
      <c r="BW41" s="229"/>
      <c r="BX41" s="229"/>
      <c r="BY41" s="229"/>
      <c r="BZ41" s="229"/>
      <c r="CA41" s="229"/>
      <c r="CB41" s="328"/>
      <c r="CC41" s="264"/>
      <c r="CD41" s="229"/>
      <c r="CE41" s="229">
        <f t="shared" si="33"/>
        <v>0</v>
      </c>
      <c r="CF41" s="229"/>
      <c r="CG41" s="229"/>
      <c r="CH41" s="228"/>
      <c r="CI41" s="228"/>
      <c r="CJ41" s="228"/>
    </row>
    <row r="42" spans="2:92" ht="18.75" hidden="1">
      <c r="B42" s="82" t="s">
        <v>97</v>
      </c>
      <c r="C42" s="83">
        <v>1012160456169</v>
      </c>
      <c r="D42" s="84" t="s">
        <v>98</v>
      </c>
      <c r="E42" s="199" t="s">
        <v>99</v>
      </c>
      <c r="F42" s="200"/>
      <c r="G42" s="200"/>
      <c r="H42" s="201">
        <f t="shared" si="36"/>
        <v>0</v>
      </c>
      <c r="I42" s="200"/>
      <c r="J42" s="200"/>
      <c r="K42" s="200"/>
      <c r="L42" s="200"/>
      <c r="M42" s="200"/>
      <c r="N42" s="200"/>
      <c r="O42" s="200"/>
      <c r="P42" s="210">
        <f t="shared" si="37"/>
        <v>0</v>
      </c>
      <c r="Q42" s="230">
        <f t="shared" si="38"/>
        <v>0</v>
      </c>
      <c r="R42" s="230">
        <f t="shared" si="39"/>
        <v>0</v>
      </c>
      <c r="S42" s="231"/>
      <c r="T42" s="232"/>
      <c r="U42" s="215"/>
      <c r="V42" s="215"/>
      <c r="W42" s="233">
        <f t="shared" si="40"/>
        <v>0</v>
      </c>
      <c r="X42" s="214"/>
      <c r="Y42" s="214"/>
      <c r="Z42" s="214"/>
      <c r="AA42" s="214"/>
      <c r="AB42" s="214"/>
      <c r="AC42" s="214"/>
      <c r="AD42" s="214"/>
      <c r="AE42" s="241">
        <f t="shared" si="41"/>
        <v>0</v>
      </c>
      <c r="AF42" s="242">
        <f t="shared" si="42"/>
        <v>0</v>
      </c>
      <c r="AG42" s="251">
        <f t="shared" si="43"/>
        <v>0</v>
      </c>
      <c r="AH42" s="341"/>
      <c r="AI42" s="228"/>
      <c r="AJ42" s="214"/>
      <c r="AK42" s="215"/>
      <c r="AL42" s="233">
        <f t="shared" si="44"/>
        <v>0</v>
      </c>
      <c r="AM42" s="255"/>
      <c r="AN42" s="214"/>
      <c r="AO42" s="214"/>
      <c r="AP42" s="214"/>
      <c r="AQ42" s="214"/>
      <c r="AR42" s="214"/>
      <c r="AS42" s="255"/>
      <c r="AT42" s="241">
        <f t="shared" si="45"/>
        <v>0</v>
      </c>
      <c r="AU42" s="242">
        <f t="shared" si="46"/>
        <v>0</v>
      </c>
      <c r="AV42" s="251">
        <f t="shared" si="47"/>
        <v>0</v>
      </c>
      <c r="AW42" s="247"/>
      <c r="AX42" s="247"/>
      <c r="AY42" s="252"/>
      <c r="AZ42" s="214"/>
      <c r="BA42" s="215"/>
      <c r="BB42" s="233">
        <f t="shared" ref="BB42:BB49" si="56">AZ42+BA42</f>
        <v>0</v>
      </c>
      <c r="BC42" s="214"/>
      <c r="BD42" s="214"/>
      <c r="BE42" s="255"/>
      <c r="BF42" s="214"/>
      <c r="BG42" s="214"/>
      <c r="BH42" s="214"/>
      <c r="BI42" s="214"/>
      <c r="BJ42" s="241">
        <f t="shared" si="48"/>
        <v>0</v>
      </c>
      <c r="BK42" s="242">
        <f t="shared" si="29"/>
        <v>0</v>
      </c>
      <c r="BL42" s="251">
        <f t="shared" si="30"/>
        <v>0</v>
      </c>
      <c r="BM42" s="252"/>
      <c r="BN42" s="252"/>
      <c r="BO42" s="206"/>
      <c r="BP42" s="215"/>
      <c r="BQ42" s="233">
        <f t="shared" si="49"/>
        <v>0</v>
      </c>
      <c r="BR42" s="214"/>
      <c r="BS42" s="214"/>
      <c r="BT42" s="214"/>
      <c r="BU42" s="214"/>
      <c r="BV42" s="215"/>
      <c r="BW42" s="215"/>
      <c r="BX42" s="215"/>
      <c r="BY42" s="241">
        <f t="shared" si="50"/>
        <v>0</v>
      </c>
      <c r="BZ42" s="242">
        <f t="shared" si="31"/>
        <v>0</v>
      </c>
      <c r="CA42" s="251">
        <f t="shared" si="51"/>
        <v>0</v>
      </c>
      <c r="CB42" s="252"/>
      <c r="CC42" s="252"/>
      <c r="CD42" s="251">
        <f t="shared" ref="CD42:CD49" si="57">H42+W42+AL42+BB42+BQ42</f>
        <v>0</v>
      </c>
      <c r="CE42" s="251">
        <f t="shared" si="33"/>
        <v>0</v>
      </c>
      <c r="CF42" s="251">
        <f t="shared" si="52"/>
        <v>0</v>
      </c>
      <c r="CG42" s="251">
        <f t="shared" si="53"/>
        <v>0</v>
      </c>
      <c r="CH42" s="265"/>
      <c r="CI42" s="266"/>
      <c r="CJ42" s="266"/>
      <c r="CK42" s="63"/>
      <c r="CL42" s="267">
        <f t="shared" si="34"/>
        <v>0</v>
      </c>
      <c r="CM42" s="267">
        <f t="shared" ref="CM42:CM63" si="58">CD42/CD$177</f>
        <v>0</v>
      </c>
      <c r="CN42" s="267">
        <f t="shared" si="54"/>
        <v>0</v>
      </c>
    </row>
    <row r="43" spans="2:92" ht="18.75">
      <c r="B43" s="85" t="s">
        <v>100</v>
      </c>
      <c r="C43" s="86">
        <v>1012160456182</v>
      </c>
      <c r="D43" s="87" t="s">
        <v>101</v>
      </c>
      <c r="E43" s="202" t="s">
        <v>99</v>
      </c>
      <c r="F43" s="421">
        <v>4800</v>
      </c>
      <c r="G43" s="213"/>
      <c r="H43" s="235">
        <f t="shared" ref="H43:H54" si="59">+F43-G43</f>
        <v>4800</v>
      </c>
      <c r="I43" s="419"/>
      <c r="J43" s="419"/>
      <c r="K43" s="422"/>
      <c r="L43" s="420"/>
      <c r="M43" s="420">
        <f>520+200+111+400</f>
        <v>1231</v>
      </c>
      <c r="N43" s="420">
        <f>920+1680</f>
        <v>2600</v>
      </c>
      <c r="O43" s="420">
        <f>939</f>
        <v>939</v>
      </c>
      <c r="P43" s="211">
        <f t="shared" si="37"/>
        <v>4770</v>
      </c>
      <c r="Q43" s="234">
        <f t="shared" si="38"/>
        <v>-30</v>
      </c>
      <c r="R43" s="234">
        <f t="shared" si="39"/>
        <v>0</v>
      </c>
      <c r="S43" s="231"/>
      <c r="T43" s="232"/>
      <c r="U43" s="213"/>
      <c r="V43" s="213"/>
      <c r="W43" s="235">
        <f t="shared" si="40"/>
        <v>0</v>
      </c>
      <c r="X43" s="212"/>
      <c r="Y43" s="212"/>
      <c r="Z43" s="212"/>
      <c r="AA43" s="212"/>
      <c r="AB43" s="212"/>
      <c r="AC43" s="213"/>
      <c r="AD43" s="213"/>
      <c r="AE43" s="243">
        <f t="shared" si="41"/>
        <v>0</v>
      </c>
      <c r="AF43" s="338">
        <f t="shared" si="42"/>
        <v>0</v>
      </c>
      <c r="AG43" s="253">
        <f t="shared" si="43"/>
        <v>0</v>
      </c>
      <c r="AH43" s="341"/>
      <c r="AI43" s="228"/>
      <c r="AJ43" s="213"/>
      <c r="AK43" s="213"/>
      <c r="AL43" s="235">
        <f t="shared" si="44"/>
        <v>0</v>
      </c>
      <c r="AM43" s="254"/>
      <c r="AN43" s="212"/>
      <c r="AO43" s="212"/>
      <c r="AP43" s="212"/>
      <c r="AQ43" s="212"/>
      <c r="AR43" s="212"/>
      <c r="AS43" s="254"/>
      <c r="AT43" s="337">
        <f t="shared" si="45"/>
        <v>0</v>
      </c>
      <c r="AU43" s="244">
        <f t="shared" si="46"/>
        <v>0</v>
      </c>
      <c r="AV43" s="253">
        <f t="shared" si="47"/>
        <v>0</v>
      </c>
      <c r="AW43" s="247"/>
      <c r="AX43" s="247"/>
      <c r="AY43" s="252"/>
      <c r="AZ43" s="212"/>
      <c r="BA43" s="213"/>
      <c r="BB43" s="235">
        <f t="shared" si="56"/>
        <v>0</v>
      </c>
      <c r="BC43" s="212"/>
      <c r="BD43" s="212"/>
      <c r="BE43" s="254"/>
      <c r="BF43" s="212"/>
      <c r="BG43" s="212"/>
      <c r="BH43" s="212"/>
      <c r="BI43" s="216"/>
      <c r="BJ43" s="337">
        <f t="shared" si="48"/>
        <v>0</v>
      </c>
      <c r="BK43" s="244">
        <f t="shared" si="29"/>
        <v>0</v>
      </c>
      <c r="BL43" s="253">
        <f t="shared" si="30"/>
        <v>0</v>
      </c>
      <c r="BM43" s="342"/>
      <c r="BN43" s="342"/>
      <c r="BO43" s="207"/>
      <c r="BP43" s="213"/>
      <c r="BQ43" s="235">
        <f t="shared" si="49"/>
        <v>0</v>
      </c>
      <c r="BR43" s="212"/>
      <c r="BS43" s="212"/>
      <c r="BT43" s="216"/>
      <c r="BU43" s="213"/>
      <c r="BV43" s="213"/>
      <c r="BW43" s="213"/>
      <c r="BX43" s="213"/>
      <c r="BY43" s="243">
        <f t="shared" si="50"/>
        <v>0</v>
      </c>
      <c r="BZ43" s="244">
        <f t="shared" si="31"/>
        <v>0</v>
      </c>
      <c r="CA43" s="253">
        <f t="shared" si="51"/>
        <v>0</v>
      </c>
      <c r="CB43" s="328"/>
      <c r="CC43" s="252"/>
      <c r="CD43" s="253">
        <f t="shared" si="57"/>
        <v>4800</v>
      </c>
      <c r="CE43" s="354">
        <f t="shared" si="33"/>
        <v>4770</v>
      </c>
      <c r="CF43" s="253">
        <f t="shared" si="52"/>
        <v>-30</v>
      </c>
      <c r="CG43" s="253">
        <f t="shared" si="53"/>
        <v>0</v>
      </c>
      <c r="CH43" s="265"/>
      <c r="CI43" s="266"/>
      <c r="CJ43" s="266"/>
      <c r="CK43" s="63"/>
      <c r="CL43" s="267">
        <f t="shared" si="34"/>
        <v>0.99371069182389937</v>
      </c>
      <c r="CM43" s="267">
        <f t="shared" si="58"/>
        <v>8.3217753120665747E-2</v>
      </c>
      <c r="CN43" s="267">
        <f t="shared" si="54"/>
        <v>8.2694371025567218E-2</v>
      </c>
    </row>
    <row r="44" spans="2:92" ht="18.75">
      <c r="B44" s="85" t="s">
        <v>102</v>
      </c>
      <c r="C44" s="86">
        <v>1012160456182</v>
      </c>
      <c r="D44" s="87" t="s">
        <v>101</v>
      </c>
      <c r="E44" s="202" t="s">
        <v>99</v>
      </c>
      <c r="F44" s="421"/>
      <c r="G44" s="213"/>
      <c r="H44" s="235">
        <f t="shared" si="59"/>
        <v>0</v>
      </c>
      <c r="I44" s="419"/>
      <c r="J44" s="419"/>
      <c r="K44" s="422"/>
      <c r="L44" s="420"/>
      <c r="M44" s="420"/>
      <c r="N44" s="420"/>
      <c r="O44" s="420"/>
      <c r="P44" s="211">
        <f t="shared" ref="P44:P45" si="60">SUM(I44:O44)</f>
        <v>0</v>
      </c>
      <c r="Q44" s="234">
        <f t="shared" si="38"/>
        <v>0</v>
      </c>
      <c r="R44" s="234">
        <f t="shared" si="39"/>
        <v>0</v>
      </c>
      <c r="S44" s="231"/>
      <c r="T44" s="232"/>
      <c r="U44" s="213"/>
      <c r="V44" s="213"/>
      <c r="W44" s="235">
        <f t="shared" si="40"/>
        <v>0</v>
      </c>
      <c r="X44" s="212"/>
      <c r="Y44" s="212"/>
      <c r="Z44" s="212"/>
      <c r="AA44" s="212"/>
      <c r="AB44" s="212"/>
      <c r="AC44" s="213"/>
      <c r="AD44" s="213"/>
      <c r="AE44" s="243">
        <f t="shared" si="41"/>
        <v>0</v>
      </c>
      <c r="AF44" s="338">
        <f t="shared" si="42"/>
        <v>0</v>
      </c>
      <c r="AG44" s="253">
        <f t="shared" si="43"/>
        <v>0</v>
      </c>
      <c r="AH44" s="341"/>
      <c r="AI44" s="228"/>
      <c r="AJ44" s="213"/>
      <c r="AK44" s="213"/>
      <c r="AL44" s="235">
        <f t="shared" si="44"/>
        <v>0</v>
      </c>
      <c r="AM44" s="254"/>
      <c r="AN44" s="212"/>
      <c r="AO44" s="212"/>
      <c r="AP44" s="216"/>
      <c r="AQ44" s="212"/>
      <c r="AR44" s="212"/>
      <c r="AS44" s="254"/>
      <c r="AT44" s="337">
        <f t="shared" ref="AT44:AT45" si="61">SUM(AM44:AS44)</f>
        <v>0</v>
      </c>
      <c r="AU44" s="244">
        <f t="shared" si="46"/>
        <v>0</v>
      </c>
      <c r="AV44" s="253">
        <f t="shared" si="47"/>
        <v>0</v>
      </c>
      <c r="AW44" s="247"/>
      <c r="AX44" s="247"/>
      <c r="AY44" s="252"/>
      <c r="AZ44" s="212"/>
      <c r="BA44" s="213"/>
      <c r="BB44" s="235">
        <f t="shared" si="56"/>
        <v>0</v>
      </c>
      <c r="BC44" s="212"/>
      <c r="BD44" s="212"/>
      <c r="BE44" s="254"/>
      <c r="BF44" s="212"/>
      <c r="BG44" s="212"/>
      <c r="BH44" s="212"/>
      <c r="BI44" s="216"/>
      <c r="BJ44" s="243">
        <f t="shared" si="48"/>
        <v>0</v>
      </c>
      <c r="BK44" s="244">
        <f t="shared" si="29"/>
        <v>0</v>
      </c>
      <c r="BL44" s="253">
        <f t="shared" si="30"/>
        <v>0</v>
      </c>
      <c r="BM44" s="342"/>
      <c r="BN44" s="342"/>
      <c r="BO44" s="207"/>
      <c r="BP44" s="213"/>
      <c r="BQ44" s="235">
        <f t="shared" si="49"/>
        <v>0</v>
      </c>
      <c r="BR44" s="212"/>
      <c r="BS44" s="212"/>
      <c r="BT44" s="216"/>
      <c r="BU44" s="213"/>
      <c r="BV44" s="213"/>
      <c r="BW44" s="213"/>
      <c r="BX44" s="213"/>
      <c r="BY44" s="243">
        <f t="shared" si="50"/>
        <v>0</v>
      </c>
      <c r="BZ44" s="244">
        <f t="shared" si="31"/>
        <v>0</v>
      </c>
      <c r="CA44" s="253">
        <f t="shared" si="51"/>
        <v>0</v>
      </c>
      <c r="CB44" s="328"/>
      <c r="CC44" s="252"/>
      <c r="CD44" s="253">
        <f t="shared" si="57"/>
        <v>0</v>
      </c>
      <c r="CE44" s="354">
        <f t="shared" si="33"/>
        <v>0</v>
      </c>
      <c r="CF44" s="253">
        <f t="shared" si="52"/>
        <v>0</v>
      </c>
      <c r="CG44" s="253">
        <f t="shared" si="53"/>
        <v>0</v>
      </c>
      <c r="CH44" s="265"/>
      <c r="CI44" s="266"/>
      <c r="CJ44" s="266"/>
      <c r="CK44" s="63"/>
      <c r="CL44" s="267">
        <f t="shared" si="34"/>
        <v>0</v>
      </c>
      <c r="CM44" s="267">
        <f t="shared" si="58"/>
        <v>0</v>
      </c>
      <c r="CN44" s="267">
        <f t="shared" si="54"/>
        <v>0</v>
      </c>
    </row>
    <row r="45" spans="2:92" ht="18.75">
      <c r="B45" s="85" t="s">
        <v>103</v>
      </c>
      <c r="C45" s="86">
        <v>1012160456171</v>
      </c>
      <c r="D45" s="87" t="s">
        <v>104</v>
      </c>
      <c r="E45" s="202" t="s">
        <v>44</v>
      </c>
      <c r="F45" s="421">
        <v>9000</v>
      </c>
      <c r="G45" s="213"/>
      <c r="H45" s="235">
        <f t="shared" si="59"/>
        <v>9000</v>
      </c>
      <c r="I45" s="419">
        <f>1720+1520</f>
        <v>3240</v>
      </c>
      <c r="J45" s="419">
        <f>123+1455+160</f>
        <v>1738</v>
      </c>
      <c r="K45" s="422"/>
      <c r="L45" s="420"/>
      <c r="M45" s="420">
        <f>117+1800</f>
        <v>1917</v>
      </c>
      <c r="N45" s="420">
        <v>520</v>
      </c>
      <c r="O45" s="420">
        <f>1720+1720-1800</f>
        <v>1640</v>
      </c>
      <c r="P45" s="211">
        <f t="shared" si="60"/>
        <v>9055</v>
      </c>
      <c r="Q45" s="234">
        <f t="shared" si="38"/>
        <v>0</v>
      </c>
      <c r="R45" s="234">
        <f t="shared" si="39"/>
        <v>55</v>
      </c>
      <c r="S45" s="231"/>
      <c r="T45" s="232"/>
      <c r="U45" s="213"/>
      <c r="V45" s="213"/>
      <c r="W45" s="235">
        <f t="shared" si="40"/>
        <v>0</v>
      </c>
      <c r="X45" s="212"/>
      <c r="Y45" s="212"/>
      <c r="Z45" s="212"/>
      <c r="AA45" s="212"/>
      <c r="AB45" s="212"/>
      <c r="AC45" s="213"/>
      <c r="AD45" s="213"/>
      <c r="AE45" s="243">
        <f t="shared" si="41"/>
        <v>0</v>
      </c>
      <c r="AF45" s="338">
        <f t="shared" si="42"/>
        <v>0</v>
      </c>
      <c r="AG45" s="253">
        <f t="shared" si="43"/>
        <v>0</v>
      </c>
      <c r="AH45" s="341">
        <f>-700+700</f>
        <v>0</v>
      </c>
      <c r="AI45" s="228"/>
      <c r="AJ45" s="213"/>
      <c r="AK45" s="213"/>
      <c r="AL45" s="235">
        <f t="shared" si="44"/>
        <v>0</v>
      </c>
      <c r="AM45" s="254"/>
      <c r="AN45" s="212"/>
      <c r="AO45" s="212"/>
      <c r="AP45" s="212"/>
      <c r="AQ45" s="212"/>
      <c r="AR45" s="212"/>
      <c r="AS45" s="254"/>
      <c r="AT45" s="337">
        <f t="shared" si="61"/>
        <v>0</v>
      </c>
      <c r="AU45" s="244">
        <f t="shared" si="46"/>
        <v>0</v>
      </c>
      <c r="AV45" s="253">
        <f t="shared" si="47"/>
        <v>0</v>
      </c>
      <c r="AW45" s="247"/>
      <c r="AX45" s="247"/>
      <c r="AY45" s="252"/>
      <c r="AZ45" s="212"/>
      <c r="BA45" s="213"/>
      <c r="BB45" s="235">
        <f t="shared" si="56"/>
        <v>0</v>
      </c>
      <c r="BC45" s="212"/>
      <c r="BD45" s="212"/>
      <c r="BE45" s="254"/>
      <c r="BF45" s="212"/>
      <c r="BG45" s="212"/>
      <c r="BH45" s="212"/>
      <c r="BI45" s="216"/>
      <c r="BJ45" s="243">
        <f t="shared" si="48"/>
        <v>0</v>
      </c>
      <c r="BK45" s="244">
        <f t="shared" si="29"/>
        <v>0</v>
      </c>
      <c r="BL45" s="253">
        <f t="shared" si="30"/>
        <v>0</v>
      </c>
      <c r="BM45" s="342"/>
      <c r="BN45" s="342"/>
      <c r="BO45" s="207"/>
      <c r="BP45" s="213"/>
      <c r="BQ45" s="235">
        <f t="shared" si="49"/>
        <v>0</v>
      </c>
      <c r="BR45" s="212"/>
      <c r="BS45" s="212"/>
      <c r="BT45" s="216"/>
      <c r="BU45" s="213"/>
      <c r="BV45" s="213"/>
      <c r="BW45" s="213"/>
      <c r="BX45" s="213"/>
      <c r="BY45" s="243">
        <f t="shared" si="50"/>
        <v>0</v>
      </c>
      <c r="BZ45" s="244">
        <f t="shared" si="31"/>
        <v>0</v>
      </c>
      <c r="CA45" s="253">
        <f t="shared" si="51"/>
        <v>0</v>
      </c>
      <c r="CB45" s="328">
        <f>100-100</f>
        <v>0</v>
      </c>
      <c r="CC45" s="252"/>
      <c r="CD45" s="253">
        <f t="shared" si="57"/>
        <v>9000</v>
      </c>
      <c r="CE45" s="354">
        <f t="shared" si="33"/>
        <v>9055</v>
      </c>
      <c r="CF45" s="253">
        <f t="shared" si="52"/>
        <v>0</v>
      </c>
      <c r="CG45" s="253">
        <f t="shared" si="53"/>
        <v>55</v>
      </c>
      <c r="CH45" s="265"/>
      <c r="CI45" s="266"/>
      <c r="CJ45" s="266"/>
      <c r="CK45" s="63"/>
      <c r="CL45" s="267">
        <f t="shared" si="34"/>
        <v>0.99392600773053563</v>
      </c>
      <c r="CM45" s="267">
        <f t="shared" si="58"/>
        <v>0.15603328710124825</v>
      </c>
      <c r="CN45" s="267">
        <f t="shared" si="54"/>
        <v>0.15508554212161615</v>
      </c>
    </row>
    <row r="46" spans="2:92" ht="18.75">
      <c r="B46" s="82" t="s">
        <v>105</v>
      </c>
      <c r="C46" s="83">
        <v>1012160456171</v>
      </c>
      <c r="D46" s="84" t="s">
        <v>104</v>
      </c>
      <c r="E46" s="199" t="s">
        <v>44</v>
      </c>
      <c r="F46" s="416"/>
      <c r="G46" s="215"/>
      <c r="H46" s="233">
        <f t="shared" si="59"/>
        <v>0</v>
      </c>
      <c r="I46" s="417"/>
      <c r="J46" s="417"/>
      <c r="K46" s="417"/>
      <c r="L46" s="418"/>
      <c r="M46" s="418"/>
      <c r="N46" s="418"/>
      <c r="O46" s="418"/>
      <c r="P46" s="210">
        <f t="shared" si="37"/>
        <v>0</v>
      </c>
      <c r="Q46" s="230">
        <f t="shared" si="38"/>
        <v>0</v>
      </c>
      <c r="R46" s="230">
        <f t="shared" si="39"/>
        <v>0</v>
      </c>
      <c r="S46" s="231"/>
      <c r="T46" s="232"/>
      <c r="U46" s="215"/>
      <c r="V46" s="215"/>
      <c r="W46" s="233">
        <f t="shared" si="40"/>
        <v>0</v>
      </c>
      <c r="X46" s="214"/>
      <c r="Y46" s="214"/>
      <c r="Z46" s="214"/>
      <c r="AA46" s="214"/>
      <c r="AB46" s="214"/>
      <c r="AC46" s="215"/>
      <c r="AD46" s="215"/>
      <c r="AE46" s="241">
        <f>SUM(X46:AD46)</f>
        <v>0</v>
      </c>
      <c r="AF46" s="242">
        <f t="shared" si="42"/>
        <v>0</v>
      </c>
      <c r="AG46" s="251">
        <f t="shared" si="43"/>
        <v>0</v>
      </c>
      <c r="AH46" s="341"/>
      <c r="AI46" s="228"/>
      <c r="AJ46" s="215"/>
      <c r="AK46" s="215"/>
      <c r="AL46" s="233">
        <f t="shared" si="44"/>
        <v>0</v>
      </c>
      <c r="AM46" s="255"/>
      <c r="AN46" s="214"/>
      <c r="AO46" s="214"/>
      <c r="AP46" s="214"/>
      <c r="AQ46" s="214"/>
      <c r="AR46" s="214"/>
      <c r="AS46" s="255"/>
      <c r="AT46" s="337">
        <f t="shared" si="45"/>
        <v>0</v>
      </c>
      <c r="AU46" s="242">
        <f t="shared" si="46"/>
        <v>0</v>
      </c>
      <c r="AV46" s="251">
        <f t="shared" si="47"/>
        <v>0</v>
      </c>
      <c r="AW46" s="247"/>
      <c r="AX46" s="247"/>
      <c r="AY46" s="252"/>
      <c r="AZ46" s="214"/>
      <c r="BA46" s="215"/>
      <c r="BB46" s="233">
        <f t="shared" si="56"/>
        <v>0</v>
      </c>
      <c r="BC46" s="214"/>
      <c r="BD46" s="214"/>
      <c r="BE46" s="255"/>
      <c r="BF46" s="214"/>
      <c r="BG46" s="214"/>
      <c r="BH46" s="263"/>
      <c r="BI46" s="214"/>
      <c r="BJ46" s="241">
        <f t="shared" si="48"/>
        <v>0</v>
      </c>
      <c r="BK46" s="242">
        <f t="shared" si="29"/>
        <v>0</v>
      </c>
      <c r="BL46" s="251">
        <f t="shared" si="30"/>
        <v>0</v>
      </c>
      <c r="BM46" s="342"/>
      <c r="BN46" s="342"/>
      <c r="BO46" s="206"/>
      <c r="BP46" s="215"/>
      <c r="BQ46" s="233">
        <f t="shared" si="49"/>
        <v>0</v>
      </c>
      <c r="BR46" s="214"/>
      <c r="BS46" s="214"/>
      <c r="BT46" s="214"/>
      <c r="BU46" s="215"/>
      <c r="BV46" s="215"/>
      <c r="BW46" s="215"/>
      <c r="BX46" s="215"/>
      <c r="BY46" s="241">
        <f t="shared" si="50"/>
        <v>0</v>
      </c>
      <c r="BZ46" s="242">
        <f t="shared" si="31"/>
        <v>0</v>
      </c>
      <c r="CA46" s="251">
        <f>IF((BY46-BQ46)&gt;0,(BY46-BQ46),0)</f>
        <v>0</v>
      </c>
      <c r="CB46" s="252"/>
      <c r="CC46" s="252"/>
      <c r="CD46" s="251">
        <f t="shared" si="57"/>
        <v>0</v>
      </c>
      <c r="CE46" s="354">
        <f t="shared" si="33"/>
        <v>0</v>
      </c>
      <c r="CF46" s="251">
        <f t="shared" si="52"/>
        <v>0</v>
      </c>
      <c r="CG46" s="251">
        <f t="shared" si="53"/>
        <v>0</v>
      </c>
      <c r="CH46" s="265"/>
      <c r="CI46" s="266"/>
      <c r="CJ46" s="266"/>
      <c r="CK46" s="63"/>
      <c r="CL46" s="267">
        <f t="shared" si="34"/>
        <v>0</v>
      </c>
      <c r="CM46" s="267">
        <f t="shared" si="58"/>
        <v>0</v>
      </c>
      <c r="CN46" s="267">
        <f t="shared" si="54"/>
        <v>0</v>
      </c>
    </row>
    <row r="47" spans="2:92" ht="60">
      <c r="B47" s="85" t="s">
        <v>106</v>
      </c>
      <c r="C47" s="86">
        <v>1012160456190</v>
      </c>
      <c r="D47" s="87" t="s">
        <v>107</v>
      </c>
      <c r="E47" s="202">
        <v>2.5</v>
      </c>
      <c r="F47" s="415">
        <v>1080</v>
      </c>
      <c r="G47" s="213"/>
      <c r="H47" s="235">
        <f t="shared" si="59"/>
        <v>1080</v>
      </c>
      <c r="I47" s="419"/>
      <c r="J47" s="419"/>
      <c r="K47" s="419"/>
      <c r="L47" s="420"/>
      <c r="M47" s="420"/>
      <c r="N47" s="420">
        <v>119</v>
      </c>
      <c r="O47" s="420"/>
      <c r="P47" s="211">
        <f t="shared" si="37"/>
        <v>119</v>
      </c>
      <c r="Q47" s="424">
        <f t="shared" si="38"/>
        <v>-961</v>
      </c>
      <c r="R47" s="234">
        <f t="shared" si="39"/>
        <v>0</v>
      </c>
      <c r="S47" s="426" t="s">
        <v>618</v>
      </c>
      <c r="T47" s="232"/>
      <c r="U47" s="213"/>
      <c r="V47" s="213"/>
      <c r="W47" s="235">
        <f t="shared" si="40"/>
        <v>0</v>
      </c>
      <c r="X47" s="212"/>
      <c r="Y47" s="212"/>
      <c r="Z47" s="212"/>
      <c r="AA47" s="212"/>
      <c r="AB47" s="212"/>
      <c r="AC47" s="213"/>
      <c r="AD47" s="213"/>
      <c r="AE47" s="243">
        <f t="shared" si="41"/>
        <v>0</v>
      </c>
      <c r="AF47" s="244">
        <f t="shared" si="42"/>
        <v>0</v>
      </c>
      <c r="AG47" s="253">
        <f t="shared" si="43"/>
        <v>0</v>
      </c>
      <c r="AH47" s="341"/>
      <c r="AI47" s="228"/>
      <c r="AJ47" s="213"/>
      <c r="AK47" s="213"/>
      <c r="AL47" s="235">
        <f t="shared" si="44"/>
        <v>0</v>
      </c>
      <c r="AM47" s="254"/>
      <c r="AN47" s="212"/>
      <c r="AO47" s="212"/>
      <c r="AP47" s="212"/>
      <c r="AQ47" s="212"/>
      <c r="AR47" s="212"/>
      <c r="AS47" s="254"/>
      <c r="AT47" s="337">
        <f t="shared" si="45"/>
        <v>0</v>
      </c>
      <c r="AU47" s="244">
        <f t="shared" si="46"/>
        <v>0</v>
      </c>
      <c r="AV47" s="253">
        <f t="shared" si="47"/>
        <v>0</v>
      </c>
      <c r="AW47" s="247"/>
      <c r="AX47" s="247"/>
      <c r="AY47" s="252"/>
      <c r="AZ47" s="212"/>
      <c r="BA47" s="213"/>
      <c r="BB47" s="235">
        <f t="shared" si="56"/>
        <v>0</v>
      </c>
      <c r="BC47" s="212"/>
      <c r="BD47" s="212"/>
      <c r="BE47" s="254"/>
      <c r="BF47" s="212"/>
      <c r="BG47" s="212"/>
      <c r="BH47" s="212"/>
      <c r="BI47" s="212"/>
      <c r="BJ47" s="243">
        <f t="shared" si="48"/>
        <v>0</v>
      </c>
      <c r="BK47" s="244">
        <f t="shared" si="29"/>
        <v>0</v>
      </c>
      <c r="BL47" s="253">
        <f t="shared" si="30"/>
        <v>0</v>
      </c>
      <c r="BM47" s="342"/>
      <c r="BN47" s="342"/>
      <c r="BO47" s="205"/>
      <c r="BP47" s="213"/>
      <c r="BQ47" s="235">
        <f t="shared" si="49"/>
        <v>0</v>
      </c>
      <c r="BR47" s="212"/>
      <c r="BS47" s="212"/>
      <c r="BT47" s="212"/>
      <c r="BU47" s="213"/>
      <c r="BV47" s="213"/>
      <c r="BW47" s="213"/>
      <c r="BX47" s="213"/>
      <c r="BY47" s="243">
        <f t="shared" si="50"/>
        <v>0</v>
      </c>
      <c r="BZ47" s="244">
        <f t="shared" ref="BZ47:BZ48" si="62">IF((BY47-BQ47)&lt;0,(BY47-BQ47),0)</f>
        <v>0</v>
      </c>
      <c r="CA47" s="253">
        <f t="shared" si="51"/>
        <v>0</v>
      </c>
      <c r="CB47" s="328">
        <v>17.772727272727273</v>
      </c>
      <c r="CC47" s="252"/>
      <c r="CD47" s="253">
        <f t="shared" si="57"/>
        <v>1080</v>
      </c>
      <c r="CE47" s="353">
        <f t="shared" si="33"/>
        <v>119</v>
      </c>
      <c r="CF47" s="253">
        <f t="shared" si="52"/>
        <v>-961</v>
      </c>
      <c r="CG47" s="253">
        <f t="shared" si="53"/>
        <v>0</v>
      </c>
      <c r="CH47" s="265"/>
      <c r="CI47" s="266"/>
      <c r="CJ47" s="266"/>
      <c r="CK47" s="63"/>
      <c r="CL47" s="267">
        <f t="shared" si="34"/>
        <v>-7.0756302521008401</v>
      </c>
      <c r="CM47" s="267">
        <f t="shared" si="58"/>
        <v>1.8723994452149791E-2</v>
      </c>
      <c r="CN47" s="267">
        <f t="shared" si="54"/>
        <v>-0.13248406158579934</v>
      </c>
    </row>
    <row r="48" spans="2:92" ht="18.75">
      <c r="B48" s="85" t="s">
        <v>311</v>
      </c>
      <c r="C48" s="86">
        <v>1012160456190</v>
      </c>
      <c r="D48" s="87" t="s">
        <v>107</v>
      </c>
      <c r="E48" s="202">
        <v>2.5</v>
      </c>
      <c r="F48" s="415"/>
      <c r="G48" s="213"/>
      <c r="H48" s="235">
        <f t="shared" ref="H48" si="63">+F48-G48</f>
        <v>0</v>
      </c>
      <c r="I48" s="419"/>
      <c r="J48" s="419"/>
      <c r="K48" s="419"/>
      <c r="L48" s="419"/>
      <c r="M48" s="420"/>
      <c r="N48" s="420"/>
      <c r="O48" s="420"/>
      <c r="P48" s="211">
        <f t="shared" ref="P48" si="64">SUM(I48:O48)</f>
        <v>0</v>
      </c>
      <c r="Q48" s="234">
        <f t="shared" ref="Q48" si="65">IF((P48-H48)&lt;0,(P48-H48),0)</f>
        <v>0</v>
      </c>
      <c r="R48" s="234">
        <f t="shared" ref="R48" si="66">IF((P48-H48)&gt;0,(P48-H48),0)</f>
        <v>0</v>
      </c>
      <c r="S48" s="231"/>
      <c r="T48" s="232"/>
      <c r="U48" s="213"/>
      <c r="V48" s="213"/>
      <c r="W48" s="235">
        <f t="shared" ref="W48" si="67">+U48+V48</f>
        <v>0</v>
      </c>
      <c r="X48" s="212"/>
      <c r="Y48" s="212"/>
      <c r="Z48" s="212"/>
      <c r="AA48" s="212"/>
      <c r="AB48" s="212"/>
      <c r="AC48" s="212"/>
      <c r="AD48" s="212"/>
      <c r="AE48" s="243">
        <f t="shared" ref="AE48" si="68">SUM(X48:AD48)</f>
        <v>0</v>
      </c>
      <c r="AF48" s="244">
        <f t="shared" ref="AF48" si="69">IF((AE48-W48)&lt;0,(AE48-W48),0)</f>
        <v>0</v>
      </c>
      <c r="AG48" s="253">
        <f t="shared" ref="AG48" si="70">IF((AE48-W48)&gt;0,(AE48-W48),0)</f>
        <v>0</v>
      </c>
      <c r="AH48" s="341"/>
      <c r="AI48" s="228"/>
      <c r="AJ48" s="213"/>
      <c r="AK48" s="213"/>
      <c r="AL48" s="235">
        <f t="shared" ref="AL48" si="71">+AJ48+AK48</f>
        <v>0</v>
      </c>
      <c r="AM48" s="254"/>
      <c r="AN48" s="212"/>
      <c r="AO48" s="212"/>
      <c r="AP48" s="212"/>
      <c r="AQ48" s="212"/>
      <c r="AR48" s="212"/>
      <c r="AS48" s="254"/>
      <c r="AT48" s="337">
        <f t="shared" ref="AT48" si="72">SUM(AM48:AS48)</f>
        <v>0</v>
      </c>
      <c r="AU48" s="244">
        <f t="shared" ref="AU48:AU49" si="73">IF((AT48-AL48)&lt;0,(AT48-AL48),0)</f>
        <v>0</v>
      </c>
      <c r="AV48" s="253">
        <f t="shared" ref="AV48:AV49" si="74">IF((AT48-AL48)&gt;0,(AT48-AL48),0)</f>
        <v>0</v>
      </c>
      <c r="AW48" s="247"/>
      <c r="AX48" s="247"/>
      <c r="AY48" s="252"/>
      <c r="AZ48" s="212"/>
      <c r="BA48" s="213"/>
      <c r="BB48" s="235">
        <f t="shared" ref="BB48" si="75">AZ48+BA48</f>
        <v>0</v>
      </c>
      <c r="BC48" s="212"/>
      <c r="BD48" s="212"/>
      <c r="BE48" s="254"/>
      <c r="BF48" s="212"/>
      <c r="BG48" s="212"/>
      <c r="BH48" s="212"/>
      <c r="BI48" s="212"/>
      <c r="BJ48" s="243">
        <f t="shared" ref="BJ48" si="76">SUM(BC48:BI48)</f>
        <v>0</v>
      </c>
      <c r="BK48" s="244">
        <f t="shared" ref="BK48" si="77">IF((BJ48-BB48)&lt;0,(BJ48-BB48),0)</f>
        <v>0</v>
      </c>
      <c r="BL48" s="253">
        <f t="shared" ref="BL48" si="78">IF((BJ48-BB48)&gt;0,(BJ48-BB48),0)</f>
        <v>0</v>
      </c>
      <c r="BM48" s="342"/>
      <c r="BN48" s="342"/>
      <c r="BO48" s="205"/>
      <c r="BP48" s="213"/>
      <c r="BQ48" s="235">
        <f t="shared" ref="BQ48" si="79">+BO48-BP48</f>
        <v>0</v>
      </c>
      <c r="BR48" s="212"/>
      <c r="BS48" s="212"/>
      <c r="BT48" s="212"/>
      <c r="BU48" s="212"/>
      <c r="BV48" s="213"/>
      <c r="BW48" s="213"/>
      <c r="BX48" s="213"/>
      <c r="BY48" s="243">
        <f t="shared" ref="BY48" si="80">SUM(BR48:BX48)</f>
        <v>0</v>
      </c>
      <c r="BZ48" s="244">
        <f t="shared" si="62"/>
        <v>0</v>
      </c>
      <c r="CA48" s="253">
        <f t="shared" ref="CA48" si="81">IF((BY48-BQ48)&gt;0,(BY48-BQ48),0)</f>
        <v>0</v>
      </c>
      <c r="CB48" s="328"/>
      <c r="CC48" s="252"/>
      <c r="CD48" s="253">
        <f t="shared" ref="CD48" si="82">H48+W48+AL48+BB48+BQ48</f>
        <v>0</v>
      </c>
      <c r="CE48" s="253">
        <f t="shared" ref="CE48" si="83">+P48+AE48+AT48+BJ48+BY48+CC48</f>
        <v>0</v>
      </c>
      <c r="CF48" s="253">
        <f t="shared" ref="CF48" si="84">IF((CE48-CD48)&lt;0,(CE48-CD48),0)</f>
        <v>0</v>
      </c>
      <c r="CG48" s="253">
        <f t="shared" ref="CG48" si="85">IF((CE48-CD48)&gt;0,(CE48-CD48),0)</f>
        <v>0</v>
      </c>
      <c r="CH48" s="265"/>
      <c r="CI48" s="266"/>
      <c r="CJ48" s="266"/>
      <c r="CK48" s="63"/>
      <c r="CL48" s="267">
        <f t="shared" ref="CL48" si="86">IFERROR(1-ABS(CD48-CE48)/CE48,0)</f>
        <v>0</v>
      </c>
      <c r="CM48" s="267">
        <f t="shared" ref="CM48" si="87">CD48/CD$177</f>
        <v>0</v>
      </c>
      <c r="CN48" s="267">
        <f t="shared" ref="CN48" si="88">CL48*CM48</f>
        <v>0</v>
      </c>
    </row>
    <row r="49" spans="2:95" ht="18.75">
      <c r="B49" s="82" t="s">
        <v>108</v>
      </c>
      <c r="C49" s="83">
        <v>1012160454691</v>
      </c>
      <c r="D49" s="84" t="s">
        <v>109</v>
      </c>
      <c r="E49" s="199" t="s">
        <v>44</v>
      </c>
      <c r="F49" s="414">
        <v>3560</v>
      </c>
      <c r="G49" s="215"/>
      <c r="H49" s="233">
        <f t="shared" si="59"/>
        <v>3560</v>
      </c>
      <c r="I49" s="417">
        <f>500+300</f>
        <v>800</v>
      </c>
      <c r="J49" s="417">
        <v>91</v>
      </c>
      <c r="K49" s="417"/>
      <c r="L49" s="417"/>
      <c r="M49" s="418">
        <f>400+150</f>
        <v>550</v>
      </c>
      <c r="N49" s="418">
        <f>500+400</f>
        <v>900</v>
      </c>
      <c r="O49" s="418">
        <f>400+500+300</f>
        <v>1200</v>
      </c>
      <c r="P49" s="210">
        <f t="shared" si="37"/>
        <v>3541</v>
      </c>
      <c r="Q49" s="230">
        <f t="shared" si="38"/>
        <v>-19</v>
      </c>
      <c r="R49" s="230">
        <f t="shared" si="39"/>
        <v>0</v>
      </c>
      <c r="S49" s="231"/>
      <c r="T49" s="268"/>
      <c r="U49" s="215"/>
      <c r="V49" s="215"/>
      <c r="W49" s="233">
        <f t="shared" si="40"/>
        <v>0</v>
      </c>
      <c r="X49" s="214"/>
      <c r="Y49" s="214"/>
      <c r="Z49" s="214"/>
      <c r="AA49" s="214"/>
      <c r="AB49" s="214"/>
      <c r="AC49" s="214"/>
      <c r="AD49" s="214"/>
      <c r="AE49" s="241">
        <f t="shared" si="41"/>
        <v>0</v>
      </c>
      <c r="AF49" s="338">
        <f t="shared" si="42"/>
        <v>0</v>
      </c>
      <c r="AG49" s="251">
        <f t="shared" si="43"/>
        <v>0</v>
      </c>
      <c r="AH49" s="345"/>
      <c r="AI49" s="228"/>
      <c r="AJ49" s="215"/>
      <c r="AK49" s="215"/>
      <c r="AL49" s="233">
        <f t="shared" si="44"/>
        <v>0</v>
      </c>
      <c r="AM49" s="214"/>
      <c r="AN49" s="214"/>
      <c r="AO49" s="214"/>
      <c r="AP49" s="214"/>
      <c r="AQ49" s="214"/>
      <c r="AR49" s="214"/>
      <c r="AS49" s="255"/>
      <c r="AT49" s="337">
        <f t="shared" si="45"/>
        <v>0</v>
      </c>
      <c r="AU49" s="242">
        <f t="shared" si="73"/>
        <v>0</v>
      </c>
      <c r="AV49" s="251">
        <f t="shared" si="74"/>
        <v>0</v>
      </c>
      <c r="AW49" s="247"/>
      <c r="AX49" s="260"/>
      <c r="AY49" s="252"/>
      <c r="AZ49" s="214"/>
      <c r="BA49" s="215"/>
      <c r="BB49" s="233">
        <f t="shared" si="56"/>
        <v>0</v>
      </c>
      <c r="BC49" s="214"/>
      <c r="BD49" s="214"/>
      <c r="BE49" s="255"/>
      <c r="BF49" s="214"/>
      <c r="BG49" s="214"/>
      <c r="BH49" s="214"/>
      <c r="BI49" s="214"/>
      <c r="BJ49" s="241">
        <f t="shared" si="48"/>
        <v>0</v>
      </c>
      <c r="BK49" s="242">
        <f t="shared" si="29"/>
        <v>0</v>
      </c>
      <c r="BL49" s="251">
        <f t="shared" si="30"/>
        <v>0</v>
      </c>
      <c r="BM49" s="342"/>
      <c r="BN49" s="342"/>
      <c r="BO49" s="13"/>
      <c r="BP49" s="215"/>
      <c r="BQ49" s="233">
        <f t="shared" si="49"/>
        <v>0</v>
      </c>
      <c r="BR49" s="214"/>
      <c r="BS49" s="214"/>
      <c r="BT49" s="214"/>
      <c r="BU49" s="214"/>
      <c r="BV49" s="215"/>
      <c r="BW49" s="215"/>
      <c r="BX49" s="215"/>
      <c r="BY49" s="241">
        <f t="shared" si="50"/>
        <v>0</v>
      </c>
      <c r="BZ49" s="242">
        <f t="shared" si="31"/>
        <v>0</v>
      </c>
      <c r="CA49" s="251">
        <f t="shared" si="51"/>
        <v>0</v>
      </c>
      <c r="CB49" s="252"/>
      <c r="CC49" s="252"/>
      <c r="CD49" s="251">
        <f t="shared" si="57"/>
        <v>3560</v>
      </c>
      <c r="CE49" s="353">
        <f t="shared" si="33"/>
        <v>3541</v>
      </c>
      <c r="CF49" s="251">
        <f t="shared" si="52"/>
        <v>-19</v>
      </c>
      <c r="CG49" s="251">
        <f t="shared" si="53"/>
        <v>0</v>
      </c>
      <c r="CH49" s="265"/>
      <c r="CI49" s="266"/>
      <c r="CJ49" s="266"/>
      <c r="CK49" s="63"/>
      <c r="CL49" s="267">
        <f t="shared" si="34"/>
        <v>0.99463428410053656</v>
      </c>
      <c r="CM49" s="267">
        <f t="shared" si="58"/>
        <v>6.1719833564493759E-2</v>
      </c>
      <c r="CN49" s="267">
        <f t="shared" si="54"/>
        <v>6.138866247222452E-2</v>
      </c>
    </row>
    <row r="50" spans="2:95" ht="18.75">
      <c r="B50" s="82" t="s">
        <v>312</v>
      </c>
      <c r="C50" s="83">
        <v>1012160454691</v>
      </c>
      <c r="D50" s="84" t="s">
        <v>109</v>
      </c>
      <c r="E50" s="199" t="s">
        <v>44</v>
      </c>
      <c r="F50" s="13"/>
      <c r="G50" s="215"/>
      <c r="H50" s="233">
        <f t="shared" ref="H50" si="89">+F50-G50</f>
        <v>0</v>
      </c>
      <c r="I50" s="214"/>
      <c r="J50" s="214"/>
      <c r="K50" s="214"/>
      <c r="L50" s="214"/>
      <c r="M50" s="215"/>
      <c r="N50" s="215"/>
      <c r="O50" s="215"/>
      <c r="P50" s="210">
        <f t="shared" ref="P50" si="90">SUM(I50:O50)</f>
        <v>0</v>
      </c>
      <c r="Q50" s="230">
        <f t="shared" ref="Q50:Q51" si="91">IF((P50-H50)&lt;0,(P50-H50),0)</f>
        <v>0</v>
      </c>
      <c r="R50" s="230">
        <f t="shared" ref="R50:R51" si="92">IF((P50-H50)&gt;0,(P50-H50),0)</f>
        <v>0</v>
      </c>
      <c r="S50" s="231"/>
      <c r="T50" s="232"/>
      <c r="U50" s="215"/>
      <c r="V50" s="215"/>
      <c r="W50" s="233">
        <f t="shared" ref="W50" si="93">+U50+V50</f>
        <v>0</v>
      </c>
      <c r="X50" s="214"/>
      <c r="Y50" s="214"/>
      <c r="Z50" s="214"/>
      <c r="AA50" s="214"/>
      <c r="AB50" s="214"/>
      <c r="AC50" s="214"/>
      <c r="AD50" s="214"/>
      <c r="AE50" s="241">
        <f t="shared" ref="AE50:AE51" si="94">SUM(X50:AD50)</f>
        <v>0</v>
      </c>
      <c r="AF50" s="338">
        <f t="shared" ref="AF50:AF51" si="95">IF((AE50-W50)&lt;0,(AE50-W50),0)</f>
        <v>0</v>
      </c>
      <c r="AG50" s="251">
        <f t="shared" ref="AG50" si="96">IF((AE50-W50)&gt;0,(AE50-W50),0)</f>
        <v>0</v>
      </c>
      <c r="AH50" s="341"/>
      <c r="AI50" s="228"/>
      <c r="AJ50" s="350"/>
      <c r="AK50" s="215"/>
      <c r="AL50" s="233">
        <f t="shared" ref="AL50" si="97">+AJ50+AK50</f>
        <v>0</v>
      </c>
      <c r="AM50" s="214"/>
      <c r="AN50" s="214"/>
      <c r="AO50" s="214"/>
      <c r="AP50" s="214"/>
      <c r="AQ50" s="214"/>
      <c r="AR50" s="214"/>
      <c r="AS50" s="255"/>
      <c r="AT50" s="337">
        <f t="shared" ref="AT50:AT51" si="98">SUM(AM50:AS50)</f>
        <v>0</v>
      </c>
      <c r="AU50" s="242">
        <f t="shared" ref="AU50:AU51" si="99">IF((AT50-AL50)&lt;0,(AT50-AL50),0)</f>
        <v>0</v>
      </c>
      <c r="AV50" s="251">
        <f t="shared" ref="AV50" si="100">IF((AT50-AL50)&gt;0,(AT50-AL50),0)</f>
        <v>0</v>
      </c>
      <c r="AW50" s="256"/>
      <c r="AX50" s="260"/>
      <c r="AY50" s="252"/>
      <c r="AZ50" s="214"/>
      <c r="BA50" s="215"/>
      <c r="BB50" s="214"/>
      <c r="BC50" s="214"/>
      <c r="BD50" s="214"/>
      <c r="BE50" s="255"/>
      <c r="BF50" s="214"/>
      <c r="BG50" s="214"/>
      <c r="BH50" s="214"/>
      <c r="BI50" s="214"/>
      <c r="BJ50" s="241">
        <f t="shared" ref="BJ50" si="101">SUM(BC50:BI50)</f>
        <v>0</v>
      </c>
      <c r="BK50" s="242">
        <f t="shared" ref="BK50" si="102">IF((BJ50-BB50)&lt;0,(BJ50-BB50),0)</f>
        <v>0</v>
      </c>
      <c r="BL50" s="251">
        <f t="shared" ref="BL50" si="103">IF((BJ50-BB50)&gt;0,(BJ50-BB50),0)</f>
        <v>0</v>
      </c>
      <c r="BM50" s="342"/>
      <c r="BN50" s="342"/>
      <c r="BO50" s="13"/>
      <c r="BP50" s="215"/>
      <c r="BQ50" s="233">
        <f t="shared" ref="BQ50" si="104">+BO50-BP50</f>
        <v>0</v>
      </c>
      <c r="BR50" s="214"/>
      <c r="BS50" s="214"/>
      <c r="BT50" s="214"/>
      <c r="BU50" s="214"/>
      <c r="BV50" s="215"/>
      <c r="BW50" s="215"/>
      <c r="BX50" s="215"/>
      <c r="BY50" s="241">
        <f t="shared" ref="BY50:BY51" si="105">SUM(BR50:BX50)</f>
        <v>0</v>
      </c>
      <c r="BZ50" s="242">
        <f t="shared" ref="BZ50" si="106">IF((BY50-BQ50)&lt;0,(BY50-BQ50),0)</f>
        <v>0</v>
      </c>
      <c r="CA50" s="251">
        <f t="shared" ref="CA50" si="107">IF((BY50-BQ50)&gt;0,(BY50-BQ50),0)</f>
        <v>0</v>
      </c>
      <c r="CB50" s="252"/>
      <c r="CC50" s="252"/>
      <c r="CD50" s="251">
        <f t="shared" ref="CD50" si="108">H50+W50+AL50+BB50+BQ50</f>
        <v>0</v>
      </c>
      <c r="CE50" s="251">
        <f t="shared" ref="CE50:CE51" si="109">+P50+AE50+AT50+BJ50+BY50+CC50</f>
        <v>0</v>
      </c>
      <c r="CF50" s="251">
        <f t="shared" ref="CF50" si="110">IF((CE50-CD50)&lt;0,(CE50-CD50),0)</f>
        <v>0</v>
      </c>
      <c r="CG50" s="251">
        <f t="shared" ref="CG50" si="111">IF((CE50-CD50)&gt;0,(CE50-CD50),0)</f>
        <v>0</v>
      </c>
      <c r="CH50" s="265"/>
      <c r="CI50" s="266"/>
      <c r="CJ50" s="266"/>
      <c r="CK50" s="63"/>
      <c r="CL50" s="267">
        <f t="shared" ref="CL50" si="112">IFERROR(1-ABS(CD50-CE50)/CE50,0)</f>
        <v>0</v>
      </c>
      <c r="CM50" s="267">
        <f t="shared" ref="CM50" si="113">CD50/CD$177</f>
        <v>0</v>
      </c>
      <c r="CN50" s="267">
        <f t="shared" ref="CN50" si="114">CL50*CM50</f>
        <v>0</v>
      </c>
      <c r="CQ50" s="63"/>
    </row>
    <row r="51" spans="2:95" ht="18.75">
      <c r="B51" s="82" t="s">
        <v>110</v>
      </c>
      <c r="C51" s="86"/>
      <c r="D51" s="87"/>
      <c r="E51" s="202"/>
      <c r="F51" s="205"/>
      <c r="G51" s="213"/>
      <c r="H51" s="235"/>
      <c r="I51" s="212"/>
      <c r="J51" s="212"/>
      <c r="K51" s="212"/>
      <c r="L51" s="212"/>
      <c r="M51" s="213"/>
      <c r="N51" s="213"/>
      <c r="O51" s="213"/>
      <c r="P51" s="211">
        <f t="shared" ref="P51" si="115">SUM(I51:O51)</f>
        <v>0</v>
      </c>
      <c r="Q51" s="234">
        <f t="shared" si="91"/>
        <v>0</v>
      </c>
      <c r="R51" s="234">
        <f t="shared" si="92"/>
        <v>0</v>
      </c>
      <c r="S51" s="231"/>
      <c r="T51" s="232"/>
      <c r="U51" s="213"/>
      <c r="V51" s="213"/>
      <c r="W51" s="235"/>
      <c r="X51" s="212"/>
      <c r="Y51" s="212"/>
      <c r="Z51" s="212"/>
      <c r="AA51" s="212"/>
      <c r="AB51" s="212"/>
      <c r="AC51" s="212"/>
      <c r="AD51" s="212"/>
      <c r="AE51" s="243">
        <f t="shared" si="94"/>
        <v>0</v>
      </c>
      <c r="AF51" s="244">
        <f t="shared" si="95"/>
        <v>0</v>
      </c>
      <c r="AG51" s="253"/>
      <c r="AH51" s="341"/>
      <c r="AI51" s="228"/>
      <c r="AJ51" s="213"/>
      <c r="AK51" s="213"/>
      <c r="AL51" s="235"/>
      <c r="AM51" s="212"/>
      <c r="AN51" s="212"/>
      <c r="AO51" s="212"/>
      <c r="AP51" s="212"/>
      <c r="AQ51" s="212"/>
      <c r="AR51" s="212"/>
      <c r="AS51" s="254"/>
      <c r="AT51" s="243">
        <f t="shared" si="98"/>
        <v>0</v>
      </c>
      <c r="AU51" s="244">
        <f t="shared" si="99"/>
        <v>0</v>
      </c>
      <c r="AV51" s="253"/>
      <c r="AW51" s="256"/>
      <c r="AX51" s="257"/>
      <c r="AY51" s="252"/>
      <c r="AZ51" s="212"/>
      <c r="BA51" s="213"/>
      <c r="BB51" s="235"/>
      <c r="BC51" s="212"/>
      <c r="BD51" s="212"/>
      <c r="BE51" s="254"/>
      <c r="BF51" s="212"/>
      <c r="BG51" s="212"/>
      <c r="BH51" s="212"/>
      <c r="BI51" s="212"/>
      <c r="BJ51" s="241">
        <f t="shared" ref="BJ51" si="116">SUM(BC51:BI51)</f>
        <v>0</v>
      </c>
      <c r="BK51" s="242">
        <f t="shared" ref="BK51" si="117">IF((BJ51-BB51)&lt;0,(BJ51-BB51),0)</f>
        <v>0</v>
      </c>
      <c r="BL51" s="251">
        <f t="shared" ref="BL51" si="118">IF((BJ51-BB51)&gt;0,(BJ51-BB51),0)</f>
        <v>0</v>
      </c>
      <c r="BM51" s="342"/>
      <c r="BN51" s="342"/>
      <c r="BO51" s="205"/>
      <c r="BP51" s="213"/>
      <c r="BQ51" s="235"/>
      <c r="BR51" s="212"/>
      <c r="BS51" s="212"/>
      <c r="BT51" s="212"/>
      <c r="BU51" s="212"/>
      <c r="BV51" s="213"/>
      <c r="BW51" s="213"/>
      <c r="BX51" s="213"/>
      <c r="BY51" s="243">
        <f t="shared" si="105"/>
        <v>0</v>
      </c>
      <c r="BZ51" s="244"/>
      <c r="CA51" s="253"/>
      <c r="CB51" s="328"/>
      <c r="CC51" s="252"/>
      <c r="CD51" s="253"/>
      <c r="CE51" s="354">
        <f t="shared" si="109"/>
        <v>0</v>
      </c>
      <c r="CF51" s="253"/>
      <c r="CG51" s="253"/>
      <c r="CH51" s="265"/>
      <c r="CI51" s="266"/>
      <c r="CJ51" s="266"/>
      <c r="CK51" s="63"/>
      <c r="CL51" s="267"/>
      <c r="CM51" s="267"/>
      <c r="CN51" s="267"/>
    </row>
    <row r="52" spans="2:95" ht="18.75">
      <c r="B52" s="82" t="s">
        <v>313</v>
      </c>
      <c r="C52" s="86">
        <v>1012160456185</v>
      </c>
      <c r="D52" s="87" t="s">
        <v>314</v>
      </c>
      <c r="E52" s="202" t="s">
        <v>44</v>
      </c>
      <c r="F52" s="205"/>
      <c r="G52" s="213"/>
      <c r="H52" s="235"/>
      <c r="I52" s="212"/>
      <c r="J52" s="212"/>
      <c r="K52" s="212"/>
      <c r="L52" s="212"/>
      <c r="M52" s="213"/>
      <c r="N52" s="213"/>
      <c r="O52" s="213"/>
      <c r="P52" s="211">
        <f t="shared" ref="P52" si="119">SUM(I52:O52)</f>
        <v>0</v>
      </c>
      <c r="Q52" s="234">
        <f t="shared" ref="Q52" si="120">IF((P52-H52)&lt;0,(P52-H52),0)</f>
        <v>0</v>
      </c>
      <c r="R52" s="234">
        <f t="shared" ref="R52" si="121">IF((P52-H52)&gt;0,(P52-H52),0)</f>
        <v>0</v>
      </c>
      <c r="S52" s="231"/>
      <c r="T52" s="232"/>
      <c r="U52" s="213"/>
      <c r="V52" s="213"/>
      <c r="W52" s="235"/>
      <c r="X52" s="212"/>
      <c r="Y52" s="212"/>
      <c r="Z52" s="212"/>
      <c r="AA52" s="212"/>
      <c r="AB52" s="212"/>
      <c r="AC52" s="212"/>
      <c r="AD52" s="212"/>
      <c r="AE52" s="243">
        <f t="shared" ref="AE52" si="122">SUM(X52:AD52)</f>
        <v>0</v>
      </c>
      <c r="AF52" s="244">
        <f t="shared" ref="AF52" si="123">IF((AE52-W52)&lt;0,(AE52-W52),0)</f>
        <v>0</v>
      </c>
      <c r="AG52" s="253"/>
      <c r="AH52" s="341"/>
      <c r="AI52" s="228"/>
      <c r="AJ52" s="213"/>
      <c r="AK52" s="213"/>
      <c r="AL52" s="235"/>
      <c r="AM52" s="212"/>
      <c r="AN52" s="212"/>
      <c r="AO52" s="212"/>
      <c r="AP52" s="212"/>
      <c r="AQ52" s="212"/>
      <c r="AR52" s="212"/>
      <c r="AS52" s="254"/>
      <c r="AT52" s="243">
        <f t="shared" ref="AT52" si="124">SUM(AM52:AS52)</f>
        <v>0</v>
      </c>
      <c r="AU52" s="244">
        <f t="shared" ref="AU52" si="125">IF((AT52-AL52)&lt;0,(AT52-AL52),0)</f>
        <v>0</v>
      </c>
      <c r="AV52" s="253"/>
      <c r="AW52" s="247"/>
      <c r="AX52" s="257"/>
      <c r="AY52" s="252"/>
      <c r="AZ52" s="212"/>
      <c r="BA52" s="213"/>
      <c r="BB52" s="235">
        <f t="shared" ref="BB52" si="126">AZ52+BA52</f>
        <v>0</v>
      </c>
      <c r="BC52" s="212"/>
      <c r="BD52" s="212"/>
      <c r="BE52" s="254"/>
      <c r="BF52" s="212"/>
      <c r="BG52" s="212"/>
      <c r="BH52" s="212"/>
      <c r="BI52" s="212"/>
      <c r="BJ52" s="241">
        <f t="shared" ref="BJ52" si="127">SUM(BC52:BI52)</f>
        <v>0</v>
      </c>
      <c r="BK52" s="242">
        <f t="shared" ref="BK52" si="128">IF((BJ52-BB52)&lt;0,(BJ52-BB52),0)</f>
        <v>0</v>
      </c>
      <c r="BL52" s="251">
        <f t="shared" ref="BL52" si="129">IF((BJ52-BB52)&gt;0,(BJ52-BB52),0)</f>
        <v>0</v>
      </c>
      <c r="BM52" s="342"/>
      <c r="BN52" s="342"/>
      <c r="BO52" s="205"/>
      <c r="BP52" s="213"/>
      <c r="BQ52" s="235"/>
      <c r="BR52" s="212"/>
      <c r="BS52" s="212"/>
      <c r="BT52" s="212"/>
      <c r="BU52" s="212"/>
      <c r="BV52" s="213"/>
      <c r="BW52" s="213"/>
      <c r="BX52" s="213"/>
      <c r="BY52" s="243">
        <f t="shared" ref="BY52" si="130">SUM(BR52:BX52)</f>
        <v>0</v>
      </c>
      <c r="BZ52" s="244"/>
      <c r="CA52" s="253"/>
      <c r="CB52" s="328"/>
      <c r="CC52" s="252"/>
      <c r="CD52" s="253"/>
      <c r="CE52" s="253">
        <f t="shared" ref="CE52" si="131">+P52+AE52+AT52+BJ52+BY52+CC52</f>
        <v>0</v>
      </c>
      <c r="CF52" s="253"/>
      <c r="CG52" s="253"/>
      <c r="CH52" s="265"/>
      <c r="CI52" s="266"/>
      <c r="CJ52" s="266"/>
      <c r="CK52" s="63"/>
      <c r="CL52" s="267"/>
      <c r="CM52" s="267"/>
      <c r="CN52" s="267"/>
    </row>
    <row r="53" spans="2:95" ht="18.75">
      <c r="B53" s="82" t="s">
        <v>111</v>
      </c>
      <c r="C53" s="83">
        <v>1012160456175</v>
      </c>
      <c r="D53" s="84" t="s">
        <v>112</v>
      </c>
      <c r="E53" s="199" t="s">
        <v>44</v>
      </c>
      <c r="F53" s="13">
        <v>40</v>
      </c>
      <c r="G53" s="215"/>
      <c r="H53" s="233">
        <f t="shared" si="59"/>
        <v>40</v>
      </c>
      <c r="I53" s="214"/>
      <c r="J53" s="214"/>
      <c r="K53" s="214"/>
      <c r="L53" s="214"/>
      <c r="M53" s="215"/>
      <c r="N53" s="215"/>
      <c r="O53" s="215"/>
      <c r="P53" s="210">
        <f t="shared" si="37"/>
        <v>0</v>
      </c>
      <c r="Q53" s="425">
        <f t="shared" si="38"/>
        <v>-40</v>
      </c>
      <c r="R53" s="230">
        <f t="shared" si="39"/>
        <v>0</v>
      </c>
      <c r="S53" s="423" t="s">
        <v>616</v>
      </c>
      <c r="T53" s="232"/>
      <c r="U53" s="215"/>
      <c r="V53" s="215"/>
      <c r="W53" s="233">
        <f t="shared" si="40"/>
        <v>0</v>
      </c>
      <c r="X53" s="214"/>
      <c r="Y53" s="214"/>
      <c r="Z53" s="214"/>
      <c r="AA53" s="214"/>
      <c r="AB53" s="214"/>
      <c r="AC53" s="214"/>
      <c r="AD53" s="214"/>
      <c r="AE53" s="241">
        <f t="shared" si="41"/>
        <v>0</v>
      </c>
      <c r="AF53" s="338">
        <f t="shared" si="42"/>
        <v>0</v>
      </c>
      <c r="AG53" s="251">
        <f t="shared" si="43"/>
        <v>0</v>
      </c>
      <c r="AH53" s="341"/>
      <c r="AI53" s="228"/>
      <c r="AJ53" s="214"/>
      <c r="AK53" s="215"/>
      <c r="AL53" s="233">
        <f t="shared" si="44"/>
        <v>0</v>
      </c>
      <c r="AM53" s="255"/>
      <c r="AN53" s="214"/>
      <c r="AO53" s="214"/>
      <c r="AP53" s="214"/>
      <c r="AQ53" s="214"/>
      <c r="AR53" s="214"/>
      <c r="AS53" s="255"/>
      <c r="AT53" s="241">
        <f t="shared" si="45"/>
        <v>0</v>
      </c>
      <c r="AU53" s="242">
        <f t="shared" si="46"/>
        <v>0</v>
      </c>
      <c r="AV53" s="251">
        <f t="shared" si="47"/>
        <v>0</v>
      </c>
      <c r="AW53" s="247"/>
      <c r="AX53" s="258"/>
      <c r="AY53" s="252"/>
      <c r="AZ53" s="214"/>
      <c r="BA53" s="215"/>
      <c r="BB53" s="233">
        <f t="shared" ref="BB53:BB63" si="132">AZ53+BA53</f>
        <v>0</v>
      </c>
      <c r="BC53" s="214"/>
      <c r="BD53" s="214"/>
      <c r="BE53" s="255"/>
      <c r="BF53" s="214"/>
      <c r="BG53" s="214"/>
      <c r="BH53" s="214"/>
      <c r="BI53" s="214"/>
      <c r="BJ53" s="241">
        <f t="shared" si="48"/>
        <v>0</v>
      </c>
      <c r="BK53" s="242">
        <f t="shared" si="29"/>
        <v>0</v>
      </c>
      <c r="BL53" s="251">
        <f t="shared" si="30"/>
        <v>0</v>
      </c>
      <c r="BM53" s="342"/>
      <c r="BN53" s="342"/>
      <c r="BO53" s="13"/>
      <c r="BP53" s="215"/>
      <c r="BQ53" s="233">
        <f t="shared" si="49"/>
        <v>0</v>
      </c>
      <c r="BR53" s="214"/>
      <c r="BS53" s="214"/>
      <c r="BT53" s="214"/>
      <c r="BU53" s="214"/>
      <c r="BV53" s="215"/>
      <c r="BW53" s="215"/>
      <c r="BX53" s="215"/>
      <c r="BY53" s="241">
        <f t="shared" si="50"/>
        <v>0</v>
      </c>
      <c r="BZ53" s="242">
        <f t="shared" si="31"/>
        <v>0</v>
      </c>
      <c r="CA53" s="251">
        <f t="shared" si="51"/>
        <v>0</v>
      </c>
      <c r="CB53" s="252"/>
      <c r="CC53" s="252"/>
      <c r="CD53" s="251">
        <f t="shared" ref="CD53:CD63" si="133">H53+W53+AL53+BB53+BQ53</f>
        <v>40</v>
      </c>
      <c r="CE53" s="357">
        <f t="shared" ref="CE53:CE76" si="134">+P53+AE53+AT53+BJ53+BY53+CC53</f>
        <v>0</v>
      </c>
      <c r="CF53" s="251">
        <f t="shared" si="52"/>
        <v>-40</v>
      </c>
      <c r="CG53" s="251">
        <f t="shared" si="53"/>
        <v>0</v>
      </c>
      <c r="CH53" s="265"/>
      <c r="CI53" s="266"/>
      <c r="CJ53" s="266"/>
      <c r="CK53" s="63"/>
      <c r="CL53" s="267">
        <f t="shared" si="34"/>
        <v>0</v>
      </c>
      <c r="CM53" s="267">
        <f t="shared" si="58"/>
        <v>6.9348127600554787E-4</v>
      </c>
      <c r="CN53" s="267">
        <f t="shared" si="54"/>
        <v>0</v>
      </c>
    </row>
    <row r="54" spans="2:95" ht="18.75">
      <c r="B54" s="85" t="s">
        <v>113</v>
      </c>
      <c r="C54" s="86"/>
      <c r="D54" s="87" t="s">
        <v>114</v>
      </c>
      <c r="E54" s="202" t="s">
        <v>44</v>
      </c>
      <c r="F54" s="205"/>
      <c r="G54" s="213"/>
      <c r="H54" s="235">
        <f t="shared" si="59"/>
        <v>0</v>
      </c>
      <c r="I54" s="212"/>
      <c r="J54" s="212"/>
      <c r="K54" s="212"/>
      <c r="L54" s="212"/>
      <c r="M54" s="213"/>
      <c r="N54" s="213"/>
      <c r="O54" s="213"/>
      <c r="P54" s="211">
        <f t="shared" si="37"/>
        <v>0</v>
      </c>
      <c r="Q54" s="234">
        <f t="shared" si="38"/>
        <v>0</v>
      </c>
      <c r="R54" s="234">
        <f t="shared" si="39"/>
        <v>0</v>
      </c>
      <c r="S54" s="231"/>
      <c r="T54" s="232"/>
      <c r="U54" s="213"/>
      <c r="V54" s="213"/>
      <c r="W54" s="235">
        <f t="shared" si="40"/>
        <v>0</v>
      </c>
      <c r="X54" s="212"/>
      <c r="Y54" s="212"/>
      <c r="Z54" s="212"/>
      <c r="AA54" s="212"/>
      <c r="AB54" s="212"/>
      <c r="AC54" s="212"/>
      <c r="AD54" s="212"/>
      <c r="AE54" s="243">
        <f t="shared" si="41"/>
        <v>0</v>
      </c>
      <c r="AF54" s="244">
        <f t="shared" si="42"/>
        <v>0</v>
      </c>
      <c r="AG54" s="253">
        <f t="shared" si="43"/>
        <v>0</v>
      </c>
      <c r="AH54" s="341"/>
      <c r="AI54" s="228"/>
      <c r="AJ54" s="212"/>
      <c r="AK54" s="213"/>
      <c r="AL54" s="235">
        <f t="shared" si="44"/>
        <v>0</v>
      </c>
      <c r="AM54" s="254"/>
      <c r="AN54" s="212"/>
      <c r="AO54" s="212"/>
      <c r="AP54" s="212"/>
      <c r="AQ54" s="212"/>
      <c r="AR54" s="212"/>
      <c r="AS54" s="254"/>
      <c r="AT54" s="243">
        <f t="shared" si="45"/>
        <v>0</v>
      </c>
      <c r="AU54" s="244">
        <f t="shared" si="46"/>
        <v>0</v>
      </c>
      <c r="AV54" s="253">
        <f t="shared" si="47"/>
        <v>0</v>
      </c>
      <c r="AW54" s="247"/>
      <c r="AX54" s="247"/>
      <c r="AY54" s="252"/>
      <c r="AZ54" s="212"/>
      <c r="BA54" s="213"/>
      <c r="BB54" s="235">
        <f t="shared" si="132"/>
        <v>0</v>
      </c>
      <c r="BC54" s="212"/>
      <c r="BD54" s="212"/>
      <c r="BE54" s="254"/>
      <c r="BF54" s="212"/>
      <c r="BG54" s="212"/>
      <c r="BH54" s="212"/>
      <c r="BI54" s="212"/>
      <c r="BJ54" s="243">
        <f t="shared" si="48"/>
        <v>0</v>
      </c>
      <c r="BK54" s="244">
        <f t="shared" si="29"/>
        <v>0</v>
      </c>
      <c r="BL54" s="253">
        <f t="shared" si="30"/>
        <v>0</v>
      </c>
      <c r="BM54" s="342"/>
      <c r="BN54" s="342"/>
      <c r="BO54" s="205"/>
      <c r="BP54" s="213"/>
      <c r="BQ54" s="235">
        <f t="shared" si="49"/>
        <v>0</v>
      </c>
      <c r="BR54" s="212"/>
      <c r="BS54" s="212"/>
      <c r="BT54" s="212"/>
      <c r="BU54" s="212"/>
      <c r="BV54" s="213"/>
      <c r="BW54" s="213"/>
      <c r="BX54" s="213"/>
      <c r="BY54" s="243">
        <f t="shared" si="50"/>
        <v>0</v>
      </c>
      <c r="BZ54" s="244">
        <f t="shared" si="31"/>
        <v>0</v>
      </c>
      <c r="CA54" s="253">
        <f t="shared" si="51"/>
        <v>0</v>
      </c>
      <c r="CB54" s="328"/>
      <c r="CC54" s="252"/>
      <c r="CD54" s="253">
        <f t="shared" si="133"/>
        <v>0</v>
      </c>
      <c r="CE54" s="253">
        <f t="shared" si="134"/>
        <v>0</v>
      </c>
      <c r="CF54" s="253">
        <f t="shared" si="52"/>
        <v>0</v>
      </c>
      <c r="CG54" s="253">
        <f t="shared" si="53"/>
        <v>0</v>
      </c>
      <c r="CH54" s="265"/>
      <c r="CI54" s="266"/>
      <c r="CJ54" s="266"/>
      <c r="CK54" s="63"/>
      <c r="CL54" s="267">
        <f t="shared" si="34"/>
        <v>0</v>
      </c>
      <c r="CM54" s="267">
        <f t="shared" si="58"/>
        <v>0</v>
      </c>
      <c r="CN54" s="267">
        <f t="shared" si="54"/>
        <v>0</v>
      </c>
    </row>
    <row r="55" spans="2:95" ht="18.75">
      <c r="B55" s="82" t="s">
        <v>315</v>
      </c>
      <c r="C55" s="83" t="s">
        <v>316</v>
      </c>
      <c r="D55" s="84" t="s">
        <v>317</v>
      </c>
      <c r="E55" s="199" t="s">
        <v>44</v>
      </c>
      <c r="F55" s="200"/>
      <c r="G55" s="200"/>
      <c r="H55" s="201">
        <f t="shared" si="36"/>
        <v>0</v>
      </c>
      <c r="I55" s="200"/>
      <c r="J55" s="200"/>
      <c r="K55" s="200"/>
      <c r="L55" s="200"/>
      <c r="M55" s="200"/>
      <c r="N55" s="200"/>
      <c r="O55" s="200"/>
      <c r="P55" s="210">
        <f t="shared" si="37"/>
        <v>0</v>
      </c>
      <c r="Q55" s="230">
        <f t="shared" si="38"/>
        <v>0</v>
      </c>
      <c r="R55" s="230">
        <f t="shared" si="39"/>
        <v>0</v>
      </c>
      <c r="S55" s="231"/>
      <c r="T55" s="232"/>
      <c r="U55" s="215"/>
      <c r="V55" s="215"/>
      <c r="W55" s="233">
        <f t="shared" si="40"/>
        <v>0</v>
      </c>
      <c r="X55" s="214"/>
      <c r="Y55" s="214"/>
      <c r="Z55" s="214"/>
      <c r="AA55" s="214"/>
      <c r="AB55" s="214"/>
      <c r="AC55" s="214"/>
      <c r="AD55" s="214"/>
      <c r="AE55" s="241">
        <f t="shared" si="41"/>
        <v>0</v>
      </c>
      <c r="AF55" s="242">
        <f t="shared" si="42"/>
        <v>0</v>
      </c>
      <c r="AG55" s="251">
        <f t="shared" si="43"/>
        <v>0</v>
      </c>
      <c r="AH55" s="341"/>
      <c r="AI55" s="228"/>
      <c r="AJ55" s="214"/>
      <c r="AK55" s="215"/>
      <c r="AL55" s="233">
        <f t="shared" si="44"/>
        <v>0</v>
      </c>
      <c r="AM55" s="255"/>
      <c r="AN55" s="214"/>
      <c r="AO55" s="214"/>
      <c r="AP55" s="214"/>
      <c r="AQ55" s="214"/>
      <c r="AR55" s="214"/>
      <c r="AS55" s="255"/>
      <c r="AT55" s="241">
        <f t="shared" si="45"/>
        <v>0</v>
      </c>
      <c r="AU55" s="242">
        <f t="shared" si="46"/>
        <v>0</v>
      </c>
      <c r="AV55" s="251">
        <f t="shared" si="47"/>
        <v>0</v>
      </c>
      <c r="AW55" s="247"/>
      <c r="AX55" s="247"/>
      <c r="AY55" s="252"/>
      <c r="AZ55" s="214"/>
      <c r="BA55" s="215"/>
      <c r="BB55" s="233">
        <f t="shared" si="132"/>
        <v>0</v>
      </c>
      <c r="BC55" s="214"/>
      <c r="BD55" s="214"/>
      <c r="BE55" s="255"/>
      <c r="BF55" s="214"/>
      <c r="BG55" s="214"/>
      <c r="BH55" s="214"/>
      <c r="BI55" s="214"/>
      <c r="BJ55" s="241">
        <f t="shared" si="48"/>
        <v>0</v>
      </c>
      <c r="BK55" s="242">
        <f t="shared" si="29"/>
        <v>0</v>
      </c>
      <c r="BL55" s="251">
        <f t="shared" si="30"/>
        <v>0</v>
      </c>
      <c r="BM55" s="342"/>
      <c r="BN55" s="342"/>
      <c r="BO55" s="13"/>
      <c r="BP55" s="215"/>
      <c r="BQ55" s="233">
        <f t="shared" si="49"/>
        <v>0</v>
      </c>
      <c r="BR55" s="214"/>
      <c r="BS55" s="214"/>
      <c r="BT55" s="214"/>
      <c r="BU55" s="214"/>
      <c r="BV55" s="215"/>
      <c r="BW55" s="215"/>
      <c r="BX55" s="215"/>
      <c r="BY55" s="241">
        <f t="shared" si="50"/>
        <v>0</v>
      </c>
      <c r="BZ55" s="242">
        <f t="shared" si="31"/>
        <v>0</v>
      </c>
      <c r="CA55" s="251">
        <f t="shared" si="51"/>
        <v>0</v>
      </c>
      <c r="CB55" s="252"/>
      <c r="CC55" s="252"/>
      <c r="CD55" s="251">
        <f t="shared" si="133"/>
        <v>0</v>
      </c>
      <c r="CE55" s="251">
        <f t="shared" si="134"/>
        <v>0</v>
      </c>
      <c r="CF55" s="251">
        <f t="shared" si="52"/>
        <v>0</v>
      </c>
      <c r="CG55" s="251">
        <f t="shared" si="53"/>
        <v>0</v>
      </c>
      <c r="CH55" s="265"/>
      <c r="CI55" s="266"/>
      <c r="CJ55" s="266"/>
      <c r="CK55" s="63"/>
      <c r="CL55" s="267">
        <f t="shared" si="34"/>
        <v>0</v>
      </c>
      <c r="CM55" s="267">
        <f t="shared" si="58"/>
        <v>0</v>
      </c>
      <c r="CN55" s="267">
        <f t="shared" si="54"/>
        <v>0</v>
      </c>
    </row>
    <row r="56" spans="2:95" ht="15.75">
      <c r="B56" s="85" t="s">
        <v>318</v>
      </c>
      <c r="C56" s="86" t="s">
        <v>319</v>
      </c>
      <c r="D56" s="87" t="s">
        <v>317</v>
      </c>
      <c r="E56" s="202" t="s">
        <v>44</v>
      </c>
      <c r="F56" s="203"/>
      <c r="G56" s="203"/>
      <c r="H56" s="204">
        <f t="shared" si="36"/>
        <v>0</v>
      </c>
      <c r="I56" s="203"/>
      <c r="J56" s="203"/>
      <c r="K56" s="203"/>
      <c r="L56" s="203"/>
      <c r="M56" s="203"/>
      <c r="N56" s="203"/>
      <c r="O56" s="203"/>
      <c r="P56" s="211">
        <f t="shared" si="37"/>
        <v>0</v>
      </c>
      <c r="Q56" s="234">
        <f t="shared" si="38"/>
        <v>0</v>
      </c>
      <c r="R56" s="234">
        <f t="shared" si="39"/>
        <v>0</v>
      </c>
      <c r="S56" s="231"/>
      <c r="T56" s="232"/>
      <c r="U56" s="213"/>
      <c r="V56" s="213"/>
      <c r="W56" s="235">
        <f t="shared" si="40"/>
        <v>0</v>
      </c>
      <c r="X56" s="212"/>
      <c r="Y56" s="212"/>
      <c r="Z56" s="212"/>
      <c r="AA56" s="212"/>
      <c r="AB56" s="212"/>
      <c r="AC56" s="212"/>
      <c r="AD56" s="212"/>
      <c r="AE56" s="243">
        <f t="shared" si="41"/>
        <v>0</v>
      </c>
      <c r="AF56" s="244">
        <f t="shared" si="42"/>
        <v>0</v>
      </c>
      <c r="AG56" s="253">
        <f t="shared" si="43"/>
        <v>0</v>
      </c>
      <c r="AH56" s="341"/>
      <c r="AI56" s="252"/>
      <c r="AJ56" s="212"/>
      <c r="AK56" s="213"/>
      <c r="AL56" s="235">
        <f t="shared" si="44"/>
        <v>0</v>
      </c>
      <c r="AM56" s="254"/>
      <c r="AN56" s="212"/>
      <c r="AO56" s="212"/>
      <c r="AP56" s="212"/>
      <c r="AQ56" s="212"/>
      <c r="AR56" s="212"/>
      <c r="AS56" s="254"/>
      <c r="AT56" s="243">
        <f t="shared" si="45"/>
        <v>0</v>
      </c>
      <c r="AU56" s="244">
        <f t="shared" si="46"/>
        <v>0</v>
      </c>
      <c r="AV56" s="253">
        <f t="shared" si="47"/>
        <v>0</v>
      </c>
      <c r="AW56" s="247"/>
      <c r="AX56" s="247"/>
      <c r="AY56" s="252"/>
      <c r="AZ56" s="212"/>
      <c r="BA56" s="213"/>
      <c r="BB56" s="235">
        <f t="shared" si="132"/>
        <v>0</v>
      </c>
      <c r="BC56" s="212"/>
      <c r="BD56" s="212"/>
      <c r="BE56" s="254"/>
      <c r="BF56" s="212"/>
      <c r="BG56" s="212"/>
      <c r="BH56" s="212"/>
      <c r="BI56" s="212"/>
      <c r="BJ56" s="243">
        <f t="shared" si="48"/>
        <v>0</v>
      </c>
      <c r="BK56" s="244">
        <f t="shared" si="29"/>
        <v>0</v>
      </c>
      <c r="BL56" s="253">
        <f t="shared" si="30"/>
        <v>0</v>
      </c>
      <c r="BM56" s="342"/>
      <c r="BN56" s="342"/>
      <c r="BO56" s="205"/>
      <c r="BP56" s="213"/>
      <c r="BQ56" s="235">
        <f t="shared" si="49"/>
        <v>0</v>
      </c>
      <c r="BR56" s="212"/>
      <c r="BS56" s="212"/>
      <c r="BT56" s="212"/>
      <c r="BU56" s="212"/>
      <c r="BV56" s="213"/>
      <c r="BW56" s="213"/>
      <c r="BX56" s="213"/>
      <c r="BY56" s="243">
        <f t="shared" si="50"/>
        <v>0</v>
      </c>
      <c r="BZ56" s="244">
        <f t="shared" si="31"/>
        <v>0</v>
      </c>
      <c r="CA56" s="253">
        <f t="shared" si="51"/>
        <v>0</v>
      </c>
      <c r="CB56" s="328"/>
      <c r="CC56" s="252"/>
      <c r="CD56" s="253">
        <f t="shared" si="133"/>
        <v>0</v>
      </c>
      <c r="CE56" s="353">
        <f t="shared" si="134"/>
        <v>0</v>
      </c>
      <c r="CF56" s="253">
        <f t="shared" si="52"/>
        <v>0</v>
      </c>
      <c r="CG56" s="253">
        <f t="shared" si="53"/>
        <v>0</v>
      </c>
      <c r="CH56" s="265"/>
      <c r="CI56" s="266"/>
      <c r="CJ56" s="266"/>
      <c r="CK56" s="63"/>
      <c r="CL56" s="267">
        <f t="shared" si="34"/>
        <v>0</v>
      </c>
      <c r="CM56" s="267">
        <f t="shared" si="58"/>
        <v>0</v>
      </c>
      <c r="CN56" s="267">
        <f t="shared" si="54"/>
        <v>0</v>
      </c>
    </row>
    <row r="57" spans="2:95" ht="15.75">
      <c r="B57" s="82" t="s">
        <v>320</v>
      </c>
      <c r="C57" s="83" t="s">
        <v>321</v>
      </c>
      <c r="D57" s="84" t="s">
        <v>317</v>
      </c>
      <c r="E57" s="199" t="s">
        <v>44</v>
      </c>
      <c r="F57" s="200"/>
      <c r="G57" s="200"/>
      <c r="H57" s="201">
        <f t="shared" si="36"/>
        <v>0</v>
      </c>
      <c r="I57" s="200"/>
      <c r="J57" s="200"/>
      <c r="K57" s="200"/>
      <c r="L57" s="200"/>
      <c r="M57" s="200"/>
      <c r="N57" s="200"/>
      <c r="O57" s="200"/>
      <c r="P57" s="210">
        <f t="shared" si="37"/>
        <v>0</v>
      </c>
      <c r="Q57" s="230">
        <f t="shared" si="38"/>
        <v>0</v>
      </c>
      <c r="R57" s="230">
        <f t="shared" si="39"/>
        <v>0</v>
      </c>
      <c r="S57" s="231"/>
      <c r="T57" s="232"/>
      <c r="U57" s="215"/>
      <c r="V57" s="215"/>
      <c r="W57" s="233">
        <f t="shared" si="40"/>
        <v>0</v>
      </c>
      <c r="X57" s="214"/>
      <c r="Y57" s="214"/>
      <c r="Z57" s="214"/>
      <c r="AA57" s="214"/>
      <c r="AB57" s="214"/>
      <c r="AC57" s="214"/>
      <c r="AD57" s="214"/>
      <c r="AE57" s="241">
        <f t="shared" si="41"/>
        <v>0</v>
      </c>
      <c r="AF57" s="242">
        <f t="shared" si="42"/>
        <v>0</v>
      </c>
      <c r="AG57" s="251">
        <f t="shared" si="43"/>
        <v>0</v>
      </c>
      <c r="AH57" s="341"/>
      <c r="AI57" s="252"/>
      <c r="AJ57" s="214"/>
      <c r="AK57" s="215"/>
      <c r="AL57" s="233">
        <f t="shared" si="44"/>
        <v>0</v>
      </c>
      <c r="AM57" s="255"/>
      <c r="AN57" s="214"/>
      <c r="AO57" s="214"/>
      <c r="AP57" s="214"/>
      <c r="AQ57" s="214"/>
      <c r="AR57" s="214"/>
      <c r="AS57" s="255"/>
      <c r="AT57" s="241">
        <f t="shared" si="45"/>
        <v>0</v>
      </c>
      <c r="AU57" s="242">
        <f t="shared" si="46"/>
        <v>0</v>
      </c>
      <c r="AV57" s="251">
        <f t="shared" si="47"/>
        <v>0</v>
      </c>
      <c r="AW57" s="247"/>
      <c r="AX57" s="247"/>
      <c r="AY57" s="252"/>
      <c r="AZ57" s="214"/>
      <c r="BA57" s="215"/>
      <c r="BB57" s="233">
        <f t="shared" si="132"/>
        <v>0</v>
      </c>
      <c r="BC57" s="214"/>
      <c r="BD57" s="214"/>
      <c r="BE57" s="255"/>
      <c r="BF57" s="214"/>
      <c r="BG57" s="214"/>
      <c r="BH57" s="214"/>
      <c r="BI57" s="214"/>
      <c r="BJ57" s="241">
        <f t="shared" si="48"/>
        <v>0</v>
      </c>
      <c r="BK57" s="242">
        <f t="shared" si="29"/>
        <v>0</v>
      </c>
      <c r="BL57" s="251">
        <f t="shared" si="30"/>
        <v>0</v>
      </c>
      <c r="BM57" s="342"/>
      <c r="BN57" s="342"/>
      <c r="BO57" s="13"/>
      <c r="BP57" s="215"/>
      <c r="BQ57" s="233">
        <f t="shared" si="49"/>
        <v>0</v>
      </c>
      <c r="BR57" s="214"/>
      <c r="BS57" s="214"/>
      <c r="BT57" s="214"/>
      <c r="BU57" s="214"/>
      <c r="BV57" s="215"/>
      <c r="BW57" s="215"/>
      <c r="BX57" s="215"/>
      <c r="BY57" s="241">
        <f t="shared" si="50"/>
        <v>0</v>
      </c>
      <c r="BZ57" s="242">
        <f t="shared" si="31"/>
        <v>0</v>
      </c>
      <c r="CA57" s="251">
        <f t="shared" si="51"/>
        <v>0</v>
      </c>
      <c r="CB57" s="252"/>
      <c r="CC57" s="252"/>
      <c r="CD57" s="251">
        <f t="shared" si="133"/>
        <v>0</v>
      </c>
      <c r="CE57" s="353">
        <f t="shared" si="134"/>
        <v>0</v>
      </c>
      <c r="CF57" s="251">
        <f t="shared" si="52"/>
        <v>0</v>
      </c>
      <c r="CG57" s="251">
        <f t="shared" si="53"/>
        <v>0</v>
      </c>
      <c r="CH57" s="265"/>
      <c r="CI57" s="266"/>
      <c r="CJ57" s="266"/>
      <c r="CK57" s="63"/>
      <c r="CL57" s="267">
        <f t="shared" si="34"/>
        <v>0</v>
      </c>
      <c r="CM57" s="267">
        <f t="shared" si="58"/>
        <v>0</v>
      </c>
      <c r="CN57" s="267">
        <f t="shared" si="54"/>
        <v>0</v>
      </c>
    </row>
    <row r="58" spans="2:95" ht="15.75">
      <c r="B58" s="85" t="s">
        <v>322</v>
      </c>
      <c r="C58" s="86">
        <v>101216040014</v>
      </c>
      <c r="D58" s="87" t="s">
        <v>317</v>
      </c>
      <c r="E58" s="202" t="s">
        <v>44</v>
      </c>
      <c r="F58" s="205">
        <v>280</v>
      </c>
      <c r="G58" s="203"/>
      <c r="H58" s="204">
        <f t="shared" si="36"/>
        <v>280</v>
      </c>
      <c r="I58" s="203"/>
      <c r="J58" s="203"/>
      <c r="K58" s="203"/>
      <c r="L58" s="203"/>
      <c r="M58" s="203"/>
      <c r="N58" s="203"/>
      <c r="O58" s="203"/>
      <c r="P58" s="211">
        <f t="shared" si="37"/>
        <v>0</v>
      </c>
      <c r="Q58" s="424">
        <f t="shared" si="38"/>
        <v>-280</v>
      </c>
      <c r="R58" s="234">
        <f t="shared" si="39"/>
        <v>0</v>
      </c>
      <c r="S58" s="231" t="s">
        <v>617</v>
      </c>
      <c r="T58" s="232"/>
      <c r="U58" s="213"/>
      <c r="V58" s="213"/>
      <c r="W58" s="235">
        <f t="shared" si="40"/>
        <v>0</v>
      </c>
      <c r="X58" s="212"/>
      <c r="Y58" s="212"/>
      <c r="Z58" s="212"/>
      <c r="AA58" s="212"/>
      <c r="AB58" s="212"/>
      <c r="AC58" s="212"/>
      <c r="AD58" s="212"/>
      <c r="AE58" s="243">
        <f t="shared" si="41"/>
        <v>0</v>
      </c>
      <c r="AF58" s="244">
        <f t="shared" si="42"/>
        <v>0</v>
      </c>
      <c r="AG58" s="253">
        <f t="shared" si="43"/>
        <v>0</v>
      </c>
      <c r="AH58" s="341"/>
      <c r="AI58" s="252"/>
      <c r="AJ58" s="212"/>
      <c r="AK58" s="213"/>
      <c r="AL58" s="235">
        <f t="shared" si="44"/>
        <v>0</v>
      </c>
      <c r="AM58" s="254"/>
      <c r="AN58" s="212"/>
      <c r="AO58" s="212"/>
      <c r="AP58" s="212"/>
      <c r="AQ58" s="212"/>
      <c r="AR58" s="212"/>
      <c r="AS58" s="254"/>
      <c r="AT58" s="243">
        <f t="shared" si="45"/>
        <v>0</v>
      </c>
      <c r="AU58" s="244">
        <f t="shared" si="46"/>
        <v>0</v>
      </c>
      <c r="AV58" s="253">
        <f t="shared" si="47"/>
        <v>0</v>
      </c>
      <c r="AW58" s="247"/>
      <c r="AX58" s="247"/>
      <c r="AY58" s="252"/>
      <c r="AZ58" s="212"/>
      <c r="BA58" s="213"/>
      <c r="BB58" s="235">
        <f t="shared" si="132"/>
        <v>0</v>
      </c>
      <c r="BC58" s="212"/>
      <c r="BD58" s="212"/>
      <c r="BE58" s="254"/>
      <c r="BF58" s="212"/>
      <c r="BG58" s="212"/>
      <c r="BH58" s="212"/>
      <c r="BI58" s="212"/>
      <c r="BJ58" s="243">
        <f t="shared" si="48"/>
        <v>0</v>
      </c>
      <c r="BK58" s="244">
        <f t="shared" si="29"/>
        <v>0</v>
      </c>
      <c r="BL58" s="253">
        <f t="shared" si="30"/>
        <v>0</v>
      </c>
      <c r="BM58" s="342"/>
      <c r="BN58" s="342"/>
      <c r="BO58" s="205"/>
      <c r="BP58" s="213"/>
      <c r="BQ58" s="235">
        <f t="shared" si="49"/>
        <v>0</v>
      </c>
      <c r="BR58" s="212"/>
      <c r="BS58" s="212"/>
      <c r="BT58" s="212"/>
      <c r="BU58" s="212"/>
      <c r="BV58" s="213"/>
      <c r="BW58" s="213"/>
      <c r="BX58" s="213"/>
      <c r="BY58" s="243">
        <f t="shared" si="50"/>
        <v>0</v>
      </c>
      <c r="BZ58" s="244">
        <f t="shared" si="31"/>
        <v>0</v>
      </c>
      <c r="CA58" s="253">
        <f t="shared" si="51"/>
        <v>0</v>
      </c>
      <c r="CB58" s="328"/>
      <c r="CC58" s="252"/>
      <c r="CD58" s="253">
        <f t="shared" si="133"/>
        <v>280</v>
      </c>
      <c r="CE58" s="253">
        <f t="shared" si="134"/>
        <v>0</v>
      </c>
      <c r="CF58" s="253">
        <f t="shared" si="52"/>
        <v>-280</v>
      </c>
      <c r="CG58" s="253">
        <f t="shared" si="53"/>
        <v>0</v>
      </c>
      <c r="CH58" s="265"/>
      <c r="CI58" s="266"/>
      <c r="CJ58" s="266"/>
      <c r="CK58" s="63"/>
      <c r="CL58" s="267">
        <f t="shared" si="34"/>
        <v>0</v>
      </c>
      <c r="CM58" s="267">
        <f t="shared" si="58"/>
        <v>4.8543689320388345E-3</v>
      </c>
      <c r="CN58" s="267">
        <f t="shared" si="54"/>
        <v>0</v>
      </c>
    </row>
    <row r="59" spans="2:95" ht="15.75">
      <c r="B59" s="82" t="s">
        <v>323</v>
      </c>
      <c r="C59" s="83">
        <v>1012154706523</v>
      </c>
      <c r="D59" s="84" t="s">
        <v>324</v>
      </c>
      <c r="E59" s="199" t="s">
        <v>44</v>
      </c>
      <c r="F59" s="13"/>
      <c r="G59" s="200"/>
      <c r="H59" s="201">
        <f t="shared" si="36"/>
        <v>0</v>
      </c>
      <c r="I59" s="200"/>
      <c r="J59" s="200"/>
      <c r="K59" s="200"/>
      <c r="L59" s="200"/>
      <c r="M59" s="200"/>
      <c r="N59" s="215"/>
      <c r="O59" s="215"/>
      <c r="P59" s="210">
        <f t="shared" si="37"/>
        <v>0</v>
      </c>
      <c r="Q59" s="230">
        <f t="shared" si="38"/>
        <v>0</v>
      </c>
      <c r="R59" s="230">
        <f t="shared" si="39"/>
        <v>0</v>
      </c>
      <c r="S59" s="231"/>
      <c r="T59" s="232"/>
      <c r="U59" s="215"/>
      <c r="V59" s="215"/>
      <c r="W59" s="233">
        <f t="shared" si="40"/>
        <v>0</v>
      </c>
      <c r="X59" s="214"/>
      <c r="Y59" s="214"/>
      <c r="Z59" s="214"/>
      <c r="AA59" s="214"/>
      <c r="AB59" s="214"/>
      <c r="AC59" s="215"/>
      <c r="AD59" s="215"/>
      <c r="AE59" s="241">
        <f t="shared" si="41"/>
        <v>0</v>
      </c>
      <c r="AF59" s="242">
        <f t="shared" si="42"/>
        <v>0</v>
      </c>
      <c r="AG59" s="251">
        <f t="shared" si="43"/>
        <v>0</v>
      </c>
      <c r="AH59" s="341"/>
      <c r="AI59" s="252"/>
      <c r="AJ59" s="214"/>
      <c r="AK59" s="215"/>
      <c r="AL59" s="233">
        <f t="shared" si="44"/>
        <v>0</v>
      </c>
      <c r="AM59" s="255"/>
      <c r="AN59" s="214"/>
      <c r="AO59" s="214"/>
      <c r="AP59" s="214"/>
      <c r="AQ59" s="214"/>
      <c r="AR59" s="214"/>
      <c r="AS59" s="255"/>
      <c r="AT59" s="241">
        <f t="shared" si="45"/>
        <v>0</v>
      </c>
      <c r="AU59" s="242">
        <f t="shared" si="46"/>
        <v>0</v>
      </c>
      <c r="AV59" s="251">
        <f t="shared" si="47"/>
        <v>0</v>
      </c>
      <c r="AW59" s="247"/>
      <c r="AX59" s="247"/>
      <c r="AY59" s="252"/>
      <c r="AZ59" s="214"/>
      <c r="BA59" s="215"/>
      <c r="BB59" s="233">
        <f t="shared" si="132"/>
        <v>0</v>
      </c>
      <c r="BC59" s="214"/>
      <c r="BD59" s="214"/>
      <c r="BE59" s="255"/>
      <c r="BF59" s="214"/>
      <c r="BG59" s="214"/>
      <c r="BH59" s="214"/>
      <c r="BI59" s="214"/>
      <c r="BJ59" s="241">
        <f t="shared" si="48"/>
        <v>0</v>
      </c>
      <c r="BK59" s="242">
        <f t="shared" si="29"/>
        <v>0</v>
      </c>
      <c r="BL59" s="251">
        <f t="shared" si="30"/>
        <v>0</v>
      </c>
      <c r="BM59" s="342"/>
      <c r="BN59" s="342"/>
      <c r="BO59" s="13"/>
      <c r="BP59" s="215"/>
      <c r="BQ59" s="233">
        <f t="shared" si="49"/>
        <v>0</v>
      </c>
      <c r="BR59" s="214"/>
      <c r="BS59" s="214"/>
      <c r="BT59" s="214"/>
      <c r="BU59" s="214"/>
      <c r="BV59" s="215"/>
      <c r="BW59" s="215"/>
      <c r="BX59" s="215"/>
      <c r="BY59" s="241">
        <f t="shared" si="50"/>
        <v>0</v>
      </c>
      <c r="BZ59" s="242">
        <f t="shared" si="31"/>
        <v>0</v>
      </c>
      <c r="CA59" s="251">
        <f t="shared" si="51"/>
        <v>0</v>
      </c>
      <c r="CB59" s="252"/>
      <c r="CC59" s="252"/>
      <c r="CD59" s="251">
        <f t="shared" si="133"/>
        <v>0</v>
      </c>
      <c r="CE59" s="353">
        <f t="shared" si="134"/>
        <v>0</v>
      </c>
      <c r="CF59" s="251">
        <f t="shared" si="52"/>
        <v>0</v>
      </c>
      <c r="CG59" s="251">
        <f t="shared" si="53"/>
        <v>0</v>
      </c>
      <c r="CH59" s="265"/>
      <c r="CI59" s="266"/>
      <c r="CJ59" s="266"/>
      <c r="CK59" s="63"/>
      <c r="CL59" s="267">
        <f t="shared" si="34"/>
        <v>0</v>
      </c>
      <c r="CM59" s="267">
        <f t="shared" si="58"/>
        <v>0</v>
      </c>
      <c r="CN59" s="267">
        <f t="shared" si="54"/>
        <v>0</v>
      </c>
    </row>
    <row r="60" spans="2:95" ht="15.75" hidden="1">
      <c r="B60" s="85"/>
      <c r="C60" s="86"/>
      <c r="D60" s="87"/>
      <c r="E60" s="202"/>
      <c r="F60" s="203"/>
      <c r="G60" s="203"/>
      <c r="H60" s="204">
        <f t="shared" si="36"/>
        <v>0</v>
      </c>
      <c r="I60" s="203"/>
      <c r="J60" s="203"/>
      <c r="K60" s="203"/>
      <c r="L60" s="203"/>
      <c r="M60" s="203"/>
      <c r="N60" s="203"/>
      <c r="O60" s="203"/>
      <c r="P60" s="211">
        <f t="shared" si="37"/>
        <v>0</v>
      </c>
      <c r="Q60" s="234">
        <f t="shared" si="38"/>
        <v>0</v>
      </c>
      <c r="R60" s="234">
        <f t="shared" si="39"/>
        <v>0</v>
      </c>
      <c r="S60" s="231"/>
      <c r="T60" s="232"/>
      <c r="U60" s="213"/>
      <c r="V60" s="213"/>
      <c r="W60" s="235">
        <f t="shared" si="40"/>
        <v>0</v>
      </c>
      <c r="X60" s="212"/>
      <c r="Y60" s="212"/>
      <c r="Z60" s="212"/>
      <c r="AA60" s="212"/>
      <c r="AB60" s="212"/>
      <c r="AC60" s="212"/>
      <c r="AD60" s="212"/>
      <c r="AE60" s="243">
        <f t="shared" si="41"/>
        <v>0</v>
      </c>
      <c r="AF60" s="244">
        <f t="shared" si="42"/>
        <v>0</v>
      </c>
      <c r="AG60" s="253">
        <f t="shared" si="43"/>
        <v>0</v>
      </c>
      <c r="AH60" s="341"/>
      <c r="AI60" s="252"/>
      <c r="AJ60" s="212"/>
      <c r="AK60" s="213"/>
      <c r="AL60" s="235">
        <f t="shared" si="44"/>
        <v>0</v>
      </c>
      <c r="AM60" s="254"/>
      <c r="AN60" s="212"/>
      <c r="AO60" s="212"/>
      <c r="AP60" s="212"/>
      <c r="AQ60" s="212"/>
      <c r="AR60" s="212"/>
      <c r="AS60" s="254"/>
      <c r="AT60" s="243">
        <f t="shared" si="45"/>
        <v>0</v>
      </c>
      <c r="AU60" s="244">
        <f t="shared" si="46"/>
        <v>0</v>
      </c>
      <c r="AV60" s="253">
        <f t="shared" si="47"/>
        <v>0</v>
      </c>
      <c r="AW60" s="247"/>
      <c r="AX60" s="247"/>
      <c r="AY60" s="252"/>
      <c r="AZ60" s="212"/>
      <c r="BA60" s="213"/>
      <c r="BB60" s="235">
        <f t="shared" si="132"/>
        <v>0</v>
      </c>
      <c r="BC60" s="212"/>
      <c r="BD60" s="212"/>
      <c r="BE60" s="254"/>
      <c r="BF60" s="212"/>
      <c r="BG60" s="212"/>
      <c r="BH60" s="212"/>
      <c r="BI60" s="212"/>
      <c r="BJ60" s="243">
        <f t="shared" si="48"/>
        <v>0</v>
      </c>
      <c r="BK60" s="244">
        <f t="shared" si="29"/>
        <v>0</v>
      </c>
      <c r="BL60" s="253">
        <f t="shared" si="30"/>
        <v>0</v>
      </c>
      <c r="BM60" s="342"/>
      <c r="BN60" s="342"/>
      <c r="BO60" s="205"/>
      <c r="BP60" s="213"/>
      <c r="BQ60" s="235">
        <f t="shared" si="49"/>
        <v>0</v>
      </c>
      <c r="BR60" s="212"/>
      <c r="BS60" s="212"/>
      <c r="BT60" s="212"/>
      <c r="BU60" s="212"/>
      <c r="BV60" s="213"/>
      <c r="BW60" s="213"/>
      <c r="BX60" s="213"/>
      <c r="BY60" s="243">
        <f t="shared" si="50"/>
        <v>0</v>
      </c>
      <c r="BZ60" s="244">
        <f t="shared" si="31"/>
        <v>0</v>
      </c>
      <c r="CA60" s="253">
        <f t="shared" si="51"/>
        <v>0</v>
      </c>
      <c r="CB60" s="328"/>
      <c r="CC60" s="252"/>
      <c r="CD60" s="253">
        <f t="shared" si="133"/>
        <v>0</v>
      </c>
      <c r="CE60" s="253">
        <f t="shared" si="134"/>
        <v>0</v>
      </c>
      <c r="CF60" s="253">
        <f t="shared" si="52"/>
        <v>0</v>
      </c>
      <c r="CG60" s="253">
        <f t="shared" si="53"/>
        <v>0</v>
      </c>
      <c r="CH60" s="265"/>
      <c r="CI60" s="266"/>
      <c r="CJ60" s="266"/>
      <c r="CK60" s="63"/>
      <c r="CL60" s="267">
        <f t="shared" si="34"/>
        <v>0</v>
      </c>
      <c r="CM60" s="267">
        <f t="shared" si="58"/>
        <v>0</v>
      </c>
      <c r="CN60" s="267">
        <f t="shared" si="54"/>
        <v>0</v>
      </c>
    </row>
    <row r="61" spans="2:95" ht="15.75" hidden="1">
      <c r="B61" s="82"/>
      <c r="C61" s="83"/>
      <c r="D61" s="84"/>
      <c r="E61" s="199"/>
      <c r="F61" s="200"/>
      <c r="G61" s="200"/>
      <c r="H61" s="201">
        <f t="shared" si="36"/>
        <v>0</v>
      </c>
      <c r="I61" s="200"/>
      <c r="J61" s="200"/>
      <c r="K61" s="200"/>
      <c r="L61" s="200"/>
      <c r="M61" s="200"/>
      <c r="N61" s="200"/>
      <c r="O61" s="200"/>
      <c r="P61" s="210">
        <f t="shared" si="37"/>
        <v>0</v>
      </c>
      <c r="Q61" s="230">
        <f t="shared" si="38"/>
        <v>0</v>
      </c>
      <c r="R61" s="230">
        <f t="shared" si="39"/>
        <v>0</v>
      </c>
      <c r="S61" s="231"/>
      <c r="T61" s="232"/>
      <c r="U61" s="215"/>
      <c r="V61" s="215"/>
      <c r="W61" s="233">
        <f t="shared" si="40"/>
        <v>0</v>
      </c>
      <c r="X61" s="214"/>
      <c r="Y61" s="214"/>
      <c r="Z61" s="214"/>
      <c r="AA61" s="214"/>
      <c r="AB61" s="214"/>
      <c r="AC61" s="214"/>
      <c r="AD61" s="214"/>
      <c r="AE61" s="241">
        <f t="shared" si="41"/>
        <v>0</v>
      </c>
      <c r="AF61" s="242">
        <f t="shared" si="42"/>
        <v>0</v>
      </c>
      <c r="AG61" s="251">
        <f t="shared" si="43"/>
        <v>0</v>
      </c>
      <c r="AH61" s="341"/>
      <c r="AI61" s="252"/>
      <c r="AJ61" s="214"/>
      <c r="AK61" s="215"/>
      <c r="AL61" s="233">
        <f t="shared" si="44"/>
        <v>0</v>
      </c>
      <c r="AM61" s="255"/>
      <c r="AN61" s="214"/>
      <c r="AO61" s="214"/>
      <c r="AP61" s="214"/>
      <c r="AQ61" s="214"/>
      <c r="AR61" s="214"/>
      <c r="AS61" s="255"/>
      <c r="AT61" s="241">
        <f t="shared" si="45"/>
        <v>0</v>
      </c>
      <c r="AU61" s="242">
        <f t="shared" si="46"/>
        <v>0</v>
      </c>
      <c r="AV61" s="251">
        <f t="shared" si="47"/>
        <v>0</v>
      </c>
      <c r="AW61" s="247"/>
      <c r="AX61" s="247"/>
      <c r="AY61" s="252"/>
      <c r="AZ61" s="214"/>
      <c r="BA61" s="215"/>
      <c r="BB61" s="233">
        <f t="shared" si="132"/>
        <v>0</v>
      </c>
      <c r="BC61" s="214"/>
      <c r="BD61" s="214"/>
      <c r="BE61" s="255"/>
      <c r="BF61" s="214"/>
      <c r="BG61" s="214"/>
      <c r="BH61" s="214"/>
      <c r="BI61" s="214"/>
      <c r="BJ61" s="241">
        <f t="shared" si="48"/>
        <v>0</v>
      </c>
      <c r="BK61" s="242">
        <f t="shared" si="29"/>
        <v>0</v>
      </c>
      <c r="BL61" s="251">
        <f t="shared" si="30"/>
        <v>0</v>
      </c>
      <c r="BM61" s="342"/>
      <c r="BN61" s="342"/>
      <c r="BO61" s="13"/>
      <c r="BP61" s="215"/>
      <c r="BQ61" s="233">
        <f t="shared" si="49"/>
        <v>0</v>
      </c>
      <c r="BR61" s="214"/>
      <c r="BS61" s="214"/>
      <c r="BT61" s="214"/>
      <c r="BU61" s="214"/>
      <c r="BV61" s="215"/>
      <c r="BW61" s="215"/>
      <c r="BX61" s="215"/>
      <c r="BY61" s="241">
        <f t="shared" si="50"/>
        <v>0</v>
      </c>
      <c r="BZ61" s="242">
        <f t="shared" si="31"/>
        <v>0</v>
      </c>
      <c r="CA61" s="251">
        <f t="shared" si="51"/>
        <v>0</v>
      </c>
      <c r="CB61" s="252"/>
      <c r="CC61" s="252"/>
      <c r="CD61" s="251">
        <f t="shared" si="133"/>
        <v>0</v>
      </c>
      <c r="CE61" s="251">
        <f t="shared" si="134"/>
        <v>0</v>
      </c>
      <c r="CF61" s="251">
        <f t="shared" si="52"/>
        <v>0</v>
      </c>
      <c r="CG61" s="251">
        <f t="shared" si="53"/>
        <v>0</v>
      </c>
      <c r="CH61" s="265"/>
      <c r="CI61" s="266"/>
      <c r="CJ61" s="266"/>
      <c r="CK61" s="63"/>
      <c r="CL61" s="267">
        <f t="shared" si="34"/>
        <v>0</v>
      </c>
      <c r="CM61" s="267">
        <f t="shared" si="58"/>
        <v>0</v>
      </c>
      <c r="CN61" s="267">
        <f t="shared" si="54"/>
        <v>0</v>
      </c>
    </row>
    <row r="62" spans="2:95" ht="15.75" hidden="1">
      <c r="B62" s="85"/>
      <c r="C62" s="86"/>
      <c r="D62" s="87"/>
      <c r="E62" s="202"/>
      <c r="F62" s="203"/>
      <c r="G62" s="203"/>
      <c r="H62" s="204">
        <f t="shared" si="36"/>
        <v>0</v>
      </c>
      <c r="I62" s="203"/>
      <c r="J62" s="203"/>
      <c r="K62" s="203"/>
      <c r="L62" s="203"/>
      <c r="M62" s="203"/>
      <c r="N62" s="203"/>
      <c r="O62" s="203"/>
      <c r="P62" s="211">
        <f t="shared" si="37"/>
        <v>0</v>
      </c>
      <c r="Q62" s="234">
        <f t="shared" si="38"/>
        <v>0</v>
      </c>
      <c r="R62" s="234">
        <f t="shared" si="39"/>
        <v>0</v>
      </c>
      <c r="S62" s="231"/>
      <c r="T62" s="232"/>
      <c r="U62" s="213"/>
      <c r="V62" s="213"/>
      <c r="W62" s="235">
        <f t="shared" si="40"/>
        <v>0</v>
      </c>
      <c r="X62" s="212"/>
      <c r="Y62" s="212"/>
      <c r="Z62" s="212"/>
      <c r="AA62" s="212"/>
      <c r="AB62" s="212"/>
      <c r="AC62" s="212"/>
      <c r="AD62" s="212"/>
      <c r="AE62" s="243">
        <f t="shared" si="41"/>
        <v>0</v>
      </c>
      <c r="AF62" s="244">
        <f t="shared" si="42"/>
        <v>0</v>
      </c>
      <c r="AG62" s="253">
        <f t="shared" si="43"/>
        <v>0</v>
      </c>
      <c r="AH62" s="341"/>
      <c r="AI62" s="252"/>
      <c r="AJ62" s="212"/>
      <c r="AK62" s="213"/>
      <c r="AL62" s="235">
        <f t="shared" si="44"/>
        <v>0</v>
      </c>
      <c r="AM62" s="254"/>
      <c r="AN62" s="212"/>
      <c r="AO62" s="212"/>
      <c r="AP62" s="212"/>
      <c r="AQ62" s="212"/>
      <c r="AR62" s="212"/>
      <c r="AS62" s="254"/>
      <c r="AT62" s="243">
        <f t="shared" si="45"/>
        <v>0</v>
      </c>
      <c r="AU62" s="244">
        <f t="shared" si="46"/>
        <v>0</v>
      </c>
      <c r="AV62" s="253">
        <f t="shared" si="47"/>
        <v>0</v>
      </c>
      <c r="AW62" s="247"/>
      <c r="AX62" s="247"/>
      <c r="AY62" s="252"/>
      <c r="AZ62" s="212"/>
      <c r="BA62" s="213"/>
      <c r="BB62" s="235">
        <f t="shared" si="132"/>
        <v>0</v>
      </c>
      <c r="BC62" s="212"/>
      <c r="BD62" s="212"/>
      <c r="BE62" s="254"/>
      <c r="BF62" s="212"/>
      <c r="BG62" s="212"/>
      <c r="BH62" s="212"/>
      <c r="BI62" s="212"/>
      <c r="BJ62" s="243">
        <f t="shared" si="48"/>
        <v>0</v>
      </c>
      <c r="BK62" s="244">
        <f t="shared" si="29"/>
        <v>0</v>
      </c>
      <c r="BL62" s="253">
        <f t="shared" si="30"/>
        <v>0</v>
      </c>
      <c r="BM62" s="342"/>
      <c r="BN62" s="342"/>
      <c r="BO62" s="205"/>
      <c r="BP62" s="213"/>
      <c r="BQ62" s="235">
        <f t="shared" si="49"/>
        <v>0</v>
      </c>
      <c r="BR62" s="212"/>
      <c r="BS62" s="212"/>
      <c r="BT62" s="212"/>
      <c r="BU62" s="212"/>
      <c r="BV62" s="213"/>
      <c r="BW62" s="213"/>
      <c r="BX62" s="213"/>
      <c r="BY62" s="243">
        <f t="shared" si="50"/>
        <v>0</v>
      </c>
      <c r="BZ62" s="244">
        <f t="shared" si="31"/>
        <v>0</v>
      </c>
      <c r="CA62" s="253">
        <f t="shared" si="51"/>
        <v>0</v>
      </c>
      <c r="CB62" s="328"/>
      <c r="CC62" s="252"/>
      <c r="CD62" s="253">
        <f t="shared" si="133"/>
        <v>0</v>
      </c>
      <c r="CE62" s="253">
        <f t="shared" si="134"/>
        <v>0</v>
      </c>
      <c r="CF62" s="253">
        <f t="shared" si="52"/>
        <v>0</v>
      </c>
      <c r="CG62" s="253">
        <f t="shared" si="53"/>
        <v>0</v>
      </c>
      <c r="CH62" s="265"/>
      <c r="CI62" s="266"/>
      <c r="CJ62" s="266"/>
      <c r="CK62" s="63"/>
      <c r="CL62" s="267">
        <f t="shared" si="34"/>
        <v>0</v>
      </c>
      <c r="CM62" s="267">
        <f t="shared" si="58"/>
        <v>0</v>
      </c>
      <c r="CN62" s="267">
        <f t="shared" si="54"/>
        <v>0</v>
      </c>
    </row>
    <row r="63" spans="2:95" ht="15.75" hidden="1">
      <c r="B63" s="82"/>
      <c r="C63" s="83"/>
      <c r="D63" s="84"/>
      <c r="E63" s="199"/>
      <c r="F63" s="200"/>
      <c r="G63" s="200"/>
      <c r="H63" s="201">
        <f t="shared" si="36"/>
        <v>0</v>
      </c>
      <c r="I63" s="200"/>
      <c r="J63" s="200"/>
      <c r="K63" s="200"/>
      <c r="L63" s="200"/>
      <c r="M63" s="200"/>
      <c r="N63" s="200"/>
      <c r="O63" s="200"/>
      <c r="P63" s="210">
        <f t="shared" si="37"/>
        <v>0</v>
      </c>
      <c r="Q63" s="230">
        <f t="shared" si="38"/>
        <v>0</v>
      </c>
      <c r="R63" s="230">
        <f t="shared" si="39"/>
        <v>0</v>
      </c>
      <c r="S63" s="231"/>
      <c r="T63" s="232"/>
      <c r="U63" s="215"/>
      <c r="V63" s="215"/>
      <c r="W63" s="233">
        <f t="shared" si="40"/>
        <v>0</v>
      </c>
      <c r="X63" s="214"/>
      <c r="Y63" s="214"/>
      <c r="Z63" s="214"/>
      <c r="AA63" s="214"/>
      <c r="AB63" s="214"/>
      <c r="AC63" s="214"/>
      <c r="AD63" s="214"/>
      <c r="AE63" s="241">
        <f t="shared" si="41"/>
        <v>0</v>
      </c>
      <c r="AF63" s="242">
        <f t="shared" si="42"/>
        <v>0</v>
      </c>
      <c r="AG63" s="251">
        <f t="shared" si="43"/>
        <v>0</v>
      </c>
      <c r="AH63" s="341"/>
      <c r="AI63" s="252"/>
      <c r="AJ63" s="214"/>
      <c r="AK63" s="215"/>
      <c r="AL63" s="233">
        <f t="shared" si="44"/>
        <v>0</v>
      </c>
      <c r="AM63" s="255"/>
      <c r="AN63" s="214"/>
      <c r="AO63" s="214"/>
      <c r="AP63" s="214"/>
      <c r="AQ63" s="214"/>
      <c r="AR63" s="214"/>
      <c r="AS63" s="255"/>
      <c r="AT63" s="241">
        <f t="shared" si="45"/>
        <v>0</v>
      </c>
      <c r="AU63" s="242">
        <f t="shared" si="46"/>
        <v>0</v>
      </c>
      <c r="AV63" s="251">
        <f t="shared" si="47"/>
        <v>0</v>
      </c>
      <c r="AW63" s="247"/>
      <c r="AX63" s="247"/>
      <c r="AY63" s="252"/>
      <c r="AZ63" s="214"/>
      <c r="BA63" s="215"/>
      <c r="BB63" s="233">
        <f t="shared" si="132"/>
        <v>0</v>
      </c>
      <c r="BC63" s="214"/>
      <c r="BD63" s="214"/>
      <c r="BE63" s="255"/>
      <c r="BF63" s="214"/>
      <c r="BG63" s="214"/>
      <c r="BH63" s="214"/>
      <c r="BI63" s="214"/>
      <c r="BJ63" s="241">
        <f t="shared" si="48"/>
        <v>0</v>
      </c>
      <c r="BK63" s="242">
        <f t="shared" si="29"/>
        <v>0</v>
      </c>
      <c r="BL63" s="251">
        <f t="shared" si="30"/>
        <v>0</v>
      </c>
      <c r="BM63" s="342"/>
      <c r="BN63" s="342"/>
      <c r="BO63" s="13"/>
      <c r="BP63" s="215"/>
      <c r="BQ63" s="233">
        <f t="shared" si="49"/>
        <v>0</v>
      </c>
      <c r="BR63" s="214"/>
      <c r="BS63" s="214"/>
      <c r="BT63" s="214"/>
      <c r="BU63" s="214"/>
      <c r="BV63" s="215"/>
      <c r="BW63" s="215"/>
      <c r="BX63" s="215"/>
      <c r="BY63" s="241">
        <f t="shared" si="50"/>
        <v>0</v>
      </c>
      <c r="BZ63" s="242">
        <f t="shared" si="31"/>
        <v>0</v>
      </c>
      <c r="CA63" s="251">
        <f t="shared" si="51"/>
        <v>0</v>
      </c>
      <c r="CB63" s="252"/>
      <c r="CC63" s="252"/>
      <c r="CD63" s="251">
        <f t="shared" si="133"/>
        <v>0</v>
      </c>
      <c r="CE63" s="251">
        <f t="shared" si="134"/>
        <v>0</v>
      </c>
      <c r="CF63" s="251">
        <f t="shared" si="52"/>
        <v>0</v>
      </c>
      <c r="CG63" s="251">
        <f t="shared" si="53"/>
        <v>0</v>
      </c>
      <c r="CH63" s="265"/>
      <c r="CI63" s="266"/>
      <c r="CJ63" s="266"/>
      <c r="CK63" s="63"/>
      <c r="CL63" s="267">
        <f t="shared" si="34"/>
        <v>0</v>
      </c>
      <c r="CM63" s="267">
        <f t="shared" si="58"/>
        <v>0</v>
      </c>
      <c r="CN63" s="267">
        <f t="shared" si="54"/>
        <v>0</v>
      </c>
    </row>
    <row r="64" spans="2:95" ht="18.75">
      <c r="B64" s="79" t="s">
        <v>119</v>
      </c>
      <c r="C64" s="80"/>
      <c r="D64" s="80"/>
      <c r="E64" s="198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231"/>
      <c r="T64" s="232"/>
      <c r="U64" s="229"/>
      <c r="V64" s="229"/>
      <c r="W64" s="229"/>
      <c r="X64" s="236"/>
      <c r="Y64" s="236"/>
      <c r="Z64" s="236"/>
      <c r="AA64" s="236"/>
      <c r="AB64" s="236"/>
      <c r="AC64" s="236"/>
      <c r="AD64" s="236"/>
      <c r="AE64" s="229"/>
      <c r="AF64" s="229"/>
      <c r="AG64" s="229"/>
      <c r="AH64" s="341"/>
      <c r="AI64" s="228"/>
      <c r="AJ64" s="229"/>
      <c r="AK64" s="229"/>
      <c r="AL64" s="229"/>
      <c r="AM64" s="236"/>
      <c r="AN64" s="236"/>
      <c r="AO64" s="236"/>
      <c r="AP64" s="236"/>
      <c r="AQ64" s="236"/>
      <c r="AR64" s="236"/>
      <c r="AS64" s="236"/>
      <c r="AT64" s="229"/>
      <c r="AU64" s="229"/>
      <c r="AV64" s="229"/>
      <c r="AW64" s="247"/>
      <c r="AX64" s="247"/>
      <c r="AY64" s="228"/>
      <c r="AZ64" s="229"/>
      <c r="BA64" s="229"/>
      <c r="BB64" s="229"/>
      <c r="BC64" s="236"/>
      <c r="BD64" s="236"/>
      <c r="BE64" s="236"/>
      <c r="BF64" s="236"/>
      <c r="BG64" s="236"/>
      <c r="BH64" s="236"/>
      <c r="BI64" s="236"/>
      <c r="BJ64" s="229"/>
      <c r="BK64" s="229"/>
      <c r="BL64" s="229"/>
      <c r="BM64" s="342"/>
      <c r="BN64" s="342"/>
      <c r="BO64" s="229"/>
      <c r="BP64" s="229"/>
      <c r="BQ64" s="229"/>
      <c r="BR64" s="229"/>
      <c r="BS64" s="229"/>
      <c r="BT64" s="229"/>
      <c r="BU64" s="229"/>
      <c r="BV64" s="229"/>
      <c r="BW64" s="229"/>
      <c r="BX64" s="229"/>
      <c r="BY64" s="229"/>
      <c r="BZ64" s="229"/>
      <c r="CA64" s="229"/>
      <c r="CB64" s="327"/>
      <c r="CC64" s="264"/>
      <c r="CD64" s="229"/>
      <c r="CE64" s="229">
        <f t="shared" si="134"/>
        <v>0</v>
      </c>
      <c r="CF64" s="229"/>
      <c r="CG64" s="229"/>
      <c r="CH64" s="228"/>
      <c r="CI64" s="228"/>
      <c r="CJ64" s="228"/>
    </row>
    <row r="65" spans="2:92" ht="15.75" hidden="1">
      <c r="B65" s="82" t="s">
        <v>120</v>
      </c>
      <c r="C65" s="83">
        <v>1012160456102</v>
      </c>
      <c r="D65" s="84" t="s">
        <v>121</v>
      </c>
      <c r="E65" s="199" t="s">
        <v>47</v>
      </c>
      <c r="F65" s="200"/>
      <c r="G65" s="200"/>
      <c r="H65" s="201">
        <f t="shared" si="36"/>
        <v>0</v>
      </c>
      <c r="I65" s="200"/>
      <c r="J65" s="200"/>
      <c r="K65" s="200"/>
      <c r="L65" s="200"/>
      <c r="M65" s="200"/>
      <c r="N65" s="200"/>
      <c r="O65" s="200"/>
      <c r="P65" s="210">
        <f t="shared" si="37"/>
        <v>0</v>
      </c>
      <c r="Q65" s="230">
        <f t="shared" si="38"/>
        <v>0</v>
      </c>
      <c r="R65" s="230">
        <f t="shared" si="39"/>
        <v>0</v>
      </c>
      <c r="S65" s="231"/>
      <c r="T65" s="232"/>
      <c r="U65" s="215"/>
      <c r="V65" s="215"/>
      <c r="W65" s="233">
        <f t="shared" si="40"/>
        <v>0</v>
      </c>
      <c r="X65" s="214"/>
      <c r="Y65" s="214"/>
      <c r="Z65" s="214"/>
      <c r="AA65" s="214"/>
      <c r="AB65" s="214"/>
      <c r="AC65" s="214"/>
      <c r="AD65" s="214"/>
      <c r="AE65" s="241">
        <f t="shared" si="41"/>
        <v>0</v>
      </c>
      <c r="AF65" s="242">
        <f t="shared" si="42"/>
        <v>0</v>
      </c>
      <c r="AG65" s="251">
        <f t="shared" si="43"/>
        <v>0</v>
      </c>
      <c r="AH65" s="341"/>
      <c r="AI65" s="252"/>
      <c r="AJ65" s="214"/>
      <c r="AK65" s="215"/>
      <c r="AL65" s="233">
        <f t="shared" si="44"/>
        <v>0</v>
      </c>
      <c r="AM65" s="255"/>
      <c r="AN65" s="214"/>
      <c r="AO65" s="214"/>
      <c r="AP65" s="214"/>
      <c r="AQ65" s="214"/>
      <c r="AR65" s="214"/>
      <c r="AS65" s="255"/>
      <c r="AT65" s="241">
        <f t="shared" si="45"/>
        <v>0</v>
      </c>
      <c r="AU65" s="242">
        <f t="shared" si="46"/>
        <v>0</v>
      </c>
      <c r="AV65" s="251">
        <f t="shared" si="47"/>
        <v>0</v>
      </c>
      <c r="AW65" s="247"/>
      <c r="AX65" s="247"/>
      <c r="AY65" s="252"/>
      <c r="AZ65" s="214"/>
      <c r="BA65" s="215"/>
      <c r="BB65" s="233">
        <f t="shared" ref="BB65:BB77" si="135">AZ65+BA65</f>
        <v>0</v>
      </c>
      <c r="BC65" s="214"/>
      <c r="BD65" s="214"/>
      <c r="BE65" s="255"/>
      <c r="BF65" s="214"/>
      <c r="BG65" s="214"/>
      <c r="BH65" s="214"/>
      <c r="BI65" s="214"/>
      <c r="BJ65" s="241">
        <f t="shared" si="48"/>
        <v>0</v>
      </c>
      <c r="BK65" s="242">
        <f t="shared" si="29"/>
        <v>0</v>
      </c>
      <c r="BL65" s="251">
        <f t="shared" si="30"/>
        <v>0</v>
      </c>
      <c r="BM65" s="342"/>
      <c r="BN65" s="342"/>
      <c r="BO65" s="206"/>
      <c r="BP65" s="215"/>
      <c r="BQ65" s="233">
        <f t="shared" si="49"/>
        <v>0</v>
      </c>
      <c r="BR65" s="214"/>
      <c r="BS65" s="214"/>
      <c r="BT65" s="214"/>
      <c r="BU65" s="214"/>
      <c r="BV65" s="215"/>
      <c r="BW65" s="215"/>
      <c r="BX65" s="215"/>
      <c r="BY65" s="241">
        <f t="shared" si="50"/>
        <v>0</v>
      </c>
      <c r="BZ65" s="242">
        <f t="shared" si="31"/>
        <v>0</v>
      </c>
      <c r="CA65" s="251">
        <f t="shared" si="51"/>
        <v>0</v>
      </c>
      <c r="CB65" s="252"/>
      <c r="CC65" s="252"/>
      <c r="CD65" s="251">
        <f t="shared" ref="CD65:CD118" si="136">H65+W65+AL65+BB65+BQ65</f>
        <v>0</v>
      </c>
      <c r="CE65" s="251">
        <f t="shared" si="134"/>
        <v>0</v>
      </c>
      <c r="CF65" s="251">
        <f t="shared" si="52"/>
        <v>0</v>
      </c>
      <c r="CG65" s="251">
        <f t="shared" si="53"/>
        <v>0</v>
      </c>
      <c r="CH65" s="265"/>
      <c r="CI65" s="266"/>
      <c r="CJ65" s="266"/>
      <c r="CK65" s="63"/>
      <c r="CL65" s="267">
        <f t="shared" si="34"/>
        <v>0</v>
      </c>
      <c r="CM65" s="267">
        <f t="shared" ref="CM65:CM88" si="137">CD65/CD$177</f>
        <v>0</v>
      </c>
      <c r="CN65" s="267">
        <f t="shared" si="54"/>
        <v>0</v>
      </c>
    </row>
    <row r="66" spans="2:92" ht="15.75" hidden="1">
      <c r="B66" s="85" t="s">
        <v>120</v>
      </c>
      <c r="C66" s="86">
        <v>1012160456102</v>
      </c>
      <c r="D66" s="87" t="s">
        <v>122</v>
      </c>
      <c r="E66" s="202" t="s">
        <v>47</v>
      </c>
      <c r="F66" s="203"/>
      <c r="G66" s="203"/>
      <c r="H66" s="204">
        <f t="shared" si="36"/>
        <v>0</v>
      </c>
      <c r="I66" s="203"/>
      <c r="J66" s="203"/>
      <c r="K66" s="203"/>
      <c r="L66" s="203"/>
      <c r="M66" s="203"/>
      <c r="N66" s="203"/>
      <c r="O66" s="203"/>
      <c r="P66" s="211">
        <f t="shared" si="37"/>
        <v>0</v>
      </c>
      <c r="Q66" s="234">
        <f t="shared" si="38"/>
        <v>0</v>
      </c>
      <c r="R66" s="234">
        <f t="shared" si="39"/>
        <v>0</v>
      </c>
      <c r="S66" s="231"/>
      <c r="T66" s="232"/>
      <c r="U66" s="213"/>
      <c r="V66" s="213"/>
      <c r="W66" s="235">
        <f t="shared" si="40"/>
        <v>0</v>
      </c>
      <c r="X66" s="212"/>
      <c r="Y66" s="212"/>
      <c r="Z66" s="212"/>
      <c r="AA66" s="212"/>
      <c r="AB66" s="212"/>
      <c r="AC66" s="212"/>
      <c r="AD66" s="212"/>
      <c r="AE66" s="243">
        <f t="shared" si="41"/>
        <v>0</v>
      </c>
      <c r="AF66" s="244">
        <f t="shared" si="42"/>
        <v>0</v>
      </c>
      <c r="AG66" s="253">
        <f t="shared" si="43"/>
        <v>0</v>
      </c>
      <c r="AH66" s="341"/>
      <c r="AI66" s="252"/>
      <c r="AJ66" s="212"/>
      <c r="AK66" s="213"/>
      <c r="AL66" s="235">
        <f t="shared" si="44"/>
        <v>0</v>
      </c>
      <c r="AM66" s="254"/>
      <c r="AN66" s="212"/>
      <c r="AO66" s="212"/>
      <c r="AP66" s="212"/>
      <c r="AQ66" s="212"/>
      <c r="AR66" s="212"/>
      <c r="AS66" s="254"/>
      <c r="AT66" s="243">
        <f t="shared" si="45"/>
        <v>0</v>
      </c>
      <c r="AU66" s="244">
        <f t="shared" si="46"/>
        <v>0</v>
      </c>
      <c r="AV66" s="253">
        <f t="shared" si="47"/>
        <v>0</v>
      </c>
      <c r="AW66" s="247"/>
      <c r="AX66" s="247"/>
      <c r="AY66" s="252"/>
      <c r="AZ66" s="212"/>
      <c r="BA66" s="213"/>
      <c r="BB66" s="235">
        <f t="shared" si="135"/>
        <v>0</v>
      </c>
      <c r="BC66" s="212"/>
      <c r="BD66" s="212"/>
      <c r="BE66" s="254"/>
      <c r="BF66" s="212"/>
      <c r="BG66" s="212"/>
      <c r="BH66" s="212"/>
      <c r="BI66" s="212"/>
      <c r="BJ66" s="243">
        <f t="shared" si="48"/>
        <v>0</v>
      </c>
      <c r="BK66" s="244">
        <f t="shared" si="29"/>
        <v>0</v>
      </c>
      <c r="BL66" s="253">
        <f t="shared" si="30"/>
        <v>0</v>
      </c>
      <c r="BM66" s="342"/>
      <c r="BN66" s="342"/>
      <c r="BO66" s="205"/>
      <c r="BP66" s="213"/>
      <c r="BQ66" s="235">
        <f t="shared" si="49"/>
        <v>0</v>
      </c>
      <c r="BR66" s="212"/>
      <c r="BS66" s="212"/>
      <c r="BT66" s="212"/>
      <c r="BU66" s="212"/>
      <c r="BV66" s="213"/>
      <c r="BW66" s="213"/>
      <c r="BX66" s="213"/>
      <c r="BY66" s="243">
        <f t="shared" si="50"/>
        <v>0</v>
      </c>
      <c r="BZ66" s="244">
        <f t="shared" si="31"/>
        <v>0</v>
      </c>
      <c r="CA66" s="253">
        <f t="shared" si="51"/>
        <v>0</v>
      </c>
      <c r="CB66" s="328"/>
      <c r="CC66" s="252"/>
      <c r="CD66" s="253">
        <f t="shared" si="136"/>
        <v>0</v>
      </c>
      <c r="CE66" s="253">
        <f t="shared" si="134"/>
        <v>0</v>
      </c>
      <c r="CF66" s="253">
        <f t="shared" si="52"/>
        <v>0</v>
      </c>
      <c r="CG66" s="253">
        <f t="shared" si="53"/>
        <v>0</v>
      </c>
      <c r="CH66" s="265"/>
      <c r="CI66" s="266"/>
      <c r="CJ66" s="266"/>
      <c r="CK66" s="63"/>
      <c r="CL66" s="267">
        <f t="shared" si="34"/>
        <v>0</v>
      </c>
      <c r="CM66" s="267">
        <f t="shared" si="137"/>
        <v>0</v>
      </c>
      <c r="CN66" s="267">
        <f t="shared" si="54"/>
        <v>0</v>
      </c>
    </row>
    <row r="67" spans="2:92" ht="15.75" hidden="1">
      <c r="B67" s="82" t="s">
        <v>120</v>
      </c>
      <c r="C67" s="83">
        <v>1012160456102</v>
      </c>
      <c r="D67" s="84" t="s">
        <v>123</v>
      </c>
      <c r="E67" s="199" t="s">
        <v>47</v>
      </c>
      <c r="F67" s="200"/>
      <c r="G67" s="200"/>
      <c r="H67" s="201">
        <f t="shared" si="36"/>
        <v>0</v>
      </c>
      <c r="I67" s="200"/>
      <c r="J67" s="200"/>
      <c r="K67" s="200"/>
      <c r="L67" s="200"/>
      <c r="M67" s="200"/>
      <c r="N67" s="200"/>
      <c r="O67" s="200"/>
      <c r="P67" s="210">
        <f t="shared" si="37"/>
        <v>0</v>
      </c>
      <c r="Q67" s="230">
        <f t="shared" si="38"/>
        <v>0</v>
      </c>
      <c r="R67" s="230">
        <f t="shared" si="39"/>
        <v>0</v>
      </c>
      <c r="S67" s="231"/>
      <c r="T67" s="232"/>
      <c r="U67" s="215"/>
      <c r="V67" s="215"/>
      <c r="W67" s="233">
        <f t="shared" si="40"/>
        <v>0</v>
      </c>
      <c r="X67" s="214"/>
      <c r="Y67" s="214"/>
      <c r="Z67" s="214"/>
      <c r="AA67" s="214"/>
      <c r="AB67" s="214"/>
      <c r="AC67" s="214"/>
      <c r="AD67" s="214"/>
      <c r="AE67" s="241">
        <f t="shared" si="41"/>
        <v>0</v>
      </c>
      <c r="AF67" s="242">
        <f t="shared" si="42"/>
        <v>0</v>
      </c>
      <c r="AG67" s="251">
        <f t="shared" si="43"/>
        <v>0</v>
      </c>
      <c r="AH67" s="341"/>
      <c r="AI67" s="252"/>
      <c r="AJ67" s="214"/>
      <c r="AK67" s="215"/>
      <c r="AL67" s="233">
        <f t="shared" si="44"/>
        <v>0</v>
      </c>
      <c r="AM67" s="255"/>
      <c r="AN67" s="214"/>
      <c r="AO67" s="214"/>
      <c r="AP67" s="214"/>
      <c r="AQ67" s="214"/>
      <c r="AR67" s="214"/>
      <c r="AS67" s="255"/>
      <c r="AT67" s="241">
        <f t="shared" si="45"/>
        <v>0</v>
      </c>
      <c r="AU67" s="242">
        <f t="shared" si="46"/>
        <v>0</v>
      </c>
      <c r="AV67" s="251">
        <f t="shared" si="47"/>
        <v>0</v>
      </c>
      <c r="AW67" s="247"/>
      <c r="AX67" s="247"/>
      <c r="AY67" s="252"/>
      <c r="AZ67" s="214"/>
      <c r="BA67" s="215"/>
      <c r="BB67" s="233">
        <f t="shared" si="135"/>
        <v>0</v>
      </c>
      <c r="BC67" s="214"/>
      <c r="BD67" s="214"/>
      <c r="BE67" s="255"/>
      <c r="BF67" s="214"/>
      <c r="BG67" s="214"/>
      <c r="BH67" s="214"/>
      <c r="BI67" s="214"/>
      <c r="BJ67" s="241">
        <f t="shared" si="48"/>
        <v>0</v>
      </c>
      <c r="BK67" s="242">
        <f t="shared" si="29"/>
        <v>0</v>
      </c>
      <c r="BL67" s="251">
        <f t="shared" si="30"/>
        <v>0</v>
      </c>
      <c r="BM67" s="342"/>
      <c r="BN67" s="342"/>
      <c r="BO67" s="206"/>
      <c r="BP67" s="215"/>
      <c r="BQ67" s="233">
        <f t="shared" si="49"/>
        <v>0</v>
      </c>
      <c r="BR67" s="214"/>
      <c r="BS67" s="214"/>
      <c r="BT67" s="214"/>
      <c r="BU67" s="214"/>
      <c r="BV67" s="215"/>
      <c r="BW67" s="215"/>
      <c r="BX67" s="215"/>
      <c r="BY67" s="241">
        <f t="shared" si="50"/>
        <v>0</v>
      </c>
      <c r="BZ67" s="242">
        <f t="shared" si="31"/>
        <v>0</v>
      </c>
      <c r="CA67" s="251">
        <f t="shared" si="51"/>
        <v>0</v>
      </c>
      <c r="CB67" s="252"/>
      <c r="CC67" s="252"/>
      <c r="CD67" s="251">
        <f t="shared" si="136"/>
        <v>0</v>
      </c>
      <c r="CE67" s="251">
        <f t="shared" si="134"/>
        <v>0</v>
      </c>
      <c r="CF67" s="251">
        <f t="shared" si="52"/>
        <v>0</v>
      </c>
      <c r="CG67" s="251">
        <f t="shared" si="53"/>
        <v>0</v>
      </c>
      <c r="CH67" s="265"/>
      <c r="CI67" s="266"/>
      <c r="CJ67" s="266"/>
      <c r="CK67" s="63"/>
      <c r="CL67" s="267">
        <f t="shared" si="34"/>
        <v>0</v>
      </c>
      <c r="CM67" s="267">
        <f t="shared" si="137"/>
        <v>0</v>
      </c>
      <c r="CN67" s="267">
        <f t="shared" si="54"/>
        <v>0</v>
      </c>
    </row>
    <row r="68" spans="2:92" ht="15.75" hidden="1">
      <c r="B68" s="85" t="s">
        <v>120</v>
      </c>
      <c r="C68" s="86">
        <v>1012160456102</v>
      </c>
      <c r="D68" s="87" t="s">
        <v>124</v>
      </c>
      <c r="E68" s="202" t="s">
        <v>47</v>
      </c>
      <c r="F68" s="203"/>
      <c r="G68" s="203"/>
      <c r="H68" s="204">
        <f t="shared" si="36"/>
        <v>0</v>
      </c>
      <c r="I68" s="203"/>
      <c r="J68" s="203"/>
      <c r="K68" s="203"/>
      <c r="L68" s="203"/>
      <c r="M68" s="203"/>
      <c r="N68" s="203"/>
      <c r="O68" s="203"/>
      <c r="P68" s="211">
        <f t="shared" si="37"/>
        <v>0</v>
      </c>
      <c r="Q68" s="234">
        <f t="shared" si="38"/>
        <v>0</v>
      </c>
      <c r="R68" s="234">
        <f t="shared" si="39"/>
        <v>0</v>
      </c>
      <c r="S68" s="231"/>
      <c r="T68" s="232"/>
      <c r="U68" s="213"/>
      <c r="V68" s="213"/>
      <c r="W68" s="235">
        <f t="shared" si="40"/>
        <v>0</v>
      </c>
      <c r="X68" s="212"/>
      <c r="Y68" s="212"/>
      <c r="Z68" s="212"/>
      <c r="AA68" s="212"/>
      <c r="AB68" s="212"/>
      <c r="AC68" s="212"/>
      <c r="AD68" s="212"/>
      <c r="AE68" s="243">
        <f t="shared" si="41"/>
        <v>0</v>
      </c>
      <c r="AF68" s="244">
        <f t="shared" si="42"/>
        <v>0</v>
      </c>
      <c r="AG68" s="253">
        <f t="shared" si="43"/>
        <v>0</v>
      </c>
      <c r="AH68" s="341"/>
      <c r="AI68" s="252"/>
      <c r="AJ68" s="212"/>
      <c r="AK68" s="213"/>
      <c r="AL68" s="235">
        <f t="shared" si="44"/>
        <v>0</v>
      </c>
      <c r="AM68" s="254"/>
      <c r="AN68" s="212"/>
      <c r="AO68" s="212"/>
      <c r="AP68" s="212"/>
      <c r="AQ68" s="212"/>
      <c r="AR68" s="212"/>
      <c r="AS68" s="254"/>
      <c r="AT68" s="243">
        <f t="shared" si="45"/>
        <v>0</v>
      </c>
      <c r="AU68" s="244">
        <f t="shared" si="46"/>
        <v>0</v>
      </c>
      <c r="AV68" s="253">
        <f t="shared" si="47"/>
        <v>0</v>
      </c>
      <c r="AW68" s="247"/>
      <c r="AX68" s="247"/>
      <c r="AY68" s="252"/>
      <c r="AZ68" s="212"/>
      <c r="BA68" s="213"/>
      <c r="BB68" s="235">
        <f t="shared" si="135"/>
        <v>0</v>
      </c>
      <c r="BC68" s="212"/>
      <c r="BD68" s="212"/>
      <c r="BE68" s="254"/>
      <c r="BF68" s="212"/>
      <c r="BG68" s="212"/>
      <c r="BH68" s="212"/>
      <c r="BI68" s="212"/>
      <c r="BJ68" s="243">
        <f t="shared" si="48"/>
        <v>0</v>
      </c>
      <c r="BK68" s="244">
        <f t="shared" si="29"/>
        <v>0</v>
      </c>
      <c r="BL68" s="253">
        <f t="shared" si="30"/>
        <v>0</v>
      </c>
      <c r="BM68" s="342"/>
      <c r="BN68" s="342"/>
      <c r="BO68" s="207"/>
      <c r="BP68" s="213"/>
      <c r="BQ68" s="235">
        <f t="shared" si="49"/>
        <v>0</v>
      </c>
      <c r="BR68" s="212"/>
      <c r="BS68" s="212"/>
      <c r="BT68" s="212"/>
      <c r="BU68" s="212"/>
      <c r="BV68" s="213"/>
      <c r="BW68" s="213"/>
      <c r="BX68" s="213"/>
      <c r="BY68" s="243">
        <f t="shared" si="50"/>
        <v>0</v>
      </c>
      <c r="BZ68" s="244">
        <f t="shared" si="31"/>
        <v>0</v>
      </c>
      <c r="CA68" s="253">
        <f t="shared" si="51"/>
        <v>0</v>
      </c>
      <c r="CB68" s="328"/>
      <c r="CC68" s="252"/>
      <c r="CD68" s="253">
        <f t="shared" si="136"/>
        <v>0</v>
      </c>
      <c r="CE68" s="253">
        <f t="shared" si="134"/>
        <v>0</v>
      </c>
      <c r="CF68" s="253">
        <f t="shared" si="52"/>
        <v>0</v>
      </c>
      <c r="CG68" s="253">
        <f t="shared" si="53"/>
        <v>0</v>
      </c>
      <c r="CH68" s="265"/>
      <c r="CI68" s="266"/>
      <c r="CJ68" s="266"/>
      <c r="CK68" s="63"/>
      <c r="CL68" s="267">
        <f t="shared" si="34"/>
        <v>0</v>
      </c>
      <c r="CM68" s="267">
        <f t="shared" si="137"/>
        <v>0</v>
      </c>
      <c r="CN68" s="267">
        <f t="shared" si="54"/>
        <v>0</v>
      </c>
    </row>
    <row r="69" spans="2:92" ht="15.75" hidden="1">
      <c r="B69" s="82" t="s">
        <v>120</v>
      </c>
      <c r="C69" s="83">
        <v>1012160456102</v>
      </c>
      <c r="D69" s="88" t="s">
        <v>125</v>
      </c>
      <c r="E69" s="199" t="s">
        <v>47</v>
      </c>
      <c r="F69" s="200"/>
      <c r="G69" s="200"/>
      <c r="H69" s="201">
        <f t="shared" si="36"/>
        <v>0</v>
      </c>
      <c r="I69" s="200"/>
      <c r="J69" s="200"/>
      <c r="K69" s="200"/>
      <c r="L69" s="200"/>
      <c r="M69" s="200"/>
      <c r="N69" s="200"/>
      <c r="O69" s="200"/>
      <c r="P69" s="210">
        <f t="shared" si="37"/>
        <v>0</v>
      </c>
      <c r="Q69" s="230">
        <f t="shared" si="38"/>
        <v>0</v>
      </c>
      <c r="R69" s="230">
        <f t="shared" si="39"/>
        <v>0</v>
      </c>
      <c r="S69" s="231"/>
      <c r="T69" s="232"/>
      <c r="U69" s="215"/>
      <c r="V69" s="215"/>
      <c r="W69" s="233">
        <f t="shared" si="40"/>
        <v>0</v>
      </c>
      <c r="X69" s="214"/>
      <c r="Y69" s="214"/>
      <c r="Z69" s="214"/>
      <c r="AA69" s="214"/>
      <c r="AB69" s="214"/>
      <c r="AC69" s="214"/>
      <c r="AD69" s="214"/>
      <c r="AE69" s="241">
        <f t="shared" si="41"/>
        <v>0</v>
      </c>
      <c r="AF69" s="242">
        <f t="shared" si="42"/>
        <v>0</v>
      </c>
      <c r="AG69" s="251">
        <f t="shared" si="43"/>
        <v>0</v>
      </c>
      <c r="AH69" s="341"/>
      <c r="AI69" s="252"/>
      <c r="AJ69" s="214"/>
      <c r="AK69" s="215"/>
      <c r="AL69" s="233">
        <f t="shared" si="44"/>
        <v>0</v>
      </c>
      <c r="AM69" s="255"/>
      <c r="AN69" s="214"/>
      <c r="AO69" s="214"/>
      <c r="AP69" s="214"/>
      <c r="AQ69" s="214"/>
      <c r="AR69" s="214"/>
      <c r="AS69" s="255"/>
      <c r="AT69" s="241">
        <f t="shared" si="45"/>
        <v>0</v>
      </c>
      <c r="AU69" s="242">
        <f t="shared" si="46"/>
        <v>0</v>
      </c>
      <c r="AV69" s="251">
        <f t="shared" si="47"/>
        <v>0</v>
      </c>
      <c r="AW69" s="247"/>
      <c r="AX69" s="247"/>
      <c r="AY69" s="252"/>
      <c r="AZ69" s="214"/>
      <c r="BA69" s="215"/>
      <c r="BB69" s="233">
        <f t="shared" si="135"/>
        <v>0</v>
      </c>
      <c r="BC69" s="214"/>
      <c r="BD69" s="214"/>
      <c r="BE69" s="255"/>
      <c r="BF69" s="214"/>
      <c r="BG69" s="214"/>
      <c r="BH69" s="214"/>
      <c r="BI69" s="214"/>
      <c r="BJ69" s="241">
        <f t="shared" si="48"/>
        <v>0</v>
      </c>
      <c r="BK69" s="242">
        <f t="shared" si="29"/>
        <v>0</v>
      </c>
      <c r="BL69" s="251">
        <f t="shared" si="30"/>
        <v>0</v>
      </c>
      <c r="BM69" s="342"/>
      <c r="BN69" s="342"/>
      <c r="BO69" s="206"/>
      <c r="BP69" s="215"/>
      <c r="BQ69" s="233">
        <f t="shared" si="49"/>
        <v>0</v>
      </c>
      <c r="BR69" s="214"/>
      <c r="BS69" s="214"/>
      <c r="BT69" s="214"/>
      <c r="BU69" s="214"/>
      <c r="BV69" s="215"/>
      <c r="BW69" s="215"/>
      <c r="BX69" s="215"/>
      <c r="BY69" s="241">
        <f t="shared" si="50"/>
        <v>0</v>
      </c>
      <c r="BZ69" s="242">
        <f t="shared" si="31"/>
        <v>0</v>
      </c>
      <c r="CA69" s="251">
        <f t="shared" si="51"/>
        <v>0</v>
      </c>
      <c r="CB69" s="252"/>
      <c r="CC69" s="252"/>
      <c r="CD69" s="251">
        <f t="shared" si="136"/>
        <v>0</v>
      </c>
      <c r="CE69" s="251">
        <f t="shared" si="134"/>
        <v>0</v>
      </c>
      <c r="CF69" s="251">
        <f t="shared" si="52"/>
        <v>0</v>
      </c>
      <c r="CG69" s="251">
        <f t="shared" si="53"/>
        <v>0</v>
      </c>
      <c r="CH69" s="265"/>
      <c r="CI69" s="266"/>
      <c r="CJ69" s="266"/>
      <c r="CK69" s="63"/>
      <c r="CL69" s="267">
        <f t="shared" si="34"/>
        <v>0</v>
      </c>
      <c r="CM69" s="267">
        <f t="shared" si="137"/>
        <v>0</v>
      </c>
      <c r="CN69" s="267">
        <f t="shared" si="54"/>
        <v>0</v>
      </c>
    </row>
    <row r="70" spans="2:92" ht="15.75" hidden="1">
      <c r="B70" s="87" t="s">
        <v>120</v>
      </c>
      <c r="C70" s="86">
        <v>1012160456102</v>
      </c>
      <c r="D70" s="87" t="s">
        <v>126</v>
      </c>
      <c r="E70" s="202" t="s">
        <v>47</v>
      </c>
      <c r="F70" s="203"/>
      <c r="G70" s="203"/>
      <c r="H70" s="204">
        <f t="shared" si="36"/>
        <v>0</v>
      </c>
      <c r="I70" s="203"/>
      <c r="J70" s="203"/>
      <c r="K70" s="203"/>
      <c r="L70" s="203"/>
      <c r="M70" s="203"/>
      <c r="N70" s="203"/>
      <c r="O70" s="203"/>
      <c r="P70" s="211">
        <f t="shared" si="37"/>
        <v>0</v>
      </c>
      <c r="Q70" s="234">
        <f t="shared" si="38"/>
        <v>0</v>
      </c>
      <c r="R70" s="234">
        <f t="shared" si="39"/>
        <v>0</v>
      </c>
      <c r="S70" s="231"/>
      <c r="T70" s="232"/>
      <c r="U70" s="213"/>
      <c r="V70" s="213"/>
      <c r="W70" s="235">
        <f t="shared" si="40"/>
        <v>0</v>
      </c>
      <c r="X70" s="212"/>
      <c r="Y70" s="212"/>
      <c r="Z70" s="212"/>
      <c r="AA70" s="212"/>
      <c r="AB70" s="212"/>
      <c r="AC70" s="212"/>
      <c r="AD70" s="212"/>
      <c r="AE70" s="243">
        <f t="shared" si="41"/>
        <v>0</v>
      </c>
      <c r="AF70" s="244">
        <f t="shared" si="42"/>
        <v>0</v>
      </c>
      <c r="AG70" s="253">
        <f t="shared" si="43"/>
        <v>0</v>
      </c>
      <c r="AH70" s="341"/>
      <c r="AI70" s="252"/>
      <c r="AJ70" s="212"/>
      <c r="AK70" s="213"/>
      <c r="AL70" s="235">
        <f t="shared" si="44"/>
        <v>0</v>
      </c>
      <c r="AM70" s="254"/>
      <c r="AN70" s="212"/>
      <c r="AO70" s="212"/>
      <c r="AP70" s="212"/>
      <c r="AQ70" s="212"/>
      <c r="AR70" s="212"/>
      <c r="AS70" s="254"/>
      <c r="AT70" s="243">
        <f t="shared" si="45"/>
        <v>0</v>
      </c>
      <c r="AU70" s="244">
        <f t="shared" si="46"/>
        <v>0</v>
      </c>
      <c r="AV70" s="253">
        <f t="shared" si="47"/>
        <v>0</v>
      </c>
      <c r="AW70" s="247"/>
      <c r="AX70" s="247"/>
      <c r="AY70" s="252"/>
      <c r="AZ70" s="212"/>
      <c r="BA70" s="213"/>
      <c r="BB70" s="235">
        <f t="shared" si="135"/>
        <v>0</v>
      </c>
      <c r="BC70" s="212"/>
      <c r="BD70" s="212"/>
      <c r="BE70" s="254"/>
      <c r="BF70" s="212"/>
      <c r="BG70" s="212"/>
      <c r="BH70" s="212"/>
      <c r="BI70" s="212"/>
      <c r="BJ70" s="243">
        <f t="shared" si="48"/>
        <v>0</v>
      </c>
      <c r="BK70" s="244">
        <f t="shared" si="29"/>
        <v>0</v>
      </c>
      <c r="BL70" s="253">
        <f t="shared" si="30"/>
        <v>0</v>
      </c>
      <c r="BM70" s="342"/>
      <c r="BN70" s="342"/>
      <c r="BO70" s="205"/>
      <c r="BP70" s="213"/>
      <c r="BQ70" s="235">
        <f t="shared" si="49"/>
        <v>0</v>
      </c>
      <c r="BR70" s="212"/>
      <c r="BS70" s="212"/>
      <c r="BT70" s="212"/>
      <c r="BU70" s="212"/>
      <c r="BV70" s="213"/>
      <c r="BW70" s="213"/>
      <c r="BX70" s="213"/>
      <c r="BY70" s="243">
        <f t="shared" si="50"/>
        <v>0</v>
      </c>
      <c r="BZ70" s="244">
        <f t="shared" si="31"/>
        <v>0</v>
      </c>
      <c r="CA70" s="253">
        <f t="shared" si="51"/>
        <v>0</v>
      </c>
      <c r="CB70" s="328"/>
      <c r="CC70" s="252"/>
      <c r="CD70" s="253">
        <f t="shared" si="136"/>
        <v>0</v>
      </c>
      <c r="CE70" s="253">
        <f t="shared" si="134"/>
        <v>0</v>
      </c>
      <c r="CF70" s="253">
        <f t="shared" si="52"/>
        <v>0</v>
      </c>
      <c r="CG70" s="253">
        <f t="shared" si="53"/>
        <v>0</v>
      </c>
      <c r="CH70" s="265"/>
      <c r="CI70" s="266"/>
      <c r="CJ70" s="266"/>
      <c r="CK70" s="63"/>
      <c r="CL70" s="267">
        <f t="shared" si="34"/>
        <v>0</v>
      </c>
      <c r="CM70" s="267">
        <f t="shared" si="137"/>
        <v>0</v>
      </c>
      <c r="CN70" s="267">
        <f t="shared" si="54"/>
        <v>0</v>
      </c>
    </row>
    <row r="71" spans="2:92" ht="15.75" hidden="1">
      <c r="B71" s="82" t="s">
        <v>127</v>
      </c>
      <c r="C71" s="83">
        <v>1012160456104</v>
      </c>
      <c r="D71" s="84" t="s">
        <v>128</v>
      </c>
      <c r="E71" s="199" t="s">
        <v>47</v>
      </c>
      <c r="F71" s="200"/>
      <c r="G71" s="200"/>
      <c r="H71" s="201">
        <f t="shared" si="36"/>
        <v>0</v>
      </c>
      <c r="I71" s="200"/>
      <c r="J71" s="200"/>
      <c r="K71" s="200"/>
      <c r="L71" s="200"/>
      <c r="M71" s="200"/>
      <c r="N71" s="200"/>
      <c r="O71" s="200"/>
      <c r="P71" s="210">
        <f t="shared" ref="P71:P134" si="138">SUM(I71:O71)</f>
        <v>0</v>
      </c>
      <c r="Q71" s="230">
        <f t="shared" si="38"/>
        <v>0</v>
      </c>
      <c r="R71" s="230">
        <f t="shared" si="39"/>
        <v>0</v>
      </c>
      <c r="S71" s="231"/>
      <c r="T71" s="232"/>
      <c r="U71" s="215"/>
      <c r="V71" s="215"/>
      <c r="W71" s="233">
        <f t="shared" si="40"/>
        <v>0</v>
      </c>
      <c r="X71" s="214"/>
      <c r="Y71" s="214"/>
      <c r="Z71" s="214"/>
      <c r="AA71" s="214"/>
      <c r="AB71" s="214"/>
      <c r="AC71" s="214"/>
      <c r="AD71" s="214"/>
      <c r="AE71" s="241">
        <f t="shared" si="41"/>
        <v>0</v>
      </c>
      <c r="AF71" s="242">
        <f t="shared" si="42"/>
        <v>0</v>
      </c>
      <c r="AG71" s="251">
        <f t="shared" si="43"/>
        <v>0</v>
      </c>
      <c r="AH71" s="341"/>
      <c r="AI71" s="252"/>
      <c r="AJ71" s="214"/>
      <c r="AK71" s="215"/>
      <c r="AL71" s="233">
        <f t="shared" si="44"/>
        <v>0</v>
      </c>
      <c r="AM71" s="255"/>
      <c r="AN71" s="214"/>
      <c r="AO71" s="214"/>
      <c r="AP71" s="214"/>
      <c r="AQ71" s="214"/>
      <c r="AR71" s="214"/>
      <c r="AS71" s="255"/>
      <c r="AT71" s="241">
        <f t="shared" si="45"/>
        <v>0</v>
      </c>
      <c r="AU71" s="242">
        <f t="shared" si="46"/>
        <v>0</v>
      </c>
      <c r="AV71" s="251">
        <f t="shared" si="47"/>
        <v>0</v>
      </c>
      <c r="AW71" s="247"/>
      <c r="AX71" s="247"/>
      <c r="AY71" s="252"/>
      <c r="AZ71" s="214"/>
      <c r="BA71" s="215"/>
      <c r="BB71" s="233">
        <f t="shared" si="135"/>
        <v>0</v>
      </c>
      <c r="BC71" s="214"/>
      <c r="BD71" s="214"/>
      <c r="BE71" s="255"/>
      <c r="BF71" s="214"/>
      <c r="BG71" s="214"/>
      <c r="BH71" s="214"/>
      <c r="BI71" s="214"/>
      <c r="BJ71" s="241">
        <f t="shared" si="48"/>
        <v>0</v>
      </c>
      <c r="BK71" s="242">
        <f t="shared" si="29"/>
        <v>0</v>
      </c>
      <c r="BL71" s="251">
        <f t="shared" si="30"/>
        <v>0</v>
      </c>
      <c r="BM71" s="342"/>
      <c r="BN71" s="342"/>
      <c r="BO71" s="13"/>
      <c r="BP71" s="215"/>
      <c r="BQ71" s="233">
        <f t="shared" si="49"/>
        <v>0</v>
      </c>
      <c r="BR71" s="214"/>
      <c r="BS71" s="214"/>
      <c r="BT71" s="214"/>
      <c r="BU71" s="214"/>
      <c r="BV71" s="215"/>
      <c r="BW71" s="215"/>
      <c r="BX71" s="215"/>
      <c r="BY71" s="241">
        <f t="shared" si="50"/>
        <v>0</v>
      </c>
      <c r="BZ71" s="242">
        <f t="shared" si="31"/>
        <v>0</v>
      </c>
      <c r="CA71" s="251">
        <f t="shared" si="51"/>
        <v>0</v>
      </c>
      <c r="CB71" s="252"/>
      <c r="CC71" s="252"/>
      <c r="CD71" s="251">
        <f t="shared" si="136"/>
        <v>0</v>
      </c>
      <c r="CE71" s="251">
        <f t="shared" si="134"/>
        <v>0</v>
      </c>
      <c r="CF71" s="251">
        <f t="shared" si="52"/>
        <v>0</v>
      </c>
      <c r="CG71" s="251">
        <f t="shared" si="53"/>
        <v>0</v>
      </c>
      <c r="CH71" s="265"/>
      <c r="CI71" s="266"/>
      <c r="CJ71" s="266"/>
      <c r="CK71" s="63"/>
      <c r="CL71" s="267">
        <f t="shared" si="34"/>
        <v>0</v>
      </c>
      <c r="CM71" s="267">
        <f t="shared" si="137"/>
        <v>0</v>
      </c>
      <c r="CN71" s="267">
        <f t="shared" si="54"/>
        <v>0</v>
      </c>
    </row>
    <row r="72" spans="2:92" ht="15.75" hidden="1">
      <c r="B72" s="85" t="s">
        <v>127</v>
      </c>
      <c r="C72" s="86">
        <v>1012160456104</v>
      </c>
      <c r="D72" s="87" t="s">
        <v>129</v>
      </c>
      <c r="E72" s="202" t="s">
        <v>47</v>
      </c>
      <c r="F72" s="203"/>
      <c r="G72" s="203"/>
      <c r="H72" s="204">
        <f t="shared" si="36"/>
        <v>0</v>
      </c>
      <c r="I72" s="203"/>
      <c r="J72" s="203"/>
      <c r="K72" s="203"/>
      <c r="L72" s="203"/>
      <c r="M72" s="203"/>
      <c r="N72" s="203"/>
      <c r="O72" s="203"/>
      <c r="P72" s="211">
        <f t="shared" si="138"/>
        <v>0</v>
      </c>
      <c r="Q72" s="234">
        <f t="shared" si="38"/>
        <v>0</v>
      </c>
      <c r="R72" s="234">
        <f t="shared" si="39"/>
        <v>0</v>
      </c>
      <c r="S72" s="231"/>
      <c r="T72" s="232"/>
      <c r="U72" s="213"/>
      <c r="V72" s="213"/>
      <c r="W72" s="235">
        <f t="shared" si="40"/>
        <v>0</v>
      </c>
      <c r="X72" s="212"/>
      <c r="Y72" s="212"/>
      <c r="Z72" s="212"/>
      <c r="AA72" s="212"/>
      <c r="AB72" s="212"/>
      <c r="AC72" s="212"/>
      <c r="AD72" s="212"/>
      <c r="AE72" s="243">
        <f t="shared" si="41"/>
        <v>0</v>
      </c>
      <c r="AF72" s="244">
        <f t="shared" si="42"/>
        <v>0</v>
      </c>
      <c r="AG72" s="253">
        <f t="shared" si="43"/>
        <v>0</v>
      </c>
      <c r="AH72" s="341"/>
      <c r="AI72" s="252"/>
      <c r="AJ72" s="212"/>
      <c r="AK72" s="213"/>
      <c r="AL72" s="235">
        <f t="shared" si="44"/>
        <v>0</v>
      </c>
      <c r="AM72" s="254"/>
      <c r="AN72" s="212"/>
      <c r="AO72" s="212"/>
      <c r="AP72" s="212"/>
      <c r="AQ72" s="212"/>
      <c r="AR72" s="212"/>
      <c r="AS72" s="254"/>
      <c r="AT72" s="243">
        <f t="shared" si="45"/>
        <v>0</v>
      </c>
      <c r="AU72" s="244">
        <f t="shared" si="46"/>
        <v>0</v>
      </c>
      <c r="AV72" s="253">
        <f t="shared" si="47"/>
        <v>0</v>
      </c>
      <c r="AW72" s="247"/>
      <c r="AX72" s="247"/>
      <c r="AY72" s="252"/>
      <c r="AZ72" s="212"/>
      <c r="BA72" s="213"/>
      <c r="BB72" s="235">
        <f t="shared" si="135"/>
        <v>0</v>
      </c>
      <c r="BC72" s="212"/>
      <c r="BD72" s="212"/>
      <c r="BE72" s="254"/>
      <c r="BF72" s="212"/>
      <c r="BG72" s="212"/>
      <c r="BH72" s="212"/>
      <c r="BI72" s="212"/>
      <c r="BJ72" s="243">
        <f t="shared" si="48"/>
        <v>0</v>
      </c>
      <c r="BK72" s="244">
        <f t="shared" si="29"/>
        <v>0</v>
      </c>
      <c r="BL72" s="253">
        <f t="shared" si="30"/>
        <v>0</v>
      </c>
      <c r="BM72" s="342"/>
      <c r="BN72" s="342"/>
      <c r="BO72" s="207"/>
      <c r="BP72" s="213"/>
      <c r="BQ72" s="235">
        <f t="shared" si="49"/>
        <v>0</v>
      </c>
      <c r="BR72" s="212"/>
      <c r="BS72" s="212"/>
      <c r="BT72" s="212"/>
      <c r="BU72" s="212"/>
      <c r="BV72" s="213"/>
      <c r="BW72" s="213"/>
      <c r="BX72" s="213"/>
      <c r="BY72" s="243">
        <f t="shared" si="50"/>
        <v>0</v>
      </c>
      <c r="BZ72" s="244">
        <f t="shared" si="31"/>
        <v>0</v>
      </c>
      <c r="CA72" s="253">
        <f t="shared" si="51"/>
        <v>0</v>
      </c>
      <c r="CB72" s="328"/>
      <c r="CC72" s="252"/>
      <c r="CD72" s="253">
        <f t="shared" si="136"/>
        <v>0</v>
      </c>
      <c r="CE72" s="253">
        <f t="shared" si="134"/>
        <v>0</v>
      </c>
      <c r="CF72" s="253">
        <f t="shared" si="52"/>
        <v>0</v>
      </c>
      <c r="CG72" s="253">
        <f t="shared" si="53"/>
        <v>0</v>
      </c>
      <c r="CH72" s="265"/>
      <c r="CI72" s="266"/>
      <c r="CJ72" s="266"/>
      <c r="CK72" s="63"/>
      <c r="CL72" s="267">
        <f t="shared" si="34"/>
        <v>0</v>
      </c>
      <c r="CM72" s="267">
        <f t="shared" si="137"/>
        <v>0</v>
      </c>
      <c r="CN72" s="267">
        <f t="shared" si="54"/>
        <v>0</v>
      </c>
    </row>
    <row r="73" spans="2:92" ht="15.75" hidden="1">
      <c r="B73" s="82" t="s">
        <v>127</v>
      </c>
      <c r="C73" s="83">
        <v>1012160456104</v>
      </c>
      <c r="D73" s="84" t="s">
        <v>130</v>
      </c>
      <c r="E73" s="199" t="s">
        <v>47</v>
      </c>
      <c r="F73" s="200"/>
      <c r="G73" s="200"/>
      <c r="H73" s="201">
        <f t="shared" si="36"/>
        <v>0</v>
      </c>
      <c r="I73" s="200"/>
      <c r="J73" s="200"/>
      <c r="K73" s="200"/>
      <c r="L73" s="200"/>
      <c r="M73" s="200"/>
      <c r="N73" s="200"/>
      <c r="O73" s="200"/>
      <c r="P73" s="210">
        <f t="shared" si="138"/>
        <v>0</v>
      </c>
      <c r="Q73" s="230">
        <f t="shared" si="38"/>
        <v>0</v>
      </c>
      <c r="R73" s="230">
        <f t="shared" si="39"/>
        <v>0</v>
      </c>
      <c r="S73" s="231"/>
      <c r="T73" s="232"/>
      <c r="U73" s="215"/>
      <c r="V73" s="215"/>
      <c r="W73" s="233">
        <f t="shared" si="40"/>
        <v>0</v>
      </c>
      <c r="X73" s="214"/>
      <c r="Y73" s="214"/>
      <c r="Z73" s="214"/>
      <c r="AA73" s="214"/>
      <c r="AB73" s="214"/>
      <c r="AC73" s="214"/>
      <c r="AD73" s="214"/>
      <c r="AE73" s="241">
        <f t="shared" si="41"/>
        <v>0</v>
      </c>
      <c r="AF73" s="242">
        <f t="shared" si="42"/>
        <v>0</v>
      </c>
      <c r="AG73" s="251">
        <f t="shared" si="43"/>
        <v>0</v>
      </c>
      <c r="AH73" s="341"/>
      <c r="AI73" s="252"/>
      <c r="AJ73" s="214"/>
      <c r="AK73" s="215"/>
      <c r="AL73" s="233">
        <f t="shared" si="44"/>
        <v>0</v>
      </c>
      <c r="AM73" s="255"/>
      <c r="AN73" s="214"/>
      <c r="AO73" s="214"/>
      <c r="AP73" s="214"/>
      <c r="AQ73" s="214"/>
      <c r="AR73" s="214"/>
      <c r="AS73" s="255"/>
      <c r="AT73" s="241">
        <f t="shared" si="45"/>
        <v>0</v>
      </c>
      <c r="AU73" s="242">
        <f t="shared" si="46"/>
        <v>0</v>
      </c>
      <c r="AV73" s="251">
        <f t="shared" si="47"/>
        <v>0</v>
      </c>
      <c r="AW73" s="247"/>
      <c r="AX73" s="247"/>
      <c r="AY73" s="252"/>
      <c r="AZ73" s="214"/>
      <c r="BA73" s="215"/>
      <c r="BB73" s="233">
        <f t="shared" si="135"/>
        <v>0</v>
      </c>
      <c r="BC73" s="214"/>
      <c r="BD73" s="214"/>
      <c r="BE73" s="255"/>
      <c r="BF73" s="214"/>
      <c r="BG73" s="214"/>
      <c r="BH73" s="214"/>
      <c r="BI73" s="214"/>
      <c r="BJ73" s="241">
        <f t="shared" si="48"/>
        <v>0</v>
      </c>
      <c r="BK73" s="242">
        <f t="shared" si="29"/>
        <v>0</v>
      </c>
      <c r="BL73" s="251">
        <f t="shared" si="30"/>
        <v>0</v>
      </c>
      <c r="BM73" s="342"/>
      <c r="BN73" s="342"/>
      <c r="BO73" s="206"/>
      <c r="BP73" s="215"/>
      <c r="BQ73" s="233">
        <f t="shared" si="49"/>
        <v>0</v>
      </c>
      <c r="BR73" s="214"/>
      <c r="BS73" s="214"/>
      <c r="BT73" s="214"/>
      <c r="BU73" s="214"/>
      <c r="BV73" s="215"/>
      <c r="BW73" s="215"/>
      <c r="BX73" s="215"/>
      <c r="BY73" s="241">
        <f t="shared" si="50"/>
        <v>0</v>
      </c>
      <c r="BZ73" s="242">
        <f t="shared" si="31"/>
        <v>0</v>
      </c>
      <c r="CA73" s="251">
        <f t="shared" si="51"/>
        <v>0</v>
      </c>
      <c r="CB73" s="252"/>
      <c r="CC73" s="252"/>
      <c r="CD73" s="251">
        <f t="shared" si="136"/>
        <v>0</v>
      </c>
      <c r="CE73" s="251">
        <f t="shared" si="134"/>
        <v>0</v>
      </c>
      <c r="CF73" s="251">
        <f t="shared" si="52"/>
        <v>0</v>
      </c>
      <c r="CG73" s="251">
        <f t="shared" si="53"/>
        <v>0</v>
      </c>
      <c r="CH73" s="265"/>
      <c r="CI73" s="266"/>
      <c r="CJ73" s="266"/>
      <c r="CK73" s="63"/>
      <c r="CL73" s="267">
        <f t="shared" si="34"/>
        <v>0</v>
      </c>
      <c r="CM73" s="267">
        <f t="shared" si="137"/>
        <v>0</v>
      </c>
      <c r="CN73" s="267">
        <f t="shared" si="54"/>
        <v>0</v>
      </c>
    </row>
    <row r="74" spans="2:92" ht="15.75">
      <c r="B74" s="344" t="s">
        <v>131</v>
      </c>
      <c r="C74" s="83">
        <v>1012160456105</v>
      </c>
      <c r="D74" s="84" t="s">
        <v>132</v>
      </c>
      <c r="E74" s="199" t="s">
        <v>44</v>
      </c>
      <c r="F74" s="416">
        <v>3600</v>
      </c>
      <c r="G74" s="200"/>
      <c r="H74" s="201">
        <f t="shared" si="36"/>
        <v>3600</v>
      </c>
      <c r="I74" s="200"/>
      <c r="J74" s="200"/>
      <c r="K74" s="200"/>
      <c r="L74" s="200"/>
      <c r="M74" s="418">
        <f>320</f>
        <v>320</v>
      </c>
      <c r="N74" s="418">
        <f>1200+1240</f>
        <v>2440</v>
      </c>
      <c r="O74" s="418">
        <f>960-120</f>
        <v>840</v>
      </c>
      <c r="P74" s="210">
        <f t="shared" si="138"/>
        <v>3600</v>
      </c>
      <c r="Q74" s="230">
        <f t="shared" si="38"/>
        <v>0</v>
      </c>
      <c r="R74" s="230">
        <f t="shared" si="39"/>
        <v>0</v>
      </c>
      <c r="S74" s="231"/>
      <c r="T74" s="268"/>
      <c r="U74" s="215"/>
      <c r="V74" s="215"/>
      <c r="W74" s="233">
        <f t="shared" si="40"/>
        <v>0</v>
      </c>
      <c r="X74" s="214"/>
      <c r="Y74" s="269"/>
      <c r="Z74" s="214"/>
      <c r="AA74" s="214"/>
      <c r="AB74" s="214"/>
      <c r="AC74" s="214"/>
      <c r="AD74" s="214"/>
      <c r="AE74" s="241">
        <f t="shared" si="41"/>
        <v>0</v>
      </c>
      <c r="AF74" s="242">
        <f t="shared" si="42"/>
        <v>0</v>
      </c>
      <c r="AG74" s="251">
        <f t="shared" si="43"/>
        <v>0</v>
      </c>
      <c r="AH74" s="341"/>
      <c r="AI74" s="252"/>
      <c r="AJ74" s="214"/>
      <c r="AK74" s="215"/>
      <c r="AL74" s="233">
        <f t="shared" si="44"/>
        <v>0</v>
      </c>
      <c r="AM74" s="255"/>
      <c r="AN74" s="214"/>
      <c r="AO74" s="214"/>
      <c r="AP74" s="214"/>
      <c r="AQ74" s="214"/>
      <c r="AR74" s="214"/>
      <c r="AS74" s="255"/>
      <c r="AT74" s="241">
        <f t="shared" si="45"/>
        <v>0</v>
      </c>
      <c r="AU74" s="242">
        <f t="shared" si="46"/>
        <v>0</v>
      </c>
      <c r="AV74" s="251">
        <f t="shared" si="47"/>
        <v>0</v>
      </c>
      <c r="AW74" s="247"/>
      <c r="AX74" s="247"/>
      <c r="AY74" s="252"/>
      <c r="AZ74" s="214"/>
      <c r="BA74" s="215"/>
      <c r="BB74" s="233">
        <f t="shared" si="135"/>
        <v>0</v>
      </c>
      <c r="BC74" s="214"/>
      <c r="BD74" s="214"/>
      <c r="BE74" s="255"/>
      <c r="BF74" s="214"/>
      <c r="BG74" s="214"/>
      <c r="BH74" s="214"/>
      <c r="BI74" s="214"/>
      <c r="BJ74" s="241">
        <f t="shared" si="48"/>
        <v>0</v>
      </c>
      <c r="BK74" s="242">
        <f t="shared" si="29"/>
        <v>0</v>
      </c>
      <c r="BL74" s="251">
        <f t="shared" si="30"/>
        <v>0</v>
      </c>
      <c r="BM74" s="342"/>
      <c r="BN74" s="342"/>
      <c r="BO74" s="206"/>
      <c r="BP74" s="215"/>
      <c r="BQ74" s="233">
        <f t="shared" si="49"/>
        <v>0</v>
      </c>
      <c r="BR74" s="214"/>
      <c r="BS74" s="214"/>
      <c r="BT74" s="214"/>
      <c r="BU74" s="214"/>
      <c r="BV74" s="215"/>
      <c r="BW74" s="215"/>
      <c r="BX74" s="215"/>
      <c r="BY74" s="241">
        <f t="shared" si="50"/>
        <v>0</v>
      </c>
      <c r="BZ74" s="242">
        <f t="shared" si="31"/>
        <v>0</v>
      </c>
      <c r="CA74" s="251">
        <f t="shared" si="51"/>
        <v>0</v>
      </c>
      <c r="CB74" s="252"/>
      <c r="CC74" s="252"/>
      <c r="CD74" s="251">
        <f t="shared" si="136"/>
        <v>3600</v>
      </c>
      <c r="CE74" s="353">
        <f t="shared" si="134"/>
        <v>3600</v>
      </c>
      <c r="CF74" s="251">
        <f t="shared" si="52"/>
        <v>0</v>
      </c>
      <c r="CG74" s="251">
        <f t="shared" si="53"/>
        <v>0</v>
      </c>
      <c r="CH74" s="265"/>
      <c r="CI74" s="266"/>
      <c r="CJ74" s="266"/>
      <c r="CK74" s="63"/>
      <c r="CL74" s="267">
        <f t="shared" si="34"/>
        <v>1</v>
      </c>
      <c r="CM74" s="267">
        <f t="shared" si="137"/>
        <v>6.2413314840499307E-2</v>
      </c>
      <c r="CN74" s="267">
        <f t="shared" si="54"/>
        <v>6.2413314840499307E-2</v>
      </c>
    </row>
    <row r="75" spans="2:92" ht="15.75">
      <c r="B75" s="340" t="s">
        <v>131</v>
      </c>
      <c r="C75" s="86">
        <v>1012160456105</v>
      </c>
      <c r="D75" s="87" t="s">
        <v>133</v>
      </c>
      <c r="E75" s="202" t="s">
        <v>44</v>
      </c>
      <c r="F75" s="415">
        <v>2520</v>
      </c>
      <c r="G75" s="203"/>
      <c r="H75" s="204">
        <f t="shared" si="36"/>
        <v>2520</v>
      </c>
      <c r="I75" s="203"/>
      <c r="J75" s="203"/>
      <c r="K75" s="203"/>
      <c r="L75" s="203"/>
      <c r="M75" s="420"/>
      <c r="N75" s="420">
        <v>1202</v>
      </c>
      <c r="O75" s="420">
        <f>200+1240-120</f>
        <v>1320</v>
      </c>
      <c r="P75" s="211">
        <f t="shared" si="138"/>
        <v>2522</v>
      </c>
      <c r="Q75" s="234">
        <f t="shared" si="38"/>
        <v>0</v>
      </c>
      <c r="R75" s="234">
        <f t="shared" si="39"/>
        <v>2</v>
      </c>
      <c r="S75" s="231"/>
      <c r="T75" s="232"/>
      <c r="U75" s="213"/>
      <c r="V75" s="213"/>
      <c r="W75" s="235">
        <f t="shared" si="40"/>
        <v>0</v>
      </c>
      <c r="X75" s="212"/>
      <c r="Y75" s="212"/>
      <c r="Z75" s="212"/>
      <c r="AA75" s="212"/>
      <c r="AB75" s="212"/>
      <c r="AC75" s="212"/>
      <c r="AD75" s="212"/>
      <c r="AE75" s="243">
        <f t="shared" si="41"/>
        <v>0</v>
      </c>
      <c r="AF75" s="244">
        <f t="shared" si="42"/>
        <v>0</v>
      </c>
      <c r="AG75" s="253">
        <f t="shared" si="43"/>
        <v>0</v>
      </c>
      <c r="AH75" s="349">
        <f>-700+700</f>
        <v>0</v>
      </c>
      <c r="AI75" s="252"/>
      <c r="AJ75" s="212"/>
      <c r="AK75" s="213"/>
      <c r="AL75" s="235">
        <f t="shared" si="44"/>
        <v>0</v>
      </c>
      <c r="AM75" s="254"/>
      <c r="AN75" s="212"/>
      <c r="AO75" s="212"/>
      <c r="AP75" s="212"/>
      <c r="AQ75" s="212"/>
      <c r="AR75" s="212"/>
      <c r="AS75" s="254"/>
      <c r="AT75" s="243">
        <f t="shared" si="45"/>
        <v>0</v>
      </c>
      <c r="AU75" s="244">
        <f t="shared" si="46"/>
        <v>0</v>
      </c>
      <c r="AV75" s="253">
        <f t="shared" si="47"/>
        <v>0</v>
      </c>
      <c r="AW75" s="247"/>
      <c r="AX75" s="247"/>
      <c r="AY75" s="252"/>
      <c r="AZ75" s="212"/>
      <c r="BA75" s="213"/>
      <c r="BB75" s="235">
        <f t="shared" si="135"/>
        <v>0</v>
      </c>
      <c r="BC75" s="212"/>
      <c r="BD75" s="212"/>
      <c r="BE75" s="254"/>
      <c r="BF75" s="212"/>
      <c r="BG75" s="212"/>
      <c r="BH75" s="212"/>
      <c r="BI75" s="212"/>
      <c r="BJ75" s="243">
        <f t="shared" si="48"/>
        <v>0</v>
      </c>
      <c r="BK75" s="244">
        <f t="shared" si="29"/>
        <v>0</v>
      </c>
      <c r="BL75" s="253">
        <f t="shared" si="30"/>
        <v>0</v>
      </c>
      <c r="BM75" s="342"/>
      <c r="BN75" s="342"/>
      <c r="BO75" s="205"/>
      <c r="BP75" s="213"/>
      <c r="BQ75" s="235">
        <f t="shared" si="49"/>
        <v>0</v>
      </c>
      <c r="BR75" s="212"/>
      <c r="BS75" s="212"/>
      <c r="BT75" s="212"/>
      <c r="BU75" s="212"/>
      <c r="BV75" s="213"/>
      <c r="BW75" s="213"/>
      <c r="BX75" s="213"/>
      <c r="BY75" s="243">
        <f t="shared" si="50"/>
        <v>0</v>
      </c>
      <c r="BZ75" s="244">
        <f t="shared" si="31"/>
        <v>0</v>
      </c>
      <c r="CA75" s="253">
        <f t="shared" si="51"/>
        <v>0</v>
      </c>
      <c r="CB75" s="328"/>
      <c r="CC75" s="252"/>
      <c r="CD75" s="253">
        <f t="shared" si="136"/>
        <v>2520</v>
      </c>
      <c r="CE75" s="353">
        <f t="shared" si="134"/>
        <v>2522</v>
      </c>
      <c r="CF75" s="253">
        <f t="shared" si="52"/>
        <v>0</v>
      </c>
      <c r="CG75" s="253">
        <f t="shared" si="53"/>
        <v>2</v>
      </c>
      <c r="CH75" s="265"/>
      <c r="CI75" s="266"/>
      <c r="CJ75" s="266"/>
      <c r="CK75" s="63"/>
      <c r="CL75" s="267">
        <f t="shared" si="34"/>
        <v>0.99920697858842189</v>
      </c>
      <c r="CM75" s="267">
        <f t="shared" si="137"/>
        <v>4.3689320388349516E-2</v>
      </c>
      <c r="CN75" s="267">
        <f t="shared" si="54"/>
        <v>4.3654673821824259E-2</v>
      </c>
    </row>
    <row r="76" spans="2:92" ht="15.75">
      <c r="B76" s="84" t="s">
        <v>131</v>
      </c>
      <c r="C76" s="83">
        <v>1012160456105</v>
      </c>
      <c r="D76" s="84" t="s">
        <v>325</v>
      </c>
      <c r="E76" s="199" t="s">
        <v>44</v>
      </c>
      <c r="F76" s="206"/>
      <c r="G76" s="200"/>
      <c r="H76" s="201">
        <f t="shared" si="36"/>
        <v>0</v>
      </c>
      <c r="I76" s="200"/>
      <c r="J76" s="200"/>
      <c r="K76" s="200"/>
      <c r="L76" s="200"/>
      <c r="M76" s="215"/>
      <c r="N76" s="215"/>
      <c r="O76" s="215"/>
      <c r="P76" s="210">
        <f t="shared" si="138"/>
        <v>0</v>
      </c>
      <c r="Q76" s="230">
        <f t="shared" si="38"/>
        <v>0</v>
      </c>
      <c r="R76" s="230">
        <f t="shared" si="39"/>
        <v>0</v>
      </c>
      <c r="S76" s="231"/>
      <c r="T76" s="232"/>
      <c r="U76" s="215"/>
      <c r="V76" s="215"/>
      <c r="W76" s="233">
        <f t="shared" si="40"/>
        <v>0</v>
      </c>
      <c r="X76" s="214"/>
      <c r="Y76" s="214"/>
      <c r="Z76" s="214"/>
      <c r="AA76" s="214"/>
      <c r="AB76" s="214"/>
      <c r="AC76" s="214"/>
      <c r="AD76" s="214"/>
      <c r="AE76" s="241">
        <f t="shared" si="41"/>
        <v>0</v>
      </c>
      <c r="AF76" s="242">
        <f t="shared" si="42"/>
        <v>0</v>
      </c>
      <c r="AG76" s="251">
        <f t="shared" si="43"/>
        <v>0</v>
      </c>
      <c r="AH76" s="341"/>
      <c r="AI76" s="252"/>
      <c r="AJ76" s="214"/>
      <c r="AK76" s="215"/>
      <c r="AL76" s="233">
        <f t="shared" si="44"/>
        <v>0</v>
      </c>
      <c r="AM76" s="255"/>
      <c r="AN76" s="214"/>
      <c r="AO76" s="214"/>
      <c r="AP76" s="214"/>
      <c r="AQ76" s="214"/>
      <c r="AR76" s="214"/>
      <c r="AS76" s="255"/>
      <c r="AT76" s="241">
        <f t="shared" si="45"/>
        <v>0</v>
      </c>
      <c r="AU76" s="242">
        <f t="shared" si="46"/>
        <v>0</v>
      </c>
      <c r="AV76" s="251">
        <f t="shared" si="47"/>
        <v>0</v>
      </c>
      <c r="AW76" s="247"/>
      <c r="AX76" s="247"/>
      <c r="AY76" s="252"/>
      <c r="AZ76" s="214"/>
      <c r="BA76" s="215"/>
      <c r="BB76" s="233">
        <f t="shared" si="135"/>
        <v>0</v>
      </c>
      <c r="BC76" s="214"/>
      <c r="BD76" s="214"/>
      <c r="BE76" s="255"/>
      <c r="BF76" s="214"/>
      <c r="BG76" s="214"/>
      <c r="BH76" s="214"/>
      <c r="BI76" s="214"/>
      <c r="BJ76" s="241">
        <f t="shared" si="48"/>
        <v>0</v>
      </c>
      <c r="BK76" s="242">
        <f t="shared" si="29"/>
        <v>0</v>
      </c>
      <c r="BL76" s="251">
        <f t="shared" si="30"/>
        <v>0</v>
      </c>
      <c r="BM76" s="342"/>
      <c r="BN76" s="342"/>
      <c r="BO76" s="206"/>
      <c r="BP76" s="215"/>
      <c r="BQ76" s="233">
        <f t="shared" si="49"/>
        <v>0</v>
      </c>
      <c r="BR76" s="214"/>
      <c r="BS76" s="214"/>
      <c r="BT76" s="214"/>
      <c r="BU76" s="214"/>
      <c r="BV76" s="215"/>
      <c r="BW76" s="215"/>
      <c r="BX76" s="215"/>
      <c r="BY76" s="241">
        <f t="shared" si="50"/>
        <v>0</v>
      </c>
      <c r="BZ76" s="242">
        <f t="shared" si="31"/>
        <v>0</v>
      </c>
      <c r="CA76" s="251">
        <f t="shared" si="51"/>
        <v>0</v>
      </c>
      <c r="CB76" s="252"/>
      <c r="CC76" s="252"/>
      <c r="CD76" s="251">
        <f t="shared" si="136"/>
        <v>0</v>
      </c>
      <c r="CE76" s="251">
        <f t="shared" si="134"/>
        <v>0</v>
      </c>
      <c r="CF76" s="251">
        <f t="shared" si="52"/>
        <v>0</v>
      </c>
      <c r="CG76" s="251">
        <f t="shared" si="53"/>
        <v>0</v>
      </c>
      <c r="CH76" s="265"/>
      <c r="CI76" s="266"/>
      <c r="CJ76" s="266"/>
      <c r="CK76" s="63"/>
      <c r="CL76" s="267">
        <f t="shared" si="34"/>
        <v>0</v>
      </c>
      <c r="CM76" s="267">
        <f t="shared" si="137"/>
        <v>0</v>
      </c>
      <c r="CN76" s="267">
        <f t="shared" si="54"/>
        <v>0</v>
      </c>
    </row>
    <row r="77" spans="2:92" ht="15.75">
      <c r="B77" s="87" t="s">
        <v>131</v>
      </c>
      <c r="C77" s="86">
        <v>1012160456105</v>
      </c>
      <c r="D77" s="87" t="s">
        <v>134</v>
      </c>
      <c r="E77" s="202" t="s">
        <v>44</v>
      </c>
      <c r="F77" s="207"/>
      <c r="G77" s="203"/>
      <c r="H77" s="204">
        <f t="shared" si="36"/>
        <v>0</v>
      </c>
      <c r="I77" s="203"/>
      <c r="J77" s="203"/>
      <c r="K77" s="203"/>
      <c r="L77" s="203"/>
      <c r="M77" s="213"/>
      <c r="N77" s="213"/>
      <c r="O77" s="213"/>
      <c r="P77" s="211">
        <f t="shared" si="138"/>
        <v>0</v>
      </c>
      <c r="Q77" s="234">
        <f t="shared" si="38"/>
        <v>0</v>
      </c>
      <c r="R77" s="234">
        <f t="shared" si="39"/>
        <v>0</v>
      </c>
      <c r="S77" s="231"/>
      <c r="T77" s="232"/>
      <c r="U77" s="213"/>
      <c r="V77" s="213"/>
      <c r="W77" s="235">
        <f t="shared" si="40"/>
        <v>0</v>
      </c>
      <c r="X77" s="212"/>
      <c r="Y77" s="212"/>
      <c r="Z77" s="212"/>
      <c r="AA77" s="212"/>
      <c r="AB77" s="212"/>
      <c r="AC77" s="212"/>
      <c r="AD77" s="212"/>
      <c r="AE77" s="243">
        <f t="shared" si="41"/>
        <v>0</v>
      </c>
      <c r="AF77" s="244">
        <f t="shared" si="42"/>
        <v>0</v>
      </c>
      <c r="AG77" s="253">
        <f t="shared" si="43"/>
        <v>0</v>
      </c>
      <c r="AH77" s="341"/>
      <c r="AI77" s="252"/>
      <c r="AJ77" s="212"/>
      <c r="AK77" s="213"/>
      <c r="AL77" s="235">
        <f t="shared" si="44"/>
        <v>0</v>
      </c>
      <c r="AM77" s="254"/>
      <c r="AN77" s="212"/>
      <c r="AO77" s="212"/>
      <c r="AP77" s="212"/>
      <c r="AQ77" s="212"/>
      <c r="AR77" s="212"/>
      <c r="AS77" s="254"/>
      <c r="AT77" s="243">
        <f t="shared" si="45"/>
        <v>0</v>
      </c>
      <c r="AU77" s="244">
        <f t="shared" si="46"/>
        <v>0</v>
      </c>
      <c r="AV77" s="253">
        <f t="shared" si="47"/>
        <v>0</v>
      </c>
      <c r="AW77" s="247"/>
      <c r="AX77" s="247"/>
      <c r="AY77" s="252"/>
      <c r="AZ77" s="212"/>
      <c r="BA77" s="213"/>
      <c r="BB77" s="235">
        <f t="shared" si="135"/>
        <v>0</v>
      </c>
      <c r="BC77" s="212"/>
      <c r="BD77" s="212"/>
      <c r="BE77" s="254"/>
      <c r="BF77" s="212"/>
      <c r="BG77" s="212"/>
      <c r="BH77" s="212"/>
      <c r="BI77" s="212"/>
      <c r="BJ77" s="243">
        <f t="shared" si="48"/>
        <v>0</v>
      </c>
      <c r="BK77" s="244">
        <f t="shared" ref="BK77:BK140" si="139">IF((BJ77-BB77)&lt;0,(BJ77-BB77),0)</f>
        <v>0</v>
      </c>
      <c r="BL77" s="253">
        <f t="shared" ref="BL77:BL140" si="140">IF((BJ77-BB77)&gt;0,(BJ77-BB77),0)</f>
        <v>0</v>
      </c>
      <c r="BM77" s="342"/>
      <c r="BN77" s="342"/>
      <c r="BO77" s="207"/>
      <c r="BP77" s="213"/>
      <c r="BQ77" s="235">
        <f t="shared" si="49"/>
        <v>0</v>
      </c>
      <c r="BR77" s="212"/>
      <c r="BS77" s="212"/>
      <c r="BT77" s="212"/>
      <c r="BU77" s="212"/>
      <c r="BV77" s="213"/>
      <c r="BW77" s="213"/>
      <c r="BX77" s="213"/>
      <c r="BY77" s="243">
        <f t="shared" si="50"/>
        <v>0</v>
      </c>
      <c r="BZ77" s="244">
        <f t="shared" si="31"/>
        <v>0</v>
      </c>
      <c r="CA77" s="253">
        <f t="shared" si="51"/>
        <v>0</v>
      </c>
      <c r="CB77" s="328"/>
      <c r="CC77" s="252"/>
      <c r="CD77" s="253">
        <f t="shared" si="136"/>
        <v>0</v>
      </c>
      <c r="CE77" s="253">
        <f t="shared" ref="CE77:CE140" si="141">+P77+AE77+AT77+BJ77+BY77+CC77</f>
        <v>0</v>
      </c>
      <c r="CF77" s="253">
        <f t="shared" si="52"/>
        <v>0</v>
      </c>
      <c r="CG77" s="253">
        <f t="shared" si="53"/>
        <v>0</v>
      </c>
      <c r="CH77" s="265"/>
      <c r="CI77" s="266"/>
      <c r="CJ77" s="266"/>
      <c r="CK77" s="63"/>
      <c r="CL77" s="267">
        <f t="shared" ref="CL77:CL149" si="142">IFERROR(1-ABS(CD77-CE77)/CE77,0)</f>
        <v>0</v>
      </c>
      <c r="CM77" s="267">
        <f t="shared" si="137"/>
        <v>0</v>
      </c>
      <c r="CN77" s="267">
        <f t="shared" si="54"/>
        <v>0</v>
      </c>
    </row>
    <row r="78" spans="2:92" ht="15.75">
      <c r="B78" s="84" t="s">
        <v>135</v>
      </c>
      <c r="C78" s="83">
        <v>1012160456111</v>
      </c>
      <c r="D78" s="84" t="s">
        <v>136</v>
      </c>
      <c r="E78" s="199" t="s">
        <v>50</v>
      </c>
      <c r="F78" s="206"/>
      <c r="G78" s="200"/>
      <c r="H78" s="201">
        <f t="shared" ref="H78:H141" si="143">+F78+G78</f>
        <v>0</v>
      </c>
      <c r="I78" s="200"/>
      <c r="J78" s="200"/>
      <c r="K78" s="200"/>
      <c r="L78" s="200"/>
      <c r="M78" s="215"/>
      <c r="N78" s="215"/>
      <c r="O78" s="215"/>
      <c r="P78" s="210">
        <f t="shared" si="138"/>
        <v>0</v>
      </c>
      <c r="Q78" s="230">
        <f t="shared" si="38"/>
        <v>0</v>
      </c>
      <c r="R78" s="230">
        <f t="shared" ref="R78:R141" si="144">IF((P78-H78)&gt;0,(P78-H78),0)</f>
        <v>0</v>
      </c>
      <c r="S78" s="231"/>
      <c r="T78" s="232"/>
      <c r="U78" s="215"/>
      <c r="V78" s="215"/>
      <c r="W78" s="233">
        <f t="shared" ref="W78:W141" si="145">+U78+V78</f>
        <v>0</v>
      </c>
      <c r="X78" s="214"/>
      <c r="Y78" s="214"/>
      <c r="Z78" s="214"/>
      <c r="AA78" s="214"/>
      <c r="AB78" s="214"/>
      <c r="AC78" s="214"/>
      <c r="AD78" s="214"/>
      <c r="AE78" s="241">
        <f t="shared" ref="AE78:AE141" si="146">SUM(X78:AD78)</f>
        <v>0</v>
      </c>
      <c r="AF78" s="242">
        <f t="shared" ref="AF78:AF141" si="147">IF((AE78-W78)&lt;0,(AE78-W78),0)</f>
        <v>0</v>
      </c>
      <c r="AG78" s="251">
        <f t="shared" ref="AG78:AG141" si="148">IF((AE78-W78)&gt;0,(AE78-W78),0)</f>
        <v>0</v>
      </c>
      <c r="AH78" s="247"/>
      <c r="AI78" s="252"/>
      <c r="AJ78" s="214"/>
      <c r="AK78" s="215"/>
      <c r="AL78" s="233">
        <f t="shared" ref="AL78:AL141" si="149">+AJ78+AK78</f>
        <v>0</v>
      </c>
      <c r="AM78" s="255"/>
      <c r="AN78" s="214"/>
      <c r="AO78" s="214"/>
      <c r="AP78" s="214"/>
      <c r="AQ78" s="214"/>
      <c r="AR78" s="214"/>
      <c r="AS78" s="255"/>
      <c r="AT78" s="241">
        <f t="shared" ref="AT78:AT141" si="150">SUM(AM78:AS78)</f>
        <v>0</v>
      </c>
      <c r="AU78" s="242">
        <f t="shared" ref="AU78:AU141" si="151">IF((AT78-AL78)&lt;0,(AT78-AL78),0)</f>
        <v>0</v>
      </c>
      <c r="AV78" s="251">
        <f t="shared" ref="AV78:AV141" si="152">IF((AT78-AL78)&gt;0,(AT78-AL78),0)</f>
        <v>0</v>
      </c>
      <c r="AW78" s="247"/>
      <c r="AX78" s="247"/>
      <c r="AY78" s="252"/>
      <c r="AZ78" s="214"/>
      <c r="BA78" s="215"/>
      <c r="BB78" s="233">
        <f t="shared" ref="BB78:BB141" si="153">AZ78+BA78</f>
        <v>0</v>
      </c>
      <c r="BC78" s="214"/>
      <c r="BD78" s="214"/>
      <c r="BE78" s="255"/>
      <c r="BF78" s="214"/>
      <c r="BG78" s="214"/>
      <c r="BH78" s="214"/>
      <c r="BI78" s="214"/>
      <c r="BJ78" s="241">
        <f t="shared" ref="BJ78:BJ141" si="154">SUM(BC78:BI78)</f>
        <v>0</v>
      </c>
      <c r="BK78" s="242">
        <f t="shared" si="139"/>
        <v>0</v>
      </c>
      <c r="BL78" s="251">
        <f t="shared" si="140"/>
        <v>0</v>
      </c>
      <c r="BM78" s="342"/>
      <c r="BN78" s="342"/>
      <c r="BO78" s="206"/>
      <c r="BP78" s="215"/>
      <c r="BQ78" s="233">
        <f t="shared" ref="BQ78:BQ141" si="155">+BO78-BP78</f>
        <v>0</v>
      </c>
      <c r="BR78" s="214"/>
      <c r="BS78" s="214"/>
      <c r="BT78" s="214"/>
      <c r="BU78" s="214"/>
      <c r="BV78" s="215"/>
      <c r="BW78" s="215"/>
      <c r="BX78" s="215"/>
      <c r="BY78" s="241">
        <f t="shared" ref="BY78:BY141" si="156">SUM(BR78:BX78)</f>
        <v>0</v>
      </c>
      <c r="BZ78" s="242">
        <f t="shared" si="31"/>
        <v>0</v>
      </c>
      <c r="CA78" s="251">
        <f t="shared" ref="CA78:CA141" si="157">IF((BY78-BQ78)&gt;0,(BY78-BQ78),0)</f>
        <v>0</v>
      </c>
      <c r="CB78" s="252"/>
      <c r="CC78" s="252"/>
      <c r="CD78" s="251">
        <f t="shared" si="136"/>
        <v>0</v>
      </c>
      <c r="CE78" s="251">
        <f t="shared" si="141"/>
        <v>0</v>
      </c>
      <c r="CF78" s="251">
        <f t="shared" ref="CF78:CF141" si="158">IF((CE78-CD78)&lt;0,(CE78-CD78),0)</f>
        <v>0</v>
      </c>
      <c r="CG78" s="251">
        <f t="shared" ref="CG78:CG141" si="159">IF((CE78-CD78)&gt;0,(CE78-CD78),0)</f>
        <v>0</v>
      </c>
      <c r="CH78" s="265"/>
      <c r="CI78" s="266"/>
      <c r="CJ78" s="266"/>
      <c r="CK78" s="63"/>
      <c r="CL78" s="267">
        <f t="shared" si="142"/>
        <v>0</v>
      </c>
      <c r="CM78" s="267">
        <f t="shared" si="137"/>
        <v>0</v>
      </c>
      <c r="CN78" s="267">
        <f t="shared" ref="CN78:CN150" si="160">CL78*CM78</f>
        <v>0</v>
      </c>
    </row>
    <row r="79" spans="2:92" ht="15.75">
      <c r="B79" s="87" t="s">
        <v>137</v>
      </c>
      <c r="C79" s="86">
        <v>1012160461912</v>
      </c>
      <c r="D79" s="87" t="s">
        <v>138</v>
      </c>
      <c r="E79" s="202" t="s">
        <v>99</v>
      </c>
      <c r="F79" s="207"/>
      <c r="G79" s="203"/>
      <c r="H79" s="204">
        <f t="shared" si="143"/>
        <v>0</v>
      </c>
      <c r="I79" s="203"/>
      <c r="J79" s="203"/>
      <c r="K79" s="203"/>
      <c r="L79" s="203"/>
      <c r="M79" s="213"/>
      <c r="N79" s="213"/>
      <c r="O79" s="213"/>
      <c r="P79" s="211">
        <f t="shared" si="138"/>
        <v>0</v>
      </c>
      <c r="Q79" s="234">
        <f t="shared" si="38"/>
        <v>0</v>
      </c>
      <c r="R79" s="234">
        <f t="shared" si="144"/>
        <v>0</v>
      </c>
      <c r="S79" s="231"/>
      <c r="T79" s="232"/>
      <c r="U79" s="213"/>
      <c r="V79" s="213"/>
      <c r="W79" s="235">
        <f t="shared" si="145"/>
        <v>0</v>
      </c>
      <c r="X79" s="212"/>
      <c r="Y79" s="212"/>
      <c r="Z79" s="212"/>
      <c r="AA79" s="212"/>
      <c r="AB79" s="212"/>
      <c r="AC79" s="212"/>
      <c r="AD79" s="212"/>
      <c r="AE79" s="243">
        <f t="shared" si="146"/>
        <v>0</v>
      </c>
      <c r="AF79" s="244">
        <f t="shared" si="147"/>
        <v>0</v>
      </c>
      <c r="AG79" s="253">
        <f t="shared" si="148"/>
        <v>0</v>
      </c>
      <c r="AH79" s="247"/>
      <c r="AI79" s="252"/>
      <c r="AJ79" s="212"/>
      <c r="AK79" s="213"/>
      <c r="AL79" s="235">
        <f t="shared" si="149"/>
        <v>0</v>
      </c>
      <c r="AM79" s="254"/>
      <c r="AN79" s="212"/>
      <c r="AO79" s="212"/>
      <c r="AP79" s="212"/>
      <c r="AQ79" s="212"/>
      <c r="AR79" s="254"/>
      <c r="AS79" s="254"/>
      <c r="AT79" s="243">
        <f t="shared" si="150"/>
        <v>0</v>
      </c>
      <c r="AU79" s="244">
        <f t="shared" si="151"/>
        <v>0</v>
      </c>
      <c r="AV79" s="253">
        <f t="shared" si="152"/>
        <v>0</v>
      </c>
      <c r="AW79" s="247"/>
      <c r="AX79" s="247"/>
      <c r="AY79" s="252"/>
      <c r="AZ79" s="212"/>
      <c r="BA79" s="213"/>
      <c r="BB79" s="235">
        <f t="shared" si="153"/>
        <v>0</v>
      </c>
      <c r="BC79" s="212"/>
      <c r="BD79" s="212"/>
      <c r="BE79" s="254"/>
      <c r="BF79" s="212"/>
      <c r="BG79" s="212"/>
      <c r="BH79" s="212"/>
      <c r="BI79" s="212"/>
      <c r="BJ79" s="243">
        <f t="shared" si="154"/>
        <v>0</v>
      </c>
      <c r="BK79" s="244">
        <f t="shared" si="139"/>
        <v>0</v>
      </c>
      <c r="BL79" s="253">
        <f t="shared" si="140"/>
        <v>0</v>
      </c>
      <c r="BM79" s="342"/>
      <c r="BN79" s="342"/>
      <c r="BO79" s="207"/>
      <c r="BP79" s="213"/>
      <c r="BQ79" s="235">
        <f t="shared" si="155"/>
        <v>0</v>
      </c>
      <c r="BR79" s="212"/>
      <c r="BS79" s="212"/>
      <c r="BT79" s="212"/>
      <c r="BU79" s="212"/>
      <c r="BV79" s="213"/>
      <c r="BW79" s="213"/>
      <c r="BX79" s="213"/>
      <c r="BY79" s="243">
        <f t="shared" si="156"/>
        <v>0</v>
      </c>
      <c r="BZ79" s="244">
        <f t="shared" si="31"/>
        <v>0</v>
      </c>
      <c r="CA79" s="253">
        <f t="shared" si="157"/>
        <v>0</v>
      </c>
      <c r="CB79" s="328"/>
      <c r="CC79" s="252"/>
      <c r="CD79" s="253">
        <f t="shared" si="136"/>
        <v>0</v>
      </c>
      <c r="CE79" s="353">
        <f t="shared" si="141"/>
        <v>0</v>
      </c>
      <c r="CF79" s="253">
        <f t="shared" si="158"/>
        <v>0</v>
      </c>
      <c r="CG79" s="253">
        <f t="shared" si="159"/>
        <v>0</v>
      </c>
      <c r="CH79" s="265"/>
      <c r="CI79" s="266"/>
      <c r="CJ79" s="266"/>
      <c r="CK79" s="63"/>
      <c r="CL79" s="267">
        <f t="shared" si="142"/>
        <v>0</v>
      </c>
      <c r="CM79" s="267">
        <f t="shared" si="137"/>
        <v>0</v>
      </c>
      <c r="CN79" s="267">
        <f t="shared" si="160"/>
        <v>0</v>
      </c>
    </row>
    <row r="80" spans="2:92" ht="15.75">
      <c r="B80" s="84" t="s">
        <v>326</v>
      </c>
      <c r="C80" s="83">
        <v>1012160456106</v>
      </c>
      <c r="D80" s="84" t="s">
        <v>327</v>
      </c>
      <c r="E80" s="199" t="s">
        <v>50</v>
      </c>
      <c r="F80" s="13"/>
      <c r="G80" s="200"/>
      <c r="H80" s="201">
        <f t="shared" si="143"/>
        <v>0</v>
      </c>
      <c r="I80" s="200"/>
      <c r="J80" s="200"/>
      <c r="K80" s="200"/>
      <c r="L80" s="200"/>
      <c r="M80" s="215"/>
      <c r="N80" s="215"/>
      <c r="O80" s="215"/>
      <c r="P80" s="210">
        <f t="shared" si="138"/>
        <v>0</v>
      </c>
      <c r="Q80" s="230">
        <f t="shared" ref="Q80:Q143" si="161">IF((P80-H80)&lt;0,(P80-H80),0)</f>
        <v>0</v>
      </c>
      <c r="R80" s="230">
        <f t="shared" si="144"/>
        <v>0</v>
      </c>
      <c r="S80" s="231"/>
      <c r="T80" s="232"/>
      <c r="U80" s="215"/>
      <c r="V80" s="215"/>
      <c r="W80" s="233">
        <f t="shared" si="145"/>
        <v>0</v>
      </c>
      <c r="X80" s="214"/>
      <c r="Y80" s="214"/>
      <c r="Z80" s="214"/>
      <c r="AA80" s="214"/>
      <c r="AB80" s="214"/>
      <c r="AC80" s="214"/>
      <c r="AD80" s="214"/>
      <c r="AE80" s="241">
        <f t="shared" si="146"/>
        <v>0</v>
      </c>
      <c r="AF80" s="242">
        <f t="shared" si="147"/>
        <v>0</v>
      </c>
      <c r="AG80" s="251">
        <f t="shared" si="148"/>
        <v>0</v>
      </c>
      <c r="AH80" s="247"/>
      <c r="AI80" s="252"/>
      <c r="AJ80" s="214"/>
      <c r="AK80" s="215"/>
      <c r="AL80" s="233">
        <f t="shared" si="149"/>
        <v>0</v>
      </c>
      <c r="AM80" s="255"/>
      <c r="AN80" s="214"/>
      <c r="AO80" s="214"/>
      <c r="AP80" s="214"/>
      <c r="AQ80" s="214"/>
      <c r="AR80" s="214"/>
      <c r="AS80" s="255"/>
      <c r="AT80" s="241">
        <f t="shared" si="150"/>
        <v>0</v>
      </c>
      <c r="AU80" s="242">
        <f t="shared" si="151"/>
        <v>0</v>
      </c>
      <c r="AV80" s="251">
        <f t="shared" si="152"/>
        <v>0</v>
      </c>
      <c r="AW80" s="247"/>
      <c r="AX80" s="247"/>
      <c r="AY80" s="252"/>
      <c r="AZ80" s="214"/>
      <c r="BA80" s="215"/>
      <c r="BB80" s="233">
        <f t="shared" si="153"/>
        <v>0</v>
      </c>
      <c r="BC80" s="214"/>
      <c r="BD80" s="214"/>
      <c r="BE80" s="255"/>
      <c r="BF80" s="214"/>
      <c r="BG80" s="214"/>
      <c r="BH80" s="214"/>
      <c r="BI80" s="214"/>
      <c r="BJ80" s="241">
        <f t="shared" si="154"/>
        <v>0</v>
      </c>
      <c r="BK80" s="242">
        <f t="shared" si="139"/>
        <v>0</v>
      </c>
      <c r="BL80" s="251">
        <f t="shared" si="140"/>
        <v>0</v>
      </c>
      <c r="BM80" s="342"/>
      <c r="BN80" s="342"/>
      <c r="BO80" s="13"/>
      <c r="BP80" s="215"/>
      <c r="BQ80" s="233">
        <f t="shared" si="155"/>
        <v>0</v>
      </c>
      <c r="BR80" s="214"/>
      <c r="BS80" s="214"/>
      <c r="BT80" s="214"/>
      <c r="BU80" s="214"/>
      <c r="BV80" s="215"/>
      <c r="BW80" s="215"/>
      <c r="BX80" s="215"/>
      <c r="BY80" s="241">
        <f t="shared" si="156"/>
        <v>0</v>
      </c>
      <c r="BZ80" s="242">
        <f t="shared" ref="BZ80:BZ142" si="162">IF((BY80-BQ80)&lt;0,(BY80-BQ80),0)</f>
        <v>0</v>
      </c>
      <c r="CA80" s="251">
        <f t="shared" si="157"/>
        <v>0</v>
      </c>
      <c r="CB80" s="252"/>
      <c r="CC80" s="252"/>
      <c r="CD80" s="251">
        <f t="shared" si="136"/>
        <v>0</v>
      </c>
      <c r="CE80" s="251">
        <f t="shared" si="141"/>
        <v>0</v>
      </c>
      <c r="CF80" s="251">
        <f t="shared" si="158"/>
        <v>0</v>
      </c>
      <c r="CG80" s="251">
        <f t="shared" si="159"/>
        <v>0</v>
      </c>
      <c r="CH80" s="265"/>
      <c r="CI80" s="266"/>
      <c r="CJ80" s="266"/>
      <c r="CK80" s="63"/>
      <c r="CL80" s="267">
        <f t="shared" si="142"/>
        <v>0</v>
      </c>
      <c r="CM80" s="267">
        <f t="shared" si="137"/>
        <v>0</v>
      </c>
      <c r="CN80" s="267">
        <f t="shared" si="160"/>
        <v>0</v>
      </c>
    </row>
    <row r="81" spans="2:92" ht="15.75">
      <c r="B81" s="87" t="s">
        <v>328</v>
      </c>
      <c r="C81" s="86">
        <v>1012160456107</v>
      </c>
      <c r="D81" s="87" t="s">
        <v>329</v>
      </c>
      <c r="E81" s="202" t="s">
        <v>50</v>
      </c>
      <c r="F81" s="207"/>
      <c r="G81" s="203"/>
      <c r="H81" s="204">
        <f t="shared" si="143"/>
        <v>0</v>
      </c>
      <c r="I81" s="203"/>
      <c r="J81" s="203"/>
      <c r="K81" s="203"/>
      <c r="L81" s="203"/>
      <c r="M81" s="213"/>
      <c r="N81" s="213"/>
      <c r="O81" s="213"/>
      <c r="P81" s="211">
        <f t="shared" si="138"/>
        <v>0</v>
      </c>
      <c r="Q81" s="234">
        <f t="shared" si="161"/>
        <v>0</v>
      </c>
      <c r="R81" s="234">
        <f t="shared" si="144"/>
        <v>0</v>
      </c>
      <c r="S81" s="231"/>
      <c r="T81" s="232"/>
      <c r="U81" s="213"/>
      <c r="V81" s="213"/>
      <c r="W81" s="235">
        <f t="shared" si="145"/>
        <v>0</v>
      </c>
      <c r="X81" s="212"/>
      <c r="Y81" s="212"/>
      <c r="Z81" s="212"/>
      <c r="AA81" s="212"/>
      <c r="AB81" s="212"/>
      <c r="AC81" s="212"/>
      <c r="AD81" s="212"/>
      <c r="AE81" s="243">
        <f t="shared" si="146"/>
        <v>0</v>
      </c>
      <c r="AF81" s="244">
        <f t="shared" si="147"/>
        <v>0</v>
      </c>
      <c r="AG81" s="253">
        <f t="shared" si="148"/>
        <v>0</v>
      </c>
      <c r="AH81" s="247"/>
      <c r="AI81" s="252"/>
      <c r="AJ81" s="212"/>
      <c r="AK81" s="213"/>
      <c r="AL81" s="235">
        <f t="shared" si="149"/>
        <v>0</v>
      </c>
      <c r="AM81" s="254"/>
      <c r="AN81" s="212"/>
      <c r="AO81" s="212"/>
      <c r="AP81" s="212"/>
      <c r="AQ81" s="212"/>
      <c r="AR81" s="212"/>
      <c r="AS81" s="254"/>
      <c r="AT81" s="243">
        <f t="shared" si="150"/>
        <v>0</v>
      </c>
      <c r="AU81" s="244">
        <f t="shared" si="151"/>
        <v>0</v>
      </c>
      <c r="AV81" s="253">
        <f t="shared" si="152"/>
        <v>0</v>
      </c>
      <c r="AW81" s="247"/>
      <c r="AX81" s="247"/>
      <c r="AY81" s="252"/>
      <c r="AZ81" s="212"/>
      <c r="BA81" s="213"/>
      <c r="BB81" s="235">
        <f t="shared" si="153"/>
        <v>0</v>
      </c>
      <c r="BC81" s="212"/>
      <c r="BD81" s="212"/>
      <c r="BE81" s="254"/>
      <c r="BF81" s="212"/>
      <c r="BG81" s="212"/>
      <c r="BH81" s="212"/>
      <c r="BI81" s="212"/>
      <c r="BJ81" s="243">
        <f t="shared" si="154"/>
        <v>0</v>
      </c>
      <c r="BK81" s="244">
        <f t="shared" si="139"/>
        <v>0</v>
      </c>
      <c r="BL81" s="253">
        <f t="shared" si="140"/>
        <v>0</v>
      </c>
      <c r="BM81" s="342"/>
      <c r="BN81" s="342"/>
      <c r="BO81" s="207"/>
      <c r="BP81" s="213"/>
      <c r="BQ81" s="235">
        <f t="shared" si="155"/>
        <v>0</v>
      </c>
      <c r="BR81" s="212"/>
      <c r="BS81" s="212"/>
      <c r="BT81" s="212"/>
      <c r="BU81" s="212"/>
      <c r="BV81" s="213"/>
      <c r="BW81" s="213"/>
      <c r="BX81" s="213"/>
      <c r="BY81" s="243">
        <f t="shared" si="156"/>
        <v>0</v>
      </c>
      <c r="BZ81" s="244">
        <f t="shared" si="162"/>
        <v>0</v>
      </c>
      <c r="CA81" s="253">
        <f t="shared" si="157"/>
        <v>0</v>
      </c>
      <c r="CB81" s="328"/>
      <c r="CC81" s="252"/>
      <c r="CD81" s="253">
        <f t="shared" si="136"/>
        <v>0</v>
      </c>
      <c r="CE81" s="253">
        <f t="shared" si="141"/>
        <v>0</v>
      </c>
      <c r="CF81" s="253">
        <f t="shared" si="158"/>
        <v>0</v>
      </c>
      <c r="CG81" s="253">
        <f t="shared" si="159"/>
        <v>0</v>
      </c>
      <c r="CH81" s="265"/>
      <c r="CI81" s="266"/>
      <c r="CJ81" s="266"/>
      <c r="CK81" s="63"/>
      <c r="CL81" s="267">
        <f t="shared" si="142"/>
        <v>0</v>
      </c>
      <c r="CM81" s="267">
        <f t="shared" si="137"/>
        <v>0</v>
      </c>
      <c r="CN81" s="267">
        <f t="shared" si="160"/>
        <v>0</v>
      </c>
    </row>
    <row r="82" spans="2:92" ht="15.75">
      <c r="B82" s="340" t="s">
        <v>330</v>
      </c>
      <c r="C82" s="83">
        <v>1012160461911</v>
      </c>
      <c r="D82" s="84" t="s">
        <v>331</v>
      </c>
      <c r="E82" s="199" t="s">
        <v>99</v>
      </c>
      <c r="F82" s="416">
        <v>1520</v>
      </c>
      <c r="G82" s="200"/>
      <c r="H82" s="201">
        <f t="shared" si="143"/>
        <v>1520</v>
      </c>
      <c r="I82" s="417"/>
      <c r="J82" s="417"/>
      <c r="K82" s="417"/>
      <c r="L82" s="417">
        <f>1400+120</f>
        <v>1520</v>
      </c>
      <c r="M82" s="418"/>
      <c r="N82" s="418"/>
      <c r="O82" s="418"/>
      <c r="P82" s="210">
        <f t="shared" si="138"/>
        <v>1520</v>
      </c>
      <c r="Q82" s="230">
        <f t="shared" si="161"/>
        <v>0</v>
      </c>
      <c r="R82" s="230">
        <f t="shared" si="144"/>
        <v>0</v>
      </c>
      <c r="S82" s="231"/>
      <c r="T82" s="232"/>
      <c r="U82" s="215"/>
      <c r="V82" s="215"/>
      <c r="W82" s="233">
        <f t="shared" si="145"/>
        <v>0</v>
      </c>
      <c r="X82" s="214"/>
      <c r="Y82" s="214"/>
      <c r="Z82" s="214"/>
      <c r="AA82" s="214"/>
      <c r="AB82" s="214"/>
      <c r="AC82" s="214"/>
      <c r="AD82" s="214"/>
      <c r="AE82" s="241">
        <f t="shared" si="146"/>
        <v>0</v>
      </c>
      <c r="AF82" s="242">
        <f t="shared" si="147"/>
        <v>0</v>
      </c>
      <c r="AG82" s="251">
        <f t="shared" si="148"/>
        <v>0</v>
      </c>
      <c r="AH82" s="247"/>
      <c r="AI82" s="252"/>
      <c r="AJ82" s="214"/>
      <c r="AK82" s="215"/>
      <c r="AL82" s="233">
        <f t="shared" si="149"/>
        <v>0</v>
      </c>
      <c r="AM82" s="255"/>
      <c r="AN82" s="214"/>
      <c r="AO82" s="214"/>
      <c r="AP82" s="214"/>
      <c r="AQ82" s="214"/>
      <c r="AR82" s="214"/>
      <c r="AS82" s="255"/>
      <c r="AT82" s="241">
        <f t="shared" si="150"/>
        <v>0</v>
      </c>
      <c r="AU82" s="242">
        <f t="shared" si="151"/>
        <v>0</v>
      </c>
      <c r="AV82" s="251">
        <f t="shared" si="152"/>
        <v>0</v>
      </c>
      <c r="AW82" s="247"/>
      <c r="AX82" s="247"/>
      <c r="AY82" s="252"/>
      <c r="AZ82" s="214"/>
      <c r="BA82" s="215"/>
      <c r="BB82" s="233">
        <f t="shared" si="153"/>
        <v>0</v>
      </c>
      <c r="BC82" s="214"/>
      <c r="BD82" s="214"/>
      <c r="BE82" s="255"/>
      <c r="BF82" s="214"/>
      <c r="BG82" s="214"/>
      <c r="BH82" s="214"/>
      <c r="BI82" s="214"/>
      <c r="BJ82" s="241">
        <f t="shared" si="154"/>
        <v>0</v>
      </c>
      <c r="BK82" s="242">
        <f t="shared" si="139"/>
        <v>0</v>
      </c>
      <c r="BL82" s="251">
        <f t="shared" si="140"/>
        <v>0</v>
      </c>
      <c r="BM82" s="342"/>
      <c r="BN82" s="342"/>
      <c r="BO82" s="206"/>
      <c r="BP82" s="215"/>
      <c r="BQ82" s="233">
        <f t="shared" si="155"/>
        <v>0</v>
      </c>
      <c r="BR82" s="214"/>
      <c r="BS82" s="214"/>
      <c r="BT82" s="214"/>
      <c r="BU82" s="214"/>
      <c r="BV82" s="215"/>
      <c r="BW82" s="215"/>
      <c r="BX82" s="215"/>
      <c r="BY82" s="241">
        <f t="shared" si="156"/>
        <v>0</v>
      </c>
      <c r="BZ82" s="242">
        <f t="shared" si="162"/>
        <v>0</v>
      </c>
      <c r="CA82" s="251">
        <f t="shared" si="157"/>
        <v>0</v>
      </c>
      <c r="CB82" s="252"/>
      <c r="CC82" s="252"/>
      <c r="CD82" s="251">
        <f t="shared" si="136"/>
        <v>1520</v>
      </c>
      <c r="CE82" s="353">
        <f t="shared" si="141"/>
        <v>1520</v>
      </c>
      <c r="CF82" s="251">
        <f t="shared" si="158"/>
        <v>0</v>
      </c>
      <c r="CG82" s="251">
        <f t="shared" si="159"/>
        <v>0</v>
      </c>
      <c r="CH82" s="265"/>
      <c r="CI82" s="266"/>
      <c r="CJ82" s="266"/>
      <c r="CK82" s="63"/>
      <c r="CL82" s="267">
        <f t="shared" si="142"/>
        <v>1</v>
      </c>
      <c r="CM82" s="267">
        <f t="shared" si="137"/>
        <v>2.6352288488210817E-2</v>
      </c>
      <c r="CN82" s="267">
        <f t="shared" si="160"/>
        <v>2.6352288488210817E-2</v>
      </c>
    </row>
    <row r="83" spans="2:92" ht="15.75">
      <c r="B83" s="85" t="s">
        <v>330</v>
      </c>
      <c r="C83" s="86">
        <v>1012160461911</v>
      </c>
      <c r="D83" s="87" t="s">
        <v>332</v>
      </c>
      <c r="E83" s="202" t="s">
        <v>99</v>
      </c>
      <c r="F83" s="415"/>
      <c r="G83" s="203"/>
      <c r="H83" s="204">
        <f t="shared" si="143"/>
        <v>0</v>
      </c>
      <c r="I83" s="419"/>
      <c r="J83" s="419"/>
      <c r="K83" s="419"/>
      <c r="L83" s="419"/>
      <c r="M83" s="420"/>
      <c r="N83" s="420"/>
      <c r="O83" s="420"/>
      <c r="P83" s="211">
        <f t="shared" si="138"/>
        <v>0</v>
      </c>
      <c r="Q83" s="234">
        <f t="shared" si="161"/>
        <v>0</v>
      </c>
      <c r="R83" s="234">
        <f t="shared" si="144"/>
        <v>0</v>
      </c>
      <c r="S83" s="231"/>
      <c r="T83" s="232"/>
      <c r="U83" s="213"/>
      <c r="V83" s="213"/>
      <c r="W83" s="235">
        <f t="shared" si="145"/>
        <v>0</v>
      </c>
      <c r="X83" s="212"/>
      <c r="Y83" s="212"/>
      <c r="Z83" s="212"/>
      <c r="AA83" s="212"/>
      <c r="AB83" s="212"/>
      <c r="AC83" s="212"/>
      <c r="AD83" s="212"/>
      <c r="AE83" s="243">
        <f t="shared" si="146"/>
        <v>0</v>
      </c>
      <c r="AF83" s="244">
        <f t="shared" si="147"/>
        <v>0</v>
      </c>
      <c r="AG83" s="253">
        <f t="shared" si="148"/>
        <v>0</v>
      </c>
      <c r="AH83" s="247"/>
      <c r="AI83" s="252"/>
      <c r="AJ83" s="212"/>
      <c r="AK83" s="213"/>
      <c r="AL83" s="235">
        <f t="shared" si="149"/>
        <v>0</v>
      </c>
      <c r="AM83" s="254"/>
      <c r="AN83" s="212"/>
      <c r="AO83" s="212"/>
      <c r="AP83" s="212"/>
      <c r="AQ83" s="212"/>
      <c r="AR83" s="212"/>
      <c r="AS83" s="254"/>
      <c r="AT83" s="243">
        <f t="shared" si="150"/>
        <v>0</v>
      </c>
      <c r="AU83" s="244">
        <f t="shared" si="151"/>
        <v>0</v>
      </c>
      <c r="AV83" s="253">
        <f t="shared" si="152"/>
        <v>0</v>
      </c>
      <c r="AW83" s="247"/>
      <c r="AX83" s="247"/>
      <c r="AY83" s="252"/>
      <c r="AZ83" s="212"/>
      <c r="BA83" s="213"/>
      <c r="BB83" s="235">
        <f t="shared" si="153"/>
        <v>0</v>
      </c>
      <c r="BC83" s="212"/>
      <c r="BD83" s="212"/>
      <c r="BE83" s="254"/>
      <c r="BF83" s="212"/>
      <c r="BG83" s="212"/>
      <c r="BH83" s="212"/>
      <c r="BI83" s="212"/>
      <c r="BJ83" s="243">
        <f t="shared" si="154"/>
        <v>0</v>
      </c>
      <c r="BK83" s="244">
        <f t="shared" si="139"/>
        <v>0</v>
      </c>
      <c r="BL83" s="253">
        <f t="shared" si="140"/>
        <v>0</v>
      </c>
      <c r="BM83" s="342"/>
      <c r="BN83" s="342"/>
      <c r="BO83" s="205"/>
      <c r="BP83" s="213"/>
      <c r="BQ83" s="235">
        <f t="shared" si="155"/>
        <v>0</v>
      </c>
      <c r="BR83" s="212"/>
      <c r="BS83" s="212"/>
      <c r="BT83" s="212"/>
      <c r="BU83" s="212"/>
      <c r="BV83" s="213"/>
      <c r="BW83" s="213"/>
      <c r="BX83" s="213"/>
      <c r="BY83" s="243">
        <f t="shared" si="156"/>
        <v>0</v>
      </c>
      <c r="BZ83" s="244">
        <f t="shared" si="162"/>
        <v>0</v>
      </c>
      <c r="CA83" s="253">
        <f t="shared" si="157"/>
        <v>0</v>
      </c>
      <c r="CB83" s="328"/>
      <c r="CC83" s="252"/>
      <c r="CD83" s="253">
        <f t="shared" si="136"/>
        <v>0</v>
      </c>
      <c r="CE83" s="253">
        <f t="shared" si="141"/>
        <v>0</v>
      </c>
      <c r="CF83" s="253">
        <f t="shared" si="158"/>
        <v>0</v>
      </c>
      <c r="CG83" s="253">
        <f t="shared" si="159"/>
        <v>0</v>
      </c>
      <c r="CH83" s="265"/>
      <c r="CI83" s="266"/>
      <c r="CJ83" s="266"/>
      <c r="CK83" s="63"/>
      <c r="CL83" s="267">
        <f t="shared" si="142"/>
        <v>0</v>
      </c>
      <c r="CM83" s="267">
        <f t="shared" si="137"/>
        <v>0</v>
      </c>
      <c r="CN83" s="267">
        <f t="shared" si="160"/>
        <v>0</v>
      </c>
    </row>
    <row r="84" spans="2:92" ht="15.75">
      <c r="B84" s="344" t="s">
        <v>330</v>
      </c>
      <c r="C84" s="83">
        <v>1012160461911</v>
      </c>
      <c r="D84" s="84" t="s">
        <v>333</v>
      </c>
      <c r="E84" s="199" t="s">
        <v>99</v>
      </c>
      <c r="F84" s="414">
        <v>720</v>
      </c>
      <c r="G84" s="200"/>
      <c r="H84" s="201">
        <f t="shared" si="143"/>
        <v>720</v>
      </c>
      <c r="I84" s="417"/>
      <c r="J84" s="417"/>
      <c r="K84" s="417"/>
      <c r="L84" s="417">
        <v>360</v>
      </c>
      <c r="M84" s="418">
        <v>378</v>
      </c>
      <c r="N84" s="418"/>
      <c r="O84" s="418"/>
      <c r="P84" s="210">
        <f t="shared" si="138"/>
        <v>738</v>
      </c>
      <c r="Q84" s="230">
        <f t="shared" si="161"/>
        <v>0</v>
      </c>
      <c r="R84" s="230">
        <f t="shared" si="144"/>
        <v>18</v>
      </c>
      <c r="S84" s="231"/>
      <c r="T84" s="232"/>
      <c r="U84" s="215"/>
      <c r="V84" s="215"/>
      <c r="W84" s="233">
        <f t="shared" si="145"/>
        <v>0</v>
      </c>
      <c r="X84" s="214"/>
      <c r="Y84" s="214"/>
      <c r="Z84" s="214"/>
      <c r="AA84" s="214"/>
      <c r="AB84" s="214"/>
      <c r="AC84" s="214"/>
      <c r="AD84" s="214"/>
      <c r="AE84" s="241">
        <f t="shared" si="146"/>
        <v>0</v>
      </c>
      <c r="AF84" s="242">
        <f t="shared" si="147"/>
        <v>0</v>
      </c>
      <c r="AG84" s="251">
        <f t="shared" si="148"/>
        <v>0</v>
      </c>
      <c r="AH84" s="247"/>
      <c r="AI84" s="252"/>
      <c r="AJ84" s="214"/>
      <c r="AK84" s="215"/>
      <c r="AL84" s="233">
        <f t="shared" si="149"/>
        <v>0</v>
      </c>
      <c r="AM84" s="255"/>
      <c r="AN84" s="214"/>
      <c r="AO84" s="214"/>
      <c r="AP84" s="214"/>
      <c r="AQ84" s="214"/>
      <c r="AR84" s="214"/>
      <c r="AS84" s="255"/>
      <c r="AT84" s="241">
        <f t="shared" si="150"/>
        <v>0</v>
      </c>
      <c r="AU84" s="242">
        <f t="shared" si="151"/>
        <v>0</v>
      </c>
      <c r="AV84" s="251">
        <f t="shared" si="152"/>
        <v>0</v>
      </c>
      <c r="AW84" s="247"/>
      <c r="AX84" s="247"/>
      <c r="AY84" s="252"/>
      <c r="AZ84" s="214"/>
      <c r="BA84" s="215"/>
      <c r="BB84" s="233">
        <f t="shared" si="153"/>
        <v>0</v>
      </c>
      <c r="BC84" s="214"/>
      <c r="BD84" s="214"/>
      <c r="BE84" s="255"/>
      <c r="BF84" s="214"/>
      <c r="BG84" s="214"/>
      <c r="BH84" s="214"/>
      <c r="BI84" s="214"/>
      <c r="BJ84" s="241">
        <f t="shared" si="154"/>
        <v>0</v>
      </c>
      <c r="BK84" s="242">
        <f t="shared" si="139"/>
        <v>0</v>
      </c>
      <c r="BL84" s="251">
        <f t="shared" si="140"/>
        <v>0</v>
      </c>
      <c r="BM84" s="342"/>
      <c r="BN84" s="342"/>
      <c r="BO84" s="13"/>
      <c r="BP84" s="215"/>
      <c r="BQ84" s="233">
        <f t="shared" si="155"/>
        <v>0</v>
      </c>
      <c r="BR84" s="214"/>
      <c r="BS84" s="214"/>
      <c r="BT84" s="214"/>
      <c r="BU84" s="214"/>
      <c r="BV84" s="215"/>
      <c r="BW84" s="215"/>
      <c r="BX84" s="215"/>
      <c r="BY84" s="241">
        <f t="shared" si="156"/>
        <v>0</v>
      </c>
      <c r="BZ84" s="242">
        <f t="shared" si="162"/>
        <v>0</v>
      </c>
      <c r="CA84" s="251">
        <f t="shared" si="157"/>
        <v>0</v>
      </c>
      <c r="CB84" s="252"/>
      <c r="CC84" s="252"/>
      <c r="CD84" s="251">
        <f t="shared" si="136"/>
        <v>720</v>
      </c>
      <c r="CE84" s="353">
        <f t="shared" si="141"/>
        <v>738</v>
      </c>
      <c r="CF84" s="251">
        <f t="shared" si="158"/>
        <v>0</v>
      </c>
      <c r="CG84" s="251">
        <f t="shared" si="159"/>
        <v>18</v>
      </c>
      <c r="CH84" s="265"/>
      <c r="CI84" s="266"/>
      <c r="CJ84" s="266"/>
      <c r="CK84" s="63"/>
      <c r="CL84" s="267">
        <f t="shared" si="142"/>
        <v>0.97560975609756095</v>
      </c>
      <c r="CM84" s="267">
        <f t="shared" si="137"/>
        <v>1.2482662968099861E-2</v>
      </c>
      <c r="CN84" s="267">
        <f t="shared" si="160"/>
        <v>1.2178207773755962E-2</v>
      </c>
    </row>
    <row r="85" spans="2:92" ht="15.75" hidden="1">
      <c r="B85" s="85" t="s">
        <v>146</v>
      </c>
      <c r="C85" s="86">
        <v>1012160456128</v>
      </c>
      <c r="D85" s="87" t="s">
        <v>147</v>
      </c>
      <c r="E85" s="202" t="s">
        <v>50</v>
      </c>
      <c r="F85" s="203"/>
      <c r="G85" s="203"/>
      <c r="H85" s="204">
        <f t="shared" si="143"/>
        <v>0</v>
      </c>
      <c r="I85" s="203"/>
      <c r="J85" s="203"/>
      <c r="K85" s="203"/>
      <c r="L85" s="203"/>
      <c r="M85" s="203"/>
      <c r="N85" s="203"/>
      <c r="O85" s="203"/>
      <c r="P85" s="211">
        <f t="shared" si="138"/>
        <v>0</v>
      </c>
      <c r="Q85" s="234">
        <f t="shared" si="161"/>
        <v>0</v>
      </c>
      <c r="R85" s="234">
        <f t="shared" si="144"/>
        <v>0</v>
      </c>
      <c r="S85" s="231"/>
      <c r="T85" s="232"/>
      <c r="U85" s="213"/>
      <c r="V85" s="213"/>
      <c r="W85" s="235">
        <f t="shared" si="145"/>
        <v>0</v>
      </c>
      <c r="X85" s="212"/>
      <c r="Y85" s="212"/>
      <c r="Z85" s="212"/>
      <c r="AA85" s="212"/>
      <c r="AB85" s="212"/>
      <c r="AC85" s="212"/>
      <c r="AD85" s="212"/>
      <c r="AE85" s="243">
        <f t="shared" si="146"/>
        <v>0</v>
      </c>
      <c r="AF85" s="244">
        <f t="shared" si="147"/>
        <v>0</v>
      </c>
      <c r="AG85" s="253">
        <f t="shared" si="148"/>
        <v>0</v>
      </c>
      <c r="AH85" s="247"/>
      <c r="AI85" s="252"/>
      <c r="AJ85" s="212"/>
      <c r="AK85" s="213"/>
      <c r="AL85" s="235">
        <f t="shared" si="149"/>
        <v>0</v>
      </c>
      <c r="AM85" s="254"/>
      <c r="AN85" s="212"/>
      <c r="AO85" s="212"/>
      <c r="AP85" s="212"/>
      <c r="AQ85" s="212"/>
      <c r="AR85" s="212"/>
      <c r="AS85" s="254"/>
      <c r="AT85" s="243">
        <f t="shared" si="150"/>
        <v>0</v>
      </c>
      <c r="AU85" s="244">
        <f t="shared" si="151"/>
        <v>0</v>
      </c>
      <c r="AV85" s="253">
        <f t="shared" si="152"/>
        <v>0</v>
      </c>
      <c r="AW85" s="247"/>
      <c r="AX85" s="247"/>
      <c r="AY85" s="252"/>
      <c r="AZ85" s="212"/>
      <c r="BA85" s="213"/>
      <c r="BB85" s="235">
        <f t="shared" si="153"/>
        <v>0</v>
      </c>
      <c r="BC85" s="212"/>
      <c r="BD85" s="212"/>
      <c r="BE85" s="254"/>
      <c r="BF85" s="212"/>
      <c r="BG85" s="212"/>
      <c r="BH85" s="212"/>
      <c r="BI85" s="212"/>
      <c r="BJ85" s="243">
        <f t="shared" si="154"/>
        <v>0</v>
      </c>
      <c r="BK85" s="244">
        <f t="shared" si="139"/>
        <v>0</v>
      </c>
      <c r="BL85" s="253">
        <f t="shared" si="140"/>
        <v>0</v>
      </c>
      <c r="BM85" s="342"/>
      <c r="BN85" s="342"/>
      <c r="BO85" s="205"/>
      <c r="BP85" s="213"/>
      <c r="BQ85" s="235">
        <f t="shared" si="155"/>
        <v>0</v>
      </c>
      <c r="BR85" s="212"/>
      <c r="BS85" s="212"/>
      <c r="BT85" s="212"/>
      <c r="BU85" s="212"/>
      <c r="BV85" s="213"/>
      <c r="BW85" s="213"/>
      <c r="BX85" s="213"/>
      <c r="BY85" s="243">
        <f t="shared" si="156"/>
        <v>0</v>
      </c>
      <c r="BZ85" s="244">
        <f t="shared" si="162"/>
        <v>0</v>
      </c>
      <c r="CA85" s="253">
        <f t="shared" si="157"/>
        <v>0</v>
      </c>
      <c r="CB85" s="328"/>
      <c r="CC85" s="252"/>
      <c r="CD85" s="253">
        <f t="shared" si="136"/>
        <v>0</v>
      </c>
      <c r="CE85" s="253">
        <f t="shared" si="141"/>
        <v>0</v>
      </c>
      <c r="CF85" s="253">
        <f t="shared" si="158"/>
        <v>0</v>
      </c>
      <c r="CG85" s="253">
        <f t="shared" si="159"/>
        <v>0</v>
      </c>
      <c r="CH85" s="265"/>
      <c r="CI85" s="266"/>
      <c r="CJ85" s="266"/>
      <c r="CK85" s="63"/>
      <c r="CL85" s="267">
        <f t="shared" si="142"/>
        <v>0</v>
      </c>
      <c r="CM85" s="267">
        <f t="shared" si="137"/>
        <v>0</v>
      </c>
      <c r="CN85" s="267">
        <f t="shared" si="160"/>
        <v>0</v>
      </c>
    </row>
    <row r="86" spans="2:92" ht="15.75" hidden="1">
      <c r="B86" s="82" t="s">
        <v>146</v>
      </c>
      <c r="C86" s="83">
        <v>1012160456128</v>
      </c>
      <c r="D86" s="84" t="s">
        <v>148</v>
      </c>
      <c r="E86" s="199" t="s">
        <v>50</v>
      </c>
      <c r="F86" s="200"/>
      <c r="G86" s="200"/>
      <c r="H86" s="201">
        <f t="shared" si="143"/>
        <v>0</v>
      </c>
      <c r="I86" s="200"/>
      <c r="J86" s="200"/>
      <c r="K86" s="200"/>
      <c r="L86" s="200"/>
      <c r="M86" s="200"/>
      <c r="N86" s="200"/>
      <c r="O86" s="200"/>
      <c r="P86" s="210">
        <f t="shared" si="138"/>
        <v>0</v>
      </c>
      <c r="Q86" s="230">
        <f t="shared" si="161"/>
        <v>0</v>
      </c>
      <c r="R86" s="230">
        <f t="shared" si="144"/>
        <v>0</v>
      </c>
      <c r="S86" s="231"/>
      <c r="T86" s="232"/>
      <c r="U86" s="215"/>
      <c r="V86" s="215"/>
      <c r="W86" s="233">
        <f t="shared" si="145"/>
        <v>0</v>
      </c>
      <c r="X86" s="214"/>
      <c r="Y86" s="214"/>
      <c r="Z86" s="214"/>
      <c r="AA86" s="214"/>
      <c r="AB86" s="214"/>
      <c r="AC86" s="214"/>
      <c r="AD86" s="214"/>
      <c r="AE86" s="241">
        <f t="shared" si="146"/>
        <v>0</v>
      </c>
      <c r="AF86" s="242">
        <f t="shared" si="147"/>
        <v>0</v>
      </c>
      <c r="AG86" s="251">
        <f t="shared" si="148"/>
        <v>0</v>
      </c>
      <c r="AH86" s="247"/>
      <c r="AI86" s="252"/>
      <c r="AJ86" s="214"/>
      <c r="AK86" s="215"/>
      <c r="AL86" s="233">
        <f t="shared" si="149"/>
        <v>0</v>
      </c>
      <c r="AM86" s="255"/>
      <c r="AN86" s="214"/>
      <c r="AO86" s="214"/>
      <c r="AP86" s="214"/>
      <c r="AQ86" s="214"/>
      <c r="AR86" s="214"/>
      <c r="AS86" s="255"/>
      <c r="AT86" s="241">
        <f t="shared" si="150"/>
        <v>0</v>
      </c>
      <c r="AU86" s="242">
        <f t="shared" si="151"/>
        <v>0</v>
      </c>
      <c r="AV86" s="251">
        <f t="shared" si="152"/>
        <v>0</v>
      </c>
      <c r="AW86" s="247"/>
      <c r="AX86" s="247"/>
      <c r="AY86" s="252"/>
      <c r="AZ86" s="214"/>
      <c r="BA86" s="215"/>
      <c r="BB86" s="233">
        <f t="shared" si="153"/>
        <v>0</v>
      </c>
      <c r="BC86" s="214"/>
      <c r="BD86" s="214"/>
      <c r="BE86" s="255"/>
      <c r="BF86" s="214"/>
      <c r="BG86" s="214"/>
      <c r="BH86" s="214"/>
      <c r="BI86" s="214"/>
      <c r="BJ86" s="241">
        <f t="shared" si="154"/>
        <v>0</v>
      </c>
      <c r="BK86" s="242">
        <f t="shared" si="139"/>
        <v>0</v>
      </c>
      <c r="BL86" s="251">
        <f t="shared" si="140"/>
        <v>0</v>
      </c>
      <c r="BM86" s="342"/>
      <c r="BN86" s="342"/>
      <c r="BO86" s="13"/>
      <c r="BP86" s="215"/>
      <c r="BQ86" s="233">
        <f t="shared" si="155"/>
        <v>0</v>
      </c>
      <c r="BR86" s="214"/>
      <c r="BS86" s="214"/>
      <c r="BT86" s="214"/>
      <c r="BU86" s="214"/>
      <c r="BV86" s="215"/>
      <c r="BW86" s="215"/>
      <c r="BX86" s="215"/>
      <c r="BY86" s="241">
        <f t="shared" si="156"/>
        <v>0</v>
      </c>
      <c r="BZ86" s="242">
        <f t="shared" si="162"/>
        <v>0</v>
      </c>
      <c r="CA86" s="251">
        <f t="shared" si="157"/>
        <v>0</v>
      </c>
      <c r="CB86" s="252"/>
      <c r="CC86" s="252"/>
      <c r="CD86" s="251">
        <f t="shared" si="136"/>
        <v>0</v>
      </c>
      <c r="CE86" s="251">
        <f t="shared" si="141"/>
        <v>0</v>
      </c>
      <c r="CF86" s="251">
        <f t="shared" si="158"/>
        <v>0</v>
      </c>
      <c r="CG86" s="251">
        <f t="shared" si="159"/>
        <v>0</v>
      </c>
      <c r="CH86" s="265"/>
      <c r="CI86" s="266"/>
      <c r="CJ86" s="266"/>
      <c r="CK86" s="63"/>
      <c r="CL86" s="267">
        <f t="shared" si="142"/>
        <v>0</v>
      </c>
      <c r="CM86" s="267">
        <f t="shared" si="137"/>
        <v>0</v>
      </c>
      <c r="CN86" s="267">
        <f t="shared" si="160"/>
        <v>0</v>
      </c>
    </row>
    <row r="87" spans="2:92" ht="15.75" hidden="1">
      <c r="B87" s="85" t="s">
        <v>149</v>
      </c>
      <c r="C87" s="86">
        <v>1012160456053</v>
      </c>
      <c r="D87" s="87" t="s">
        <v>150</v>
      </c>
      <c r="E87" s="202" t="s">
        <v>47</v>
      </c>
      <c r="F87" s="203"/>
      <c r="G87" s="203"/>
      <c r="H87" s="204">
        <f t="shared" si="143"/>
        <v>0</v>
      </c>
      <c r="I87" s="203"/>
      <c r="J87" s="203"/>
      <c r="K87" s="203"/>
      <c r="L87" s="203"/>
      <c r="M87" s="203"/>
      <c r="N87" s="203"/>
      <c r="O87" s="203"/>
      <c r="P87" s="211">
        <f t="shared" si="138"/>
        <v>0</v>
      </c>
      <c r="Q87" s="234">
        <f t="shared" si="161"/>
        <v>0</v>
      </c>
      <c r="R87" s="234">
        <f t="shared" si="144"/>
        <v>0</v>
      </c>
      <c r="S87" s="231"/>
      <c r="T87" s="232"/>
      <c r="U87" s="213"/>
      <c r="V87" s="213"/>
      <c r="W87" s="235">
        <f t="shared" si="145"/>
        <v>0</v>
      </c>
      <c r="X87" s="212"/>
      <c r="Y87" s="212"/>
      <c r="Z87" s="212"/>
      <c r="AA87" s="212"/>
      <c r="AB87" s="212"/>
      <c r="AC87" s="212"/>
      <c r="AD87" s="212"/>
      <c r="AE87" s="243">
        <f t="shared" si="146"/>
        <v>0</v>
      </c>
      <c r="AF87" s="244">
        <f t="shared" si="147"/>
        <v>0</v>
      </c>
      <c r="AG87" s="253">
        <f t="shared" si="148"/>
        <v>0</v>
      </c>
      <c r="AH87" s="247"/>
      <c r="AI87" s="252"/>
      <c r="AJ87" s="212"/>
      <c r="AK87" s="213"/>
      <c r="AL87" s="235">
        <f t="shared" si="149"/>
        <v>0</v>
      </c>
      <c r="AM87" s="254"/>
      <c r="AN87" s="212"/>
      <c r="AO87" s="212"/>
      <c r="AP87" s="212"/>
      <c r="AQ87" s="212"/>
      <c r="AR87" s="212"/>
      <c r="AS87" s="254"/>
      <c r="AT87" s="243">
        <f t="shared" si="150"/>
        <v>0</v>
      </c>
      <c r="AU87" s="244">
        <f t="shared" si="151"/>
        <v>0</v>
      </c>
      <c r="AV87" s="253">
        <f t="shared" si="152"/>
        <v>0</v>
      </c>
      <c r="AW87" s="247"/>
      <c r="AX87" s="247"/>
      <c r="AY87" s="252"/>
      <c r="AZ87" s="212"/>
      <c r="BA87" s="213"/>
      <c r="BB87" s="235">
        <f t="shared" si="153"/>
        <v>0</v>
      </c>
      <c r="BC87" s="212"/>
      <c r="BD87" s="212"/>
      <c r="BE87" s="254"/>
      <c r="BF87" s="212"/>
      <c r="BG87" s="212"/>
      <c r="BH87" s="212"/>
      <c r="BI87" s="212"/>
      <c r="BJ87" s="243">
        <f t="shared" si="154"/>
        <v>0</v>
      </c>
      <c r="BK87" s="244">
        <f t="shared" si="139"/>
        <v>0</v>
      </c>
      <c r="BL87" s="253">
        <f t="shared" si="140"/>
        <v>0</v>
      </c>
      <c r="BM87" s="342"/>
      <c r="BN87" s="342"/>
      <c r="BO87" s="205"/>
      <c r="BP87" s="213"/>
      <c r="BQ87" s="235">
        <f t="shared" si="155"/>
        <v>0</v>
      </c>
      <c r="BR87" s="212"/>
      <c r="BS87" s="212"/>
      <c r="BT87" s="212"/>
      <c r="BU87" s="212"/>
      <c r="BV87" s="213"/>
      <c r="BW87" s="213"/>
      <c r="BX87" s="213"/>
      <c r="BY87" s="243">
        <f t="shared" si="156"/>
        <v>0</v>
      </c>
      <c r="BZ87" s="244">
        <f t="shared" si="162"/>
        <v>0</v>
      </c>
      <c r="CA87" s="253">
        <f t="shared" si="157"/>
        <v>0</v>
      </c>
      <c r="CB87" s="328"/>
      <c r="CC87" s="252"/>
      <c r="CD87" s="253">
        <f t="shared" si="136"/>
        <v>0</v>
      </c>
      <c r="CE87" s="253">
        <f t="shared" si="141"/>
        <v>0</v>
      </c>
      <c r="CF87" s="253">
        <f t="shared" si="158"/>
        <v>0</v>
      </c>
      <c r="CG87" s="253">
        <f t="shared" si="159"/>
        <v>0</v>
      </c>
      <c r="CH87" s="265"/>
      <c r="CI87" s="266"/>
      <c r="CJ87" s="266"/>
      <c r="CK87" s="63"/>
      <c r="CL87" s="267">
        <f t="shared" si="142"/>
        <v>0</v>
      </c>
      <c r="CM87" s="267">
        <f t="shared" si="137"/>
        <v>0</v>
      </c>
      <c r="CN87" s="267">
        <f t="shared" si="160"/>
        <v>0</v>
      </c>
    </row>
    <row r="88" spans="2:92" ht="15.75" hidden="1">
      <c r="B88" s="82" t="s">
        <v>149</v>
      </c>
      <c r="C88" s="83">
        <v>1012160456053</v>
      </c>
      <c r="D88" s="84" t="s">
        <v>151</v>
      </c>
      <c r="E88" s="199" t="s">
        <v>47</v>
      </c>
      <c r="F88" s="200"/>
      <c r="G88" s="200"/>
      <c r="H88" s="201">
        <f t="shared" si="143"/>
        <v>0</v>
      </c>
      <c r="I88" s="200"/>
      <c r="J88" s="200"/>
      <c r="K88" s="200"/>
      <c r="L88" s="200"/>
      <c r="M88" s="200"/>
      <c r="N88" s="200"/>
      <c r="O88" s="200"/>
      <c r="P88" s="210">
        <f t="shared" si="138"/>
        <v>0</v>
      </c>
      <c r="Q88" s="230">
        <f t="shared" si="161"/>
        <v>0</v>
      </c>
      <c r="R88" s="230">
        <f t="shared" si="144"/>
        <v>0</v>
      </c>
      <c r="S88" s="231"/>
      <c r="T88" s="232"/>
      <c r="U88" s="215"/>
      <c r="V88" s="215"/>
      <c r="W88" s="233">
        <f t="shared" si="145"/>
        <v>0</v>
      </c>
      <c r="X88" s="214"/>
      <c r="Y88" s="214"/>
      <c r="Z88" s="214"/>
      <c r="AA88" s="214"/>
      <c r="AB88" s="214"/>
      <c r="AC88" s="214"/>
      <c r="AD88" s="214"/>
      <c r="AE88" s="241">
        <f t="shared" si="146"/>
        <v>0</v>
      </c>
      <c r="AF88" s="242">
        <f t="shared" si="147"/>
        <v>0</v>
      </c>
      <c r="AG88" s="251">
        <f t="shared" si="148"/>
        <v>0</v>
      </c>
      <c r="AH88" s="247"/>
      <c r="AI88" s="252"/>
      <c r="AJ88" s="214"/>
      <c r="AK88" s="215"/>
      <c r="AL88" s="233">
        <f t="shared" si="149"/>
        <v>0</v>
      </c>
      <c r="AM88" s="255"/>
      <c r="AN88" s="214"/>
      <c r="AO88" s="214"/>
      <c r="AP88" s="214"/>
      <c r="AQ88" s="214"/>
      <c r="AR88" s="214"/>
      <c r="AS88" s="255"/>
      <c r="AT88" s="241">
        <f t="shared" si="150"/>
        <v>0</v>
      </c>
      <c r="AU88" s="242">
        <f t="shared" si="151"/>
        <v>0</v>
      </c>
      <c r="AV88" s="251">
        <f t="shared" si="152"/>
        <v>0</v>
      </c>
      <c r="AW88" s="247"/>
      <c r="AX88" s="247"/>
      <c r="AY88" s="252"/>
      <c r="AZ88" s="214"/>
      <c r="BA88" s="215"/>
      <c r="BB88" s="233">
        <f t="shared" si="153"/>
        <v>0</v>
      </c>
      <c r="BC88" s="214"/>
      <c r="BD88" s="214"/>
      <c r="BE88" s="255"/>
      <c r="BF88" s="214"/>
      <c r="BG88" s="214"/>
      <c r="BH88" s="214"/>
      <c r="BI88" s="214"/>
      <c r="BJ88" s="241">
        <f t="shared" si="154"/>
        <v>0</v>
      </c>
      <c r="BK88" s="242">
        <f t="shared" si="139"/>
        <v>0</v>
      </c>
      <c r="BL88" s="251">
        <f t="shared" si="140"/>
        <v>0</v>
      </c>
      <c r="BM88" s="342"/>
      <c r="BN88" s="342"/>
      <c r="BO88" s="13"/>
      <c r="BP88" s="215"/>
      <c r="BQ88" s="233">
        <f t="shared" si="155"/>
        <v>0</v>
      </c>
      <c r="BR88" s="214"/>
      <c r="BS88" s="214"/>
      <c r="BT88" s="214"/>
      <c r="BU88" s="214"/>
      <c r="BV88" s="215"/>
      <c r="BW88" s="215"/>
      <c r="BX88" s="215"/>
      <c r="BY88" s="241">
        <f t="shared" si="156"/>
        <v>0</v>
      </c>
      <c r="BZ88" s="242">
        <f t="shared" si="162"/>
        <v>0</v>
      </c>
      <c r="CA88" s="251">
        <f t="shared" si="157"/>
        <v>0</v>
      </c>
      <c r="CB88" s="252"/>
      <c r="CC88" s="252"/>
      <c r="CD88" s="251">
        <f t="shared" si="136"/>
        <v>0</v>
      </c>
      <c r="CE88" s="251">
        <f t="shared" si="141"/>
        <v>0</v>
      </c>
      <c r="CF88" s="251">
        <f t="shared" si="158"/>
        <v>0</v>
      </c>
      <c r="CG88" s="251">
        <f t="shared" si="159"/>
        <v>0</v>
      </c>
      <c r="CH88" s="265"/>
      <c r="CI88" s="266"/>
      <c r="CJ88" s="266"/>
      <c r="CK88" s="63"/>
      <c r="CL88" s="267">
        <f t="shared" si="142"/>
        <v>0</v>
      </c>
      <c r="CM88" s="267">
        <f t="shared" si="137"/>
        <v>0</v>
      </c>
      <c r="CN88" s="267">
        <f t="shared" si="160"/>
        <v>0</v>
      </c>
    </row>
    <row r="89" spans="2:92" ht="15.75" hidden="1">
      <c r="B89" s="85" t="s">
        <v>152</v>
      </c>
      <c r="C89" s="86">
        <v>1012160456055</v>
      </c>
      <c r="D89" s="87" t="s">
        <v>153</v>
      </c>
      <c r="E89" s="202" t="s">
        <v>47</v>
      </c>
      <c r="F89" s="203"/>
      <c r="G89" s="203"/>
      <c r="H89" s="204">
        <f t="shared" si="143"/>
        <v>0</v>
      </c>
      <c r="I89" s="203"/>
      <c r="J89" s="203"/>
      <c r="K89" s="203"/>
      <c r="L89" s="203"/>
      <c r="M89" s="203"/>
      <c r="N89" s="203"/>
      <c r="O89" s="203"/>
      <c r="P89" s="211">
        <f t="shared" si="138"/>
        <v>0</v>
      </c>
      <c r="Q89" s="234">
        <f t="shared" si="161"/>
        <v>0</v>
      </c>
      <c r="R89" s="234">
        <f t="shared" si="144"/>
        <v>0</v>
      </c>
      <c r="S89" s="231"/>
      <c r="T89" s="232"/>
      <c r="U89" s="213"/>
      <c r="V89" s="213"/>
      <c r="W89" s="235">
        <f t="shared" si="145"/>
        <v>0</v>
      </c>
      <c r="X89" s="212"/>
      <c r="Y89" s="212"/>
      <c r="Z89" s="212"/>
      <c r="AA89" s="212"/>
      <c r="AB89" s="212"/>
      <c r="AC89" s="212"/>
      <c r="AD89" s="212"/>
      <c r="AE89" s="243">
        <f t="shared" si="146"/>
        <v>0</v>
      </c>
      <c r="AF89" s="244">
        <f t="shared" si="147"/>
        <v>0</v>
      </c>
      <c r="AG89" s="253">
        <f t="shared" si="148"/>
        <v>0</v>
      </c>
      <c r="AH89" s="247"/>
      <c r="AI89" s="252"/>
      <c r="AJ89" s="212"/>
      <c r="AK89" s="213"/>
      <c r="AL89" s="235">
        <f t="shared" si="149"/>
        <v>0</v>
      </c>
      <c r="AM89" s="254"/>
      <c r="AN89" s="212"/>
      <c r="AO89" s="212"/>
      <c r="AP89" s="212"/>
      <c r="AQ89" s="212"/>
      <c r="AR89" s="212"/>
      <c r="AS89" s="254"/>
      <c r="AT89" s="243">
        <f t="shared" si="150"/>
        <v>0</v>
      </c>
      <c r="AU89" s="244">
        <f t="shared" si="151"/>
        <v>0</v>
      </c>
      <c r="AV89" s="253">
        <f t="shared" si="152"/>
        <v>0</v>
      </c>
      <c r="AW89" s="247"/>
      <c r="AX89" s="247"/>
      <c r="AY89" s="252"/>
      <c r="AZ89" s="212"/>
      <c r="BA89" s="213"/>
      <c r="BB89" s="235">
        <f t="shared" si="153"/>
        <v>0</v>
      </c>
      <c r="BC89" s="212"/>
      <c r="BD89" s="212"/>
      <c r="BE89" s="254"/>
      <c r="BF89" s="212"/>
      <c r="BG89" s="212"/>
      <c r="BH89" s="212"/>
      <c r="BI89" s="212"/>
      <c r="BJ89" s="243">
        <f t="shared" si="154"/>
        <v>0</v>
      </c>
      <c r="BK89" s="244">
        <f t="shared" si="139"/>
        <v>0</v>
      </c>
      <c r="BL89" s="253">
        <f t="shared" si="140"/>
        <v>0</v>
      </c>
      <c r="BM89" s="342"/>
      <c r="BN89" s="342"/>
      <c r="BO89" s="205"/>
      <c r="BP89" s="213"/>
      <c r="BQ89" s="235">
        <f t="shared" si="155"/>
        <v>0</v>
      </c>
      <c r="BR89" s="212"/>
      <c r="BS89" s="212"/>
      <c r="BT89" s="212"/>
      <c r="BU89" s="212"/>
      <c r="BV89" s="213"/>
      <c r="BW89" s="213"/>
      <c r="BX89" s="213"/>
      <c r="BY89" s="243">
        <f t="shared" si="156"/>
        <v>0</v>
      </c>
      <c r="BZ89" s="244">
        <f t="shared" si="162"/>
        <v>0</v>
      </c>
      <c r="CA89" s="253">
        <f t="shared" si="157"/>
        <v>0</v>
      </c>
      <c r="CB89" s="328"/>
      <c r="CC89" s="252"/>
      <c r="CD89" s="253">
        <f t="shared" si="136"/>
        <v>0</v>
      </c>
      <c r="CE89" s="253">
        <f t="shared" si="141"/>
        <v>0</v>
      </c>
      <c r="CF89" s="253">
        <f t="shared" si="158"/>
        <v>0</v>
      </c>
      <c r="CG89" s="253">
        <f t="shared" si="159"/>
        <v>0</v>
      </c>
      <c r="CH89" s="265"/>
      <c r="CI89" s="266"/>
      <c r="CJ89" s="266"/>
      <c r="CK89" s="63"/>
      <c r="CL89" s="267"/>
      <c r="CM89" s="267"/>
      <c r="CN89" s="267"/>
    </row>
    <row r="90" spans="2:92" ht="15.75" hidden="1">
      <c r="B90" s="82" t="s">
        <v>154</v>
      </c>
      <c r="C90" s="83">
        <v>1012160456057</v>
      </c>
      <c r="D90" s="84" t="s">
        <v>155</v>
      </c>
      <c r="E90" s="199" t="s">
        <v>47</v>
      </c>
      <c r="F90" s="200"/>
      <c r="G90" s="200"/>
      <c r="H90" s="201">
        <f t="shared" si="143"/>
        <v>0</v>
      </c>
      <c r="I90" s="200"/>
      <c r="J90" s="200"/>
      <c r="K90" s="200"/>
      <c r="L90" s="200"/>
      <c r="M90" s="200"/>
      <c r="N90" s="200"/>
      <c r="O90" s="200"/>
      <c r="P90" s="210">
        <f t="shared" si="138"/>
        <v>0</v>
      </c>
      <c r="Q90" s="230">
        <f t="shared" si="161"/>
        <v>0</v>
      </c>
      <c r="R90" s="230">
        <f t="shared" si="144"/>
        <v>0</v>
      </c>
      <c r="S90" s="231"/>
      <c r="T90" s="232"/>
      <c r="U90" s="215"/>
      <c r="V90" s="215"/>
      <c r="W90" s="233">
        <f t="shared" si="145"/>
        <v>0</v>
      </c>
      <c r="X90" s="214"/>
      <c r="Y90" s="214"/>
      <c r="Z90" s="214"/>
      <c r="AA90" s="214"/>
      <c r="AB90" s="214"/>
      <c r="AC90" s="214"/>
      <c r="AD90" s="214"/>
      <c r="AE90" s="241">
        <f t="shared" si="146"/>
        <v>0</v>
      </c>
      <c r="AF90" s="242">
        <f t="shared" si="147"/>
        <v>0</v>
      </c>
      <c r="AG90" s="251">
        <f t="shared" si="148"/>
        <v>0</v>
      </c>
      <c r="AH90" s="247"/>
      <c r="AI90" s="252"/>
      <c r="AJ90" s="214"/>
      <c r="AK90" s="215"/>
      <c r="AL90" s="233">
        <f t="shared" si="149"/>
        <v>0</v>
      </c>
      <c r="AM90" s="255"/>
      <c r="AN90" s="214"/>
      <c r="AO90" s="214"/>
      <c r="AP90" s="214"/>
      <c r="AQ90" s="214"/>
      <c r="AR90" s="214"/>
      <c r="AS90" s="255"/>
      <c r="AT90" s="241">
        <f t="shared" si="150"/>
        <v>0</v>
      </c>
      <c r="AU90" s="242">
        <f t="shared" si="151"/>
        <v>0</v>
      </c>
      <c r="AV90" s="251">
        <f t="shared" si="152"/>
        <v>0</v>
      </c>
      <c r="AW90" s="247"/>
      <c r="AX90" s="247"/>
      <c r="AY90" s="252"/>
      <c r="AZ90" s="214"/>
      <c r="BA90" s="215"/>
      <c r="BB90" s="233">
        <f t="shared" si="153"/>
        <v>0</v>
      </c>
      <c r="BC90" s="214"/>
      <c r="BD90" s="214"/>
      <c r="BE90" s="255"/>
      <c r="BF90" s="214"/>
      <c r="BG90" s="214"/>
      <c r="BH90" s="214"/>
      <c r="BI90" s="214"/>
      <c r="BJ90" s="241">
        <f t="shared" si="154"/>
        <v>0</v>
      </c>
      <c r="BK90" s="242">
        <f t="shared" si="139"/>
        <v>0</v>
      </c>
      <c r="BL90" s="251">
        <f t="shared" si="140"/>
        <v>0</v>
      </c>
      <c r="BM90" s="342"/>
      <c r="BN90" s="342"/>
      <c r="BO90" s="13"/>
      <c r="BP90" s="215"/>
      <c r="BQ90" s="233">
        <f t="shared" si="155"/>
        <v>0</v>
      </c>
      <c r="BR90" s="214"/>
      <c r="BS90" s="214"/>
      <c r="BT90" s="214"/>
      <c r="BU90" s="214"/>
      <c r="BV90" s="215"/>
      <c r="BW90" s="215"/>
      <c r="BX90" s="215"/>
      <c r="BY90" s="241">
        <f t="shared" si="156"/>
        <v>0</v>
      </c>
      <c r="BZ90" s="242">
        <f t="shared" si="162"/>
        <v>0</v>
      </c>
      <c r="CA90" s="251">
        <f t="shared" si="157"/>
        <v>0</v>
      </c>
      <c r="CB90" s="252"/>
      <c r="CC90" s="252"/>
      <c r="CD90" s="251">
        <f t="shared" si="136"/>
        <v>0</v>
      </c>
      <c r="CE90" s="251">
        <f t="shared" si="141"/>
        <v>0</v>
      </c>
      <c r="CF90" s="251">
        <f t="shared" si="158"/>
        <v>0</v>
      </c>
      <c r="CG90" s="251">
        <f t="shared" si="159"/>
        <v>0</v>
      </c>
      <c r="CH90" s="265"/>
      <c r="CI90" s="266"/>
      <c r="CJ90" s="266"/>
      <c r="CK90" s="63"/>
      <c r="CL90" s="267"/>
      <c r="CM90" s="267"/>
      <c r="CN90" s="267"/>
    </row>
    <row r="91" spans="2:92" ht="15.75" hidden="1">
      <c r="B91" s="85" t="s">
        <v>156</v>
      </c>
      <c r="C91" s="86">
        <v>1012160456065</v>
      </c>
      <c r="D91" s="87" t="s">
        <v>157</v>
      </c>
      <c r="E91" s="202" t="s">
        <v>47</v>
      </c>
      <c r="F91" s="203"/>
      <c r="G91" s="203"/>
      <c r="H91" s="204">
        <f t="shared" si="143"/>
        <v>0</v>
      </c>
      <c r="I91" s="203"/>
      <c r="J91" s="203"/>
      <c r="K91" s="203"/>
      <c r="L91" s="203"/>
      <c r="M91" s="203"/>
      <c r="N91" s="203"/>
      <c r="O91" s="203"/>
      <c r="P91" s="211">
        <f t="shared" si="138"/>
        <v>0</v>
      </c>
      <c r="Q91" s="234">
        <f t="shared" si="161"/>
        <v>0</v>
      </c>
      <c r="R91" s="234">
        <f t="shared" si="144"/>
        <v>0</v>
      </c>
      <c r="S91" s="231"/>
      <c r="T91" s="232"/>
      <c r="U91" s="213"/>
      <c r="V91" s="213"/>
      <c r="W91" s="235">
        <f t="shared" si="145"/>
        <v>0</v>
      </c>
      <c r="X91" s="212"/>
      <c r="Y91" s="212"/>
      <c r="Z91" s="212"/>
      <c r="AA91" s="212"/>
      <c r="AB91" s="212"/>
      <c r="AC91" s="212"/>
      <c r="AD91" s="212"/>
      <c r="AE91" s="243">
        <f t="shared" si="146"/>
        <v>0</v>
      </c>
      <c r="AF91" s="244">
        <f t="shared" si="147"/>
        <v>0</v>
      </c>
      <c r="AG91" s="253">
        <f t="shared" si="148"/>
        <v>0</v>
      </c>
      <c r="AH91" s="247"/>
      <c r="AI91" s="252"/>
      <c r="AJ91" s="212"/>
      <c r="AK91" s="213"/>
      <c r="AL91" s="235">
        <f t="shared" si="149"/>
        <v>0</v>
      </c>
      <c r="AM91" s="254"/>
      <c r="AN91" s="212"/>
      <c r="AO91" s="212"/>
      <c r="AP91" s="212"/>
      <c r="AQ91" s="212"/>
      <c r="AR91" s="212"/>
      <c r="AS91" s="254"/>
      <c r="AT91" s="243">
        <f t="shared" si="150"/>
        <v>0</v>
      </c>
      <c r="AU91" s="244">
        <f t="shared" si="151"/>
        <v>0</v>
      </c>
      <c r="AV91" s="253">
        <f t="shared" si="152"/>
        <v>0</v>
      </c>
      <c r="AW91" s="247"/>
      <c r="AX91" s="247"/>
      <c r="AY91" s="252"/>
      <c r="AZ91" s="212"/>
      <c r="BA91" s="213"/>
      <c r="BB91" s="235">
        <f t="shared" si="153"/>
        <v>0</v>
      </c>
      <c r="BC91" s="212"/>
      <c r="BD91" s="212"/>
      <c r="BE91" s="254"/>
      <c r="BF91" s="212"/>
      <c r="BG91" s="212"/>
      <c r="BH91" s="212"/>
      <c r="BI91" s="212"/>
      <c r="BJ91" s="243">
        <f t="shared" si="154"/>
        <v>0</v>
      </c>
      <c r="BK91" s="244">
        <f t="shared" si="139"/>
        <v>0</v>
      </c>
      <c r="BL91" s="253">
        <f t="shared" si="140"/>
        <v>0</v>
      </c>
      <c r="BM91" s="342"/>
      <c r="BN91" s="342"/>
      <c r="BO91" s="205"/>
      <c r="BP91" s="213"/>
      <c r="BQ91" s="235">
        <f t="shared" si="155"/>
        <v>0</v>
      </c>
      <c r="BR91" s="212"/>
      <c r="BS91" s="212"/>
      <c r="BT91" s="212"/>
      <c r="BU91" s="212"/>
      <c r="BV91" s="213"/>
      <c r="BW91" s="213"/>
      <c r="BX91" s="213"/>
      <c r="BY91" s="243">
        <f t="shared" si="156"/>
        <v>0</v>
      </c>
      <c r="BZ91" s="244">
        <f t="shared" si="162"/>
        <v>0</v>
      </c>
      <c r="CA91" s="253">
        <f t="shared" si="157"/>
        <v>0</v>
      </c>
      <c r="CB91" s="328"/>
      <c r="CC91" s="252"/>
      <c r="CD91" s="253">
        <f t="shared" si="136"/>
        <v>0</v>
      </c>
      <c r="CE91" s="253">
        <f t="shared" si="141"/>
        <v>0</v>
      </c>
      <c r="CF91" s="253">
        <f t="shared" si="158"/>
        <v>0</v>
      </c>
      <c r="CG91" s="253">
        <f t="shared" si="159"/>
        <v>0</v>
      </c>
      <c r="CH91" s="265"/>
      <c r="CI91" s="266"/>
      <c r="CJ91" s="266"/>
      <c r="CK91" s="63"/>
      <c r="CL91" s="267"/>
      <c r="CM91" s="267"/>
      <c r="CN91" s="267"/>
    </row>
    <row r="92" spans="2:92" ht="15.75" hidden="1">
      <c r="B92" s="82" t="s">
        <v>158</v>
      </c>
      <c r="C92" s="83">
        <v>1012160456067</v>
      </c>
      <c r="D92" s="84" t="s">
        <v>159</v>
      </c>
      <c r="E92" s="199" t="s">
        <v>47</v>
      </c>
      <c r="F92" s="200"/>
      <c r="G92" s="200"/>
      <c r="H92" s="201">
        <f t="shared" si="143"/>
        <v>0</v>
      </c>
      <c r="I92" s="200"/>
      <c r="J92" s="200"/>
      <c r="K92" s="200"/>
      <c r="L92" s="200"/>
      <c r="M92" s="200"/>
      <c r="N92" s="200"/>
      <c r="O92" s="200"/>
      <c r="P92" s="210">
        <f t="shared" si="138"/>
        <v>0</v>
      </c>
      <c r="Q92" s="230">
        <f t="shared" si="161"/>
        <v>0</v>
      </c>
      <c r="R92" s="230">
        <f t="shared" si="144"/>
        <v>0</v>
      </c>
      <c r="S92" s="231"/>
      <c r="T92" s="232"/>
      <c r="U92" s="215"/>
      <c r="V92" s="215"/>
      <c r="W92" s="233">
        <f t="shared" si="145"/>
        <v>0</v>
      </c>
      <c r="X92" s="214"/>
      <c r="Y92" s="214"/>
      <c r="Z92" s="214"/>
      <c r="AA92" s="214"/>
      <c r="AB92" s="214"/>
      <c r="AC92" s="214"/>
      <c r="AD92" s="214"/>
      <c r="AE92" s="241">
        <f t="shared" si="146"/>
        <v>0</v>
      </c>
      <c r="AF92" s="242">
        <f t="shared" si="147"/>
        <v>0</v>
      </c>
      <c r="AG92" s="251">
        <f t="shared" si="148"/>
        <v>0</v>
      </c>
      <c r="AH92" s="247"/>
      <c r="AI92" s="252"/>
      <c r="AJ92" s="214"/>
      <c r="AK92" s="215"/>
      <c r="AL92" s="233">
        <f t="shared" si="149"/>
        <v>0</v>
      </c>
      <c r="AM92" s="255"/>
      <c r="AN92" s="214"/>
      <c r="AO92" s="214"/>
      <c r="AP92" s="214"/>
      <c r="AQ92" s="214"/>
      <c r="AR92" s="214"/>
      <c r="AS92" s="255"/>
      <c r="AT92" s="241">
        <f t="shared" si="150"/>
        <v>0</v>
      </c>
      <c r="AU92" s="242">
        <f t="shared" si="151"/>
        <v>0</v>
      </c>
      <c r="AV92" s="251">
        <f t="shared" si="152"/>
        <v>0</v>
      </c>
      <c r="AW92" s="247"/>
      <c r="AX92" s="247"/>
      <c r="AY92" s="252"/>
      <c r="AZ92" s="214"/>
      <c r="BA92" s="215"/>
      <c r="BB92" s="233">
        <f t="shared" si="153"/>
        <v>0</v>
      </c>
      <c r="BC92" s="214"/>
      <c r="BD92" s="214"/>
      <c r="BE92" s="255"/>
      <c r="BF92" s="214"/>
      <c r="BG92" s="214"/>
      <c r="BH92" s="214"/>
      <c r="BI92" s="214"/>
      <c r="BJ92" s="241">
        <f t="shared" si="154"/>
        <v>0</v>
      </c>
      <c r="BK92" s="242">
        <f t="shared" si="139"/>
        <v>0</v>
      </c>
      <c r="BL92" s="251">
        <f t="shared" si="140"/>
        <v>0</v>
      </c>
      <c r="BM92" s="342"/>
      <c r="BN92" s="342"/>
      <c r="BO92" s="13"/>
      <c r="BP92" s="215"/>
      <c r="BQ92" s="233">
        <f t="shared" si="155"/>
        <v>0</v>
      </c>
      <c r="BR92" s="214"/>
      <c r="BS92" s="214"/>
      <c r="BT92" s="214"/>
      <c r="BU92" s="214"/>
      <c r="BV92" s="215"/>
      <c r="BW92" s="215"/>
      <c r="BX92" s="215"/>
      <c r="BY92" s="241">
        <f t="shared" si="156"/>
        <v>0</v>
      </c>
      <c r="BZ92" s="242">
        <f t="shared" si="162"/>
        <v>0</v>
      </c>
      <c r="CA92" s="251">
        <f t="shared" si="157"/>
        <v>0</v>
      </c>
      <c r="CB92" s="252"/>
      <c r="CC92" s="252"/>
      <c r="CD92" s="251">
        <f t="shared" si="136"/>
        <v>0</v>
      </c>
      <c r="CE92" s="251">
        <f t="shared" si="141"/>
        <v>0</v>
      </c>
      <c r="CF92" s="251">
        <f t="shared" si="158"/>
        <v>0</v>
      </c>
      <c r="CG92" s="251">
        <f t="shared" si="159"/>
        <v>0</v>
      </c>
      <c r="CH92" s="265"/>
      <c r="CI92" s="266"/>
      <c r="CJ92" s="266"/>
      <c r="CK92" s="63"/>
      <c r="CL92" s="267"/>
      <c r="CM92" s="267"/>
      <c r="CN92" s="267"/>
    </row>
    <row r="93" spans="2:92" ht="15.75" hidden="1">
      <c r="B93" s="85" t="s">
        <v>160</v>
      </c>
      <c r="C93" s="86">
        <v>1012160456059</v>
      </c>
      <c r="D93" s="87" t="s">
        <v>161</v>
      </c>
      <c r="E93" s="202" t="s">
        <v>47</v>
      </c>
      <c r="F93" s="203"/>
      <c r="G93" s="203"/>
      <c r="H93" s="204">
        <f t="shared" si="143"/>
        <v>0</v>
      </c>
      <c r="I93" s="203"/>
      <c r="J93" s="203"/>
      <c r="K93" s="203"/>
      <c r="L93" s="203"/>
      <c r="M93" s="203"/>
      <c r="N93" s="203"/>
      <c r="O93" s="203"/>
      <c r="P93" s="211">
        <f t="shared" si="138"/>
        <v>0</v>
      </c>
      <c r="Q93" s="234">
        <f t="shared" si="161"/>
        <v>0</v>
      </c>
      <c r="R93" s="234">
        <f t="shared" si="144"/>
        <v>0</v>
      </c>
      <c r="S93" s="231"/>
      <c r="T93" s="232"/>
      <c r="U93" s="213"/>
      <c r="V93" s="213"/>
      <c r="W93" s="235">
        <f t="shared" si="145"/>
        <v>0</v>
      </c>
      <c r="X93" s="212"/>
      <c r="Y93" s="212"/>
      <c r="Z93" s="212"/>
      <c r="AA93" s="212"/>
      <c r="AB93" s="212"/>
      <c r="AC93" s="212"/>
      <c r="AD93" s="212"/>
      <c r="AE93" s="243">
        <f t="shared" si="146"/>
        <v>0</v>
      </c>
      <c r="AF93" s="244">
        <f t="shared" si="147"/>
        <v>0</v>
      </c>
      <c r="AG93" s="253">
        <f t="shared" si="148"/>
        <v>0</v>
      </c>
      <c r="AH93" s="247"/>
      <c r="AI93" s="252"/>
      <c r="AJ93" s="212"/>
      <c r="AK93" s="213"/>
      <c r="AL93" s="235">
        <f t="shared" si="149"/>
        <v>0</v>
      </c>
      <c r="AM93" s="254"/>
      <c r="AN93" s="212"/>
      <c r="AO93" s="212"/>
      <c r="AP93" s="212"/>
      <c r="AQ93" s="212"/>
      <c r="AR93" s="212"/>
      <c r="AS93" s="254"/>
      <c r="AT93" s="243">
        <f t="shared" si="150"/>
        <v>0</v>
      </c>
      <c r="AU93" s="244">
        <f t="shared" si="151"/>
        <v>0</v>
      </c>
      <c r="AV93" s="253">
        <f t="shared" si="152"/>
        <v>0</v>
      </c>
      <c r="AW93" s="247"/>
      <c r="AX93" s="247"/>
      <c r="AY93" s="252"/>
      <c r="AZ93" s="212"/>
      <c r="BA93" s="213"/>
      <c r="BB93" s="235">
        <f t="shared" si="153"/>
        <v>0</v>
      </c>
      <c r="BC93" s="212"/>
      <c r="BD93" s="212"/>
      <c r="BE93" s="254"/>
      <c r="BF93" s="212"/>
      <c r="BG93" s="212"/>
      <c r="BH93" s="212"/>
      <c r="BI93" s="212"/>
      <c r="BJ93" s="243">
        <f t="shared" si="154"/>
        <v>0</v>
      </c>
      <c r="BK93" s="244">
        <f t="shared" si="139"/>
        <v>0</v>
      </c>
      <c r="BL93" s="253">
        <f t="shared" si="140"/>
        <v>0</v>
      </c>
      <c r="BM93" s="342"/>
      <c r="BN93" s="342"/>
      <c r="BO93" s="205"/>
      <c r="BP93" s="213"/>
      <c r="BQ93" s="235">
        <f t="shared" si="155"/>
        <v>0</v>
      </c>
      <c r="BR93" s="212"/>
      <c r="BS93" s="212"/>
      <c r="BT93" s="212"/>
      <c r="BU93" s="212"/>
      <c r="BV93" s="213"/>
      <c r="BW93" s="213"/>
      <c r="BX93" s="213"/>
      <c r="BY93" s="243">
        <f t="shared" si="156"/>
        <v>0</v>
      </c>
      <c r="BZ93" s="244">
        <f t="shared" si="162"/>
        <v>0</v>
      </c>
      <c r="CA93" s="253">
        <f t="shared" si="157"/>
        <v>0</v>
      </c>
      <c r="CB93" s="328"/>
      <c r="CC93" s="252"/>
      <c r="CD93" s="253">
        <f t="shared" si="136"/>
        <v>0</v>
      </c>
      <c r="CE93" s="253">
        <f t="shared" si="141"/>
        <v>0</v>
      </c>
      <c r="CF93" s="253">
        <f t="shared" si="158"/>
        <v>0</v>
      </c>
      <c r="CG93" s="253">
        <f t="shared" si="159"/>
        <v>0</v>
      </c>
      <c r="CH93" s="265"/>
      <c r="CI93" s="266"/>
      <c r="CJ93" s="266"/>
      <c r="CK93" s="63"/>
      <c r="CL93" s="267"/>
      <c r="CM93" s="267"/>
      <c r="CN93" s="267"/>
    </row>
    <row r="94" spans="2:92" ht="15.75" hidden="1">
      <c r="B94" s="82" t="s">
        <v>162</v>
      </c>
      <c r="C94" s="83">
        <v>1012160463203</v>
      </c>
      <c r="D94" s="84" t="s">
        <v>163</v>
      </c>
      <c r="E94" s="199" t="s">
        <v>50</v>
      </c>
      <c r="F94" s="200"/>
      <c r="G94" s="200"/>
      <c r="H94" s="201">
        <f t="shared" si="143"/>
        <v>0</v>
      </c>
      <c r="I94" s="200"/>
      <c r="J94" s="200"/>
      <c r="K94" s="200"/>
      <c r="L94" s="200"/>
      <c r="M94" s="200"/>
      <c r="N94" s="200"/>
      <c r="O94" s="200"/>
      <c r="P94" s="210">
        <f t="shared" si="138"/>
        <v>0</v>
      </c>
      <c r="Q94" s="230">
        <f t="shared" si="161"/>
        <v>0</v>
      </c>
      <c r="R94" s="230">
        <f t="shared" si="144"/>
        <v>0</v>
      </c>
      <c r="S94" s="231"/>
      <c r="T94" s="232"/>
      <c r="U94" s="215"/>
      <c r="V94" s="215"/>
      <c r="W94" s="233">
        <f t="shared" si="145"/>
        <v>0</v>
      </c>
      <c r="X94" s="214"/>
      <c r="Y94" s="214"/>
      <c r="Z94" s="214"/>
      <c r="AA94" s="214"/>
      <c r="AB94" s="214"/>
      <c r="AC94" s="214"/>
      <c r="AD94" s="214"/>
      <c r="AE94" s="241">
        <f t="shared" si="146"/>
        <v>0</v>
      </c>
      <c r="AF94" s="242">
        <f t="shared" si="147"/>
        <v>0</v>
      </c>
      <c r="AG94" s="251">
        <f t="shared" si="148"/>
        <v>0</v>
      </c>
      <c r="AH94" s="247"/>
      <c r="AI94" s="252"/>
      <c r="AJ94" s="214"/>
      <c r="AK94" s="215"/>
      <c r="AL94" s="233">
        <f t="shared" si="149"/>
        <v>0</v>
      </c>
      <c r="AM94" s="255"/>
      <c r="AN94" s="214"/>
      <c r="AO94" s="214"/>
      <c r="AP94" s="214"/>
      <c r="AQ94" s="214"/>
      <c r="AR94" s="214"/>
      <c r="AS94" s="255"/>
      <c r="AT94" s="241">
        <f t="shared" si="150"/>
        <v>0</v>
      </c>
      <c r="AU94" s="242">
        <f t="shared" si="151"/>
        <v>0</v>
      </c>
      <c r="AV94" s="251">
        <f t="shared" si="152"/>
        <v>0</v>
      </c>
      <c r="AW94" s="247"/>
      <c r="AX94" s="247"/>
      <c r="AY94" s="252"/>
      <c r="AZ94" s="214"/>
      <c r="BA94" s="215"/>
      <c r="BB94" s="233">
        <f t="shared" si="153"/>
        <v>0</v>
      </c>
      <c r="BC94" s="214"/>
      <c r="BD94" s="214"/>
      <c r="BE94" s="255"/>
      <c r="BF94" s="214"/>
      <c r="BG94" s="214"/>
      <c r="BH94" s="214"/>
      <c r="BI94" s="214"/>
      <c r="BJ94" s="241">
        <f t="shared" si="154"/>
        <v>0</v>
      </c>
      <c r="BK94" s="242">
        <f t="shared" si="139"/>
        <v>0</v>
      </c>
      <c r="BL94" s="251">
        <f t="shared" si="140"/>
        <v>0</v>
      </c>
      <c r="BM94" s="342"/>
      <c r="BN94" s="342"/>
      <c r="BO94" s="13"/>
      <c r="BP94" s="215"/>
      <c r="BQ94" s="233">
        <f t="shared" si="155"/>
        <v>0</v>
      </c>
      <c r="BR94" s="214"/>
      <c r="BS94" s="214"/>
      <c r="BT94" s="214"/>
      <c r="BU94" s="214"/>
      <c r="BV94" s="215"/>
      <c r="BW94" s="215"/>
      <c r="BX94" s="215"/>
      <c r="BY94" s="241">
        <f t="shared" si="156"/>
        <v>0</v>
      </c>
      <c r="BZ94" s="242">
        <f t="shared" si="162"/>
        <v>0</v>
      </c>
      <c r="CA94" s="251">
        <f t="shared" si="157"/>
        <v>0</v>
      </c>
      <c r="CB94" s="252"/>
      <c r="CC94" s="252"/>
      <c r="CD94" s="251">
        <f t="shared" si="136"/>
        <v>0</v>
      </c>
      <c r="CE94" s="251">
        <f t="shared" si="141"/>
        <v>0</v>
      </c>
      <c r="CF94" s="251">
        <f t="shared" si="158"/>
        <v>0</v>
      </c>
      <c r="CG94" s="251">
        <f t="shared" si="159"/>
        <v>0</v>
      </c>
      <c r="CH94" s="265"/>
      <c r="CI94" s="266"/>
      <c r="CJ94" s="266"/>
      <c r="CK94" s="63"/>
      <c r="CL94" s="267">
        <f t="shared" si="142"/>
        <v>0</v>
      </c>
      <c r="CM94" s="267">
        <f>CD94/CD$177</f>
        <v>0</v>
      </c>
      <c r="CN94" s="267">
        <f t="shared" si="160"/>
        <v>0</v>
      </c>
    </row>
    <row r="95" spans="2:92" ht="15.75" hidden="1">
      <c r="B95" s="85" t="s">
        <v>162</v>
      </c>
      <c r="C95" s="86">
        <v>1012160463203</v>
      </c>
      <c r="D95" s="87" t="s">
        <v>164</v>
      </c>
      <c r="E95" s="202" t="s">
        <v>50</v>
      </c>
      <c r="F95" s="203"/>
      <c r="G95" s="203"/>
      <c r="H95" s="204">
        <f t="shared" si="143"/>
        <v>0</v>
      </c>
      <c r="I95" s="203"/>
      <c r="J95" s="203"/>
      <c r="K95" s="203"/>
      <c r="L95" s="203"/>
      <c r="M95" s="203"/>
      <c r="N95" s="203"/>
      <c r="O95" s="203"/>
      <c r="P95" s="211">
        <f t="shared" si="138"/>
        <v>0</v>
      </c>
      <c r="Q95" s="234">
        <f t="shared" si="161"/>
        <v>0</v>
      </c>
      <c r="R95" s="234">
        <f t="shared" si="144"/>
        <v>0</v>
      </c>
      <c r="S95" s="231"/>
      <c r="T95" s="232"/>
      <c r="U95" s="213"/>
      <c r="V95" s="213"/>
      <c r="W95" s="235">
        <f t="shared" si="145"/>
        <v>0</v>
      </c>
      <c r="X95" s="212"/>
      <c r="Y95" s="212"/>
      <c r="Z95" s="212"/>
      <c r="AA95" s="212"/>
      <c r="AB95" s="212"/>
      <c r="AC95" s="212"/>
      <c r="AD95" s="212"/>
      <c r="AE95" s="243">
        <f t="shared" si="146"/>
        <v>0</v>
      </c>
      <c r="AF95" s="244">
        <f t="shared" si="147"/>
        <v>0</v>
      </c>
      <c r="AG95" s="253">
        <f t="shared" si="148"/>
        <v>0</v>
      </c>
      <c r="AH95" s="247"/>
      <c r="AI95" s="252"/>
      <c r="AJ95" s="212"/>
      <c r="AK95" s="213"/>
      <c r="AL95" s="235">
        <f t="shared" si="149"/>
        <v>0</v>
      </c>
      <c r="AM95" s="254"/>
      <c r="AN95" s="212"/>
      <c r="AO95" s="212"/>
      <c r="AP95" s="212"/>
      <c r="AQ95" s="212"/>
      <c r="AR95" s="212"/>
      <c r="AS95" s="254"/>
      <c r="AT95" s="243">
        <f t="shared" si="150"/>
        <v>0</v>
      </c>
      <c r="AU95" s="244">
        <f t="shared" si="151"/>
        <v>0</v>
      </c>
      <c r="AV95" s="253">
        <f t="shared" si="152"/>
        <v>0</v>
      </c>
      <c r="AW95" s="247"/>
      <c r="AX95" s="247"/>
      <c r="AY95" s="252"/>
      <c r="AZ95" s="212"/>
      <c r="BA95" s="213"/>
      <c r="BB95" s="235">
        <f t="shared" si="153"/>
        <v>0</v>
      </c>
      <c r="BC95" s="212"/>
      <c r="BD95" s="212"/>
      <c r="BE95" s="254"/>
      <c r="BF95" s="212"/>
      <c r="BG95" s="212"/>
      <c r="BH95" s="212"/>
      <c r="BI95" s="212"/>
      <c r="BJ95" s="243">
        <f t="shared" si="154"/>
        <v>0</v>
      </c>
      <c r="BK95" s="244">
        <f t="shared" si="139"/>
        <v>0</v>
      </c>
      <c r="BL95" s="253">
        <f t="shared" si="140"/>
        <v>0</v>
      </c>
      <c r="BM95" s="342"/>
      <c r="BN95" s="342"/>
      <c r="BO95" s="205"/>
      <c r="BP95" s="213"/>
      <c r="BQ95" s="235">
        <f t="shared" si="155"/>
        <v>0</v>
      </c>
      <c r="BR95" s="212"/>
      <c r="BS95" s="212"/>
      <c r="BT95" s="212"/>
      <c r="BU95" s="212"/>
      <c r="BV95" s="213"/>
      <c r="BW95" s="213"/>
      <c r="BX95" s="213"/>
      <c r="BY95" s="243">
        <f t="shared" si="156"/>
        <v>0</v>
      </c>
      <c r="BZ95" s="244">
        <f t="shared" si="162"/>
        <v>0</v>
      </c>
      <c r="CA95" s="253">
        <f t="shared" si="157"/>
        <v>0</v>
      </c>
      <c r="CB95" s="328"/>
      <c r="CC95" s="252"/>
      <c r="CD95" s="253">
        <f t="shared" si="136"/>
        <v>0</v>
      </c>
      <c r="CE95" s="253">
        <f t="shared" si="141"/>
        <v>0</v>
      </c>
      <c r="CF95" s="253">
        <f t="shared" si="158"/>
        <v>0</v>
      </c>
      <c r="CG95" s="253">
        <f t="shared" si="159"/>
        <v>0</v>
      </c>
      <c r="CH95" s="265"/>
      <c r="CI95" s="266"/>
      <c r="CJ95" s="266"/>
      <c r="CK95" s="63"/>
      <c r="CL95" s="267">
        <f t="shared" si="142"/>
        <v>0</v>
      </c>
      <c r="CM95" s="267">
        <f>CD95/CD$177</f>
        <v>0</v>
      </c>
      <c r="CN95" s="267">
        <f t="shared" si="160"/>
        <v>0</v>
      </c>
    </row>
    <row r="96" spans="2:92" ht="15.75" hidden="1">
      <c r="B96" s="82" t="s">
        <v>165</v>
      </c>
      <c r="C96" s="83">
        <v>1012160456061</v>
      </c>
      <c r="D96" s="84" t="s">
        <v>166</v>
      </c>
      <c r="E96" s="199" t="s">
        <v>47</v>
      </c>
      <c r="F96" s="200"/>
      <c r="G96" s="200"/>
      <c r="H96" s="201">
        <f t="shared" si="143"/>
        <v>0</v>
      </c>
      <c r="I96" s="200"/>
      <c r="J96" s="200"/>
      <c r="K96" s="200"/>
      <c r="L96" s="200"/>
      <c r="M96" s="200"/>
      <c r="N96" s="200"/>
      <c r="O96" s="200"/>
      <c r="P96" s="210">
        <f t="shared" si="138"/>
        <v>0</v>
      </c>
      <c r="Q96" s="230">
        <f t="shared" si="161"/>
        <v>0</v>
      </c>
      <c r="R96" s="230">
        <f t="shared" si="144"/>
        <v>0</v>
      </c>
      <c r="S96" s="231"/>
      <c r="T96" s="232"/>
      <c r="U96" s="215"/>
      <c r="V96" s="215"/>
      <c r="W96" s="233">
        <f t="shared" si="145"/>
        <v>0</v>
      </c>
      <c r="X96" s="214"/>
      <c r="Y96" s="214"/>
      <c r="Z96" s="214"/>
      <c r="AA96" s="214"/>
      <c r="AB96" s="214"/>
      <c r="AC96" s="214"/>
      <c r="AD96" s="214"/>
      <c r="AE96" s="241">
        <f t="shared" si="146"/>
        <v>0</v>
      </c>
      <c r="AF96" s="242">
        <f t="shared" si="147"/>
        <v>0</v>
      </c>
      <c r="AG96" s="251">
        <f t="shared" si="148"/>
        <v>0</v>
      </c>
      <c r="AH96" s="247"/>
      <c r="AI96" s="252"/>
      <c r="AJ96" s="214"/>
      <c r="AK96" s="215"/>
      <c r="AL96" s="233">
        <f t="shared" si="149"/>
        <v>0</v>
      </c>
      <c r="AM96" s="255"/>
      <c r="AN96" s="214"/>
      <c r="AO96" s="214"/>
      <c r="AP96" s="214"/>
      <c r="AQ96" s="214"/>
      <c r="AR96" s="214"/>
      <c r="AS96" s="255"/>
      <c r="AT96" s="241">
        <f t="shared" si="150"/>
        <v>0</v>
      </c>
      <c r="AU96" s="242">
        <f t="shared" si="151"/>
        <v>0</v>
      </c>
      <c r="AV96" s="251">
        <f t="shared" si="152"/>
        <v>0</v>
      </c>
      <c r="AW96" s="247"/>
      <c r="AX96" s="247"/>
      <c r="AY96" s="252"/>
      <c r="AZ96" s="214"/>
      <c r="BA96" s="215"/>
      <c r="BB96" s="233">
        <f t="shared" si="153"/>
        <v>0</v>
      </c>
      <c r="BC96" s="214"/>
      <c r="BD96" s="214"/>
      <c r="BE96" s="255"/>
      <c r="BF96" s="214"/>
      <c r="BG96" s="214"/>
      <c r="BH96" s="214"/>
      <c r="BI96" s="214"/>
      <c r="BJ96" s="241">
        <f t="shared" si="154"/>
        <v>0</v>
      </c>
      <c r="BK96" s="242">
        <f t="shared" si="139"/>
        <v>0</v>
      </c>
      <c r="BL96" s="251">
        <f t="shared" si="140"/>
        <v>0</v>
      </c>
      <c r="BM96" s="342"/>
      <c r="BN96" s="342"/>
      <c r="BO96" s="13"/>
      <c r="BP96" s="215"/>
      <c r="BQ96" s="233">
        <f t="shared" si="155"/>
        <v>0</v>
      </c>
      <c r="BR96" s="214"/>
      <c r="BS96" s="214"/>
      <c r="BT96" s="214"/>
      <c r="BU96" s="214"/>
      <c r="BV96" s="215"/>
      <c r="BW96" s="215"/>
      <c r="BX96" s="215"/>
      <c r="BY96" s="241">
        <f t="shared" si="156"/>
        <v>0</v>
      </c>
      <c r="BZ96" s="242">
        <f t="shared" si="162"/>
        <v>0</v>
      </c>
      <c r="CA96" s="251">
        <f t="shared" si="157"/>
        <v>0</v>
      </c>
      <c r="CB96" s="252"/>
      <c r="CC96" s="252"/>
      <c r="CD96" s="251">
        <f t="shared" si="136"/>
        <v>0</v>
      </c>
      <c r="CE96" s="251">
        <f t="shared" si="141"/>
        <v>0</v>
      </c>
      <c r="CF96" s="251">
        <f t="shared" si="158"/>
        <v>0</v>
      </c>
      <c r="CG96" s="251">
        <f t="shared" si="159"/>
        <v>0</v>
      </c>
      <c r="CH96" s="265"/>
      <c r="CI96" s="266"/>
      <c r="CJ96" s="266"/>
      <c r="CK96" s="63"/>
      <c r="CL96" s="267">
        <f t="shared" si="142"/>
        <v>0</v>
      </c>
      <c r="CM96" s="267">
        <f>CD96/CD$177</f>
        <v>0</v>
      </c>
      <c r="CN96" s="267">
        <f t="shared" si="160"/>
        <v>0</v>
      </c>
    </row>
    <row r="97" spans="2:92" ht="15.75" hidden="1">
      <c r="B97" s="85" t="s">
        <v>167</v>
      </c>
      <c r="C97" s="86">
        <v>1012160456183</v>
      </c>
      <c r="D97" s="87" t="s">
        <v>168</v>
      </c>
      <c r="E97" s="202" t="s">
        <v>50</v>
      </c>
      <c r="F97" s="203"/>
      <c r="G97" s="203"/>
      <c r="H97" s="204">
        <f t="shared" si="143"/>
        <v>0</v>
      </c>
      <c r="I97" s="203"/>
      <c r="J97" s="203"/>
      <c r="K97" s="203"/>
      <c r="L97" s="203"/>
      <c r="M97" s="203"/>
      <c r="N97" s="203"/>
      <c r="O97" s="203"/>
      <c r="P97" s="211">
        <f t="shared" si="138"/>
        <v>0</v>
      </c>
      <c r="Q97" s="234">
        <f t="shared" si="161"/>
        <v>0</v>
      </c>
      <c r="R97" s="234">
        <f t="shared" si="144"/>
        <v>0</v>
      </c>
      <c r="S97" s="231"/>
      <c r="T97" s="232"/>
      <c r="U97" s="213"/>
      <c r="V97" s="213"/>
      <c r="W97" s="235">
        <f t="shared" si="145"/>
        <v>0</v>
      </c>
      <c r="X97" s="212"/>
      <c r="Y97" s="212"/>
      <c r="Z97" s="212"/>
      <c r="AA97" s="212"/>
      <c r="AB97" s="212"/>
      <c r="AC97" s="212"/>
      <c r="AD97" s="212"/>
      <c r="AE97" s="243">
        <f t="shared" si="146"/>
        <v>0</v>
      </c>
      <c r="AF97" s="244">
        <f t="shared" si="147"/>
        <v>0</v>
      </c>
      <c r="AG97" s="253">
        <f t="shared" si="148"/>
        <v>0</v>
      </c>
      <c r="AH97" s="247"/>
      <c r="AI97" s="252"/>
      <c r="AJ97" s="212"/>
      <c r="AK97" s="213"/>
      <c r="AL97" s="235">
        <f t="shared" si="149"/>
        <v>0</v>
      </c>
      <c r="AM97" s="254"/>
      <c r="AN97" s="212"/>
      <c r="AO97" s="212"/>
      <c r="AP97" s="212"/>
      <c r="AQ97" s="212"/>
      <c r="AR97" s="212"/>
      <c r="AS97" s="254"/>
      <c r="AT97" s="243">
        <f t="shared" si="150"/>
        <v>0</v>
      </c>
      <c r="AU97" s="244">
        <f t="shared" si="151"/>
        <v>0</v>
      </c>
      <c r="AV97" s="253">
        <f t="shared" si="152"/>
        <v>0</v>
      </c>
      <c r="AW97" s="247"/>
      <c r="AX97" s="247"/>
      <c r="AY97" s="252"/>
      <c r="AZ97" s="212"/>
      <c r="BA97" s="213"/>
      <c r="BB97" s="235">
        <f t="shared" si="153"/>
        <v>0</v>
      </c>
      <c r="BC97" s="212"/>
      <c r="BD97" s="212"/>
      <c r="BE97" s="254"/>
      <c r="BF97" s="212"/>
      <c r="BG97" s="212"/>
      <c r="BH97" s="212"/>
      <c r="BI97" s="212"/>
      <c r="BJ97" s="243">
        <f t="shared" si="154"/>
        <v>0</v>
      </c>
      <c r="BK97" s="244">
        <f t="shared" si="139"/>
        <v>0</v>
      </c>
      <c r="BL97" s="253">
        <f t="shared" si="140"/>
        <v>0</v>
      </c>
      <c r="BM97" s="342"/>
      <c r="BN97" s="342"/>
      <c r="BO97" s="205"/>
      <c r="BP97" s="213"/>
      <c r="BQ97" s="235">
        <f t="shared" si="155"/>
        <v>0</v>
      </c>
      <c r="BR97" s="212"/>
      <c r="BS97" s="212"/>
      <c r="BT97" s="212"/>
      <c r="BU97" s="212"/>
      <c r="BV97" s="213"/>
      <c r="BW97" s="213"/>
      <c r="BX97" s="213"/>
      <c r="BY97" s="243">
        <f t="shared" si="156"/>
        <v>0</v>
      </c>
      <c r="BZ97" s="244">
        <f t="shared" si="162"/>
        <v>0</v>
      </c>
      <c r="CA97" s="253">
        <f t="shared" si="157"/>
        <v>0</v>
      </c>
      <c r="CB97" s="328"/>
      <c r="CC97" s="252"/>
      <c r="CD97" s="253">
        <f t="shared" si="136"/>
        <v>0</v>
      </c>
      <c r="CE97" s="253">
        <f t="shared" si="141"/>
        <v>0</v>
      </c>
      <c r="CF97" s="253">
        <f t="shared" si="158"/>
        <v>0</v>
      </c>
      <c r="CG97" s="253">
        <f t="shared" si="159"/>
        <v>0</v>
      </c>
      <c r="CH97" s="265"/>
      <c r="CI97" s="266"/>
      <c r="CJ97" s="266"/>
      <c r="CK97" s="63"/>
      <c r="CL97" s="267">
        <f t="shared" si="142"/>
        <v>0</v>
      </c>
      <c r="CM97" s="267">
        <f>CD97/CD$177</f>
        <v>0</v>
      </c>
      <c r="CN97" s="267">
        <f t="shared" si="160"/>
        <v>0</v>
      </c>
    </row>
    <row r="98" spans="2:92" ht="15.75" hidden="1">
      <c r="B98" s="82" t="s">
        <v>169</v>
      </c>
      <c r="C98" s="83">
        <v>1012150720395</v>
      </c>
      <c r="D98" s="84" t="s">
        <v>170</v>
      </c>
      <c r="E98" s="199" t="s">
        <v>47</v>
      </c>
      <c r="F98" s="200"/>
      <c r="G98" s="200"/>
      <c r="H98" s="201">
        <f t="shared" si="143"/>
        <v>0</v>
      </c>
      <c r="I98" s="200"/>
      <c r="J98" s="200"/>
      <c r="K98" s="200"/>
      <c r="L98" s="200"/>
      <c r="M98" s="200"/>
      <c r="N98" s="200"/>
      <c r="O98" s="200"/>
      <c r="P98" s="210">
        <f t="shared" si="138"/>
        <v>0</v>
      </c>
      <c r="Q98" s="230">
        <f t="shared" si="161"/>
        <v>0</v>
      </c>
      <c r="R98" s="230">
        <f t="shared" si="144"/>
        <v>0</v>
      </c>
      <c r="S98" s="231"/>
      <c r="T98" s="232"/>
      <c r="U98" s="215"/>
      <c r="V98" s="215"/>
      <c r="W98" s="233">
        <f t="shared" si="145"/>
        <v>0</v>
      </c>
      <c r="X98" s="214"/>
      <c r="Y98" s="214"/>
      <c r="Z98" s="214"/>
      <c r="AA98" s="214"/>
      <c r="AB98" s="214"/>
      <c r="AC98" s="214"/>
      <c r="AD98" s="214"/>
      <c r="AE98" s="241">
        <f t="shared" si="146"/>
        <v>0</v>
      </c>
      <c r="AF98" s="242">
        <f t="shared" si="147"/>
        <v>0</v>
      </c>
      <c r="AG98" s="251">
        <f t="shared" si="148"/>
        <v>0</v>
      </c>
      <c r="AH98" s="247"/>
      <c r="AI98" s="252"/>
      <c r="AJ98" s="214"/>
      <c r="AK98" s="215"/>
      <c r="AL98" s="233">
        <f t="shared" si="149"/>
        <v>0</v>
      </c>
      <c r="AM98" s="255"/>
      <c r="AN98" s="214"/>
      <c r="AO98" s="214"/>
      <c r="AP98" s="214"/>
      <c r="AQ98" s="214"/>
      <c r="AR98" s="214"/>
      <c r="AS98" s="255"/>
      <c r="AT98" s="241">
        <f t="shared" si="150"/>
        <v>0</v>
      </c>
      <c r="AU98" s="242">
        <f t="shared" si="151"/>
        <v>0</v>
      </c>
      <c r="AV98" s="251">
        <f t="shared" si="152"/>
        <v>0</v>
      </c>
      <c r="AW98" s="247"/>
      <c r="AX98" s="247"/>
      <c r="AY98" s="252"/>
      <c r="AZ98" s="214"/>
      <c r="BA98" s="215"/>
      <c r="BB98" s="233">
        <f t="shared" si="153"/>
        <v>0</v>
      </c>
      <c r="BC98" s="214"/>
      <c r="BD98" s="214"/>
      <c r="BE98" s="255"/>
      <c r="BF98" s="214"/>
      <c r="BG98" s="214"/>
      <c r="BH98" s="214"/>
      <c r="BI98" s="214"/>
      <c r="BJ98" s="241">
        <f t="shared" si="154"/>
        <v>0</v>
      </c>
      <c r="BK98" s="242">
        <f t="shared" si="139"/>
        <v>0</v>
      </c>
      <c r="BL98" s="251">
        <f t="shared" si="140"/>
        <v>0</v>
      </c>
      <c r="BM98" s="342"/>
      <c r="BN98" s="342"/>
      <c r="BO98" s="13"/>
      <c r="BP98" s="215"/>
      <c r="BQ98" s="233">
        <f t="shared" si="155"/>
        <v>0</v>
      </c>
      <c r="BR98" s="214"/>
      <c r="BS98" s="214"/>
      <c r="BT98" s="214"/>
      <c r="BU98" s="214"/>
      <c r="BV98" s="215"/>
      <c r="BW98" s="215"/>
      <c r="BX98" s="215"/>
      <c r="BY98" s="241">
        <f t="shared" si="156"/>
        <v>0</v>
      </c>
      <c r="BZ98" s="242">
        <f t="shared" si="162"/>
        <v>0</v>
      </c>
      <c r="CA98" s="251">
        <f t="shared" si="157"/>
        <v>0</v>
      </c>
      <c r="CB98" s="252"/>
      <c r="CC98" s="252"/>
      <c r="CD98" s="251">
        <f t="shared" si="136"/>
        <v>0</v>
      </c>
      <c r="CE98" s="251">
        <f t="shared" si="141"/>
        <v>0</v>
      </c>
      <c r="CF98" s="251">
        <f t="shared" si="158"/>
        <v>0</v>
      </c>
      <c r="CG98" s="251">
        <f t="shared" si="159"/>
        <v>0</v>
      </c>
      <c r="CH98" s="265"/>
      <c r="CI98" s="266"/>
      <c r="CJ98" s="266"/>
      <c r="CK98" s="63"/>
      <c r="CL98" s="267"/>
      <c r="CM98" s="267"/>
      <c r="CN98" s="267"/>
    </row>
    <row r="99" spans="2:92" ht="15.75" hidden="1">
      <c r="B99" s="85" t="s">
        <v>171</v>
      </c>
      <c r="C99" s="86">
        <v>1012160420302</v>
      </c>
      <c r="D99" s="87" t="s">
        <v>172</v>
      </c>
      <c r="E99" s="202" t="s">
        <v>47</v>
      </c>
      <c r="F99" s="203"/>
      <c r="G99" s="203"/>
      <c r="H99" s="204">
        <f t="shared" si="143"/>
        <v>0</v>
      </c>
      <c r="I99" s="203"/>
      <c r="J99" s="203"/>
      <c r="K99" s="203"/>
      <c r="L99" s="203"/>
      <c r="M99" s="203"/>
      <c r="N99" s="203"/>
      <c r="O99" s="203"/>
      <c r="P99" s="211">
        <f t="shared" si="138"/>
        <v>0</v>
      </c>
      <c r="Q99" s="234">
        <f t="shared" si="161"/>
        <v>0</v>
      </c>
      <c r="R99" s="234">
        <f t="shared" si="144"/>
        <v>0</v>
      </c>
      <c r="S99" s="231"/>
      <c r="T99" s="232"/>
      <c r="U99" s="213"/>
      <c r="V99" s="213"/>
      <c r="W99" s="235">
        <f t="shared" si="145"/>
        <v>0</v>
      </c>
      <c r="X99" s="212"/>
      <c r="Y99" s="212"/>
      <c r="Z99" s="212"/>
      <c r="AA99" s="212"/>
      <c r="AB99" s="212"/>
      <c r="AC99" s="212"/>
      <c r="AD99" s="212"/>
      <c r="AE99" s="243">
        <f t="shared" si="146"/>
        <v>0</v>
      </c>
      <c r="AF99" s="244">
        <f t="shared" si="147"/>
        <v>0</v>
      </c>
      <c r="AG99" s="253">
        <f t="shared" si="148"/>
        <v>0</v>
      </c>
      <c r="AH99" s="247"/>
      <c r="AI99" s="252"/>
      <c r="AJ99" s="212"/>
      <c r="AK99" s="213"/>
      <c r="AL99" s="235">
        <f t="shared" si="149"/>
        <v>0</v>
      </c>
      <c r="AM99" s="254"/>
      <c r="AN99" s="212"/>
      <c r="AO99" s="212"/>
      <c r="AP99" s="212"/>
      <c r="AQ99" s="212"/>
      <c r="AR99" s="212"/>
      <c r="AS99" s="254"/>
      <c r="AT99" s="243">
        <f t="shared" si="150"/>
        <v>0</v>
      </c>
      <c r="AU99" s="244">
        <f t="shared" si="151"/>
        <v>0</v>
      </c>
      <c r="AV99" s="253">
        <f t="shared" si="152"/>
        <v>0</v>
      </c>
      <c r="AW99" s="247"/>
      <c r="AX99" s="247"/>
      <c r="AY99" s="252"/>
      <c r="AZ99" s="212"/>
      <c r="BA99" s="213"/>
      <c r="BB99" s="235">
        <f t="shared" si="153"/>
        <v>0</v>
      </c>
      <c r="BC99" s="212"/>
      <c r="BD99" s="212"/>
      <c r="BE99" s="254"/>
      <c r="BF99" s="212"/>
      <c r="BG99" s="212"/>
      <c r="BH99" s="212"/>
      <c r="BI99" s="212"/>
      <c r="BJ99" s="243">
        <f t="shared" si="154"/>
        <v>0</v>
      </c>
      <c r="BK99" s="244">
        <f t="shared" si="139"/>
        <v>0</v>
      </c>
      <c r="BL99" s="253">
        <f t="shared" si="140"/>
        <v>0</v>
      </c>
      <c r="BM99" s="342"/>
      <c r="BN99" s="342"/>
      <c r="BO99" s="205"/>
      <c r="BP99" s="213"/>
      <c r="BQ99" s="235">
        <f t="shared" si="155"/>
        <v>0</v>
      </c>
      <c r="BR99" s="212"/>
      <c r="BS99" s="212"/>
      <c r="BT99" s="212"/>
      <c r="BU99" s="212"/>
      <c r="BV99" s="213"/>
      <c r="BW99" s="213"/>
      <c r="BX99" s="213"/>
      <c r="BY99" s="243">
        <f t="shared" si="156"/>
        <v>0</v>
      </c>
      <c r="BZ99" s="244">
        <f t="shared" si="162"/>
        <v>0</v>
      </c>
      <c r="CA99" s="253">
        <f t="shared" si="157"/>
        <v>0</v>
      </c>
      <c r="CB99" s="328"/>
      <c r="CC99" s="252"/>
      <c r="CD99" s="253">
        <f t="shared" si="136"/>
        <v>0</v>
      </c>
      <c r="CE99" s="253">
        <f t="shared" si="141"/>
        <v>0</v>
      </c>
      <c r="CF99" s="253">
        <f t="shared" si="158"/>
        <v>0</v>
      </c>
      <c r="CG99" s="253">
        <f t="shared" si="159"/>
        <v>0</v>
      </c>
      <c r="CH99" s="265"/>
      <c r="CI99" s="266"/>
      <c r="CJ99" s="266"/>
      <c r="CK99" s="63"/>
      <c r="CL99" s="267"/>
      <c r="CM99" s="267"/>
      <c r="CN99" s="267"/>
    </row>
    <row r="100" spans="2:92" ht="15.75" hidden="1">
      <c r="B100" s="82" t="s">
        <v>173</v>
      </c>
      <c r="C100" s="83">
        <v>1012160420403</v>
      </c>
      <c r="D100" s="84" t="s">
        <v>174</v>
      </c>
      <c r="E100" s="199" t="s">
        <v>50</v>
      </c>
      <c r="F100" s="200"/>
      <c r="G100" s="200"/>
      <c r="H100" s="201">
        <f t="shared" si="143"/>
        <v>0</v>
      </c>
      <c r="I100" s="200"/>
      <c r="J100" s="200"/>
      <c r="K100" s="200"/>
      <c r="L100" s="200"/>
      <c r="M100" s="200"/>
      <c r="N100" s="200"/>
      <c r="O100" s="200"/>
      <c r="P100" s="210">
        <f t="shared" si="138"/>
        <v>0</v>
      </c>
      <c r="Q100" s="230">
        <f t="shared" si="161"/>
        <v>0</v>
      </c>
      <c r="R100" s="230">
        <f t="shared" si="144"/>
        <v>0</v>
      </c>
      <c r="S100" s="231"/>
      <c r="T100" s="232"/>
      <c r="U100" s="215"/>
      <c r="V100" s="215"/>
      <c r="W100" s="233">
        <f t="shared" si="145"/>
        <v>0</v>
      </c>
      <c r="X100" s="214"/>
      <c r="Y100" s="214"/>
      <c r="Z100" s="214"/>
      <c r="AA100" s="214"/>
      <c r="AB100" s="214"/>
      <c r="AC100" s="214"/>
      <c r="AD100" s="214"/>
      <c r="AE100" s="241">
        <f t="shared" si="146"/>
        <v>0</v>
      </c>
      <c r="AF100" s="242">
        <f t="shared" si="147"/>
        <v>0</v>
      </c>
      <c r="AG100" s="251">
        <f t="shared" si="148"/>
        <v>0</v>
      </c>
      <c r="AH100" s="247"/>
      <c r="AI100" s="252"/>
      <c r="AJ100" s="214"/>
      <c r="AK100" s="215"/>
      <c r="AL100" s="233">
        <f t="shared" si="149"/>
        <v>0</v>
      </c>
      <c r="AM100" s="255"/>
      <c r="AN100" s="214"/>
      <c r="AO100" s="214"/>
      <c r="AP100" s="214"/>
      <c r="AQ100" s="214"/>
      <c r="AR100" s="214"/>
      <c r="AS100" s="255"/>
      <c r="AT100" s="241">
        <f t="shared" si="150"/>
        <v>0</v>
      </c>
      <c r="AU100" s="242">
        <f t="shared" si="151"/>
        <v>0</v>
      </c>
      <c r="AV100" s="251">
        <f t="shared" si="152"/>
        <v>0</v>
      </c>
      <c r="AW100" s="247"/>
      <c r="AX100" s="247"/>
      <c r="AY100" s="252"/>
      <c r="AZ100" s="214"/>
      <c r="BA100" s="215"/>
      <c r="BB100" s="233">
        <f t="shared" si="153"/>
        <v>0</v>
      </c>
      <c r="BC100" s="214"/>
      <c r="BD100" s="214"/>
      <c r="BE100" s="255"/>
      <c r="BF100" s="214"/>
      <c r="BG100" s="214"/>
      <c r="BH100" s="214"/>
      <c r="BI100" s="214"/>
      <c r="BJ100" s="241">
        <f t="shared" si="154"/>
        <v>0</v>
      </c>
      <c r="BK100" s="242">
        <f t="shared" si="139"/>
        <v>0</v>
      </c>
      <c r="BL100" s="251">
        <f t="shared" si="140"/>
        <v>0</v>
      </c>
      <c r="BM100" s="342"/>
      <c r="BN100" s="342"/>
      <c r="BO100" s="13"/>
      <c r="BP100" s="215"/>
      <c r="BQ100" s="233">
        <f t="shared" si="155"/>
        <v>0</v>
      </c>
      <c r="BR100" s="214"/>
      <c r="BS100" s="214"/>
      <c r="BT100" s="214"/>
      <c r="BU100" s="214"/>
      <c r="BV100" s="215"/>
      <c r="BW100" s="215"/>
      <c r="BX100" s="215"/>
      <c r="BY100" s="241">
        <f t="shared" si="156"/>
        <v>0</v>
      </c>
      <c r="BZ100" s="242">
        <f t="shared" si="162"/>
        <v>0</v>
      </c>
      <c r="CA100" s="251">
        <f t="shared" si="157"/>
        <v>0</v>
      </c>
      <c r="CB100" s="252"/>
      <c r="CC100" s="252"/>
      <c r="CD100" s="251">
        <f t="shared" si="136"/>
        <v>0</v>
      </c>
      <c r="CE100" s="251">
        <f t="shared" si="141"/>
        <v>0</v>
      </c>
      <c r="CF100" s="251">
        <f t="shared" si="158"/>
        <v>0</v>
      </c>
      <c r="CG100" s="251">
        <f t="shared" si="159"/>
        <v>0</v>
      </c>
      <c r="CH100" s="265"/>
      <c r="CI100" s="266"/>
      <c r="CJ100" s="266"/>
      <c r="CK100" s="63"/>
      <c r="CL100" s="267"/>
      <c r="CM100" s="267"/>
      <c r="CN100" s="267"/>
    </row>
    <row r="101" spans="2:92" ht="15.75" hidden="1">
      <c r="B101" s="85" t="s">
        <v>175</v>
      </c>
      <c r="C101" s="86">
        <v>1012160420406</v>
      </c>
      <c r="D101" s="87" t="s">
        <v>176</v>
      </c>
      <c r="E101" s="202" t="s">
        <v>50</v>
      </c>
      <c r="F101" s="203"/>
      <c r="G101" s="203"/>
      <c r="H101" s="204">
        <f t="shared" si="143"/>
        <v>0</v>
      </c>
      <c r="I101" s="203"/>
      <c r="J101" s="203"/>
      <c r="K101" s="203"/>
      <c r="L101" s="203"/>
      <c r="M101" s="203"/>
      <c r="N101" s="203"/>
      <c r="O101" s="203"/>
      <c r="P101" s="211">
        <f t="shared" si="138"/>
        <v>0</v>
      </c>
      <c r="Q101" s="234">
        <f t="shared" si="161"/>
        <v>0</v>
      </c>
      <c r="R101" s="234">
        <f t="shared" si="144"/>
        <v>0</v>
      </c>
      <c r="S101" s="231"/>
      <c r="T101" s="232"/>
      <c r="U101" s="213"/>
      <c r="V101" s="213"/>
      <c r="W101" s="235">
        <f t="shared" si="145"/>
        <v>0</v>
      </c>
      <c r="X101" s="212"/>
      <c r="Y101" s="212"/>
      <c r="Z101" s="212"/>
      <c r="AA101" s="212"/>
      <c r="AB101" s="212"/>
      <c r="AC101" s="212"/>
      <c r="AD101" s="212"/>
      <c r="AE101" s="243">
        <f t="shared" si="146"/>
        <v>0</v>
      </c>
      <c r="AF101" s="244">
        <f t="shared" si="147"/>
        <v>0</v>
      </c>
      <c r="AG101" s="253">
        <f t="shared" si="148"/>
        <v>0</v>
      </c>
      <c r="AH101" s="247"/>
      <c r="AI101" s="252"/>
      <c r="AJ101" s="212"/>
      <c r="AK101" s="213"/>
      <c r="AL101" s="235">
        <f t="shared" si="149"/>
        <v>0</v>
      </c>
      <c r="AM101" s="254"/>
      <c r="AN101" s="212"/>
      <c r="AO101" s="212"/>
      <c r="AP101" s="212"/>
      <c r="AQ101" s="212"/>
      <c r="AR101" s="212"/>
      <c r="AS101" s="254"/>
      <c r="AT101" s="243">
        <f t="shared" si="150"/>
        <v>0</v>
      </c>
      <c r="AU101" s="244">
        <f t="shared" si="151"/>
        <v>0</v>
      </c>
      <c r="AV101" s="253">
        <f t="shared" si="152"/>
        <v>0</v>
      </c>
      <c r="AW101" s="247"/>
      <c r="AX101" s="247"/>
      <c r="AY101" s="252"/>
      <c r="AZ101" s="212"/>
      <c r="BA101" s="213"/>
      <c r="BB101" s="235">
        <f t="shared" si="153"/>
        <v>0</v>
      </c>
      <c r="BC101" s="212"/>
      <c r="BD101" s="212"/>
      <c r="BE101" s="254"/>
      <c r="BF101" s="212"/>
      <c r="BG101" s="212"/>
      <c r="BH101" s="212"/>
      <c r="BI101" s="212"/>
      <c r="BJ101" s="243">
        <f t="shared" si="154"/>
        <v>0</v>
      </c>
      <c r="BK101" s="244">
        <f t="shared" si="139"/>
        <v>0</v>
      </c>
      <c r="BL101" s="253">
        <f t="shared" si="140"/>
        <v>0</v>
      </c>
      <c r="BM101" s="342"/>
      <c r="BN101" s="342"/>
      <c r="BO101" s="205"/>
      <c r="BP101" s="213"/>
      <c r="BQ101" s="235">
        <f t="shared" si="155"/>
        <v>0</v>
      </c>
      <c r="BR101" s="212"/>
      <c r="BS101" s="212"/>
      <c r="BT101" s="212"/>
      <c r="BU101" s="212"/>
      <c r="BV101" s="213"/>
      <c r="BW101" s="213"/>
      <c r="BX101" s="213"/>
      <c r="BY101" s="243">
        <f t="shared" si="156"/>
        <v>0</v>
      </c>
      <c r="BZ101" s="244">
        <f t="shared" si="162"/>
        <v>0</v>
      </c>
      <c r="CA101" s="253">
        <f t="shared" si="157"/>
        <v>0</v>
      </c>
      <c r="CB101" s="328"/>
      <c r="CC101" s="252"/>
      <c r="CD101" s="253">
        <f t="shared" si="136"/>
        <v>0</v>
      </c>
      <c r="CE101" s="253">
        <f t="shared" si="141"/>
        <v>0</v>
      </c>
      <c r="CF101" s="253">
        <f t="shared" si="158"/>
        <v>0</v>
      </c>
      <c r="CG101" s="253">
        <f t="shared" si="159"/>
        <v>0</v>
      </c>
      <c r="CH101" s="265"/>
      <c r="CI101" s="266"/>
      <c r="CJ101" s="266"/>
      <c r="CK101" s="63"/>
      <c r="CL101" s="267"/>
      <c r="CM101" s="267"/>
      <c r="CN101" s="267"/>
    </row>
    <row r="102" spans="2:92" ht="15.75" hidden="1">
      <c r="B102" s="82" t="s">
        <v>177</v>
      </c>
      <c r="C102" s="83">
        <v>1012160420411</v>
      </c>
      <c r="D102" s="84" t="s">
        <v>178</v>
      </c>
      <c r="E102" s="199" t="s">
        <v>47</v>
      </c>
      <c r="F102" s="200"/>
      <c r="G102" s="200"/>
      <c r="H102" s="201">
        <f t="shared" si="143"/>
        <v>0</v>
      </c>
      <c r="I102" s="200"/>
      <c r="J102" s="200"/>
      <c r="K102" s="200"/>
      <c r="L102" s="200"/>
      <c r="M102" s="200"/>
      <c r="N102" s="200"/>
      <c r="O102" s="200"/>
      <c r="P102" s="210">
        <f t="shared" si="138"/>
        <v>0</v>
      </c>
      <c r="Q102" s="230">
        <f t="shared" si="161"/>
        <v>0</v>
      </c>
      <c r="R102" s="230">
        <f t="shared" si="144"/>
        <v>0</v>
      </c>
      <c r="S102" s="231"/>
      <c r="T102" s="232"/>
      <c r="U102" s="215"/>
      <c r="V102" s="215"/>
      <c r="W102" s="233">
        <f t="shared" si="145"/>
        <v>0</v>
      </c>
      <c r="X102" s="214"/>
      <c r="Y102" s="214"/>
      <c r="Z102" s="214"/>
      <c r="AA102" s="214"/>
      <c r="AB102" s="214"/>
      <c r="AC102" s="214"/>
      <c r="AD102" s="214"/>
      <c r="AE102" s="241">
        <f t="shared" si="146"/>
        <v>0</v>
      </c>
      <c r="AF102" s="242">
        <f t="shared" si="147"/>
        <v>0</v>
      </c>
      <c r="AG102" s="251">
        <f t="shared" si="148"/>
        <v>0</v>
      </c>
      <c r="AH102" s="247"/>
      <c r="AI102" s="252"/>
      <c r="AJ102" s="214"/>
      <c r="AK102" s="215"/>
      <c r="AL102" s="233">
        <f t="shared" si="149"/>
        <v>0</v>
      </c>
      <c r="AM102" s="255"/>
      <c r="AN102" s="214"/>
      <c r="AO102" s="214"/>
      <c r="AP102" s="214"/>
      <c r="AQ102" s="214"/>
      <c r="AR102" s="214"/>
      <c r="AS102" s="255"/>
      <c r="AT102" s="241">
        <f t="shared" si="150"/>
        <v>0</v>
      </c>
      <c r="AU102" s="242">
        <f t="shared" si="151"/>
        <v>0</v>
      </c>
      <c r="AV102" s="251">
        <f t="shared" si="152"/>
        <v>0</v>
      </c>
      <c r="AW102" s="247"/>
      <c r="AX102" s="247"/>
      <c r="AY102" s="252"/>
      <c r="AZ102" s="214"/>
      <c r="BA102" s="215"/>
      <c r="BB102" s="233">
        <f t="shared" si="153"/>
        <v>0</v>
      </c>
      <c r="BC102" s="214"/>
      <c r="BD102" s="214"/>
      <c r="BE102" s="255"/>
      <c r="BF102" s="214"/>
      <c r="BG102" s="214"/>
      <c r="BH102" s="214"/>
      <c r="BI102" s="214"/>
      <c r="BJ102" s="241">
        <f t="shared" si="154"/>
        <v>0</v>
      </c>
      <c r="BK102" s="242">
        <f t="shared" si="139"/>
        <v>0</v>
      </c>
      <c r="BL102" s="251">
        <f t="shared" si="140"/>
        <v>0</v>
      </c>
      <c r="BM102" s="342"/>
      <c r="BN102" s="342"/>
      <c r="BO102" s="13"/>
      <c r="BP102" s="215"/>
      <c r="BQ102" s="233">
        <f t="shared" si="155"/>
        <v>0</v>
      </c>
      <c r="BR102" s="214"/>
      <c r="BS102" s="214"/>
      <c r="BT102" s="214"/>
      <c r="BU102" s="214"/>
      <c r="BV102" s="215"/>
      <c r="BW102" s="215"/>
      <c r="BX102" s="215"/>
      <c r="BY102" s="241">
        <f t="shared" si="156"/>
        <v>0</v>
      </c>
      <c r="BZ102" s="242">
        <f t="shared" si="162"/>
        <v>0</v>
      </c>
      <c r="CA102" s="251">
        <f t="shared" si="157"/>
        <v>0</v>
      </c>
      <c r="CB102" s="252"/>
      <c r="CC102" s="252"/>
      <c r="CD102" s="251">
        <f t="shared" si="136"/>
        <v>0</v>
      </c>
      <c r="CE102" s="251">
        <f t="shared" si="141"/>
        <v>0</v>
      </c>
      <c r="CF102" s="251">
        <f t="shared" si="158"/>
        <v>0</v>
      </c>
      <c r="CG102" s="251">
        <f t="shared" si="159"/>
        <v>0</v>
      </c>
      <c r="CH102" s="265"/>
      <c r="CI102" s="266"/>
      <c r="CJ102" s="266"/>
      <c r="CK102" s="63"/>
      <c r="CL102" s="267"/>
      <c r="CM102" s="267"/>
      <c r="CN102" s="267"/>
    </row>
    <row r="103" spans="2:92" ht="15.75" hidden="1">
      <c r="B103" s="85" t="s">
        <v>179</v>
      </c>
      <c r="C103" s="86">
        <v>1012160420414</v>
      </c>
      <c r="D103" s="87" t="s">
        <v>180</v>
      </c>
      <c r="E103" s="202" t="s">
        <v>47</v>
      </c>
      <c r="F103" s="203"/>
      <c r="G103" s="203"/>
      <c r="H103" s="204">
        <f t="shared" si="143"/>
        <v>0</v>
      </c>
      <c r="I103" s="203"/>
      <c r="J103" s="203"/>
      <c r="K103" s="203"/>
      <c r="L103" s="203"/>
      <c r="M103" s="203"/>
      <c r="N103" s="203"/>
      <c r="O103" s="203"/>
      <c r="P103" s="211">
        <f t="shared" si="138"/>
        <v>0</v>
      </c>
      <c r="Q103" s="234">
        <f t="shared" si="161"/>
        <v>0</v>
      </c>
      <c r="R103" s="234">
        <f t="shared" si="144"/>
        <v>0</v>
      </c>
      <c r="S103" s="231"/>
      <c r="T103" s="232"/>
      <c r="U103" s="213"/>
      <c r="V103" s="213"/>
      <c r="W103" s="235">
        <f t="shared" si="145"/>
        <v>0</v>
      </c>
      <c r="X103" s="212"/>
      <c r="Y103" s="212"/>
      <c r="Z103" s="212"/>
      <c r="AA103" s="212"/>
      <c r="AB103" s="212"/>
      <c r="AC103" s="212"/>
      <c r="AD103" s="212"/>
      <c r="AE103" s="243">
        <f t="shared" si="146"/>
        <v>0</v>
      </c>
      <c r="AF103" s="244">
        <f t="shared" si="147"/>
        <v>0</v>
      </c>
      <c r="AG103" s="253">
        <f t="shared" si="148"/>
        <v>0</v>
      </c>
      <c r="AH103" s="247"/>
      <c r="AI103" s="252"/>
      <c r="AJ103" s="212"/>
      <c r="AK103" s="213"/>
      <c r="AL103" s="235">
        <f t="shared" si="149"/>
        <v>0</v>
      </c>
      <c r="AM103" s="254"/>
      <c r="AN103" s="212"/>
      <c r="AO103" s="212"/>
      <c r="AP103" s="212"/>
      <c r="AQ103" s="212"/>
      <c r="AR103" s="212"/>
      <c r="AS103" s="254"/>
      <c r="AT103" s="243">
        <f t="shared" si="150"/>
        <v>0</v>
      </c>
      <c r="AU103" s="244">
        <f t="shared" si="151"/>
        <v>0</v>
      </c>
      <c r="AV103" s="253">
        <f t="shared" si="152"/>
        <v>0</v>
      </c>
      <c r="AW103" s="247"/>
      <c r="AX103" s="247"/>
      <c r="AY103" s="252"/>
      <c r="AZ103" s="212"/>
      <c r="BA103" s="213"/>
      <c r="BB103" s="235">
        <f t="shared" si="153"/>
        <v>0</v>
      </c>
      <c r="BC103" s="212"/>
      <c r="BD103" s="212"/>
      <c r="BE103" s="254"/>
      <c r="BF103" s="212"/>
      <c r="BG103" s="212"/>
      <c r="BH103" s="212"/>
      <c r="BI103" s="212"/>
      <c r="BJ103" s="243">
        <f t="shared" si="154"/>
        <v>0</v>
      </c>
      <c r="BK103" s="244">
        <f t="shared" si="139"/>
        <v>0</v>
      </c>
      <c r="BL103" s="253">
        <f t="shared" si="140"/>
        <v>0</v>
      </c>
      <c r="BM103" s="342"/>
      <c r="BN103" s="342"/>
      <c r="BO103" s="205"/>
      <c r="BP103" s="213"/>
      <c r="BQ103" s="235">
        <f t="shared" si="155"/>
        <v>0</v>
      </c>
      <c r="BR103" s="212"/>
      <c r="BS103" s="212"/>
      <c r="BT103" s="212"/>
      <c r="BU103" s="212"/>
      <c r="BV103" s="213"/>
      <c r="BW103" s="213"/>
      <c r="BX103" s="213"/>
      <c r="BY103" s="243">
        <f t="shared" si="156"/>
        <v>0</v>
      </c>
      <c r="BZ103" s="244">
        <f t="shared" si="162"/>
        <v>0</v>
      </c>
      <c r="CA103" s="253">
        <f t="shared" si="157"/>
        <v>0</v>
      </c>
      <c r="CB103" s="328"/>
      <c r="CC103" s="252"/>
      <c r="CD103" s="253">
        <f t="shared" si="136"/>
        <v>0</v>
      </c>
      <c r="CE103" s="253">
        <f t="shared" si="141"/>
        <v>0</v>
      </c>
      <c r="CF103" s="253">
        <f t="shared" si="158"/>
        <v>0</v>
      </c>
      <c r="CG103" s="253">
        <f t="shared" si="159"/>
        <v>0</v>
      </c>
      <c r="CH103" s="265"/>
      <c r="CI103" s="266"/>
      <c r="CJ103" s="266"/>
      <c r="CK103" s="63"/>
      <c r="CL103" s="267">
        <f t="shared" si="142"/>
        <v>0</v>
      </c>
      <c r="CM103" s="267">
        <f>CD103/CD$177</f>
        <v>0</v>
      </c>
      <c r="CN103" s="267">
        <f t="shared" si="160"/>
        <v>0</v>
      </c>
    </row>
    <row r="104" spans="2:92" ht="15.75" hidden="1">
      <c r="B104" s="82" t="s">
        <v>181</v>
      </c>
      <c r="C104" s="83">
        <v>101216040003</v>
      </c>
      <c r="D104" s="84" t="s">
        <v>182</v>
      </c>
      <c r="E104" s="199" t="s">
        <v>47</v>
      </c>
      <c r="F104" s="200"/>
      <c r="G104" s="200"/>
      <c r="H104" s="201">
        <f t="shared" si="143"/>
        <v>0</v>
      </c>
      <c r="I104" s="200"/>
      <c r="J104" s="200"/>
      <c r="K104" s="200"/>
      <c r="L104" s="200"/>
      <c r="M104" s="200"/>
      <c r="N104" s="200"/>
      <c r="O104" s="200"/>
      <c r="P104" s="210">
        <f t="shared" si="138"/>
        <v>0</v>
      </c>
      <c r="Q104" s="230">
        <f t="shared" si="161"/>
        <v>0</v>
      </c>
      <c r="R104" s="230">
        <f t="shared" si="144"/>
        <v>0</v>
      </c>
      <c r="S104" s="231"/>
      <c r="T104" s="232"/>
      <c r="U104" s="215"/>
      <c r="V104" s="215"/>
      <c r="W104" s="233">
        <f t="shared" si="145"/>
        <v>0</v>
      </c>
      <c r="X104" s="214"/>
      <c r="Y104" s="214"/>
      <c r="Z104" s="214"/>
      <c r="AA104" s="214"/>
      <c r="AB104" s="214"/>
      <c r="AC104" s="214"/>
      <c r="AD104" s="214"/>
      <c r="AE104" s="241">
        <f t="shared" si="146"/>
        <v>0</v>
      </c>
      <c r="AF104" s="242">
        <f t="shared" si="147"/>
        <v>0</v>
      </c>
      <c r="AG104" s="251">
        <f t="shared" si="148"/>
        <v>0</v>
      </c>
      <c r="AH104" s="247"/>
      <c r="AI104" s="252"/>
      <c r="AJ104" s="214"/>
      <c r="AK104" s="215"/>
      <c r="AL104" s="233">
        <f t="shared" si="149"/>
        <v>0</v>
      </c>
      <c r="AM104" s="255"/>
      <c r="AN104" s="214"/>
      <c r="AO104" s="214"/>
      <c r="AP104" s="214"/>
      <c r="AQ104" s="214"/>
      <c r="AR104" s="214"/>
      <c r="AS104" s="255"/>
      <c r="AT104" s="241">
        <f t="shared" si="150"/>
        <v>0</v>
      </c>
      <c r="AU104" s="242">
        <f t="shared" si="151"/>
        <v>0</v>
      </c>
      <c r="AV104" s="251">
        <f t="shared" si="152"/>
        <v>0</v>
      </c>
      <c r="AW104" s="247"/>
      <c r="AX104" s="247"/>
      <c r="AY104" s="252"/>
      <c r="AZ104" s="214"/>
      <c r="BA104" s="215"/>
      <c r="BB104" s="233">
        <f t="shared" si="153"/>
        <v>0</v>
      </c>
      <c r="BC104" s="214"/>
      <c r="BD104" s="214"/>
      <c r="BE104" s="255"/>
      <c r="BF104" s="214"/>
      <c r="BG104" s="214"/>
      <c r="BH104" s="214"/>
      <c r="BI104" s="214"/>
      <c r="BJ104" s="241">
        <f t="shared" si="154"/>
        <v>0</v>
      </c>
      <c r="BK104" s="242">
        <f t="shared" si="139"/>
        <v>0</v>
      </c>
      <c r="BL104" s="251">
        <f t="shared" si="140"/>
        <v>0</v>
      </c>
      <c r="BM104" s="342"/>
      <c r="BN104" s="342"/>
      <c r="BO104" s="13"/>
      <c r="BP104" s="215"/>
      <c r="BQ104" s="233">
        <f t="shared" si="155"/>
        <v>0</v>
      </c>
      <c r="BR104" s="214"/>
      <c r="BS104" s="214"/>
      <c r="BT104" s="214"/>
      <c r="BU104" s="214"/>
      <c r="BV104" s="215"/>
      <c r="BW104" s="215"/>
      <c r="BX104" s="215"/>
      <c r="BY104" s="241">
        <f t="shared" si="156"/>
        <v>0</v>
      </c>
      <c r="BZ104" s="242">
        <f t="shared" si="162"/>
        <v>0</v>
      </c>
      <c r="CA104" s="251">
        <f t="shared" si="157"/>
        <v>0</v>
      </c>
      <c r="CB104" s="252"/>
      <c r="CC104" s="252"/>
      <c r="CD104" s="251">
        <f t="shared" si="136"/>
        <v>0</v>
      </c>
      <c r="CE104" s="251">
        <f t="shared" si="141"/>
        <v>0</v>
      </c>
      <c r="CF104" s="251">
        <f t="shared" si="158"/>
        <v>0</v>
      </c>
      <c r="CG104" s="251">
        <f t="shared" si="159"/>
        <v>0</v>
      </c>
      <c r="CH104" s="265"/>
      <c r="CI104" s="266"/>
      <c r="CJ104" s="266"/>
      <c r="CK104" s="63"/>
      <c r="CL104" s="267">
        <f t="shared" si="142"/>
        <v>0</v>
      </c>
      <c r="CM104" s="267">
        <f>CD104/CD$177</f>
        <v>0</v>
      </c>
      <c r="CN104" s="267">
        <f t="shared" si="160"/>
        <v>0</v>
      </c>
    </row>
    <row r="105" spans="2:92" ht="15.75" hidden="1">
      <c r="B105" s="85" t="s">
        <v>181</v>
      </c>
      <c r="C105" s="86">
        <v>101216040003</v>
      </c>
      <c r="D105" s="87" t="s">
        <v>183</v>
      </c>
      <c r="E105" s="202" t="s">
        <v>47</v>
      </c>
      <c r="F105" s="203"/>
      <c r="G105" s="203"/>
      <c r="H105" s="204">
        <f t="shared" si="143"/>
        <v>0</v>
      </c>
      <c r="I105" s="203"/>
      <c r="J105" s="203"/>
      <c r="K105" s="203"/>
      <c r="L105" s="203"/>
      <c r="M105" s="203"/>
      <c r="N105" s="203"/>
      <c r="O105" s="203"/>
      <c r="P105" s="211">
        <f t="shared" si="138"/>
        <v>0</v>
      </c>
      <c r="Q105" s="234">
        <f t="shared" si="161"/>
        <v>0</v>
      </c>
      <c r="R105" s="234">
        <f t="shared" si="144"/>
        <v>0</v>
      </c>
      <c r="S105" s="231"/>
      <c r="T105" s="232"/>
      <c r="U105" s="213"/>
      <c r="V105" s="213"/>
      <c r="W105" s="235">
        <f t="shared" si="145"/>
        <v>0</v>
      </c>
      <c r="X105" s="212"/>
      <c r="Y105" s="212"/>
      <c r="Z105" s="212"/>
      <c r="AA105" s="212"/>
      <c r="AB105" s="212"/>
      <c r="AC105" s="212"/>
      <c r="AD105" s="212"/>
      <c r="AE105" s="243">
        <f t="shared" si="146"/>
        <v>0</v>
      </c>
      <c r="AF105" s="244">
        <f t="shared" si="147"/>
        <v>0</v>
      </c>
      <c r="AG105" s="253">
        <f t="shared" si="148"/>
        <v>0</v>
      </c>
      <c r="AH105" s="247"/>
      <c r="AI105" s="252"/>
      <c r="AJ105" s="212"/>
      <c r="AK105" s="213"/>
      <c r="AL105" s="235">
        <f t="shared" si="149"/>
        <v>0</v>
      </c>
      <c r="AM105" s="254"/>
      <c r="AN105" s="212"/>
      <c r="AO105" s="212"/>
      <c r="AP105" s="212"/>
      <c r="AQ105" s="212"/>
      <c r="AR105" s="212"/>
      <c r="AS105" s="254"/>
      <c r="AT105" s="243">
        <f t="shared" si="150"/>
        <v>0</v>
      </c>
      <c r="AU105" s="244">
        <f t="shared" si="151"/>
        <v>0</v>
      </c>
      <c r="AV105" s="253">
        <f t="shared" si="152"/>
        <v>0</v>
      </c>
      <c r="AW105" s="247"/>
      <c r="AX105" s="247"/>
      <c r="AY105" s="252"/>
      <c r="AZ105" s="212"/>
      <c r="BA105" s="213"/>
      <c r="BB105" s="235">
        <f t="shared" si="153"/>
        <v>0</v>
      </c>
      <c r="BC105" s="212"/>
      <c r="BD105" s="212"/>
      <c r="BE105" s="254"/>
      <c r="BF105" s="212"/>
      <c r="BG105" s="212"/>
      <c r="BH105" s="212"/>
      <c r="BI105" s="212"/>
      <c r="BJ105" s="243">
        <f t="shared" si="154"/>
        <v>0</v>
      </c>
      <c r="BK105" s="244">
        <f t="shared" si="139"/>
        <v>0</v>
      </c>
      <c r="BL105" s="253">
        <f t="shared" si="140"/>
        <v>0</v>
      </c>
      <c r="BM105" s="342"/>
      <c r="BN105" s="342"/>
      <c r="BO105" s="205"/>
      <c r="BP105" s="213"/>
      <c r="BQ105" s="235">
        <f t="shared" si="155"/>
        <v>0</v>
      </c>
      <c r="BR105" s="212"/>
      <c r="BS105" s="212"/>
      <c r="BT105" s="212"/>
      <c r="BU105" s="212"/>
      <c r="BV105" s="213"/>
      <c r="BW105" s="213"/>
      <c r="BX105" s="213"/>
      <c r="BY105" s="243">
        <f t="shared" si="156"/>
        <v>0</v>
      </c>
      <c r="BZ105" s="244">
        <f t="shared" si="162"/>
        <v>0</v>
      </c>
      <c r="CA105" s="253">
        <f t="shared" si="157"/>
        <v>0</v>
      </c>
      <c r="CB105" s="328"/>
      <c r="CC105" s="252"/>
      <c r="CD105" s="253">
        <f t="shared" si="136"/>
        <v>0</v>
      </c>
      <c r="CE105" s="253">
        <f t="shared" si="141"/>
        <v>0</v>
      </c>
      <c r="CF105" s="253">
        <f t="shared" si="158"/>
        <v>0</v>
      </c>
      <c r="CG105" s="253">
        <f t="shared" si="159"/>
        <v>0</v>
      </c>
      <c r="CH105" s="265"/>
      <c r="CI105" s="266"/>
      <c r="CJ105" s="266"/>
      <c r="CK105" s="63"/>
      <c r="CL105" s="267">
        <f t="shared" si="142"/>
        <v>0</v>
      </c>
      <c r="CM105" s="267">
        <f>CD105/CD$177</f>
        <v>0</v>
      </c>
      <c r="CN105" s="267">
        <f t="shared" si="160"/>
        <v>0</v>
      </c>
    </row>
    <row r="106" spans="2:92" ht="15.75" hidden="1">
      <c r="B106" s="82" t="s">
        <v>184</v>
      </c>
      <c r="C106" s="83">
        <v>1012150756113</v>
      </c>
      <c r="D106" s="84" t="s">
        <v>185</v>
      </c>
      <c r="E106" s="199" t="s">
        <v>99</v>
      </c>
      <c r="F106" s="200"/>
      <c r="G106" s="200"/>
      <c r="H106" s="201">
        <f t="shared" si="143"/>
        <v>0</v>
      </c>
      <c r="I106" s="200"/>
      <c r="J106" s="200"/>
      <c r="K106" s="200"/>
      <c r="L106" s="200"/>
      <c r="M106" s="200"/>
      <c r="N106" s="200"/>
      <c r="O106" s="200"/>
      <c r="P106" s="210">
        <f t="shared" si="138"/>
        <v>0</v>
      </c>
      <c r="Q106" s="230">
        <f t="shared" si="161"/>
        <v>0</v>
      </c>
      <c r="R106" s="230">
        <f t="shared" si="144"/>
        <v>0</v>
      </c>
      <c r="S106" s="231"/>
      <c r="T106" s="232"/>
      <c r="U106" s="215"/>
      <c r="V106" s="215"/>
      <c r="W106" s="233">
        <f t="shared" si="145"/>
        <v>0</v>
      </c>
      <c r="X106" s="214"/>
      <c r="Y106" s="214"/>
      <c r="Z106" s="214"/>
      <c r="AA106" s="214"/>
      <c r="AB106" s="214"/>
      <c r="AC106" s="214"/>
      <c r="AD106" s="214"/>
      <c r="AE106" s="241">
        <f t="shared" si="146"/>
        <v>0</v>
      </c>
      <c r="AF106" s="242">
        <f t="shared" si="147"/>
        <v>0</v>
      </c>
      <c r="AG106" s="251">
        <f t="shared" si="148"/>
        <v>0</v>
      </c>
      <c r="AH106" s="247"/>
      <c r="AI106" s="252"/>
      <c r="AJ106" s="214"/>
      <c r="AK106" s="215"/>
      <c r="AL106" s="233">
        <f t="shared" si="149"/>
        <v>0</v>
      </c>
      <c r="AM106" s="255"/>
      <c r="AN106" s="214"/>
      <c r="AO106" s="214"/>
      <c r="AP106" s="214"/>
      <c r="AQ106" s="214"/>
      <c r="AR106" s="214"/>
      <c r="AS106" s="255"/>
      <c r="AT106" s="241">
        <f t="shared" si="150"/>
        <v>0</v>
      </c>
      <c r="AU106" s="242">
        <f t="shared" si="151"/>
        <v>0</v>
      </c>
      <c r="AV106" s="251">
        <f t="shared" si="152"/>
        <v>0</v>
      </c>
      <c r="AW106" s="247"/>
      <c r="AX106" s="247"/>
      <c r="AY106" s="252"/>
      <c r="AZ106" s="214"/>
      <c r="BA106" s="215"/>
      <c r="BB106" s="233">
        <f t="shared" si="153"/>
        <v>0</v>
      </c>
      <c r="BC106" s="214"/>
      <c r="BD106" s="214"/>
      <c r="BE106" s="255"/>
      <c r="BF106" s="214"/>
      <c r="BG106" s="214"/>
      <c r="BH106" s="214"/>
      <c r="BI106" s="214"/>
      <c r="BJ106" s="241">
        <f t="shared" si="154"/>
        <v>0</v>
      </c>
      <c r="BK106" s="242">
        <f t="shared" si="139"/>
        <v>0</v>
      </c>
      <c r="BL106" s="251">
        <f t="shared" si="140"/>
        <v>0</v>
      </c>
      <c r="BM106" s="342"/>
      <c r="BN106" s="342"/>
      <c r="BO106" s="13"/>
      <c r="BP106" s="215"/>
      <c r="BQ106" s="233">
        <f t="shared" si="155"/>
        <v>0</v>
      </c>
      <c r="BR106" s="214"/>
      <c r="BS106" s="214"/>
      <c r="BT106" s="214"/>
      <c r="BU106" s="214"/>
      <c r="BV106" s="215"/>
      <c r="BW106" s="215"/>
      <c r="BX106" s="215"/>
      <c r="BY106" s="241">
        <f t="shared" si="156"/>
        <v>0</v>
      </c>
      <c r="BZ106" s="242">
        <f t="shared" si="162"/>
        <v>0</v>
      </c>
      <c r="CA106" s="251">
        <f t="shared" si="157"/>
        <v>0</v>
      </c>
      <c r="CB106" s="252"/>
      <c r="CC106" s="252"/>
      <c r="CD106" s="251">
        <f t="shared" si="136"/>
        <v>0</v>
      </c>
      <c r="CE106" s="251">
        <f t="shared" si="141"/>
        <v>0</v>
      </c>
      <c r="CF106" s="251">
        <f t="shared" si="158"/>
        <v>0</v>
      </c>
      <c r="CG106" s="251">
        <f t="shared" si="159"/>
        <v>0</v>
      </c>
      <c r="CH106" s="265"/>
      <c r="CI106" s="266"/>
      <c r="CJ106" s="266"/>
      <c r="CK106" s="63"/>
      <c r="CL106" s="267"/>
      <c r="CM106" s="267"/>
      <c r="CN106" s="267"/>
    </row>
    <row r="107" spans="2:92" ht="15.75" hidden="1">
      <c r="B107" s="85" t="s">
        <v>184</v>
      </c>
      <c r="C107" s="86">
        <v>1012150756113</v>
      </c>
      <c r="D107" s="87" t="s">
        <v>186</v>
      </c>
      <c r="E107" s="202" t="s">
        <v>99</v>
      </c>
      <c r="F107" s="203"/>
      <c r="G107" s="203"/>
      <c r="H107" s="204">
        <f t="shared" si="143"/>
        <v>0</v>
      </c>
      <c r="I107" s="203"/>
      <c r="J107" s="203"/>
      <c r="K107" s="203"/>
      <c r="L107" s="203"/>
      <c r="M107" s="203"/>
      <c r="N107" s="203"/>
      <c r="O107" s="203"/>
      <c r="P107" s="211">
        <f t="shared" si="138"/>
        <v>0</v>
      </c>
      <c r="Q107" s="234">
        <f t="shared" si="161"/>
        <v>0</v>
      </c>
      <c r="R107" s="234">
        <f t="shared" si="144"/>
        <v>0</v>
      </c>
      <c r="S107" s="231"/>
      <c r="T107" s="232"/>
      <c r="U107" s="213"/>
      <c r="V107" s="213"/>
      <c r="W107" s="235">
        <f t="shared" si="145"/>
        <v>0</v>
      </c>
      <c r="X107" s="212"/>
      <c r="Y107" s="212"/>
      <c r="Z107" s="212"/>
      <c r="AA107" s="212"/>
      <c r="AB107" s="212"/>
      <c r="AC107" s="212"/>
      <c r="AD107" s="212"/>
      <c r="AE107" s="243">
        <f t="shared" si="146"/>
        <v>0</v>
      </c>
      <c r="AF107" s="244">
        <f t="shared" si="147"/>
        <v>0</v>
      </c>
      <c r="AG107" s="253">
        <f t="shared" si="148"/>
        <v>0</v>
      </c>
      <c r="AH107" s="247"/>
      <c r="AI107" s="252"/>
      <c r="AJ107" s="212"/>
      <c r="AK107" s="213"/>
      <c r="AL107" s="235">
        <f t="shared" si="149"/>
        <v>0</v>
      </c>
      <c r="AM107" s="254"/>
      <c r="AN107" s="212"/>
      <c r="AO107" s="212"/>
      <c r="AP107" s="212"/>
      <c r="AQ107" s="212"/>
      <c r="AR107" s="212"/>
      <c r="AS107" s="254"/>
      <c r="AT107" s="243">
        <f t="shared" si="150"/>
        <v>0</v>
      </c>
      <c r="AU107" s="244">
        <f t="shared" si="151"/>
        <v>0</v>
      </c>
      <c r="AV107" s="253">
        <f t="shared" si="152"/>
        <v>0</v>
      </c>
      <c r="AW107" s="247"/>
      <c r="AX107" s="247"/>
      <c r="AY107" s="252"/>
      <c r="AZ107" s="212"/>
      <c r="BA107" s="213"/>
      <c r="BB107" s="235">
        <f t="shared" si="153"/>
        <v>0</v>
      </c>
      <c r="BC107" s="212"/>
      <c r="BD107" s="212"/>
      <c r="BE107" s="254"/>
      <c r="BF107" s="212"/>
      <c r="BG107" s="212"/>
      <c r="BH107" s="212"/>
      <c r="BI107" s="212"/>
      <c r="BJ107" s="243">
        <f t="shared" si="154"/>
        <v>0</v>
      </c>
      <c r="BK107" s="244">
        <f t="shared" si="139"/>
        <v>0</v>
      </c>
      <c r="BL107" s="253">
        <f t="shared" si="140"/>
        <v>0</v>
      </c>
      <c r="BM107" s="342"/>
      <c r="BN107" s="342"/>
      <c r="BO107" s="205"/>
      <c r="BP107" s="213"/>
      <c r="BQ107" s="235">
        <f t="shared" si="155"/>
        <v>0</v>
      </c>
      <c r="BR107" s="212"/>
      <c r="BS107" s="212"/>
      <c r="BT107" s="212"/>
      <c r="BU107" s="212"/>
      <c r="BV107" s="213"/>
      <c r="BW107" s="213"/>
      <c r="BX107" s="213"/>
      <c r="BY107" s="243">
        <f t="shared" si="156"/>
        <v>0</v>
      </c>
      <c r="BZ107" s="244">
        <f t="shared" si="162"/>
        <v>0</v>
      </c>
      <c r="CA107" s="253">
        <f t="shared" si="157"/>
        <v>0</v>
      </c>
      <c r="CB107" s="328"/>
      <c r="CC107" s="252"/>
      <c r="CD107" s="253">
        <f t="shared" si="136"/>
        <v>0</v>
      </c>
      <c r="CE107" s="253">
        <f t="shared" si="141"/>
        <v>0</v>
      </c>
      <c r="CF107" s="253">
        <f t="shared" si="158"/>
        <v>0</v>
      </c>
      <c r="CG107" s="253">
        <f t="shared" si="159"/>
        <v>0</v>
      </c>
      <c r="CH107" s="265"/>
      <c r="CI107" s="266"/>
      <c r="CJ107" s="266"/>
      <c r="CK107" s="63"/>
      <c r="CL107" s="267"/>
      <c r="CM107" s="267"/>
      <c r="CN107" s="267"/>
    </row>
    <row r="108" spans="2:92" ht="15.75" hidden="1">
      <c r="B108" s="82" t="s">
        <v>187</v>
      </c>
      <c r="C108" s="83">
        <v>1012150756115</v>
      </c>
      <c r="D108" s="84" t="s">
        <v>188</v>
      </c>
      <c r="E108" s="199" t="s">
        <v>99</v>
      </c>
      <c r="F108" s="200"/>
      <c r="G108" s="200"/>
      <c r="H108" s="201">
        <f t="shared" si="143"/>
        <v>0</v>
      </c>
      <c r="I108" s="200"/>
      <c r="J108" s="200"/>
      <c r="K108" s="200"/>
      <c r="L108" s="200"/>
      <c r="M108" s="200"/>
      <c r="N108" s="200"/>
      <c r="O108" s="200"/>
      <c r="P108" s="210">
        <f t="shared" si="138"/>
        <v>0</v>
      </c>
      <c r="Q108" s="230">
        <f t="shared" si="161"/>
        <v>0</v>
      </c>
      <c r="R108" s="230">
        <f t="shared" si="144"/>
        <v>0</v>
      </c>
      <c r="S108" s="231"/>
      <c r="T108" s="232"/>
      <c r="U108" s="215"/>
      <c r="V108" s="215"/>
      <c r="W108" s="233">
        <f t="shared" si="145"/>
        <v>0</v>
      </c>
      <c r="X108" s="214"/>
      <c r="Y108" s="214"/>
      <c r="Z108" s="214"/>
      <c r="AA108" s="214"/>
      <c r="AB108" s="214"/>
      <c r="AC108" s="214"/>
      <c r="AD108" s="214"/>
      <c r="AE108" s="241">
        <f t="shared" si="146"/>
        <v>0</v>
      </c>
      <c r="AF108" s="242">
        <f t="shared" si="147"/>
        <v>0</v>
      </c>
      <c r="AG108" s="251">
        <f t="shared" si="148"/>
        <v>0</v>
      </c>
      <c r="AH108" s="247"/>
      <c r="AI108" s="252"/>
      <c r="AJ108" s="214"/>
      <c r="AK108" s="215"/>
      <c r="AL108" s="233">
        <f t="shared" si="149"/>
        <v>0</v>
      </c>
      <c r="AM108" s="255"/>
      <c r="AN108" s="214"/>
      <c r="AO108" s="214"/>
      <c r="AP108" s="214"/>
      <c r="AQ108" s="214"/>
      <c r="AR108" s="214"/>
      <c r="AS108" s="255"/>
      <c r="AT108" s="241">
        <f t="shared" si="150"/>
        <v>0</v>
      </c>
      <c r="AU108" s="242">
        <f t="shared" si="151"/>
        <v>0</v>
      </c>
      <c r="AV108" s="251">
        <f t="shared" si="152"/>
        <v>0</v>
      </c>
      <c r="AW108" s="247"/>
      <c r="AX108" s="247"/>
      <c r="AY108" s="252"/>
      <c r="AZ108" s="214"/>
      <c r="BA108" s="215"/>
      <c r="BB108" s="233">
        <f t="shared" si="153"/>
        <v>0</v>
      </c>
      <c r="BC108" s="214"/>
      <c r="BD108" s="214"/>
      <c r="BE108" s="255"/>
      <c r="BF108" s="214"/>
      <c r="BG108" s="214"/>
      <c r="BH108" s="214"/>
      <c r="BI108" s="214"/>
      <c r="BJ108" s="241">
        <f t="shared" si="154"/>
        <v>0</v>
      </c>
      <c r="BK108" s="242">
        <f t="shared" si="139"/>
        <v>0</v>
      </c>
      <c r="BL108" s="251">
        <f t="shared" si="140"/>
        <v>0</v>
      </c>
      <c r="BM108" s="342"/>
      <c r="BN108" s="342"/>
      <c r="BO108" s="13"/>
      <c r="BP108" s="215"/>
      <c r="BQ108" s="233">
        <f t="shared" si="155"/>
        <v>0</v>
      </c>
      <c r="BR108" s="214"/>
      <c r="BS108" s="214"/>
      <c r="BT108" s="214"/>
      <c r="BU108" s="214"/>
      <c r="BV108" s="215"/>
      <c r="BW108" s="215"/>
      <c r="BX108" s="215"/>
      <c r="BY108" s="241">
        <f t="shared" si="156"/>
        <v>0</v>
      </c>
      <c r="BZ108" s="242">
        <f t="shared" si="162"/>
        <v>0</v>
      </c>
      <c r="CA108" s="251">
        <f t="shared" si="157"/>
        <v>0</v>
      </c>
      <c r="CB108" s="252"/>
      <c r="CC108" s="252"/>
      <c r="CD108" s="251">
        <f t="shared" si="136"/>
        <v>0</v>
      </c>
      <c r="CE108" s="251">
        <f t="shared" si="141"/>
        <v>0</v>
      </c>
      <c r="CF108" s="251">
        <f t="shared" si="158"/>
        <v>0</v>
      </c>
      <c r="CG108" s="251">
        <f t="shared" si="159"/>
        <v>0</v>
      </c>
      <c r="CH108" s="265"/>
      <c r="CI108" s="266"/>
      <c r="CJ108" s="266"/>
      <c r="CK108" s="63"/>
      <c r="CL108" s="267"/>
      <c r="CM108" s="267"/>
      <c r="CN108" s="267"/>
    </row>
    <row r="109" spans="2:92" ht="15.75" hidden="1">
      <c r="B109" s="85" t="s">
        <v>189</v>
      </c>
      <c r="C109" s="86">
        <v>1012150756118</v>
      </c>
      <c r="D109" s="87" t="s">
        <v>190</v>
      </c>
      <c r="E109" s="202" t="s">
        <v>44</v>
      </c>
      <c r="F109" s="203"/>
      <c r="G109" s="203"/>
      <c r="H109" s="204">
        <f t="shared" si="143"/>
        <v>0</v>
      </c>
      <c r="I109" s="203"/>
      <c r="J109" s="203"/>
      <c r="K109" s="203"/>
      <c r="L109" s="203"/>
      <c r="M109" s="203"/>
      <c r="N109" s="203"/>
      <c r="O109" s="203"/>
      <c r="P109" s="211">
        <f t="shared" si="138"/>
        <v>0</v>
      </c>
      <c r="Q109" s="234">
        <f t="shared" si="161"/>
        <v>0</v>
      </c>
      <c r="R109" s="234">
        <f t="shared" si="144"/>
        <v>0</v>
      </c>
      <c r="S109" s="231"/>
      <c r="T109" s="232"/>
      <c r="U109" s="213"/>
      <c r="V109" s="213"/>
      <c r="W109" s="235">
        <f t="shared" si="145"/>
        <v>0</v>
      </c>
      <c r="X109" s="212"/>
      <c r="Y109" s="212"/>
      <c r="Z109" s="212"/>
      <c r="AA109" s="212"/>
      <c r="AB109" s="212"/>
      <c r="AC109" s="212"/>
      <c r="AD109" s="212"/>
      <c r="AE109" s="243">
        <f t="shared" si="146"/>
        <v>0</v>
      </c>
      <c r="AF109" s="244">
        <f t="shared" si="147"/>
        <v>0</v>
      </c>
      <c r="AG109" s="253">
        <f t="shared" si="148"/>
        <v>0</v>
      </c>
      <c r="AH109" s="247"/>
      <c r="AI109" s="252"/>
      <c r="AJ109" s="212"/>
      <c r="AK109" s="213"/>
      <c r="AL109" s="235">
        <f t="shared" si="149"/>
        <v>0</v>
      </c>
      <c r="AM109" s="254"/>
      <c r="AN109" s="212"/>
      <c r="AO109" s="212"/>
      <c r="AP109" s="212"/>
      <c r="AQ109" s="212"/>
      <c r="AR109" s="212"/>
      <c r="AS109" s="254"/>
      <c r="AT109" s="243">
        <f t="shared" si="150"/>
        <v>0</v>
      </c>
      <c r="AU109" s="244">
        <f t="shared" si="151"/>
        <v>0</v>
      </c>
      <c r="AV109" s="253">
        <f t="shared" si="152"/>
        <v>0</v>
      </c>
      <c r="AW109" s="247"/>
      <c r="AX109" s="247"/>
      <c r="AY109" s="252"/>
      <c r="AZ109" s="212"/>
      <c r="BA109" s="213"/>
      <c r="BB109" s="235">
        <f t="shared" si="153"/>
        <v>0</v>
      </c>
      <c r="BC109" s="212"/>
      <c r="BD109" s="212"/>
      <c r="BE109" s="254"/>
      <c r="BF109" s="212"/>
      <c r="BG109" s="212"/>
      <c r="BH109" s="212"/>
      <c r="BI109" s="212"/>
      <c r="BJ109" s="243">
        <f t="shared" si="154"/>
        <v>0</v>
      </c>
      <c r="BK109" s="244">
        <f t="shared" si="139"/>
        <v>0</v>
      </c>
      <c r="BL109" s="253">
        <f t="shared" si="140"/>
        <v>0</v>
      </c>
      <c r="BM109" s="342"/>
      <c r="BN109" s="342"/>
      <c r="BO109" s="205"/>
      <c r="BP109" s="213"/>
      <c r="BQ109" s="235">
        <f t="shared" si="155"/>
        <v>0</v>
      </c>
      <c r="BR109" s="212"/>
      <c r="BS109" s="212"/>
      <c r="BT109" s="212"/>
      <c r="BU109" s="212"/>
      <c r="BV109" s="213"/>
      <c r="BW109" s="213"/>
      <c r="BX109" s="213"/>
      <c r="BY109" s="243">
        <f t="shared" si="156"/>
        <v>0</v>
      </c>
      <c r="BZ109" s="244">
        <f t="shared" si="162"/>
        <v>0</v>
      </c>
      <c r="CA109" s="253">
        <f t="shared" si="157"/>
        <v>0</v>
      </c>
      <c r="CB109" s="328"/>
      <c r="CC109" s="252"/>
      <c r="CD109" s="253">
        <f t="shared" si="136"/>
        <v>0</v>
      </c>
      <c r="CE109" s="253">
        <f t="shared" si="141"/>
        <v>0</v>
      </c>
      <c r="CF109" s="253">
        <f t="shared" si="158"/>
        <v>0</v>
      </c>
      <c r="CG109" s="253">
        <f t="shared" si="159"/>
        <v>0</v>
      </c>
      <c r="CH109" s="265"/>
      <c r="CI109" s="266"/>
      <c r="CJ109" s="266"/>
      <c r="CK109" s="63"/>
      <c r="CL109" s="267"/>
      <c r="CM109" s="267"/>
      <c r="CN109" s="267"/>
    </row>
    <row r="110" spans="2:92" ht="15.75" hidden="1">
      <c r="B110" s="82" t="s">
        <v>191</v>
      </c>
      <c r="C110" s="83">
        <v>1012150756120</v>
      </c>
      <c r="D110" s="84" t="s">
        <v>192</v>
      </c>
      <c r="E110" s="199" t="s">
        <v>50</v>
      </c>
      <c r="F110" s="200"/>
      <c r="G110" s="200"/>
      <c r="H110" s="201">
        <f t="shared" si="143"/>
        <v>0</v>
      </c>
      <c r="I110" s="200"/>
      <c r="J110" s="200"/>
      <c r="K110" s="200"/>
      <c r="L110" s="200"/>
      <c r="M110" s="200"/>
      <c r="N110" s="200"/>
      <c r="O110" s="200"/>
      <c r="P110" s="210">
        <f t="shared" si="138"/>
        <v>0</v>
      </c>
      <c r="Q110" s="230">
        <f t="shared" si="161"/>
        <v>0</v>
      </c>
      <c r="R110" s="230">
        <f t="shared" si="144"/>
        <v>0</v>
      </c>
      <c r="S110" s="231"/>
      <c r="T110" s="232"/>
      <c r="U110" s="215"/>
      <c r="V110" s="215"/>
      <c r="W110" s="233">
        <f t="shared" si="145"/>
        <v>0</v>
      </c>
      <c r="X110" s="214"/>
      <c r="Y110" s="214"/>
      <c r="Z110" s="214"/>
      <c r="AA110" s="214"/>
      <c r="AB110" s="214"/>
      <c r="AC110" s="214"/>
      <c r="AD110" s="214"/>
      <c r="AE110" s="241">
        <f t="shared" si="146"/>
        <v>0</v>
      </c>
      <c r="AF110" s="242">
        <f t="shared" si="147"/>
        <v>0</v>
      </c>
      <c r="AG110" s="251">
        <f t="shared" si="148"/>
        <v>0</v>
      </c>
      <c r="AH110" s="247"/>
      <c r="AI110" s="252"/>
      <c r="AJ110" s="214"/>
      <c r="AK110" s="215"/>
      <c r="AL110" s="233">
        <f t="shared" si="149"/>
        <v>0</v>
      </c>
      <c r="AM110" s="255"/>
      <c r="AN110" s="214"/>
      <c r="AO110" s="214"/>
      <c r="AP110" s="214"/>
      <c r="AQ110" s="214"/>
      <c r="AR110" s="214"/>
      <c r="AS110" s="255"/>
      <c r="AT110" s="241">
        <f t="shared" si="150"/>
        <v>0</v>
      </c>
      <c r="AU110" s="242">
        <f t="shared" si="151"/>
        <v>0</v>
      </c>
      <c r="AV110" s="251">
        <f t="shared" si="152"/>
        <v>0</v>
      </c>
      <c r="AW110" s="247"/>
      <c r="AX110" s="247"/>
      <c r="AY110" s="252"/>
      <c r="AZ110" s="214"/>
      <c r="BA110" s="215"/>
      <c r="BB110" s="233">
        <f t="shared" si="153"/>
        <v>0</v>
      </c>
      <c r="BC110" s="214"/>
      <c r="BD110" s="214"/>
      <c r="BE110" s="255"/>
      <c r="BF110" s="214"/>
      <c r="BG110" s="214"/>
      <c r="BH110" s="214"/>
      <c r="BI110" s="214"/>
      <c r="BJ110" s="241">
        <f t="shared" si="154"/>
        <v>0</v>
      </c>
      <c r="BK110" s="242">
        <f t="shared" si="139"/>
        <v>0</v>
      </c>
      <c r="BL110" s="251">
        <f t="shared" si="140"/>
        <v>0</v>
      </c>
      <c r="BM110" s="342"/>
      <c r="BN110" s="342"/>
      <c r="BO110" s="13"/>
      <c r="BP110" s="215"/>
      <c r="BQ110" s="233">
        <f t="shared" si="155"/>
        <v>0</v>
      </c>
      <c r="BR110" s="214"/>
      <c r="BS110" s="214"/>
      <c r="BT110" s="214"/>
      <c r="BU110" s="214"/>
      <c r="BV110" s="215"/>
      <c r="BW110" s="215"/>
      <c r="BX110" s="215"/>
      <c r="BY110" s="241">
        <f t="shared" si="156"/>
        <v>0</v>
      </c>
      <c r="BZ110" s="242">
        <f t="shared" si="162"/>
        <v>0</v>
      </c>
      <c r="CA110" s="251">
        <f t="shared" si="157"/>
        <v>0</v>
      </c>
      <c r="CB110" s="252"/>
      <c r="CC110" s="252"/>
      <c r="CD110" s="251">
        <f t="shared" si="136"/>
        <v>0</v>
      </c>
      <c r="CE110" s="251">
        <f t="shared" si="141"/>
        <v>0</v>
      </c>
      <c r="CF110" s="251">
        <f t="shared" si="158"/>
        <v>0</v>
      </c>
      <c r="CG110" s="251">
        <f t="shared" si="159"/>
        <v>0</v>
      </c>
      <c r="CH110" s="265"/>
      <c r="CI110" s="266"/>
      <c r="CJ110" s="266"/>
      <c r="CK110" s="63"/>
      <c r="CL110" s="267"/>
      <c r="CM110" s="267"/>
      <c r="CN110" s="267"/>
    </row>
    <row r="111" spans="2:92" ht="15.75" hidden="1">
      <c r="B111" s="85" t="s">
        <v>193</v>
      </c>
      <c r="C111" s="86">
        <v>1012150756122</v>
      </c>
      <c r="D111" s="87" t="s">
        <v>194</v>
      </c>
      <c r="E111" s="202" t="s">
        <v>50</v>
      </c>
      <c r="F111" s="203"/>
      <c r="G111" s="203"/>
      <c r="H111" s="204">
        <f t="shared" si="143"/>
        <v>0</v>
      </c>
      <c r="I111" s="203"/>
      <c r="J111" s="203"/>
      <c r="K111" s="203"/>
      <c r="L111" s="203"/>
      <c r="M111" s="203"/>
      <c r="N111" s="203"/>
      <c r="O111" s="203"/>
      <c r="P111" s="211">
        <f t="shared" si="138"/>
        <v>0</v>
      </c>
      <c r="Q111" s="234">
        <f t="shared" si="161"/>
        <v>0</v>
      </c>
      <c r="R111" s="234">
        <f t="shared" si="144"/>
        <v>0</v>
      </c>
      <c r="S111" s="231"/>
      <c r="T111" s="232"/>
      <c r="U111" s="213"/>
      <c r="V111" s="213"/>
      <c r="W111" s="235">
        <f t="shared" si="145"/>
        <v>0</v>
      </c>
      <c r="X111" s="212"/>
      <c r="Y111" s="212"/>
      <c r="Z111" s="212"/>
      <c r="AA111" s="212"/>
      <c r="AB111" s="212"/>
      <c r="AC111" s="212"/>
      <c r="AD111" s="212"/>
      <c r="AE111" s="243">
        <f t="shared" si="146"/>
        <v>0</v>
      </c>
      <c r="AF111" s="244">
        <f t="shared" si="147"/>
        <v>0</v>
      </c>
      <c r="AG111" s="253">
        <f t="shared" si="148"/>
        <v>0</v>
      </c>
      <c r="AH111" s="247"/>
      <c r="AI111" s="252"/>
      <c r="AJ111" s="212"/>
      <c r="AK111" s="213"/>
      <c r="AL111" s="235">
        <f t="shared" si="149"/>
        <v>0</v>
      </c>
      <c r="AM111" s="254"/>
      <c r="AN111" s="212"/>
      <c r="AO111" s="212"/>
      <c r="AP111" s="212"/>
      <c r="AQ111" s="212"/>
      <c r="AR111" s="212"/>
      <c r="AS111" s="254"/>
      <c r="AT111" s="243">
        <f t="shared" si="150"/>
        <v>0</v>
      </c>
      <c r="AU111" s="244">
        <f t="shared" si="151"/>
        <v>0</v>
      </c>
      <c r="AV111" s="253">
        <f t="shared" si="152"/>
        <v>0</v>
      </c>
      <c r="AW111" s="247"/>
      <c r="AX111" s="247"/>
      <c r="AY111" s="252"/>
      <c r="AZ111" s="212"/>
      <c r="BA111" s="213"/>
      <c r="BB111" s="235">
        <f t="shared" si="153"/>
        <v>0</v>
      </c>
      <c r="BC111" s="212"/>
      <c r="BD111" s="212"/>
      <c r="BE111" s="254"/>
      <c r="BF111" s="212"/>
      <c r="BG111" s="212"/>
      <c r="BH111" s="212"/>
      <c r="BI111" s="212"/>
      <c r="BJ111" s="243">
        <f t="shared" si="154"/>
        <v>0</v>
      </c>
      <c r="BK111" s="244">
        <f t="shared" si="139"/>
        <v>0</v>
      </c>
      <c r="BL111" s="253">
        <f t="shared" si="140"/>
        <v>0</v>
      </c>
      <c r="BM111" s="342"/>
      <c r="BN111" s="342"/>
      <c r="BO111" s="205"/>
      <c r="BP111" s="213"/>
      <c r="BQ111" s="235">
        <f t="shared" si="155"/>
        <v>0</v>
      </c>
      <c r="BR111" s="212"/>
      <c r="BS111" s="212"/>
      <c r="BT111" s="212"/>
      <c r="BU111" s="212"/>
      <c r="BV111" s="213"/>
      <c r="BW111" s="213"/>
      <c r="BX111" s="213"/>
      <c r="BY111" s="243">
        <f t="shared" si="156"/>
        <v>0</v>
      </c>
      <c r="BZ111" s="244">
        <f t="shared" si="162"/>
        <v>0</v>
      </c>
      <c r="CA111" s="253">
        <f t="shared" si="157"/>
        <v>0</v>
      </c>
      <c r="CB111" s="328"/>
      <c r="CC111" s="252"/>
      <c r="CD111" s="253">
        <f t="shared" si="136"/>
        <v>0</v>
      </c>
      <c r="CE111" s="253">
        <f t="shared" si="141"/>
        <v>0</v>
      </c>
      <c r="CF111" s="253">
        <f t="shared" si="158"/>
        <v>0</v>
      </c>
      <c r="CG111" s="253">
        <f t="shared" si="159"/>
        <v>0</v>
      </c>
      <c r="CH111" s="265"/>
      <c r="CI111" s="266"/>
      <c r="CJ111" s="266"/>
      <c r="CK111" s="63"/>
      <c r="CL111" s="267"/>
      <c r="CM111" s="267"/>
      <c r="CN111" s="267"/>
    </row>
    <row r="112" spans="2:92" ht="15.75" hidden="1">
      <c r="B112" s="82" t="s">
        <v>195</v>
      </c>
      <c r="C112" s="83">
        <v>1012150764004</v>
      </c>
      <c r="D112" s="84" t="s">
        <v>196</v>
      </c>
      <c r="E112" s="199" t="s">
        <v>50</v>
      </c>
      <c r="F112" s="200"/>
      <c r="G112" s="200"/>
      <c r="H112" s="201">
        <f t="shared" si="143"/>
        <v>0</v>
      </c>
      <c r="I112" s="200"/>
      <c r="J112" s="200"/>
      <c r="K112" s="200"/>
      <c r="L112" s="200"/>
      <c r="M112" s="200"/>
      <c r="N112" s="200"/>
      <c r="O112" s="200"/>
      <c r="P112" s="210">
        <f t="shared" si="138"/>
        <v>0</v>
      </c>
      <c r="Q112" s="230">
        <f t="shared" si="161"/>
        <v>0</v>
      </c>
      <c r="R112" s="230">
        <f t="shared" si="144"/>
        <v>0</v>
      </c>
      <c r="S112" s="231"/>
      <c r="T112" s="232"/>
      <c r="U112" s="215"/>
      <c r="V112" s="215"/>
      <c r="W112" s="233">
        <f t="shared" si="145"/>
        <v>0</v>
      </c>
      <c r="X112" s="214"/>
      <c r="Y112" s="214"/>
      <c r="Z112" s="214"/>
      <c r="AA112" s="214"/>
      <c r="AB112" s="214"/>
      <c r="AC112" s="214"/>
      <c r="AD112" s="214"/>
      <c r="AE112" s="241">
        <f t="shared" si="146"/>
        <v>0</v>
      </c>
      <c r="AF112" s="242">
        <f t="shared" si="147"/>
        <v>0</v>
      </c>
      <c r="AG112" s="251">
        <f t="shared" si="148"/>
        <v>0</v>
      </c>
      <c r="AH112" s="247"/>
      <c r="AI112" s="252"/>
      <c r="AJ112" s="214"/>
      <c r="AK112" s="215"/>
      <c r="AL112" s="233">
        <f t="shared" si="149"/>
        <v>0</v>
      </c>
      <c r="AM112" s="255"/>
      <c r="AN112" s="214"/>
      <c r="AO112" s="214"/>
      <c r="AP112" s="214"/>
      <c r="AQ112" s="214"/>
      <c r="AR112" s="214"/>
      <c r="AS112" s="255"/>
      <c r="AT112" s="241">
        <f t="shared" si="150"/>
        <v>0</v>
      </c>
      <c r="AU112" s="242">
        <f t="shared" si="151"/>
        <v>0</v>
      </c>
      <c r="AV112" s="251">
        <f t="shared" si="152"/>
        <v>0</v>
      </c>
      <c r="AW112" s="247"/>
      <c r="AX112" s="247"/>
      <c r="AY112" s="252"/>
      <c r="AZ112" s="214"/>
      <c r="BA112" s="215"/>
      <c r="BB112" s="233">
        <f t="shared" si="153"/>
        <v>0</v>
      </c>
      <c r="BC112" s="214"/>
      <c r="BD112" s="214"/>
      <c r="BE112" s="255"/>
      <c r="BF112" s="214"/>
      <c r="BG112" s="214"/>
      <c r="BH112" s="214"/>
      <c r="BI112" s="214"/>
      <c r="BJ112" s="241">
        <f t="shared" si="154"/>
        <v>0</v>
      </c>
      <c r="BK112" s="242">
        <f t="shared" si="139"/>
        <v>0</v>
      </c>
      <c r="BL112" s="251">
        <f t="shared" si="140"/>
        <v>0</v>
      </c>
      <c r="BM112" s="342"/>
      <c r="BN112" s="342"/>
      <c r="BO112" s="13"/>
      <c r="BP112" s="215"/>
      <c r="BQ112" s="233">
        <f t="shared" si="155"/>
        <v>0</v>
      </c>
      <c r="BR112" s="214"/>
      <c r="BS112" s="214"/>
      <c r="BT112" s="214"/>
      <c r="BU112" s="214"/>
      <c r="BV112" s="215"/>
      <c r="BW112" s="215"/>
      <c r="BX112" s="215"/>
      <c r="BY112" s="241">
        <f t="shared" si="156"/>
        <v>0</v>
      </c>
      <c r="BZ112" s="242">
        <f t="shared" si="162"/>
        <v>0</v>
      </c>
      <c r="CA112" s="251">
        <f t="shared" si="157"/>
        <v>0</v>
      </c>
      <c r="CB112" s="252"/>
      <c r="CC112" s="252"/>
      <c r="CD112" s="251">
        <f t="shared" si="136"/>
        <v>0</v>
      </c>
      <c r="CE112" s="251">
        <f t="shared" si="141"/>
        <v>0</v>
      </c>
      <c r="CF112" s="251">
        <f t="shared" si="158"/>
        <v>0</v>
      </c>
      <c r="CG112" s="251">
        <f t="shared" si="159"/>
        <v>0</v>
      </c>
      <c r="CH112" s="265"/>
      <c r="CI112" s="266"/>
      <c r="CJ112" s="266"/>
      <c r="CK112" s="63"/>
      <c r="CL112" s="267"/>
      <c r="CM112" s="267"/>
      <c r="CN112" s="267"/>
    </row>
    <row r="113" spans="2:95" ht="15.75" hidden="1">
      <c r="B113" s="85" t="s">
        <v>197</v>
      </c>
      <c r="C113" s="86">
        <v>1012150756137</v>
      </c>
      <c r="D113" s="87" t="s">
        <v>198</v>
      </c>
      <c r="E113" s="202" t="s">
        <v>50</v>
      </c>
      <c r="F113" s="203"/>
      <c r="G113" s="203"/>
      <c r="H113" s="204">
        <f t="shared" si="143"/>
        <v>0</v>
      </c>
      <c r="I113" s="203"/>
      <c r="J113" s="203"/>
      <c r="K113" s="203"/>
      <c r="L113" s="203"/>
      <c r="M113" s="203"/>
      <c r="N113" s="203"/>
      <c r="O113" s="203"/>
      <c r="P113" s="211">
        <f t="shared" si="138"/>
        <v>0</v>
      </c>
      <c r="Q113" s="234">
        <f t="shared" si="161"/>
        <v>0</v>
      </c>
      <c r="R113" s="234">
        <f t="shared" si="144"/>
        <v>0</v>
      </c>
      <c r="S113" s="231"/>
      <c r="T113" s="232"/>
      <c r="U113" s="213"/>
      <c r="V113" s="213"/>
      <c r="W113" s="235">
        <f t="shared" si="145"/>
        <v>0</v>
      </c>
      <c r="X113" s="212"/>
      <c r="Y113" s="212"/>
      <c r="Z113" s="212"/>
      <c r="AA113" s="212"/>
      <c r="AB113" s="212"/>
      <c r="AC113" s="212"/>
      <c r="AD113" s="212"/>
      <c r="AE113" s="243">
        <f t="shared" si="146"/>
        <v>0</v>
      </c>
      <c r="AF113" s="244">
        <f t="shared" si="147"/>
        <v>0</v>
      </c>
      <c r="AG113" s="253">
        <f t="shared" si="148"/>
        <v>0</v>
      </c>
      <c r="AH113" s="247"/>
      <c r="AI113" s="252"/>
      <c r="AJ113" s="212"/>
      <c r="AK113" s="213"/>
      <c r="AL113" s="235">
        <f t="shared" si="149"/>
        <v>0</v>
      </c>
      <c r="AM113" s="254"/>
      <c r="AN113" s="212"/>
      <c r="AO113" s="212"/>
      <c r="AP113" s="212"/>
      <c r="AQ113" s="212"/>
      <c r="AR113" s="212"/>
      <c r="AS113" s="254"/>
      <c r="AT113" s="243">
        <f t="shared" si="150"/>
        <v>0</v>
      </c>
      <c r="AU113" s="244">
        <f t="shared" si="151"/>
        <v>0</v>
      </c>
      <c r="AV113" s="253">
        <f t="shared" si="152"/>
        <v>0</v>
      </c>
      <c r="AW113" s="247"/>
      <c r="AX113" s="247"/>
      <c r="AY113" s="252"/>
      <c r="AZ113" s="212"/>
      <c r="BA113" s="213"/>
      <c r="BB113" s="235">
        <f t="shared" si="153"/>
        <v>0</v>
      </c>
      <c r="BC113" s="212"/>
      <c r="BD113" s="212"/>
      <c r="BE113" s="254"/>
      <c r="BF113" s="212"/>
      <c r="BG113" s="212"/>
      <c r="BH113" s="212"/>
      <c r="BI113" s="212"/>
      <c r="BJ113" s="243">
        <f t="shared" si="154"/>
        <v>0</v>
      </c>
      <c r="BK113" s="244">
        <f t="shared" si="139"/>
        <v>0</v>
      </c>
      <c r="BL113" s="253">
        <f t="shared" si="140"/>
        <v>0</v>
      </c>
      <c r="BM113" s="342"/>
      <c r="BN113" s="342"/>
      <c r="BO113" s="205"/>
      <c r="BP113" s="213"/>
      <c r="BQ113" s="235">
        <f t="shared" si="155"/>
        <v>0</v>
      </c>
      <c r="BR113" s="212"/>
      <c r="BS113" s="212"/>
      <c r="BT113" s="212"/>
      <c r="BU113" s="212"/>
      <c r="BV113" s="213"/>
      <c r="BW113" s="213"/>
      <c r="BX113" s="213"/>
      <c r="BY113" s="243">
        <f t="shared" si="156"/>
        <v>0</v>
      </c>
      <c r="BZ113" s="244">
        <f t="shared" si="162"/>
        <v>0</v>
      </c>
      <c r="CA113" s="253">
        <f t="shared" si="157"/>
        <v>0</v>
      </c>
      <c r="CB113" s="328"/>
      <c r="CC113" s="252"/>
      <c r="CD113" s="253">
        <f t="shared" si="136"/>
        <v>0</v>
      </c>
      <c r="CE113" s="253">
        <f t="shared" si="141"/>
        <v>0</v>
      </c>
      <c r="CF113" s="253">
        <f t="shared" si="158"/>
        <v>0</v>
      </c>
      <c r="CG113" s="253">
        <f t="shared" si="159"/>
        <v>0</v>
      </c>
      <c r="CH113" s="265"/>
      <c r="CI113" s="266"/>
      <c r="CJ113" s="266"/>
      <c r="CK113" s="63"/>
      <c r="CL113" s="267"/>
      <c r="CM113" s="267"/>
      <c r="CN113" s="267"/>
    </row>
    <row r="114" spans="2:95" ht="15.75" hidden="1">
      <c r="B114" s="82"/>
      <c r="C114" s="83"/>
      <c r="D114" s="84"/>
      <c r="E114" s="199"/>
      <c r="F114" s="200"/>
      <c r="G114" s="200"/>
      <c r="H114" s="201">
        <f t="shared" si="143"/>
        <v>0</v>
      </c>
      <c r="I114" s="200"/>
      <c r="J114" s="200"/>
      <c r="K114" s="200"/>
      <c r="L114" s="200"/>
      <c r="M114" s="200"/>
      <c r="N114" s="200"/>
      <c r="O114" s="200"/>
      <c r="P114" s="210">
        <f t="shared" si="138"/>
        <v>0</v>
      </c>
      <c r="Q114" s="230">
        <f t="shared" si="161"/>
        <v>0</v>
      </c>
      <c r="R114" s="230">
        <f t="shared" si="144"/>
        <v>0</v>
      </c>
      <c r="S114" s="231"/>
      <c r="T114" s="232"/>
      <c r="U114" s="215"/>
      <c r="V114" s="215"/>
      <c r="W114" s="233">
        <f t="shared" si="145"/>
        <v>0</v>
      </c>
      <c r="X114" s="214"/>
      <c r="Y114" s="214"/>
      <c r="Z114" s="214"/>
      <c r="AA114" s="214"/>
      <c r="AB114" s="214"/>
      <c r="AC114" s="214"/>
      <c r="AD114" s="214"/>
      <c r="AE114" s="241">
        <f t="shared" si="146"/>
        <v>0</v>
      </c>
      <c r="AF114" s="242">
        <f t="shared" si="147"/>
        <v>0</v>
      </c>
      <c r="AG114" s="251">
        <f t="shared" si="148"/>
        <v>0</v>
      </c>
      <c r="AH114" s="247"/>
      <c r="AI114" s="252"/>
      <c r="AJ114" s="214"/>
      <c r="AK114" s="215"/>
      <c r="AL114" s="233">
        <f t="shared" si="149"/>
        <v>0</v>
      </c>
      <c r="AM114" s="255"/>
      <c r="AN114" s="214"/>
      <c r="AO114" s="214"/>
      <c r="AP114" s="214"/>
      <c r="AQ114" s="214"/>
      <c r="AR114" s="214"/>
      <c r="AS114" s="255"/>
      <c r="AT114" s="241">
        <f t="shared" si="150"/>
        <v>0</v>
      </c>
      <c r="AU114" s="242">
        <f t="shared" si="151"/>
        <v>0</v>
      </c>
      <c r="AV114" s="251">
        <f t="shared" si="152"/>
        <v>0</v>
      </c>
      <c r="AW114" s="247"/>
      <c r="AX114" s="247"/>
      <c r="AY114" s="252"/>
      <c r="AZ114" s="214"/>
      <c r="BA114" s="215"/>
      <c r="BB114" s="233">
        <f t="shared" si="153"/>
        <v>0</v>
      </c>
      <c r="BC114" s="214"/>
      <c r="BD114" s="214"/>
      <c r="BE114" s="255"/>
      <c r="BF114" s="214"/>
      <c r="BG114" s="214"/>
      <c r="BH114" s="214"/>
      <c r="BI114" s="214"/>
      <c r="BJ114" s="241">
        <f t="shared" si="154"/>
        <v>0</v>
      </c>
      <c r="BK114" s="242">
        <f t="shared" si="139"/>
        <v>0</v>
      </c>
      <c r="BL114" s="251">
        <f t="shared" si="140"/>
        <v>0</v>
      </c>
      <c r="BM114" s="342"/>
      <c r="BN114" s="342"/>
      <c r="BO114" s="13"/>
      <c r="BP114" s="215"/>
      <c r="BQ114" s="233">
        <f t="shared" si="155"/>
        <v>0</v>
      </c>
      <c r="BR114" s="214"/>
      <c r="BS114" s="214"/>
      <c r="BT114" s="214"/>
      <c r="BU114" s="214"/>
      <c r="BV114" s="215"/>
      <c r="BW114" s="215"/>
      <c r="BX114" s="215"/>
      <c r="BY114" s="241">
        <f t="shared" si="156"/>
        <v>0</v>
      </c>
      <c r="BZ114" s="242">
        <f t="shared" si="162"/>
        <v>0</v>
      </c>
      <c r="CA114" s="251">
        <f t="shared" si="157"/>
        <v>0</v>
      </c>
      <c r="CB114" s="252"/>
      <c r="CC114" s="252"/>
      <c r="CD114" s="251">
        <f t="shared" si="136"/>
        <v>0</v>
      </c>
      <c r="CE114" s="251">
        <f t="shared" si="141"/>
        <v>0</v>
      </c>
      <c r="CF114" s="251">
        <f t="shared" si="158"/>
        <v>0</v>
      </c>
      <c r="CG114" s="251">
        <f t="shared" si="159"/>
        <v>0</v>
      </c>
      <c r="CH114" s="265"/>
      <c r="CI114" s="266"/>
      <c r="CJ114" s="266"/>
      <c r="CK114" s="63"/>
      <c r="CL114" s="267"/>
      <c r="CM114" s="267"/>
      <c r="CN114" s="267"/>
    </row>
    <row r="115" spans="2:95" ht="15.75" hidden="1">
      <c r="B115" s="85"/>
      <c r="C115" s="86"/>
      <c r="D115" s="87"/>
      <c r="E115" s="202"/>
      <c r="F115" s="203"/>
      <c r="G115" s="203"/>
      <c r="H115" s="204">
        <f t="shared" si="143"/>
        <v>0</v>
      </c>
      <c r="I115" s="203"/>
      <c r="J115" s="203"/>
      <c r="K115" s="203"/>
      <c r="L115" s="203"/>
      <c r="M115" s="203"/>
      <c r="N115" s="203"/>
      <c r="O115" s="203"/>
      <c r="P115" s="211">
        <f t="shared" si="138"/>
        <v>0</v>
      </c>
      <c r="Q115" s="234">
        <f t="shared" si="161"/>
        <v>0</v>
      </c>
      <c r="R115" s="234">
        <f t="shared" si="144"/>
        <v>0</v>
      </c>
      <c r="S115" s="231"/>
      <c r="T115" s="232"/>
      <c r="U115" s="213"/>
      <c r="V115" s="213"/>
      <c r="W115" s="235">
        <f t="shared" si="145"/>
        <v>0</v>
      </c>
      <c r="X115" s="212"/>
      <c r="Y115" s="212"/>
      <c r="Z115" s="212"/>
      <c r="AA115" s="212"/>
      <c r="AB115" s="212"/>
      <c r="AC115" s="212"/>
      <c r="AD115" s="212"/>
      <c r="AE115" s="243">
        <f t="shared" si="146"/>
        <v>0</v>
      </c>
      <c r="AF115" s="244">
        <f t="shared" si="147"/>
        <v>0</v>
      </c>
      <c r="AG115" s="253">
        <f t="shared" si="148"/>
        <v>0</v>
      </c>
      <c r="AH115" s="247"/>
      <c r="AI115" s="252"/>
      <c r="AJ115" s="212"/>
      <c r="AK115" s="213"/>
      <c r="AL115" s="235">
        <f t="shared" si="149"/>
        <v>0</v>
      </c>
      <c r="AM115" s="254"/>
      <c r="AN115" s="212"/>
      <c r="AO115" s="212"/>
      <c r="AP115" s="212"/>
      <c r="AQ115" s="212"/>
      <c r="AR115" s="212"/>
      <c r="AS115" s="254"/>
      <c r="AT115" s="243">
        <f t="shared" si="150"/>
        <v>0</v>
      </c>
      <c r="AU115" s="244">
        <f t="shared" si="151"/>
        <v>0</v>
      </c>
      <c r="AV115" s="253">
        <f t="shared" si="152"/>
        <v>0</v>
      </c>
      <c r="AW115" s="247"/>
      <c r="AX115" s="247"/>
      <c r="AY115" s="252"/>
      <c r="AZ115" s="212"/>
      <c r="BA115" s="213"/>
      <c r="BB115" s="235">
        <f t="shared" si="153"/>
        <v>0</v>
      </c>
      <c r="BC115" s="212"/>
      <c r="BD115" s="212"/>
      <c r="BE115" s="254"/>
      <c r="BF115" s="212"/>
      <c r="BG115" s="212"/>
      <c r="BH115" s="212"/>
      <c r="BI115" s="212"/>
      <c r="BJ115" s="243">
        <f t="shared" si="154"/>
        <v>0</v>
      </c>
      <c r="BK115" s="244">
        <f t="shared" si="139"/>
        <v>0</v>
      </c>
      <c r="BL115" s="253">
        <f t="shared" si="140"/>
        <v>0</v>
      </c>
      <c r="BM115" s="342"/>
      <c r="BN115" s="342"/>
      <c r="BO115" s="205"/>
      <c r="BP115" s="213"/>
      <c r="BQ115" s="235">
        <f t="shared" si="155"/>
        <v>0</v>
      </c>
      <c r="BR115" s="212"/>
      <c r="BS115" s="212"/>
      <c r="BT115" s="212"/>
      <c r="BU115" s="212"/>
      <c r="BV115" s="213"/>
      <c r="BW115" s="213"/>
      <c r="BX115" s="213"/>
      <c r="BY115" s="243">
        <f t="shared" si="156"/>
        <v>0</v>
      </c>
      <c r="BZ115" s="244">
        <f t="shared" si="162"/>
        <v>0</v>
      </c>
      <c r="CA115" s="253">
        <f t="shared" si="157"/>
        <v>0</v>
      </c>
      <c r="CB115" s="328"/>
      <c r="CC115" s="252"/>
      <c r="CD115" s="253">
        <f t="shared" si="136"/>
        <v>0</v>
      </c>
      <c r="CE115" s="253">
        <f t="shared" si="141"/>
        <v>0</v>
      </c>
      <c r="CF115" s="253">
        <f t="shared" si="158"/>
        <v>0</v>
      </c>
      <c r="CG115" s="253">
        <f t="shared" si="159"/>
        <v>0</v>
      </c>
      <c r="CH115" s="265"/>
      <c r="CI115" s="266"/>
      <c r="CJ115" s="266"/>
      <c r="CK115" s="63"/>
      <c r="CL115" s="267">
        <f t="shared" si="142"/>
        <v>0</v>
      </c>
      <c r="CM115" s="267">
        <f>CD115/CD$177</f>
        <v>0</v>
      </c>
      <c r="CN115" s="267">
        <f t="shared" si="160"/>
        <v>0</v>
      </c>
    </row>
    <row r="116" spans="2:95" ht="15.75" hidden="1">
      <c r="B116" s="82"/>
      <c r="C116" s="83"/>
      <c r="D116" s="84"/>
      <c r="E116" s="199"/>
      <c r="F116" s="200"/>
      <c r="G116" s="200"/>
      <c r="H116" s="201">
        <f t="shared" si="143"/>
        <v>0</v>
      </c>
      <c r="I116" s="200"/>
      <c r="J116" s="200"/>
      <c r="K116" s="200"/>
      <c r="L116" s="200"/>
      <c r="M116" s="200"/>
      <c r="N116" s="200"/>
      <c r="O116" s="200"/>
      <c r="P116" s="210">
        <f t="shared" si="138"/>
        <v>0</v>
      </c>
      <c r="Q116" s="230">
        <f t="shared" si="161"/>
        <v>0</v>
      </c>
      <c r="R116" s="230">
        <f t="shared" si="144"/>
        <v>0</v>
      </c>
      <c r="S116" s="231"/>
      <c r="T116" s="232"/>
      <c r="U116" s="215"/>
      <c r="V116" s="215"/>
      <c r="W116" s="233">
        <f t="shared" si="145"/>
        <v>0</v>
      </c>
      <c r="X116" s="214"/>
      <c r="Y116" s="214"/>
      <c r="Z116" s="214"/>
      <c r="AA116" s="214"/>
      <c r="AB116" s="214"/>
      <c r="AC116" s="214"/>
      <c r="AD116" s="214"/>
      <c r="AE116" s="241">
        <f t="shared" si="146"/>
        <v>0</v>
      </c>
      <c r="AF116" s="242">
        <f t="shared" si="147"/>
        <v>0</v>
      </c>
      <c r="AG116" s="251">
        <f t="shared" si="148"/>
        <v>0</v>
      </c>
      <c r="AH116" s="247"/>
      <c r="AI116" s="252"/>
      <c r="AJ116" s="214"/>
      <c r="AK116" s="215"/>
      <c r="AL116" s="233">
        <f t="shared" si="149"/>
        <v>0</v>
      </c>
      <c r="AM116" s="255"/>
      <c r="AN116" s="214"/>
      <c r="AO116" s="214"/>
      <c r="AP116" s="214"/>
      <c r="AQ116" s="214"/>
      <c r="AR116" s="214"/>
      <c r="AS116" s="255"/>
      <c r="AT116" s="241">
        <f t="shared" si="150"/>
        <v>0</v>
      </c>
      <c r="AU116" s="242">
        <f t="shared" si="151"/>
        <v>0</v>
      </c>
      <c r="AV116" s="251">
        <f t="shared" si="152"/>
        <v>0</v>
      </c>
      <c r="AW116" s="247"/>
      <c r="AX116" s="247"/>
      <c r="AY116" s="252"/>
      <c r="AZ116" s="214"/>
      <c r="BA116" s="215"/>
      <c r="BB116" s="233">
        <f t="shared" si="153"/>
        <v>0</v>
      </c>
      <c r="BC116" s="214"/>
      <c r="BD116" s="214"/>
      <c r="BE116" s="255"/>
      <c r="BF116" s="214"/>
      <c r="BG116" s="214"/>
      <c r="BH116" s="214"/>
      <c r="BI116" s="214"/>
      <c r="BJ116" s="241">
        <f t="shared" si="154"/>
        <v>0</v>
      </c>
      <c r="BK116" s="242">
        <f t="shared" si="139"/>
        <v>0</v>
      </c>
      <c r="BL116" s="251">
        <f t="shared" si="140"/>
        <v>0</v>
      </c>
      <c r="BM116" s="342"/>
      <c r="BN116" s="342"/>
      <c r="BO116" s="13"/>
      <c r="BP116" s="215"/>
      <c r="BQ116" s="233">
        <f t="shared" si="155"/>
        <v>0</v>
      </c>
      <c r="BR116" s="214"/>
      <c r="BS116" s="214"/>
      <c r="BT116" s="214"/>
      <c r="BU116" s="214"/>
      <c r="BV116" s="215"/>
      <c r="BW116" s="215"/>
      <c r="BX116" s="215"/>
      <c r="BY116" s="241">
        <f t="shared" si="156"/>
        <v>0</v>
      </c>
      <c r="BZ116" s="242">
        <f t="shared" si="162"/>
        <v>0</v>
      </c>
      <c r="CA116" s="251">
        <f t="shared" si="157"/>
        <v>0</v>
      </c>
      <c r="CB116" s="252"/>
      <c r="CC116" s="252"/>
      <c r="CD116" s="251">
        <f t="shared" si="136"/>
        <v>0</v>
      </c>
      <c r="CE116" s="251">
        <f t="shared" si="141"/>
        <v>0</v>
      </c>
      <c r="CF116" s="251">
        <f t="shared" si="158"/>
        <v>0</v>
      </c>
      <c r="CG116" s="251">
        <f t="shared" si="159"/>
        <v>0</v>
      </c>
      <c r="CH116" s="265"/>
      <c r="CI116" s="266"/>
      <c r="CJ116" s="266"/>
      <c r="CK116" s="63"/>
      <c r="CL116" s="267">
        <f t="shared" si="142"/>
        <v>0</v>
      </c>
      <c r="CM116" s="267">
        <f>CD116/CD$177</f>
        <v>0</v>
      </c>
      <c r="CN116" s="267">
        <f t="shared" si="160"/>
        <v>0</v>
      </c>
    </row>
    <row r="117" spans="2:95" ht="15.75" hidden="1">
      <c r="B117" s="85"/>
      <c r="C117" s="86"/>
      <c r="D117" s="87"/>
      <c r="E117" s="202"/>
      <c r="F117" s="203"/>
      <c r="G117" s="203"/>
      <c r="H117" s="204">
        <f t="shared" si="143"/>
        <v>0</v>
      </c>
      <c r="I117" s="203"/>
      <c r="J117" s="203"/>
      <c r="K117" s="203"/>
      <c r="L117" s="203"/>
      <c r="M117" s="203"/>
      <c r="N117" s="203"/>
      <c r="O117" s="203"/>
      <c r="P117" s="211">
        <f t="shared" si="138"/>
        <v>0</v>
      </c>
      <c r="Q117" s="234">
        <f t="shared" si="161"/>
        <v>0</v>
      </c>
      <c r="R117" s="234">
        <f t="shared" si="144"/>
        <v>0</v>
      </c>
      <c r="S117" s="231"/>
      <c r="T117" s="232"/>
      <c r="U117" s="213"/>
      <c r="V117" s="213"/>
      <c r="W117" s="235">
        <f t="shared" si="145"/>
        <v>0</v>
      </c>
      <c r="X117" s="212"/>
      <c r="Y117" s="212"/>
      <c r="Z117" s="212"/>
      <c r="AA117" s="212"/>
      <c r="AB117" s="212"/>
      <c r="AC117" s="212"/>
      <c r="AD117" s="212"/>
      <c r="AE117" s="243">
        <f t="shared" si="146"/>
        <v>0</v>
      </c>
      <c r="AF117" s="244">
        <f t="shared" si="147"/>
        <v>0</v>
      </c>
      <c r="AG117" s="253">
        <f t="shared" si="148"/>
        <v>0</v>
      </c>
      <c r="AH117" s="247"/>
      <c r="AI117" s="252"/>
      <c r="AJ117" s="212"/>
      <c r="AK117" s="213"/>
      <c r="AL117" s="235">
        <f t="shared" si="149"/>
        <v>0</v>
      </c>
      <c r="AM117" s="254"/>
      <c r="AN117" s="212"/>
      <c r="AO117" s="212"/>
      <c r="AP117" s="212"/>
      <c r="AQ117" s="212"/>
      <c r="AR117" s="212"/>
      <c r="AS117" s="254"/>
      <c r="AT117" s="243">
        <f t="shared" si="150"/>
        <v>0</v>
      </c>
      <c r="AU117" s="244">
        <f t="shared" si="151"/>
        <v>0</v>
      </c>
      <c r="AV117" s="253">
        <f t="shared" si="152"/>
        <v>0</v>
      </c>
      <c r="AW117" s="247"/>
      <c r="AX117" s="247"/>
      <c r="AY117" s="252"/>
      <c r="AZ117" s="212"/>
      <c r="BA117" s="213"/>
      <c r="BB117" s="235">
        <f t="shared" si="153"/>
        <v>0</v>
      </c>
      <c r="BC117" s="212"/>
      <c r="BD117" s="212"/>
      <c r="BE117" s="254"/>
      <c r="BF117" s="212"/>
      <c r="BG117" s="212"/>
      <c r="BH117" s="212"/>
      <c r="BI117" s="212"/>
      <c r="BJ117" s="243">
        <f t="shared" si="154"/>
        <v>0</v>
      </c>
      <c r="BK117" s="244">
        <f t="shared" si="139"/>
        <v>0</v>
      </c>
      <c r="BL117" s="253">
        <f t="shared" si="140"/>
        <v>0</v>
      </c>
      <c r="BM117" s="342"/>
      <c r="BN117" s="342"/>
      <c r="BO117" s="205"/>
      <c r="BP117" s="213"/>
      <c r="BQ117" s="235">
        <f t="shared" si="155"/>
        <v>0</v>
      </c>
      <c r="BR117" s="212"/>
      <c r="BS117" s="212"/>
      <c r="BT117" s="212"/>
      <c r="BU117" s="212"/>
      <c r="BV117" s="213"/>
      <c r="BW117" s="213"/>
      <c r="BX117" s="213"/>
      <c r="BY117" s="243">
        <f t="shared" si="156"/>
        <v>0</v>
      </c>
      <c r="BZ117" s="244">
        <f t="shared" si="162"/>
        <v>0</v>
      </c>
      <c r="CA117" s="253">
        <f t="shared" si="157"/>
        <v>0</v>
      </c>
      <c r="CB117" s="328"/>
      <c r="CC117" s="252"/>
      <c r="CD117" s="253">
        <f t="shared" si="136"/>
        <v>0</v>
      </c>
      <c r="CE117" s="253">
        <f t="shared" si="141"/>
        <v>0</v>
      </c>
      <c r="CF117" s="253">
        <f t="shared" si="158"/>
        <v>0</v>
      </c>
      <c r="CG117" s="253">
        <f t="shared" si="159"/>
        <v>0</v>
      </c>
      <c r="CH117" s="265"/>
      <c r="CI117" s="266"/>
      <c r="CJ117" s="266"/>
      <c r="CK117" s="63"/>
      <c r="CL117" s="267">
        <f t="shared" si="142"/>
        <v>0</v>
      </c>
      <c r="CM117" s="267">
        <f>CD117/CD$177</f>
        <v>0</v>
      </c>
      <c r="CN117" s="267">
        <f t="shared" si="160"/>
        <v>0</v>
      </c>
    </row>
    <row r="118" spans="2:95" ht="15.75" hidden="1">
      <c r="B118" s="82"/>
      <c r="C118" s="83"/>
      <c r="D118" s="84"/>
      <c r="E118" s="199"/>
      <c r="F118" s="200"/>
      <c r="G118" s="200"/>
      <c r="H118" s="201">
        <f t="shared" si="143"/>
        <v>0</v>
      </c>
      <c r="I118" s="200"/>
      <c r="J118" s="200"/>
      <c r="K118" s="200"/>
      <c r="L118" s="200"/>
      <c r="M118" s="200"/>
      <c r="N118" s="200"/>
      <c r="O118" s="200"/>
      <c r="P118" s="210">
        <f t="shared" si="138"/>
        <v>0</v>
      </c>
      <c r="Q118" s="230">
        <f t="shared" si="161"/>
        <v>0</v>
      </c>
      <c r="R118" s="230">
        <f t="shared" si="144"/>
        <v>0</v>
      </c>
      <c r="S118" s="231"/>
      <c r="T118" s="232"/>
      <c r="U118" s="215"/>
      <c r="V118" s="215"/>
      <c r="W118" s="233">
        <f t="shared" si="145"/>
        <v>0</v>
      </c>
      <c r="X118" s="214"/>
      <c r="Y118" s="214"/>
      <c r="Z118" s="214"/>
      <c r="AA118" s="214"/>
      <c r="AB118" s="214"/>
      <c r="AC118" s="214"/>
      <c r="AD118" s="214"/>
      <c r="AE118" s="241">
        <f t="shared" si="146"/>
        <v>0</v>
      </c>
      <c r="AF118" s="242">
        <f t="shared" si="147"/>
        <v>0</v>
      </c>
      <c r="AG118" s="251">
        <f t="shared" si="148"/>
        <v>0</v>
      </c>
      <c r="AH118" s="247"/>
      <c r="AI118" s="252"/>
      <c r="AJ118" s="214"/>
      <c r="AK118" s="215"/>
      <c r="AL118" s="233">
        <f t="shared" si="149"/>
        <v>0</v>
      </c>
      <c r="AM118" s="255"/>
      <c r="AN118" s="214"/>
      <c r="AO118" s="214"/>
      <c r="AP118" s="214"/>
      <c r="AQ118" s="214"/>
      <c r="AR118" s="214"/>
      <c r="AS118" s="255"/>
      <c r="AT118" s="241">
        <f t="shared" si="150"/>
        <v>0</v>
      </c>
      <c r="AU118" s="242">
        <f t="shared" si="151"/>
        <v>0</v>
      </c>
      <c r="AV118" s="251">
        <f t="shared" si="152"/>
        <v>0</v>
      </c>
      <c r="AW118" s="247"/>
      <c r="AX118" s="247"/>
      <c r="AY118" s="252"/>
      <c r="AZ118" s="214"/>
      <c r="BA118" s="215"/>
      <c r="BB118" s="233">
        <f t="shared" si="153"/>
        <v>0</v>
      </c>
      <c r="BC118" s="214"/>
      <c r="BD118" s="214"/>
      <c r="BE118" s="255"/>
      <c r="BF118" s="214"/>
      <c r="BG118" s="214"/>
      <c r="BH118" s="214"/>
      <c r="BI118" s="214"/>
      <c r="BJ118" s="241">
        <f t="shared" si="154"/>
        <v>0</v>
      </c>
      <c r="BK118" s="242">
        <f t="shared" si="139"/>
        <v>0</v>
      </c>
      <c r="BL118" s="251">
        <f t="shared" si="140"/>
        <v>0</v>
      </c>
      <c r="BM118" s="342"/>
      <c r="BN118" s="342"/>
      <c r="BO118" s="13"/>
      <c r="BP118" s="215"/>
      <c r="BQ118" s="233">
        <f t="shared" si="155"/>
        <v>0</v>
      </c>
      <c r="BR118" s="214"/>
      <c r="BS118" s="214"/>
      <c r="BT118" s="214"/>
      <c r="BU118" s="214"/>
      <c r="BV118" s="215"/>
      <c r="BW118" s="215"/>
      <c r="BX118" s="215"/>
      <c r="BY118" s="241">
        <f t="shared" si="156"/>
        <v>0</v>
      </c>
      <c r="BZ118" s="242">
        <f t="shared" si="162"/>
        <v>0</v>
      </c>
      <c r="CA118" s="251">
        <f t="shared" si="157"/>
        <v>0</v>
      </c>
      <c r="CB118" s="252"/>
      <c r="CC118" s="252"/>
      <c r="CD118" s="251">
        <f t="shared" si="136"/>
        <v>0</v>
      </c>
      <c r="CE118" s="251">
        <f t="shared" si="141"/>
        <v>0</v>
      </c>
      <c r="CF118" s="251">
        <f t="shared" si="158"/>
        <v>0</v>
      </c>
      <c r="CG118" s="251">
        <f t="shared" si="159"/>
        <v>0</v>
      </c>
      <c r="CH118" s="265"/>
      <c r="CI118" s="266"/>
      <c r="CJ118" s="266"/>
      <c r="CK118" s="63"/>
      <c r="CL118" s="267">
        <f t="shared" si="142"/>
        <v>0</v>
      </c>
      <c r="CM118" s="267">
        <f>CD118/CD$177</f>
        <v>0</v>
      </c>
      <c r="CN118" s="267">
        <f t="shared" si="160"/>
        <v>0</v>
      </c>
    </row>
    <row r="119" spans="2:95" ht="18.75">
      <c r="B119" s="79" t="s">
        <v>199</v>
      </c>
      <c r="C119" s="80"/>
      <c r="D119" s="80"/>
      <c r="E119" s="198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231"/>
      <c r="T119" s="232"/>
      <c r="U119" s="229"/>
      <c r="V119" s="229"/>
      <c r="W119" s="229"/>
      <c r="X119" s="236"/>
      <c r="Y119" s="236"/>
      <c r="Z119" s="236"/>
      <c r="AA119" s="236"/>
      <c r="AB119" s="236"/>
      <c r="AC119" s="236"/>
      <c r="AD119" s="236"/>
      <c r="AE119" s="229"/>
      <c r="AF119" s="229"/>
      <c r="AG119" s="229"/>
      <c r="AH119" s="247"/>
      <c r="AI119" s="228"/>
      <c r="AJ119" s="229"/>
      <c r="AK119" s="229"/>
      <c r="AL119" s="229"/>
      <c r="AM119" s="236"/>
      <c r="AN119" s="236"/>
      <c r="AO119" s="236"/>
      <c r="AP119" s="236"/>
      <c r="AQ119" s="236"/>
      <c r="AR119" s="236"/>
      <c r="AS119" s="236"/>
      <c r="AT119" s="229"/>
      <c r="AU119" s="229"/>
      <c r="AV119" s="229"/>
      <c r="AW119" s="247"/>
      <c r="AX119" s="247"/>
      <c r="AY119" s="228"/>
      <c r="AZ119" s="229"/>
      <c r="BA119" s="229"/>
      <c r="BB119" s="229"/>
      <c r="BC119" s="236"/>
      <c r="BD119" s="236"/>
      <c r="BE119" s="236"/>
      <c r="BF119" s="236"/>
      <c r="BG119" s="236"/>
      <c r="BH119" s="236"/>
      <c r="BI119" s="236"/>
      <c r="BJ119" s="229"/>
      <c r="BK119" s="229"/>
      <c r="BL119" s="229"/>
      <c r="BM119" s="342"/>
      <c r="BN119" s="342"/>
      <c r="BO119" s="229"/>
      <c r="BP119" s="229"/>
      <c r="BQ119" s="229"/>
      <c r="BR119" s="229"/>
      <c r="BS119" s="229"/>
      <c r="BT119" s="229"/>
      <c r="BU119" s="229"/>
      <c r="BV119" s="229"/>
      <c r="BW119" s="229"/>
      <c r="BX119" s="229"/>
      <c r="BY119" s="229"/>
      <c r="BZ119" s="229"/>
      <c r="CA119" s="229"/>
      <c r="CB119" s="327"/>
      <c r="CC119" s="264"/>
      <c r="CD119" s="229"/>
      <c r="CE119" s="229">
        <f t="shared" si="141"/>
        <v>0</v>
      </c>
      <c r="CF119" s="229"/>
      <c r="CG119" s="229"/>
      <c r="CH119" s="228"/>
      <c r="CI119" s="228"/>
      <c r="CJ119" s="228"/>
    </row>
    <row r="120" spans="2:95" ht="15.75">
      <c r="B120" s="82" t="s">
        <v>200</v>
      </c>
      <c r="C120" s="83">
        <v>1012160432700</v>
      </c>
      <c r="D120" s="84" t="s">
        <v>201</v>
      </c>
      <c r="E120" s="199" t="s">
        <v>47</v>
      </c>
      <c r="F120" s="416">
        <v>1640</v>
      </c>
      <c r="G120" s="215"/>
      <c r="H120" s="233">
        <f t="shared" ref="H120:H135" si="163">+F120-G120</f>
        <v>1640</v>
      </c>
      <c r="I120" s="417"/>
      <c r="J120" s="417">
        <v>836</v>
      </c>
      <c r="K120" s="417"/>
      <c r="L120" s="417">
        <v>796</v>
      </c>
      <c r="M120" s="215"/>
      <c r="N120" s="215"/>
      <c r="O120" s="215"/>
      <c r="P120" s="210">
        <f t="shared" si="138"/>
        <v>1632</v>
      </c>
      <c r="Q120" s="230">
        <f t="shared" si="161"/>
        <v>-8</v>
      </c>
      <c r="R120" s="230">
        <f t="shared" si="144"/>
        <v>0</v>
      </c>
      <c r="S120" s="231"/>
      <c r="T120" s="232"/>
      <c r="U120" s="215"/>
      <c r="V120" s="215"/>
      <c r="W120" s="233">
        <f t="shared" si="145"/>
        <v>0</v>
      </c>
      <c r="X120" s="214"/>
      <c r="Y120" s="214"/>
      <c r="Z120" s="214"/>
      <c r="AA120" s="214"/>
      <c r="AB120" s="214"/>
      <c r="AC120" s="214"/>
      <c r="AD120" s="214"/>
      <c r="AE120" s="241">
        <f t="shared" si="146"/>
        <v>0</v>
      </c>
      <c r="AF120" s="242">
        <f t="shared" si="147"/>
        <v>0</v>
      </c>
      <c r="AG120" s="251">
        <f t="shared" si="148"/>
        <v>0</v>
      </c>
      <c r="AH120" s="247"/>
      <c r="AI120" s="252"/>
      <c r="AJ120" s="214"/>
      <c r="AK120" s="215"/>
      <c r="AL120" s="233">
        <f t="shared" si="149"/>
        <v>0</v>
      </c>
      <c r="AM120" s="255"/>
      <c r="AN120" s="214"/>
      <c r="AO120" s="214"/>
      <c r="AP120" s="214"/>
      <c r="AQ120" s="214"/>
      <c r="AR120" s="217"/>
      <c r="AS120" s="255"/>
      <c r="AT120" s="337">
        <f t="shared" si="150"/>
        <v>0</v>
      </c>
      <c r="AU120" s="242">
        <f t="shared" si="151"/>
        <v>0</v>
      </c>
      <c r="AV120" s="251">
        <f t="shared" si="152"/>
        <v>0</v>
      </c>
      <c r="AW120" s="247"/>
      <c r="AX120" s="247"/>
      <c r="AY120" s="252"/>
      <c r="AZ120" s="214"/>
      <c r="BA120" s="215"/>
      <c r="BB120" s="233">
        <f t="shared" si="153"/>
        <v>0</v>
      </c>
      <c r="BC120" s="214"/>
      <c r="BD120" s="214"/>
      <c r="BE120" s="255"/>
      <c r="BF120" s="214"/>
      <c r="BG120" s="214"/>
      <c r="BH120" s="214"/>
      <c r="BI120" s="263"/>
      <c r="BJ120" s="241">
        <f t="shared" si="154"/>
        <v>0</v>
      </c>
      <c r="BK120" s="242">
        <f t="shared" si="139"/>
        <v>0</v>
      </c>
      <c r="BL120" s="251">
        <f t="shared" si="140"/>
        <v>0</v>
      </c>
      <c r="BM120" s="342"/>
      <c r="BN120" s="342"/>
      <c r="BO120" s="206"/>
      <c r="BP120" s="215"/>
      <c r="BQ120" s="233">
        <f t="shared" si="155"/>
        <v>0</v>
      </c>
      <c r="BR120" s="214"/>
      <c r="BS120" s="214"/>
      <c r="BT120" s="214"/>
      <c r="BU120" s="215"/>
      <c r="BV120" s="215"/>
      <c r="BW120" s="215"/>
      <c r="BX120" s="215"/>
      <c r="BY120" s="241">
        <f t="shared" si="156"/>
        <v>0</v>
      </c>
      <c r="BZ120" s="242">
        <f t="shared" si="162"/>
        <v>0</v>
      </c>
      <c r="CA120" s="251">
        <f t="shared" si="157"/>
        <v>0</v>
      </c>
      <c r="CB120" s="252">
        <f>-500+500</f>
        <v>0</v>
      </c>
      <c r="CC120" s="252"/>
      <c r="CD120" s="251">
        <f t="shared" ref="CD120:CD154" si="164">H120+W120+AL120+BB120+BQ120</f>
        <v>1640</v>
      </c>
      <c r="CE120" s="353">
        <f t="shared" si="141"/>
        <v>1632</v>
      </c>
      <c r="CF120" s="251">
        <f t="shared" si="158"/>
        <v>-8</v>
      </c>
      <c r="CG120" s="251">
        <f t="shared" si="159"/>
        <v>0</v>
      </c>
      <c r="CH120" s="265"/>
      <c r="CI120" s="266"/>
      <c r="CJ120" s="266"/>
      <c r="CK120" s="63"/>
      <c r="CL120" s="267">
        <f t="shared" si="142"/>
        <v>0.99509803921568629</v>
      </c>
      <c r="CM120" s="267">
        <f t="shared" ref="CM120:CM129" si="165">CD120/CD$177</f>
        <v>2.8432732316227463E-2</v>
      </c>
      <c r="CN120" s="267">
        <f t="shared" si="160"/>
        <v>2.8293356177422426E-2</v>
      </c>
      <c r="CQ120" s="63"/>
    </row>
    <row r="121" spans="2:95" ht="15.75">
      <c r="B121" s="85" t="s">
        <v>202</v>
      </c>
      <c r="C121" s="86">
        <v>1012160432615</v>
      </c>
      <c r="D121" s="87" t="s">
        <v>203</v>
      </c>
      <c r="E121" s="202" t="s">
        <v>47</v>
      </c>
      <c r="F121" s="421">
        <v>3160</v>
      </c>
      <c r="G121" s="213"/>
      <c r="H121" s="235">
        <f t="shared" si="163"/>
        <v>3160</v>
      </c>
      <c r="I121" s="419">
        <v>440</v>
      </c>
      <c r="J121" s="419">
        <f>178+2560</f>
        <v>2738</v>
      </c>
      <c r="K121" s="419"/>
      <c r="L121" s="420"/>
      <c r="M121" s="213"/>
      <c r="N121" s="213"/>
      <c r="O121" s="213"/>
      <c r="P121" s="211">
        <f t="shared" si="138"/>
        <v>3178</v>
      </c>
      <c r="Q121" s="234">
        <f t="shared" si="161"/>
        <v>0</v>
      </c>
      <c r="R121" s="234">
        <f t="shared" si="144"/>
        <v>18</v>
      </c>
      <c r="S121" s="231"/>
      <c r="T121" s="232"/>
      <c r="U121" s="213"/>
      <c r="V121" s="213"/>
      <c r="W121" s="235">
        <f t="shared" si="145"/>
        <v>0</v>
      </c>
      <c r="X121" s="212"/>
      <c r="Y121" s="212"/>
      <c r="Z121" s="212"/>
      <c r="AA121" s="212"/>
      <c r="AB121" s="212"/>
      <c r="AC121" s="212"/>
      <c r="AD121" s="212"/>
      <c r="AE121" s="243">
        <f t="shared" si="146"/>
        <v>0</v>
      </c>
      <c r="AF121" s="244">
        <f t="shared" si="147"/>
        <v>0</v>
      </c>
      <c r="AG121" s="253">
        <f t="shared" si="148"/>
        <v>0</v>
      </c>
      <c r="AH121" s="247"/>
      <c r="AI121" s="252"/>
      <c r="AJ121" s="212"/>
      <c r="AK121" s="213"/>
      <c r="AL121" s="235">
        <f t="shared" si="149"/>
        <v>0</v>
      </c>
      <c r="AM121" s="254"/>
      <c r="AN121" s="212"/>
      <c r="AO121" s="212"/>
      <c r="AP121" s="212"/>
      <c r="AQ121" s="212"/>
      <c r="AR121" s="212"/>
      <c r="AS121" s="254"/>
      <c r="AT121" s="337">
        <f t="shared" si="150"/>
        <v>0</v>
      </c>
      <c r="AU121" s="244">
        <f t="shared" si="151"/>
        <v>0</v>
      </c>
      <c r="AV121" s="253">
        <f t="shared" si="152"/>
        <v>0</v>
      </c>
      <c r="AW121" s="247"/>
      <c r="AX121" s="247"/>
      <c r="AY121" s="252"/>
      <c r="AZ121" s="212"/>
      <c r="BA121" s="213"/>
      <c r="BB121" s="235">
        <f t="shared" si="153"/>
        <v>0</v>
      </c>
      <c r="BC121" s="216"/>
      <c r="BD121" s="348"/>
      <c r="BE121" s="254"/>
      <c r="BF121" s="212"/>
      <c r="BG121" s="212"/>
      <c r="BH121" s="212"/>
      <c r="BI121" s="212"/>
      <c r="BJ121" s="243">
        <f t="shared" si="154"/>
        <v>0</v>
      </c>
      <c r="BK121" s="244">
        <f t="shared" si="139"/>
        <v>0</v>
      </c>
      <c r="BL121" s="253">
        <f t="shared" si="140"/>
        <v>0</v>
      </c>
      <c r="BM121" s="342"/>
      <c r="BN121" s="342"/>
      <c r="BO121" s="207"/>
      <c r="BP121" s="213"/>
      <c r="BQ121" s="235">
        <f t="shared" si="155"/>
        <v>0</v>
      </c>
      <c r="BR121" s="212"/>
      <c r="BS121" s="212"/>
      <c r="BT121" s="212"/>
      <c r="BU121" s="213"/>
      <c r="BV121" s="213"/>
      <c r="BW121" s="213"/>
      <c r="BX121" s="213"/>
      <c r="BY121" s="243">
        <f t="shared" si="156"/>
        <v>0</v>
      </c>
      <c r="BZ121" s="244">
        <f t="shared" si="162"/>
        <v>0</v>
      </c>
      <c r="CA121" s="253">
        <f t="shared" si="157"/>
        <v>0</v>
      </c>
      <c r="CB121" s="328"/>
      <c r="CC121" s="252"/>
      <c r="CD121" s="253">
        <f t="shared" si="164"/>
        <v>3160</v>
      </c>
      <c r="CE121" s="354">
        <f t="shared" si="141"/>
        <v>3178</v>
      </c>
      <c r="CF121" s="253">
        <f t="shared" si="158"/>
        <v>0</v>
      </c>
      <c r="CG121" s="253">
        <f t="shared" si="159"/>
        <v>18</v>
      </c>
      <c r="CH121" s="265"/>
      <c r="CI121" s="266"/>
      <c r="CJ121" s="266"/>
      <c r="CK121" s="63"/>
      <c r="CL121" s="267">
        <f t="shared" si="142"/>
        <v>0.9943360604153556</v>
      </c>
      <c r="CM121" s="267">
        <f t="shared" si="165"/>
        <v>5.4785020804438284E-2</v>
      </c>
      <c r="CN121" s="267">
        <f t="shared" si="160"/>
        <v>5.4474721756458462E-2</v>
      </c>
    </row>
    <row r="122" spans="2:95" ht="15.75">
      <c r="B122" s="82" t="s">
        <v>204</v>
      </c>
      <c r="C122" s="83">
        <v>1012160432701</v>
      </c>
      <c r="D122" s="84" t="s">
        <v>205</v>
      </c>
      <c r="E122" s="199" t="s">
        <v>50</v>
      </c>
      <c r="F122" s="416">
        <v>3880</v>
      </c>
      <c r="G122" s="215"/>
      <c r="H122" s="233">
        <f t="shared" si="163"/>
        <v>3880</v>
      </c>
      <c r="I122" s="417">
        <f>1880+2014</f>
        <v>3894</v>
      </c>
      <c r="J122" s="417"/>
      <c r="K122" s="417"/>
      <c r="L122" s="417"/>
      <c r="M122" s="215"/>
      <c r="N122" s="215"/>
      <c r="O122" s="215"/>
      <c r="P122" s="210">
        <f t="shared" si="138"/>
        <v>3894</v>
      </c>
      <c r="Q122" s="230">
        <f t="shared" si="161"/>
        <v>0</v>
      </c>
      <c r="R122" s="230">
        <f t="shared" si="144"/>
        <v>14</v>
      </c>
      <c r="S122" s="231"/>
      <c r="T122" s="232"/>
      <c r="U122" s="215"/>
      <c r="V122" s="215"/>
      <c r="W122" s="233">
        <f t="shared" si="145"/>
        <v>0</v>
      </c>
      <c r="X122" s="214"/>
      <c r="Y122" s="263"/>
      <c r="Z122" s="214"/>
      <c r="AA122" s="214"/>
      <c r="AB122" s="214"/>
      <c r="AC122" s="214"/>
      <c r="AD122" s="214"/>
      <c r="AE122" s="241">
        <f t="shared" si="146"/>
        <v>0</v>
      </c>
      <c r="AF122" s="242">
        <f t="shared" si="147"/>
        <v>0</v>
      </c>
      <c r="AG122" s="251">
        <f t="shared" si="148"/>
        <v>0</v>
      </c>
      <c r="AH122" s="247">
        <f>-1200+1200</f>
        <v>0</v>
      </c>
      <c r="AI122" s="252"/>
      <c r="AJ122" s="214"/>
      <c r="AK122" s="215"/>
      <c r="AL122" s="233">
        <f t="shared" si="149"/>
        <v>0</v>
      </c>
      <c r="AM122" s="255"/>
      <c r="AN122" s="214"/>
      <c r="AO122" s="214"/>
      <c r="AP122" s="259"/>
      <c r="AQ122" s="214"/>
      <c r="AR122" s="214"/>
      <c r="AS122" s="255"/>
      <c r="AT122" s="337">
        <f t="shared" si="150"/>
        <v>0</v>
      </c>
      <c r="AU122" s="242">
        <f t="shared" si="151"/>
        <v>0</v>
      </c>
      <c r="AV122" s="251">
        <f t="shared" si="152"/>
        <v>0</v>
      </c>
      <c r="AW122" s="247"/>
      <c r="AX122" s="247"/>
      <c r="AY122" s="252"/>
      <c r="AZ122" s="214"/>
      <c r="BA122" s="215"/>
      <c r="BB122" s="233">
        <f t="shared" si="153"/>
        <v>0</v>
      </c>
      <c r="BC122" s="214"/>
      <c r="BD122" s="214"/>
      <c r="BE122" s="255"/>
      <c r="BF122" s="214"/>
      <c r="BG122" s="270"/>
      <c r="BH122" s="263"/>
      <c r="BI122" s="214"/>
      <c r="BJ122" s="241">
        <f t="shared" si="154"/>
        <v>0</v>
      </c>
      <c r="BK122" s="242">
        <f t="shared" si="139"/>
        <v>0</v>
      </c>
      <c r="BL122" s="251">
        <f t="shared" si="140"/>
        <v>0</v>
      </c>
      <c r="BM122" s="342"/>
      <c r="BN122" s="342"/>
      <c r="BO122" s="206"/>
      <c r="BP122" s="215"/>
      <c r="BQ122" s="233">
        <f t="shared" si="155"/>
        <v>0</v>
      </c>
      <c r="BR122" s="214"/>
      <c r="BS122" s="214"/>
      <c r="BT122" s="214"/>
      <c r="BU122" s="214"/>
      <c r="BV122" s="215"/>
      <c r="BW122" s="215"/>
      <c r="BX122" s="215"/>
      <c r="BY122" s="271">
        <f t="shared" si="156"/>
        <v>0</v>
      </c>
      <c r="BZ122" s="242">
        <f t="shared" si="162"/>
        <v>0</v>
      </c>
      <c r="CA122" s="251">
        <f t="shared" si="157"/>
        <v>0</v>
      </c>
      <c r="CB122" s="252">
        <v>-1200</v>
      </c>
      <c r="CC122" s="252"/>
      <c r="CD122" s="251">
        <f t="shared" si="164"/>
        <v>3880</v>
      </c>
      <c r="CE122" s="353">
        <f t="shared" si="141"/>
        <v>3894</v>
      </c>
      <c r="CF122" s="251">
        <f t="shared" si="158"/>
        <v>0</v>
      </c>
      <c r="CG122" s="251">
        <f t="shared" si="159"/>
        <v>14</v>
      </c>
      <c r="CH122" s="265"/>
      <c r="CI122" s="266"/>
      <c r="CJ122" s="266"/>
      <c r="CK122" s="63"/>
      <c r="CL122" s="267">
        <f t="shared" si="142"/>
        <v>0.99640472521828449</v>
      </c>
      <c r="CM122" s="267">
        <f t="shared" si="165"/>
        <v>6.7267683772538139E-2</v>
      </c>
      <c r="CN122" s="267">
        <f t="shared" si="160"/>
        <v>6.7025837965446325E-2</v>
      </c>
    </row>
    <row r="123" spans="2:95" ht="15.75">
      <c r="B123" s="85" t="s">
        <v>206</v>
      </c>
      <c r="C123" s="86">
        <v>1012160432210</v>
      </c>
      <c r="D123" s="87" t="s">
        <v>207</v>
      </c>
      <c r="E123" s="202" t="s">
        <v>50</v>
      </c>
      <c r="F123" s="421">
        <v>5240</v>
      </c>
      <c r="G123" s="213"/>
      <c r="H123" s="235">
        <f t="shared" si="163"/>
        <v>5240</v>
      </c>
      <c r="I123" s="419">
        <v>551</v>
      </c>
      <c r="J123" s="419">
        <v>3400</v>
      </c>
      <c r="K123" s="419">
        <v>1320</v>
      </c>
      <c r="L123" s="419"/>
      <c r="M123" s="213"/>
      <c r="N123" s="213"/>
      <c r="O123" s="213"/>
      <c r="P123" s="211">
        <f t="shared" si="138"/>
        <v>5271</v>
      </c>
      <c r="Q123" s="234">
        <f t="shared" si="161"/>
        <v>0</v>
      </c>
      <c r="R123" s="234">
        <f t="shared" si="144"/>
        <v>31</v>
      </c>
      <c r="S123" s="231"/>
      <c r="T123" s="232"/>
      <c r="U123" s="213"/>
      <c r="V123" s="213"/>
      <c r="W123" s="235">
        <f t="shared" si="145"/>
        <v>0</v>
      </c>
      <c r="X123" s="212"/>
      <c r="Y123" s="216"/>
      <c r="Z123" s="212"/>
      <c r="AA123" s="212"/>
      <c r="AB123" s="212"/>
      <c r="AC123" s="212"/>
      <c r="AD123" s="212"/>
      <c r="AE123" s="243">
        <f t="shared" si="146"/>
        <v>0</v>
      </c>
      <c r="AF123" s="244">
        <f t="shared" si="147"/>
        <v>0</v>
      </c>
      <c r="AG123" s="253">
        <f t="shared" si="148"/>
        <v>0</v>
      </c>
      <c r="AH123" s="247"/>
      <c r="AI123" s="252"/>
      <c r="AJ123" s="212"/>
      <c r="AK123" s="213"/>
      <c r="AL123" s="235">
        <f t="shared" si="149"/>
        <v>0</v>
      </c>
      <c r="AM123" s="254"/>
      <c r="AN123" s="212"/>
      <c r="AO123" s="212"/>
      <c r="AP123" s="212"/>
      <c r="AQ123" s="212"/>
      <c r="AR123" s="212"/>
      <c r="AS123" s="254"/>
      <c r="AT123" s="243">
        <f t="shared" si="150"/>
        <v>0</v>
      </c>
      <c r="AU123" s="244">
        <f t="shared" si="151"/>
        <v>0</v>
      </c>
      <c r="AV123" s="253">
        <f t="shared" si="152"/>
        <v>0</v>
      </c>
      <c r="AW123" s="247"/>
      <c r="AX123" s="247"/>
      <c r="AY123" s="252"/>
      <c r="AZ123" s="212"/>
      <c r="BA123" s="213"/>
      <c r="BB123" s="235">
        <f t="shared" si="153"/>
        <v>0</v>
      </c>
      <c r="BC123" s="212"/>
      <c r="BD123" s="212"/>
      <c r="BE123" s="254"/>
      <c r="BF123" s="212"/>
      <c r="BG123" s="212"/>
      <c r="BH123" s="212"/>
      <c r="BI123" s="212"/>
      <c r="BJ123" s="243">
        <f t="shared" si="154"/>
        <v>0</v>
      </c>
      <c r="BK123" s="244">
        <f t="shared" si="139"/>
        <v>0</v>
      </c>
      <c r="BL123" s="253">
        <f t="shared" si="140"/>
        <v>0</v>
      </c>
      <c r="BM123" s="342"/>
      <c r="BN123" s="342"/>
      <c r="BO123" s="207"/>
      <c r="BP123" s="213"/>
      <c r="BQ123" s="235">
        <f t="shared" si="155"/>
        <v>0</v>
      </c>
      <c r="BR123" s="212"/>
      <c r="BS123" s="212"/>
      <c r="BT123" s="212"/>
      <c r="BU123" s="212"/>
      <c r="BV123" s="213"/>
      <c r="BW123" s="213"/>
      <c r="BX123" s="213"/>
      <c r="BY123" s="243">
        <f t="shared" si="156"/>
        <v>0</v>
      </c>
      <c r="BZ123" s="244">
        <f t="shared" si="162"/>
        <v>0</v>
      </c>
      <c r="CA123" s="253">
        <f t="shared" si="157"/>
        <v>0</v>
      </c>
      <c r="CB123" s="328"/>
      <c r="CC123" s="252"/>
      <c r="CD123" s="253">
        <f t="shared" si="164"/>
        <v>5240</v>
      </c>
      <c r="CE123" s="354">
        <f t="shared" si="141"/>
        <v>5271</v>
      </c>
      <c r="CF123" s="253">
        <f t="shared" si="158"/>
        <v>0</v>
      </c>
      <c r="CG123" s="253">
        <f t="shared" si="159"/>
        <v>31</v>
      </c>
      <c r="CH123" s="265"/>
      <c r="CI123" s="266"/>
      <c r="CJ123" s="266"/>
      <c r="CK123" s="63"/>
      <c r="CL123" s="267">
        <f t="shared" si="142"/>
        <v>0.99411876304306579</v>
      </c>
      <c r="CM123" s="267">
        <f t="shared" si="165"/>
        <v>9.084604715672677E-2</v>
      </c>
      <c r="CN123" s="267">
        <f t="shared" si="160"/>
        <v>9.0311760026797236E-2</v>
      </c>
    </row>
    <row r="124" spans="2:95" ht="15.75">
      <c r="B124" s="82" t="s">
        <v>200</v>
      </c>
      <c r="C124" s="83">
        <v>1012160432700</v>
      </c>
      <c r="D124" s="84" t="s">
        <v>208</v>
      </c>
      <c r="E124" s="199" t="s">
        <v>47</v>
      </c>
      <c r="F124" s="206"/>
      <c r="G124" s="215"/>
      <c r="H124" s="233">
        <f t="shared" si="163"/>
        <v>0</v>
      </c>
      <c r="I124" s="214"/>
      <c r="J124" s="214"/>
      <c r="K124" s="214"/>
      <c r="L124" s="214"/>
      <c r="M124" s="215"/>
      <c r="N124" s="215"/>
      <c r="O124" s="215"/>
      <c r="P124" s="210">
        <f t="shared" si="138"/>
        <v>0</v>
      </c>
      <c r="Q124" s="230">
        <f t="shared" si="161"/>
        <v>0</v>
      </c>
      <c r="R124" s="230">
        <f t="shared" si="144"/>
        <v>0</v>
      </c>
      <c r="S124" s="231"/>
      <c r="T124" s="232"/>
      <c r="U124" s="215"/>
      <c r="V124" s="215"/>
      <c r="W124" s="233">
        <f t="shared" si="145"/>
        <v>0</v>
      </c>
      <c r="X124" s="214"/>
      <c r="Y124" s="214"/>
      <c r="Z124" s="214"/>
      <c r="AA124" s="214"/>
      <c r="AB124" s="214"/>
      <c r="AC124" s="214"/>
      <c r="AD124" s="214"/>
      <c r="AE124" s="241">
        <f t="shared" si="146"/>
        <v>0</v>
      </c>
      <c r="AF124" s="242">
        <f t="shared" si="147"/>
        <v>0</v>
      </c>
      <c r="AG124" s="251">
        <f t="shared" si="148"/>
        <v>0</v>
      </c>
      <c r="AH124" s="247"/>
      <c r="AI124" s="252"/>
      <c r="AJ124" s="214"/>
      <c r="AK124" s="215"/>
      <c r="AL124" s="233">
        <f t="shared" si="149"/>
        <v>0</v>
      </c>
      <c r="AM124" s="255"/>
      <c r="AN124" s="214"/>
      <c r="AO124" s="214"/>
      <c r="AP124" s="214"/>
      <c r="AQ124" s="214"/>
      <c r="AR124" s="214"/>
      <c r="AS124" s="255"/>
      <c r="AT124" s="241">
        <f t="shared" si="150"/>
        <v>0</v>
      </c>
      <c r="AU124" s="242">
        <f t="shared" si="151"/>
        <v>0</v>
      </c>
      <c r="AV124" s="251">
        <f t="shared" si="152"/>
        <v>0</v>
      </c>
      <c r="AW124" s="247"/>
      <c r="AX124" s="247"/>
      <c r="AY124" s="252"/>
      <c r="AZ124" s="214"/>
      <c r="BA124" s="215"/>
      <c r="BB124" s="233">
        <f t="shared" si="153"/>
        <v>0</v>
      </c>
      <c r="BC124" s="214"/>
      <c r="BD124" s="214"/>
      <c r="BE124" s="255"/>
      <c r="BF124" s="214"/>
      <c r="BG124" s="214"/>
      <c r="BH124" s="214"/>
      <c r="BI124" s="214"/>
      <c r="BJ124" s="241">
        <f t="shared" si="154"/>
        <v>0</v>
      </c>
      <c r="BK124" s="242">
        <f t="shared" si="139"/>
        <v>0</v>
      </c>
      <c r="BL124" s="251">
        <f t="shared" si="140"/>
        <v>0</v>
      </c>
      <c r="BM124" s="342"/>
      <c r="BN124" s="342"/>
      <c r="BO124" s="206"/>
      <c r="BP124" s="215"/>
      <c r="BQ124" s="233">
        <f t="shared" si="155"/>
        <v>0</v>
      </c>
      <c r="BR124" s="214"/>
      <c r="BS124" s="214"/>
      <c r="BT124" s="214"/>
      <c r="BU124" s="214"/>
      <c r="BV124" s="215"/>
      <c r="BW124" s="215"/>
      <c r="BX124" s="215"/>
      <c r="BY124" s="241">
        <f t="shared" si="156"/>
        <v>0</v>
      </c>
      <c r="BZ124" s="242">
        <f t="shared" si="162"/>
        <v>0</v>
      </c>
      <c r="CA124" s="251">
        <f t="shared" si="157"/>
        <v>0</v>
      </c>
      <c r="CB124" s="252"/>
      <c r="CC124" s="252"/>
      <c r="CD124" s="251">
        <f t="shared" si="164"/>
        <v>0</v>
      </c>
      <c r="CE124" s="251">
        <f t="shared" si="141"/>
        <v>0</v>
      </c>
      <c r="CF124" s="251">
        <f t="shared" si="158"/>
        <v>0</v>
      </c>
      <c r="CG124" s="251">
        <f t="shared" si="159"/>
        <v>0</v>
      </c>
      <c r="CH124" s="265"/>
      <c r="CI124" s="266"/>
      <c r="CJ124" s="266"/>
      <c r="CK124" s="63"/>
      <c r="CL124" s="267">
        <f t="shared" si="142"/>
        <v>0</v>
      </c>
      <c r="CM124" s="267">
        <f t="shared" si="165"/>
        <v>0</v>
      </c>
      <c r="CN124" s="267">
        <f t="shared" si="160"/>
        <v>0</v>
      </c>
    </row>
    <row r="125" spans="2:95" ht="15.75">
      <c r="B125" s="85" t="s">
        <v>334</v>
      </c>
      <c r="C125" s="86">
        <v>1012160432615</v>
      </c>
      <c r="D125" s="87" t="s">
        <v>209</v>
      </c>
      <c r="E125" s="202" t="s">
        <v>47</v>
      </c>
      <c r="F125" s="207"/>
      <c r="G125" s="213"/>
      <c r="H125" s="235">
        <f t="shared" si="163"/>
        <v>0</v>
      </c>
      <c r="I125" s="212"/>
      <c r="J125" s="212"/>
      <c r="K125" s="212"/>
      <c r="L125" s="212"/>
      <c r="M125" s="213"/>
      <c r="N125" s="213"/>
      <c r="O125" s="213"/>
      <c r="P125" s="211">
        <f t="shared" si="138"/>
        <v>0</v>
      </c>
      <c r="Q125" s="234">
        <f t="shared" si="161"/>
        <v>0</v>
      </c>
      <c r="R125" s="234">
        <f t="shared" si="144"/>
        <v>0</v>
      </c>
      <c r="S125" s="231"/>
      <c r="T125" s="232"/>
      <c r="U125" s="213"/>
      <c r="V125" s="213"/>
      <c r="W125" s="235">
        <f t="shared" si="145"/>
        <v>0</v>
      </c>
      <c r="X125" s="212"/>
      <c r="Y125" s="212"/>
      <c r="Z125" s="212"/>
      <c r="AA125" s="212"/>
      <c r="AB125" s="212"/>
      <c r="AC125" s="212"/>
      <c r="AD125" s="212"/>
      <c r="AE125" s="243">
        <f t="shared" si="146"/>
        <v>0</v>
      </c>
      <c r="AF125" s="244">
        <f t="shared" si="147"/>
        <v>0</v>
      </c>
      <c r="AG125" s="253">
        <f t="shared" si="148"/>
        <v>0</v>
      </c>
      <c r="AH125" s="247"/>
      <c r="AI125" s="252"/>
      <c r="AJ125" s="212"/>
      <c r="AK125" s="213"/>
      <c r="AL125" s="235">
        <f t="shared" si="149"/>
        <v>0</v>
      </c>
      <c r="AM125" s="254"/>
      <c r="AN125" s="212"/>
      <c r="AO125" s="212"/>
      <c r="AP125" s="212"/>
      <c r="AQ125" s="214"/>
      <c r="AR125" s="212"/>
      <c r="AS125" s="254"/>
      <c r="AT125" s="337">
        <f t="shared" si="150"/>
        <v>0</v>
      </c>
      <c r="AU125" s="244">
        <f t="shared" si="151"/>
        <v>0</v>
      </c>
      <c r="AV125" s="253">
        <f t="shared" si="152"/>
        <v>0</v>
      </c>
      <c r="AW125" s="247"/>
      <c r="AX125" s="247"/>
      <c r="AY125" s="252"/>
      <c r="AZ125" s="212"/>
      <c r="BA125" s="213"/>
      <c r="BB125" s="235">
        <f t="shared" si="153"/>
        <v>0</v>
      </c>
      <c r="BC125" s="212"/>
      <c r="BD125" s="212"/>
      <c r="BE125" s="254"/>
      <c r="BF125" s="212"/>
      <c r="BG125" s="212"/>
      <c r="BH125" s="212"/>
      <c r="BI125" s="212"/>
      <c r="BJ125" s="243">
        <f t="shared" si="154"/>
        <v>0</v>
      </c>
      <c r="BK125" s="244">
        <f t="shared" si="139"/>
        <v>0</v>
      </c>
      <c r="BL125" s="253">
        <f t="shared" si="140"/>
        <v>0</v>
      </c>
      <c r="BM125" s="342"/>
      <c r="BN125" s="342"/>
      <c r="BO125" s="207"/>
      <c r="BP125" s="213"/>
      <c r="BQ125" s="235">
        <f t="shared" si="155"/>
        <v>0</v>
      </c>
      <c r="BR125" s="212"/>
      <c r="BS125" s="212"/>
      <c r="BT125" s="212"/>
      <c r="BU125" s="212"/>
      <c r="BV125" s="213"/>
      <c r="BW125" s="213"/>
      <c r="BX125" s="213"/>
      <c r="BY125" s="243">
        <f t="shared" si="156"/>
        <v>0</v>
      </c>
      <c r="BZ125" s="244">
        <f t="shared" si="162"/>
        <v>0</v>
      </c>
      <c r="CA125" s="253">
        <f t="shared" si="157"/>
        <v>0</v>
      </c>
      <c r="CB125" s="328"/>
      <c r="CC125" s="252"/>
      <c r="CD125" s="253">
        <f t="shared" si="164"/>
        <v>0</v>
      </c>
      <c r="CE125" s="253">
        <f t="shared" si="141"/>
        <v>0</v>
      </c>
      <c r="CF125" s="253">
        <f t="shared" si="158"/>
        <v>0</v>
      </c>
      <c r="CG125" s="253">
        <f t="shared" si="159"/>
        <v>0</v>
      </c>
      <c r="CH125" s="265"/>
      <c r="CI125" s="266"/>
      <c r="CJ125" s="266"/>
      <c r="CK125" s="63"/>
      <c r="CL125" s="267">
        <f t="shared" si="142"/>
        <v>0</v>
      </c>
      <c r="CM125" s="267">
        <f t="shared" si="165"/>
        <v>0</v>
      </c>
      <c r="CN125" s="267">
        <f t="shared" si="160"/>
        <v>0</v>
      </c>
    </row>
    <row r="126" spans="2:95" ht="15.75">
      <c r="B126" s="82" t="s">
        <v>335</v>
      </c>
      <c r="C126" s="83">
        <v>1012160432701</v>
      </c>
      <c r="D126" s="84" t="s">
        <v>210</v>
      </c>
      <c r="E126" s="199" t="s">
        <v>50</v>
      </c>
      <c r="F126" s="206"/>
      <c r="G126" s="215"/>
      <c r="H126" s="233">
        <f t="shared" si="163"/>
        <v>0</v>
      </c>
      <c r="I126" s="214"/>
      <c r="J126" s="214"/>
      <c r="K126" s="214"/>
      <c r="L126" s="214"/>
      <c r="M126" s="215"/>
      <c r="N126" s="215"/>
      <c r="O126" s="215"/>
      <c r="P126" s="210">
        <f t="shared" si="138"/>
        <v>0</v>
      </c>
      <c r="Q126" s="230">
        <f t="shared" si="161"/>
        <v>0</v>
      </c>
      <c r="R126" s="230">
        <f t="shared" si="144"/>
        <v>0</v>
      </c>
      <c r="U126" s="215"/>
      <c r="V126" s="215"/>
      <c r="W126" s="233">
        <f t="shared" si="145"/>
        <v>0</v>
      </c>
      <c r="X126" s="214"/>
      <c r="Y126" s="214"/>
      <c r="Z126" s="214"/>
      <c r="AA126" s="214"/>
      <c r="AB126" s="214"/>
      <c r="AC126" s="214"/>
      <c r="AD126" s="214"/>
      <c r="AE126" s="241">
        <f t="shared" si="146"/>
        <v>0</v>
      </c>
      <c r="AF126" s="242">
        <f t="shared" si="147"/>
        <v>0</v>
      </c>
      <c r="AG126" s="251">
        <f t="shared" si="148"/>
        <v>0</v>
      </c>
      <c r="AH126" s="247"/>
      <c r="AI126" s="252"/>
      <c r="AJ126" s="214"/>
      <c r="AK126" s="215"/>
      <c r="AL126" s="233">
        <f t="shared" si="149"/>
        <v>0</v>
      </c>
      <c r="AM126" s="255"/>
      <c r="AN126" s="214"/>
      <c r="AO126" s="214"/>
      <c r="AP126" s="214"/>
      <c r="AQ126" s="214"/>
      <c r="AR126" s="214"/>
      <c r="AS126" s="255"/>
      <c r="AT126" s="337">
        <f t="shared" si="150"/>
        <v>0</v>
      </c>
      <c r="AU126" s="242">
        <f t="shared" si="151"/>
        <v>0</v>
      </c>
      <c r="AV126" s="251">
        <f t="shared" si="152"/>
        <v>0</v>
      </c>
      <c r="AW126" s="247"/>
      <c r="AX126" s="247"/>
      <c r="AY126" s="252"/>
      <c r="AZ126" s="214"/>
      <c r="BA126" s="215"/>
      <c r="BB126" s="233">
        <f t="shared" si="153"/>
        <v>0</v>
      </c>
      <c r="BC126" s="214"/>
      <c r="BD126" s="214"/>
      <c r="BE126" s="255"/>
      <c r="BF126" s="214"/>
      <c r="BG126" s="214"/>
      <c r="BH126" s="214"/>
      <c r="BI126" s="214"/>
      <c r="BJ126" s="241">
        <f t="shared" si="154"/>
        <v>0</v>
      </c>
      <c r="BK126" s="242">
        <f t="shared" si="139"/>
        <v>0</v>
      </c>
      <c r="BL126" s="251">
        <f t="shared" si="140"/>
        <v>0</v>
      </c>
      <c r="BM126" s="342"/>
      <c r="BN126" s="342"/>
      <c r="BO126" s="206"/>
      <c r="BP126" s="215"/>
      <c r="BQ126" s="233">
        <f t="shared" si="155"/>
        <v>0</v>
      </c>
      <c r="BR126" s="214"/>
      <c r="BS126" s="214"/>
      <c r="BT126" s="214"/>
      <c r="BU126" s="214"/>
      <c r="BV126" s="215"/>
      <c r="BW126" s="215"/>
      <c r="BX126" s="215"/>
      <c r="BY126" s="241">
        <f t="shared" si="156"/>
        <v>0</v>
      </c>
      <c r="BZ126" s="242">
        <f t="shared" si="162"/>
        <v>0</v>
      </c>
      <c r="CA126" s="251">
        <f t="shared" si="157"/>
        <v>0</v>
      </c>
      <c r="CB126" s="252"/>
      <c r="CC126" s="252"/>
      <c r="CD126" s="251">
        <f t="shared" si="164"/>
        <v>0</v>
      </c>
      <c r="CE126" s="251">
        <f t="shared" si="141"/>
        <v>0</v>
      </c>
      <c r="CF126" s="251">
        <f t="shared" si="158"/>
        <v>0</v>
      </c>
      <c r="CG126" s="251">
        <f t="shared" si="159"/>
        <v>0</v>
      </c>
      <c r="CH126" s="265"/>
      <c r="CI126" s="266"/>
      <c r="CJ126" s="266"/>
      <c r="CK126" s="63"/>
      <c r="CL126" s="267">
        <f t="shared" si="142"/>
        <v>0</v>
      </c>
      <c r="CM126" s="267">
        <f t="shared" si="165"/>
        <v>0</v>
      </c>
      <c r="CN126" s="267">
        <f t="shared" si="160"/>
        <v>0</v>
      </c>
    </row>
    <row r="127" spans="2:95" ht="15.75">
      <c r="B127" s="85" t="s">
        <v>336</v>
      </c>
      <c r="C127" s="86">
        <v>1012160432210</v>
      </c>
      <c r="D127" s="87" t="s">
        <v>211</v>
      </c>
      <c r="E127" s="202" t="s">
        <v>50</v>
      </c>
      <c r="F127" s="207"/>
      <c r="G127" s="213"/>
      <c r="H127" s="235">
        <f t="shared" si="163"/>
        <v>0</v>
      </c>
      <c r="I127" s="212"/>
      <c r="J127" s="212"/>
      <c r="K127" s="212"/>
      <c r="L127" s="212"/>
      <c r="M127" s="213"/>
      <c r="N127" s="213"/>
      <c r="O127" s="213"/>
      <c r="P127" s="211">
        <f t="shared" si="138"/>
        <v>0</v>
      </c>
      <c r="Q127" s="234">
        <f t="shared" si="161"/>
        <v>0</v>
      </c>
      <c r="R127" s="234">
        <f t="shared" si="144"/>
        <v>0</v>
      </c>
      <c r="S127" s="231"/>
      <c r="T127" s="232"/>
      <c r="U127" s="213"/>
      <c r="V127" s="213"/>
      <c r="W127" s="235">
        <f t="shared" si="145"/>
        <v>0</v>
      </c>
      <c r="X127" s="212"/>
      <c r="Y127" s="212"/>
      <c r="Z127" s="212"/>
      <c r="AA127" s="212"/>
      <c r="AB127" s="216"/>
      <c r="AC127" s="212"/>
      <c r="AD127" s="212"/>
      <c r="AE127" s="243">
        <f t="shared" si="146"/>
        <v>0</v>
      </c>
      <c r="AF127" s="244">
        <f t="shared" si="147"/>
        <v>0</v>
      </c>
      <c r="AG127" s="253">
        <f t="shared" si="148"/>
        <v>0</v>
      </c>
      <c r="AH127" s="247"/>
      <c r="AI127" s="252"/>
      <c r="AJ127" s="212"/>
      <c r="AK127" s="213"/>
      <c r="AL127" s="235">
        <f t="shared" si="149"/>
        <v>0</v>
      </c>
      <c r="AM127" s="254"/>
      <c r="AN127" s="212"/>
      <c r="AO127" s="212"/>
      <c r="AP127" s="212"/>
      <c r="AQ127" s="212"/>
      <c r="AR127" s="212"/>
      <c r="AS127" s="254"/>
      <c r="AT127" s="337">
        <f t="shared" si="150"/>
        <v>0</v>
      </c>
      <c r="AU127" s="244">
        <f t="shared" si="151"/>
        <v>0</v>
      </c>
      <c r="AV127" s="253">
        <f t="shared" si="152"/>
        <v>0</v>
      </c>
      <c r="AW127" s="247"/>
      <c r="AX127" s="247"/>
      <c r="AY127" s="252"/>
      <c r="AZ127" s="212"/>
      <c r="BA127" s="213"/>
      <c r="BB127" s="235">
        <f t="shared" si="153"/>
        <v>0</v>
      </c>
      <c r="BC127" s="212"/>
      <c r="BD127" s="212"/>
      <c r="BE127" s="254"/>
      <c r="BF127" s="212"/>
      <c r="BG127" s="212"/>
      <c r="BH127" s="212"/>
      <c r="BI127" s="212"/>
      <c r="BJ127" s="243">
        <f t="shared" si="154"/>
        <v>0</v>
      </c>
      <c r="BK127" s="244">
        <f t="shared" si="139"/>
        <v>0</v>
      </c>
      <c r="BL127" s="253">
        <f t="shared" si="140"/>
        <v>0</v>
      </c>
      <c r="BM127" s="342"/>
      <c r="BN127" s="342"/>
      <c r="BO127" s="207"/>
      <c r="BP127" s="213"/>
      <c r="BQ127" s="235">
        <f t="shared" si="155"/>
        <v>0</v>
      </c>
      <c r="BR127" s="212"/>
      <c r="BS127" s="212"/>
      <c r="BT127" s="212"/>
      <c r="BU127" s="212"/>
      <c r="BV127" s="213"/>
      <c r="BW127" s="213"/>
      <c r="BX127" s="213"/>
      <c r="BY127" s="243">
        <f t="shared" si="156"/>
        <v>0</v>
      </c>
      <c r="BZ127" s="244">
        <f t="shared" si="162"/>
        <v>0</v>
      </c>
      <c r="CA127" s="253">
        <f t="shared" si="157"/>
        <v>0</v>
      </c>
      <c r="CB127" s="328">
        <f>500-500</f>
        <v>0</v>
      </c>
      <c r="CC127" s="252"/>
      <c r="CD127" s="253">
        <f t="shared" si="164"/>
        <v>0</v>
      </c>
      <c r="CE127" s="253">
        <f t="shared" si="141"/>
        <v>0</v>
      </c>
      <c r="CF127" s="253">
        <f t="shared" si="158"/>
        <v>0</v>
      </c>
      <c r="CG127" s="253">
        <f t="shared" si="159"/>
        <v>0</v>
      </c>
      <c r="CH127" s="265"/>
      <c r="CI127" s="266"/>
      <c r="CJ127" s="266"/>
      <c r="CK127" s="63"/>
      <c r="CL127" s="267">
        <f t="shared" si="142"/>
        <v>0</v>
      </c>
      <c r="CM127" s="267">
        <f t="shared" si="165"/>
        <v>0</v>
      </c>
      <c r="CN127" s="267">
        <f t="shared" si="160"/>
        <v>0</v>
      </c>
    </row>
    <row r="128" spans="2:95" ht="15.75">
      <c r="B128" s="85" t="s">
        <v>337</v>
      </c>
      <c r="C128" s="86">
        <v>1012160432615</v>
      </c>
      <c r="D128" s="87" t="s">
        <v>212</v>
      </c>
      <c r="E128" s="202" t="s">
        <v>47</v>
      </c>
      <c r="F128" s="13"/>
      <c r="G128" s="215"/>
      <c r="H128" s="233">
        <f t="shared" si="163"/>
        <v>0</v>
      </c>
      <c r="I128" s="214"/>
      <c r="J128" s="214"/>
      <c r="K128" s="214"/>
      <c r="L128" s="214"/>
      <c r="M128" s="215"/>
      <c r="N128" s="215"/>
      <c r="O128" s="215"/>
      <c r="P128" s="210">
        <f t="shared" si="138"/>
        <v>0</v>
      </c>
      <c r="Q128" s="230">
        <f t="shared" si="161"/>
        <v>0</v>
      </c>
      <c r="R128" s="230">
        <f t="shared" si="144"/>
        <v>0</v>
      </c>
      <c r="S128" s="231"/>
      <c r="T128" s="232"/>
      <c r="U128" s="215"/>
      <c r="V128" s="215"/>
      <c r="W128" s="233">
        <f t="shared" si="145"/>
        <v>0</v>
      </c>
      <c r="X128" s="214"/>
      <c r="Y128" s="214"/>
      <c r="Z128" s="214"/>
      <c r="AA128" s="214"/>
      <c r="AB128" s="214"/>
      <c r="AC128" s="214"/>
      <c r="AD128" s="214"/>
      <c r="AE128" s="241">
        <f t="shared" si="146"/>
        <v>0</v>
      </c>
      <c r="AF128" s="242">
        <f t="shared" si="147"/>
        <v>0</v>
      </c>
      <c r="AG128" s="251">
        <f t="shared" si="148"/>
        <v>0</v>
      </c>
      <c r="AH128" s="247"/>
      <c r="AI128" s="252"/>
      <c r="AJ128" s="214"/>
      <c r="AK128" s="215"/>
      <c r="AL128" s="233">
        <f t="shared" si="149"/>
        <v>0</v>
      </c>
      <c r="AM128" s="255"/>
      <c r="AN128" s="214"/>
      <c r="AO128" s="214"/>
      <c r="AP128" s="214"/>
      <c r="AQ128" s="214"/>
      <c r="AR128" s="214"/>
      <c r="AS128" s="255"/>
      <c r="AT128" s="337">
        <f t="shared" si="150"/>
        <v>0</v>
      </c>
      <c r="AU128" s="242">
        <f t="shared" si="151"/>
        <v>0</v>
      </c>
      <c r="AV128" s="251">
        <f t="shared" si="152"/>
        <v>0</v>
      </c>
      <c r="AW128" s="247"/>
      <c r="AX128" s="247"/>
      <c r="AY128" s="252"/>
      <c r="AZ128" s="214"/>
      <c r="BA128" s="215"/>
      <c r="BB128" s="233">
        <f t="shared" si="153"/>
        <v>0</v>
      </c>
      <c r="BC128" s="214"/>
      <c r="BD128" s="214"/>
      <c r="BE128" s="255"/>
      <c r="BF128" s="214"/>
      <c r="BG128" s="214"/>
      <c r="BH128" s="214"/>
      <c r="BI128" s="214"/>
      <c r="BJ128" s="241">
        <f t="shared" si="154"/>
        <v>0</v>
      </c>
      <c r="BK128" s="242">
        <f t="shared" si="139"/>
        <v>0</v>
      </c>
      <c r="BL128" s="251">
        <f t="shared" si="140"/>
        <v>0</v>
      </c>
      <c r="BM128" s="252"/>
      <c r="BN128" s="252"/>
      <c r="BO128" s="13"/>
      <c r="BP128" s="215"/>
      <c r="BQ128" s="233">
        <f t="shared" si="155"/>
        <v>0</v>
      </c>
      <c r="BR128" s="214"/>
      <c r="BS128" s="214"/>
      <c r="BT128" s="214"/>
      <c r="BU128" s="214"/>
      <c r="BV128" s="215"/>
      <c r="BW128" s="215"/>
      <c r="BX128" s="215"/>
      <c r="BY128" s="241">
        <f t="shared" si="156"/>
        <v>0</v>
      </c>
      <c r="BZ128" s="242">
        <f t="shared" si="162"/>
        <v>0</v>
      </c>
      <c r="CA128" s="251">
        <f t="shared" si="157"/>
        <v>0</v>
      </c>
      <c r="CB128" s="252"/>
      <c r="CC128" s="252"/>
      <c r="CD128" s="251">
        <f t="shared" si="164"/>
        <v>0</v>
      </c>
      <c r="CE128" s="354">
        <f t="shared" si="141"/>
        <v>0</v>
      </c>
      <c r="CF128" s="251">
        <f t="shared" si="158"/>
        <v>0</v>
      </c>
      <c r="CG128" s="251">
        <f t="shared" si="159"/>
        <v>0</v>
      </c>
      <c r="CH128" s="265"/>
      <c r="CI128" s="266"/>
      <c r="CJ128" s="266"/>
      <c r="CK128" s="63"/>
      <c r="CL128" s="267">
        <f t="shared" si="142"/>
        <v>0</v>
      </c>
      <c r="CM128" s="267">
        <f t="shared" si="165"/>
        <v>0</v>
      </c>
      <c r="CN128" s="267">
        <f t="shared" si="160"/>
        <v>0</v>
      </c>
    </row>
    <row r="129" spans="2:92" ht="15.75">
      <c r="B129" s="82" t="s">
        <v>338</v>
      </c>
      <c r="C129" s="83">
        <v>1012160432701</v>
      </c>
      <c r="D129" s="84" t="s">
        <v>213</v>
      </c>
      <c r="E129" s="199" t="s">
        <v>50</v>
      </c>
      <c r="F129" s="205"/>
      <c r="G129" s="213"/>
      <c r="H129" s="235">
        <f t="shared" si="163"/>
        <v>0</v>
      </c>
      <c r="I129" s="212"/>
      <c r="J129" s="212"/>
      <c r="K129" s="212"/>
      <c r="L129" s="212"/>
      <c r="M129" s="213"/>
      <c r="N129" s="213"/>
      <c r="O129" s="213"/>
      <c r="P129" s="211">
        <f t="shared" si="138"/>
        <v>0</v>
      </c>
      <c r="Q129" s="234">
        <f t="shared" si="161"/>
        <v>0</v>
      </c>
      <c r="R129" s="234">
        <f t="shared" si="144"/>
        <v>0</v>
      </c>
      <c r="S129" s="231"/>
      <c r="T129" s="232"/>
      <c r="U129" s="213"/>
      <c r="V129" s="213"/>
      <c r="W129" s="235">
        <f t="shared" si="145"/>
        <v>0</v>
      </c>
      <c r="X129" s="212"/>
      <c r="Y129" s="212"/>
      <c r="Z129" s="212"/>
      <c r="AA129" s="212"/>
      <c r="AB129" s="212"/>
      <c r="AC129" s="212"/>
      <c r="AD129" s="212"/>
      <c r="AE129" s="243">
        <f t="shared" si="146"/>
        <v>0</v>
      </c>
      <c r="AF129" s="244">
        <f t="shared" si="147"/>
        <v>0</v>
      </c>
      <c r="AG129" s="253">
        <f t="shared" si="148"/>
        <v>0</v>
      </c>
      <c r="AH129" s="247"/>
      <c r="AI129" s="252"/>
      <c r="AJ129" s="212"/>
      <c r="AK129" s="213"/>
      <c r="AL129" s="235">
        <f t="shared" si="149"/>
        <v>0</v>
      </c>
      <c r="AM129" s="254"/>
      <c r="AN129" s="212"/>
      <c r="AO129" s="212"/>
      <c r="AP129" s="212"/>
      <c r="AQ129" s="212"/>
      <c r="AR129" s="212"/>
      <c r="AS129" s="254"/>
      <c r="AT129" s="337">
        <f t="shared" si="150"/>
        <v>0</v>
      </c>
      <c r="AU129" s="244">
        <f t="shared" si="151"/>
        <v>0</v>
      </c>
      <c r="AV129" s="253">
        <f t="shared" si="152"/>
        <v>0</v>
      </c>
      <c r="AW129" s="247"/>
      <c r="AX129" s="247"/>
      <c r="AY129" s="252"/>
      <c r="AZ129" s="212"/>
      <c r="BA129" s="213"/>
      <c r="BB129" s="235">
        <f t="shared" si="153"/>
        <v>0</v>
      </c>
      <c r="BC129" s="212"/>
      <c r="BD129" s="212"/>
      <c r="BE129" s="254"/>
      <c r="BF129" s="212"/>
      <c r="BG129" s="212"/>
      <c r="BH129" s="212"/>
      <c r="BI129" s="212"/>
      <c r="BJ129" s="243">
        <f t="shared" si="154"/>
        <v>0</v>
      </c>
      <c r="BK129" s="244">
        <f t="shared" si="139"/>
        <v>0</v>
      </c>
      <c r="BL129" s="253">
        <f t="shared" si="140"/>
        <v>0</v>
      </c>
      <c r="BM129" s="252"/>
      <c r="BN129" s="252"/>
      <c r="BO129" s="205"/>
      <c r="BP129" s="213"/>
      <c r="BQ129" s="235">
        <f t="shared" si="155"/>
        <v>0</v>
      </c>
      <c r="BR129" s="212"/>
      <c r="BS129" s="212"/>
      <c r="BT129" s="212"/>
      <c r="BU129" s="212"/>
      <c r="BV129" s="213"/>
      <c r="BW129" s="213"/>
      <c r="BX129" s="213"/>
      <c r="BY129" s="272">
        <f t="shared" si="156"/>
        <v>0</v>
      </c>
      <c r="BZ129" s="244">
        <f t="shared" si="162"/>
        <v>0</v>
      </c>
      <c r="CA129" s="253">
        <f t="shared" si="157"/>
        <v>0</v>
      </c>
      <c r="CB129" s="328"/>
      <c r="CC129" s="252"/>
      <c r="CD129" s="253">
        <f t="shared" si="164"/>
        <v>0</v>
      </c>
      <c r="CE129" s="353">
        <f t="shared" si="141"/>
        <v>0</v>
      </c>
      <c r="CF129" s="253">
        <f t="shared" si="158"/>
        <v>0</v>
      </c>
      <c r="CG129" s="253">
        <f t="shared" si="159"/>
        <v>0</v>
      </c>
      <c r="CH129" s="265"/>
      <c r="CI129" s="266"/>
      <c r="CJ129" s="266"/>
      <c r="CK129" s="63"/>
      <c r="CL129" s="267">
        <f t="shared" si="142"/>
        <v>0</v>
      </c>
      <c r="CM129" s="267">
        <f t="shared" si="165"/>
        <v>0</v>
      </c>
      <c r="CN129" s="267">
        <f t="shared" si="160"/>
        <v>0</v>
      </c>
    </row>
    <row r="130" spans="2:92" ht="15.75">
      <c r="B130" s="85" t="s">
        <v>339</v>
      </c>
      <c r="C130" s="86">
        <v>1012160432210</v>
      </c>
      <c r="D130" s="87" t="s">
        <v>214</v>
      </c>
      <c r="E130" s="202" t="s">
        <v>50</v>
      </c>
      <c r="F130" s="13"/>
      <c r="G130" s="215"/>
      <c r="H130" s="233">
        <f t="shared" si="163"/>
        <v>0</v>
      </c>
      <c r="I130" s="214"/>
      <c r="J130" s="214"/>
      <c r="K130" s="214"/>
      <c r="L130" s="214"/>
      <c r="M130" s="215"/>
      <c r="N130" s="215"/>
      <c r="O130" s="215"/>
      <c r="P130" s="210">
        <f t="shared" si="138"/>
        <v>0</v>
      </c>
      <c r="Q130" s="230">
        <f t="shared" si="161"/>
        <v>0</v>
      </c>
      <c r="R130" s="230">
        <f t="shared" si="144"/>
        <v>0</v>
      </c>
      <c r="S130" s="231"/>
      <c r="T130" s="232"/>
      <c r="U130" s="215"/>
      <c r="V130" s="215"/>
      <c r="W130" s="233">
        <f t="shared" si="145"/>
        <v>0</v>
      </c>
      <c r="X130" s="214"/>
      <c r="Y130" s="214"/>
      <c r="Z130" s="214"/>
      <c r="AA130" s="214"/>
      <c r="AB130" s="214"/>
      <c r="AC130" s="214"/>
      <c r="AD130" s="214"/>
      <c r="AE130" s="241">
        <f t="shared" si="146"/>
        <v>0</v>
      </c>
      <c r="AF130" s="242">
        <f t="shared" si="147"/>
        <v>0</v>
      </c>
      <c r="AG130" s="251">
        <f t="shared" si="148"/>
        <v>0</v>
      </c>
      <c r="AH130" s="247"/>
      <c r="AI130" s="252"/>
      <c r="AJ130" s="214"/>
      <c r="AK130" s="215"/>
      <c r="AL130" s="233">
        <f t="shared" si="149"/>
        <v>0</v>
      </c>
      <c r="AM130" s="255"/>
      <c r="AN130" s="214"/>
      <c r="AO130" s="214"/>
      <c r="AP130" s="214"/>
      <c r="AQ130" s="214"/>
      <c r="AR130" s="214"/>
      <c r="AS130" s="255"/>
      <c r="AT130" s="337">
        <f t="shared" si="150"/>
        <v>0</v>
      </c>
      <c r="AU130" s="242">
        <f t="shared" si="151"/>
        <v>0</v>
      </c>
      <c r="AV130" s="251">
        <f t="shared" si="152"/>
        <v>0</v>
      </c>
      <c r="AW130" s="247"/>
      <c r="AX130" s="247"/>
      <c r="AY130" s="252"/>
      <c r="AZ130" s="214"/>
      <c r="BA130" s="215"/>
      <c r="BB130" s="233">
        <f t="shared" si="153"/>
        <v>0</v>
      </c>
      <c r="BC130" s="214"/>
      <c r="BD130" s="214"/>
      <c r="BE130" s="255"/>
      <c r="BF130" s="214"/>
      <c r="BG130" s="212"/>
      <c r="BH130" s="214"/>
      <c r="BI130" s="214"/>
      <c r="BJ130" s="241">
        <f t="shared" si="154"/>
        <v>0</v>
      </c>
      <c r="BK130" s="242">
        <f t="shared" si="139"/>
        <v>0</v>
      </c>
      <c r="BL130" s="251">
        <f t="shared" si="140"/>
        <v>0</v>
      </c>
      <c r="BM130" s="252"/>
      <c r="BN130" s="252"/>
      <c r="BO130" s="13"/>
      <c r="BP130" s="215"/>
      <c r="BQ130" s="233">
        <f t="shared" si="155"/>
        <v>0</v>
      </c>
      <c r="BR130" s="214"/>
      <c r="BS130" s="214"/>
      <c r="BT130" s="214"/>
      <c r="BU130" s="214"/>
      <c r="BV130" s="215"/>
      <c r="BW130" s="215"/>
      <c r="BX130" s="215"/>
      <c r="BY130" s="241">
        <f t="shared" si="156"/>
        <v>0</v>
      </c>
      <c r="BZ130" s="242">
        <f t="shared" si="162"/>
        <v>0</v>
      </c>
      <c r="CA130" s="251">
        <f t="shared" si="157"/>
        <v>0</v>
      </c>
      <c r="CB130" s="252"/>
      <c r="CC130" s="252"/>
      <c r="CD130" s="251">
        <f t="shared" si="164"/>
        <v>0</v>
      </c>
      <c r="CE130" s="354">
        <f t="shared" si="141"/>
        <v>0</v>
      </c>
      <c r="CF130" s="251">
        <f t="shared" si="158"/>
        <v>0</v>
      </c>
      <c r="CG130" s="251">
        <f t="shared" si="159"/>
        <v>0</v>
      </c>
      <c r="CH130" s="265"/>
      <c r="CI130" s="266"/>
      <c r="CJ130" s="266"/>
      <c r="CK130" s="63"/>
      <c r="CL130" s="267"/>
      <c r="CM130" s="267"/>
      <c r="CN130" s="267"/>
    </row>
    <row r="131" spans="2:92" ht="15.75">
      <c r="B131" s="85" t="s">
        <v>215</v>
      </c>
      <c r="C131" s="86">
        <v>1012160457013</v>
      </c>
      <c r="D131" s="87" t="s">
        <v>216</v>
      </c>
      <c r="E131" s="202" t="s">
        <v>47</v>
      </c>
      <c r="F131" s="205"/>
      <c r="G131" s="213"/>
      <c r="H131" s="235">
        <f t="shared" si="163"/>
        <v>0</v>
      </c>
      <c r="I131" s="212"/>
      <c r="J131" s="212"/>
      <c r="K131" s="212"/>
      <c r="L131" s="212"/>
      <c r="M131" s="213"/>
      <c r="N131" s="213"/>
      <c r="O131" s="213"/>
      <c r="P131" s="211">
        <f t="shared" si="138"/>
        <v>0</v>
      </c>
      <c r="Q131" s="234">
        <f t="shared" si="161"/>
        <v>0</v>
      </c>
      <c r="R131" s="234">
        <f t="shared" si="144"/>
        <v>0</v>
      </c>
      <c r="S131" s="231"/>
      <c r="T131" s="232"/>
      <c r="U131" s="213"/>
      <c r="V131" s="213"/>
      <c r="W131" s="235">
        <f t="shared" si="145"/>
        <v>0</v>
      </c>
      <c r="X131" s="212"/>
      <c r="Y131" s="212"/>
      <c r="Z131" s="212"/>
      <c r="AA131" s="212"/>
      <c r="AB131" s="212"/>
      <c r="AC131" s="212"/>
      <c r="AD131" s="212"/>
      <c r="AE131" s="243">
        <f t="shared" si="146"/>
        <v>0</v>
      </c>
      <c r="AF131" s="244">
        <f t="shared" si="147"/>
        <v>0</v>
      </c>
      <c r="AG131" s="253">
        <f t="shared" si="148"/>
        <v>0</v>
      </c>
      <c r="AH131" s="247"/>
      <c r="AI131" s="252"/>
      <c r="AJ131" s="212"/>
      <c r="AK131" s="213"/>
      <c r="AL131" s="235">
        <f t="shared" si="149"/>
        <v>0</v>
      </c>
      <c r="AM131" s="254"/>
      <c r="AN131" s="212"/>
      <c r="AO131" s="212"/>
      <c r="AP131" s="212"/>
      <c r="AQ131" s="212"/>
      <c r="AR131" s="212"/>
      <c r="AS131" s="254"/>
      <c r="AT131" s="243">
        <f t="shared" si="150"/>
        <v>0</v>
      </c>
      <c r="AU131" s="244">
        <f t="shared" si="151"/>
        <v>0</v>
      </c>
      <c r="AV131" s="253">
        <f t="shared" si="152"/>
        <v>0</v>
      </c>
      <c r="AW131" s="247"/>
      <c r="AX131" s="247"/>
      <c r="AY131" s="252"/>
      <c r="AZ131" s="212"/>
      <c r="BA131" s="213"/>
      <c r="BB131" s="235">
        <f t="shared" si="153"/>
        <v>0</v>
      </c>
      <c r="BC131" s="212"/>
      <c r="BD131" s="212"/>
      <c r="BE131" s="254"/>
      <c r="BF131" s="212"/>
      <c r="BG131" s="212"/>
      <c r="BH131" s="212"/>
      <c r="BI131" s="212"/>
      <c r="BJ131" s="243">
        <f t="shared" si="154"/>
        <v>0</v>
      </c>
      <c r="BK131" s="244">
        <f t="shared" si="139"/>
        <v>0</v>
      </c>
      <c r="BL131" s="253">
        <f t="shared" si="140"/>
        <v>0</v>
      </c>
      <c r="BM131" s="252"/>
      <c r="BN131" s="252"/>
      <c r="BO131" s="205"/>
      <c r="BP131" s="213"/>
      <c r="BQ131" s="235">
        <f t="shared" si="155"/>
        <v>0</v>
      </c>
      <c r="BR131" s="212"/>
      <c r="BS131" s="212"/>
      <c r="BT131" s="212"/>
      <c r="BU131" s="212"/>
      <c r="BV131" s="213"/>
      <c r="BW131" s="213"/>
      <c r="BX131" s="213"/>
      <c r="BY131" s="243">
        <f t="shared" si="156"/>
        <v>0</v>
      </c>
      <c r="BZ131" s="244">
        <f t="shared" si="162"/>
        <v>0</v>
      </c>
      <c r="CA131" s="253">
        <f t="shared" si="157"/>
        <v>0</v>
      </c>
      <c r="CB131" s="328"/>
      <c r="CC131" s="252"/>
      <c r="CD131" s="253">
        <f t="shared" si="164"/>
        <v>0</v>
      </c>
      <c r="CE131" s="253">
        <f t="shared" si="141"/>
        <v>0</v>
      </c>
      <c r="CF131" s="253">
        <f t="shared" si="158"/>
        <v>0</v>
      </c>
      <c r="CG131" s="253">
        <f t="shared" si="159"/>
        <v>0</v>
      </c>
      <c r="CH131" s="265"/>
      <c r="CI131" s="266"/>
      <c r="CJ131" s="266"/>
      <c r="CK131" s="63"/>
      <c r="CL131" s="267"/>
      <c r="CM131" s="267"/>
      <c r="CN131" s="267"/>
    </row>
    <row r="132" spans="2:92" ht="15.75">
      <c r="B132" s="82" t="s">
        <v>217</v>
      </c>
      <c r="C132" s="83">
        <v>1012160482910</v>
      </c>
      <c r="D132" s="84" t="s">
        <v>218</v>
      </c>
      <c r="E132" s="199" t="s">
        <v>47</v>
      </c>
      <c r="F132" s="13"/>
      <c r="G132" s="215"/>
      <c r="H132" s="233">
        <f t="shared" si="163"/>
        <v>0</v>
      </c>
      <c r="I132" s="214"/>
      <c r="J132" s="214"/>
      <c r="K132" s="214"/>
      <c r="L132" s="214"/>
      <c r="M132" s="215"/>
      <c r="N132" s="215"/>
      <c r="O132" s="215"/>
      <c r="P132" s="210">
        <f t="shared" si="138"/>
        <v>0</v>
      </c>
      <c r="Q132" s="230">
        <f t="shared" si="161"/>
        <v>0</v>
      </c>
      <c r="R132" s="230">
        <f t="shared" si="144"/>
        <v>0</v>
      </c>
      <c r="S132" s="231"/>
      <c r="T132" s="232"/>
      <c r="U132" s="215"/>
      <c r="V132" s="215"/>
      <c r="W132" s="233">
        <f t="shared" si="145"/>
        <v>0</v>
      </c>
      <c r="X132" s="214"/>
      <c r="Y132" s="214"/>
      <c r="Z132" s="214"/>
      <c r="AA132" s="214"/>
      <c r="AB132" s="214"/>
      <c r="AC132" s="214"/>
      <c r="AD132" s="214"/>
      <c r="AE132" s="241">
        <f t="shared" si="146"/>
        <v>0</v>
      </c>
      <c r="AF132" s="242">
        <f t="shared" si="147"/>
        <v>0</v>
      </c>
      <c r="AG132" s="251">
        <f t="shared" si="148"/>
        <v>0</v>
      </c>
      <c r="AH132" s="247"/>
      <c r="AI132" s="252"/>
      <c r="AJ132" s="214"/>
      <c r="AK132" s="215"/>
      <c r="AL132" s="233">
        <f t="shared" si="149"/>
        <v>0</v>
      </c>
      <c r="AM132" s="255"/>
      <c r="AN132" s="214"/>
      <c r="AO132" s="214"/>
      <c r="AP132" s="214"/>
      <c r="AQ132" s="214"/>
      <c r="AR132" s="214"/>
      <c r="AS132" s="255"/>
      <c r="AT132" s="241">
        <f t="shared" si="150"/>
        <v>0</v>
      </c>
      <c r="AU132" s="242">
        <f t="shared" si="151"/>
        <v>0</v>
      </c>
      <c r="AV132" s="251">
        <f t="shared" si="152"/>
        <v>0</v>
      </c>
      <c r="AW132" s="247"/>
      <c r="AX132" s="247"/>
      <c r="AY132" s="252"/>
      <c r="AZ132" s="214"/>
      <c r="BA132" s="215"/>
      <c r="BB132" s="233">
        <f t="shared" si="153"/>
        <v>0</v>
      </c>
      <c r="BC132" s="214"/>
      <c r="BD132" s="214"/>
      <c r="BE132" s="255"/>
      <c r="BF132" s="214"/>
      <c r="BG132" s="214"/>
      <c r="BH132" s="214"/>
      <c r="BI132" s="214"/>
      <c r="BJ132" s="241">
        <f t="shared" si="154"/>
        <v>0</v>
      </c>
      <c r="BK132" s="242">
        <f t="shared" si="139"/>
        <v>0</v>
      </c>
      <c r="BL132" s="251">
        <f t="shared" si="140"/>
        <v>0</v>
      </c>
      <c r="BM132" s="252"/>
      <c r="BN132" s="252"/>
      <c r="BO132" s="13"/>
      <c r="BP132" s="215"/>
      <c r="BQ132" s="233">
        <f t="shared" si="155"/>
        <v>0</v>
      </c>
      <c r="BR132" s="214"/>
      <c r="BS132" s="214"/>
      <c r="BT132" s="214"/>
      <c r="BU132" s="214"/>
      <c r="BV132" s="215"/>
      <c r="BW132" s="215"/>
      <c r="BX132" s="215"/>
      <c r="BY132" s="241">
        <f t="shared" si="156"/>
        <v>0</v>
      </c>
      <c r="BZ132" s="242">
        <f t="shared" si="162"/>
        <v>0</v>
      </c>
      <c r="CA132" s="251">
        <f t="shared" si="157"/>
        <v>0</v>
      </c>
      <c r="CB132" s="252"/>
      <c r="CC132" s="252"/>
      <c r="CD132" s="251">
        <f t="shared" si="164"/>
        <v>0</v>
      </c>
      <c r="CE132" s="251">
        <f t="shared" si="141"/>
        <v>0</v>
      </c>
      <c r="CF132" s="251">
        <f t="shared" si="158"/>
        <v>0</v>
      </c>
      <c r="CG132" s="251">
        <f t="shared" si="159"/>
        <v>0</v>
      </c>
      <c r="CH132" s="265"/>
      <c r="CI132" s="266"/>
      <c r="CJ132" s="266"/>
      <c r="CK132" s="63"/>
      <c r="CL132" s="267"/>
      <c r="CM132" s="267"/>
      <c r="CN132" s="267"/>
    </row>
    <row r="133" spans="2:92" ht="15.75">
      <c r="B133" s="85" t="s">
        <v>219</v>
      </c>
      <c r="C133" s="86">
        <v>1012160432173</v>
      </c>
      <c r="D133" s="87" t="s">
        <v>220</v>
      </c>
      <c r="E133" s="202" t="s">
        <v>47</v>
      </c>
      <c r="F133" s="205"/>
      <c r="G133" s="213"/>
      <c r="H133" s="235">
        <f t="shared" si="163"/>
        <v>0</v>
      </c>
      <c r="I133" s="212"/>
      <c r="J133" s="212"/>
      <c r="K133" s="212"/>
      <c r="L133" s="212"/>
      <c r="M133" s="213"/>
      <c r="N133" s="213"/>
      <c r="O133" s="213"/>
      <c r="P133" s="211">
        <f t="shared" si="138"/>
        <v>0</v>
      </c>
      <c r="Q133" s="234">
        <f t="shared" si="161"/>
        <v>0</v>
      </c>
      <c r="R133" s="234">
        <f t="shared" si="144"/>
        <v>0</v>
      </c>
      <c r="S133" s="231"/>
      <c r="T133" s="232"/>
      <c r="U133" s="213"/>
      <c r="V133" s="213"/>
      <c r="W133" s="235">
        <f t="shared" si="145"/>
        <v>0</v>
      </c>
      <c r="X133" s="212"/>
      <c r="Y133" s="212"/>
      <c r="Z133" s="212"/>
      <c r="AA133" s="212"/>
      <c r="AB133" s="212"/>
      <c r="AC133" s="212"/>
      <c r="AD133" s="212"/>
      <c r="AE133" s="243">
        <f t="shared" si="146"/>
        <v>0</v>
      </c>
      <c r="AF133" s="244">
        <f t="shared" si="147"/>
        <v>0</v>
      </c>
      <c r="AG133" s="253">
        <f t="shared" si="148"/>
        <v>0</v>
      </c>
      <c r="AH133" s="247"/>
      <c r="AI133" s="252"/>
      <c r="AJ133" s="212"/>
      <c r="AK133" s="213"/>
      <c r="AL133" s="235">
        <f t="shared" si="149"/>
        <v>0</v>
      </c>
      <c r="AM133" s="254"/>
      <c r="AN133" s="212"/>
      <c r="AO133" s="212"/>
      <c r="AP133" s="212"/>
      <c r="AQ133" s="212"/>
      <c r="AR133" s="212"/>
      <c r="AS133" s="254"/>
      <c r="AT133" s="243">
        <f t="shared" si="150"/>
        <v>0</v>
      </c>
      <c r="AU133" s="244">
        <f t="shared" si="151"/>
        <v>0</v>
      </c>
      <c r="AV133" s="253">
        <f t="shared" si="152"/>
        <v>0</v>
      </c>
      <c r="AW133" s="247"/>
      <c r="AX133" s="247"/>
      <c r="AY133" s="252"/>
      <c r="AZ133" s="212"/>
      <c r="BA133" s="213"/>
      <c r="BB133" s="235">
        <f t="shared" si="153"/>
        <v>0</v>
      </c>
      <c r="BC133" s="212"/>
      <c r="BD133" s="212"/>
      <c r="BE133" s="254"/>
      <c r="BF133" s="212"/>
      <c r="BG133" s="212"/>
      <c r="BH133" s="212"/>
      <c r="BI133" s="212"/>
      <c r="BJ133" s="243">
        <f t="shared" si="154"/>
        <v>0</v>
      </c>
      <c r="BK133" s="244">
        <f t="shared" si="139"/>
        <v>0</v>
      </c>
      <c r="BL133" s="253">
        <f t="shared" si="140"/>
        <v>0</v>
      </c>
      <c r="BM133" s="252"/>
      <c r="BN133" s="252"/>
      <c r="BO133" s="205"/>
      <c r="BP133" s="213"/>
      <c r="BQ133" s="235">
        <f t="shared" si="155"/>
        <v>0</v>
      </c>
      <c r="BR133" s="212"/>
      <c r="BS133" s="212"/>
      <c r="BT133" s="212"/>
      <c r="BU133" s="212"/>
      <c r="BV133" s="213"/>
      <c r="BW133" s="213"/>
      <c r="BX133" s="213"/>
      <c r="BY133" s="243">
        <f t="shared" si="156"/>
        <v>0</v>
      </c>
      <c r="BZ133" s="244">
        <f t="shared" si="162"/>
        <v>0</v>
      </c>
      <c r="CA133" s="253">
        <f t="shared" si="157"/>
        <v>0</v>
      </c>
      <c r="CB133" s="328"/>
      <c r="CC133" s="252"/>
      <c r="CD133" s="253">
        <f t="shared" si="164"/>
        <v>0</v>
      </c>
      <c r="CE133" s="253">
        <f t="shared" si="141"/>
        <v>0</v>
      </c>
      <c r="CF133" s="253">
        <f t="shared" si="158"/>
        <v>0</v>
      </c>
      <c r="CG133" s="253">
        <f t="shared" si="159"/>
        <v>0</v>
      </c>
      <c r="CH133" s="265"/>
      <c r="CI133" s="266"/>
      <c r="CJ133" s="266"/>
      <c r="CK133" s="63"/>
      <c r="CL133" s="267"/>
      <c r="CM133" s="267"/>
      <c r="CN133" s="267"/>
    </row>
    <row r="134" spans="2:92" ht="15.75">
      <c r="B134" s="82" t="s">
        <v>221</v>
      </c>
      <c r="C134" s="83">
        <v>1012160432181</v>
      </c>
      <c r="D134" s="84" t="s">
        <v>222</v>
      </c>
      <c r="E134" s="199" t="s">
        <v>47</v>
      </c>
      <c r="F134" s="13"/>
      <c r="G134" s="215"/>
      <c r="H134" s="233">
        <f t="shared" si="163"/>
        <v>0</v>
      </c>
      <c r="I134" s="214"/>
      <c r="J134" s="214"/>
      <c r="K134" s="214"/>
      <c r="L134" s="214"/>
      <c r="M134" s="215"/>
      <c r="N134" s="215"/>
      <c r="O134" s="215"/>
      <c r="P134" s="210">
        <f t="shared" si="138"/>
        <v>0</v>
      </c>
      <c r="Q134" s="230">
        <f t="shared" si="161"/>
        <v>0</v>
      </c>
      <c r="R134" s="230">
        <f t="shared" si="144"/>
        <v>0</v>
      </c>
      <c r="S134" s="231"/>
      <c r="T134" s="232"/>
      <c r="U134" s="215"/>
      <c r="V134" s="215"/>
      <c r="W134" s="233">
        <f t="shared" si="145"/>
        <v>0</v>
      </c>
      <c r="X134" s="214"/>
      <c r="Y134" s="214"/>
      <c r="Z134" s="214"/>
      <c r="AA134" s="214"/>
      <c r="AB134" s="214"/>
      <c r="AC134" s="214"/>
      <c r="AD134" s="214"/>
      <c r="AE134" s="241">
        <f t="shared" si="146"/>
        <v>0</v>
      </c>
      <c r="AF134" s="242">
        <f t="shared" si="147"/>
        <v>0</v>
      </c>
      <c r="AG134" s="251">
        <f t="shared" si="148"/>
        <v>0</v>
      </c>
      <c r="AH134" s="247"/>
      <c r="AI134" s="252"/>
      <c r="AJ134" s="214"/>
      <c r="AK134" s="215"/>
      <c r="AL134" s="233">
        <f t="shared" si="149"/>
        <v>0</v>
      </c>
      <c r="AM134" s="255"/>
      <c r="AN134" s="214"/>
      <c r="AO134" s="214"/>
      <c r="AP134" s="214"/>
      <c r="AQ134" s="214"/>
      <c r="AR134" s="214"/>
      <c r="AS134" s="255"/>
      <c r="AT134" s="241">
        <f t="shared" si="150"/>
        <v>0</v>
      </c>
      <c r="AU134" s="242">
        <f t="shared" si="151"/>
        <v>0</v>
      </c>
      <c r="AV134" s="251">
        <f t="shared" si="152"/>
        <v>0</v>
      </c>
      <c r="AW134" s="247"/>
      <c r="AX134" s="247"/>
      <c r="AY134" s="252"/>
      <c r="AZ134" s="214"/>
      <c r="BA134" s="215"/>
      <c r="BB134" s="233">
        <f t="shared" si="153"/>
        <v>0</v>
      </c>
      <c r="BC134" s="214"/>
      <c r="BD134" s="214"/>
      <c r="BE134" s="255"/>
      <c r="BF134" s="214"/>
      <c r="BG134" s="214"/>
      <c r="BH134" s="214"/>
      <c r="BI134" s="214"/>
      <c r="BJ134" s="241">
        <f t="shared" si="154"/>
        <v>0</v>
      </c>
      <c r="BK134" s="242">
        <f t="shared" si="139"/>
        <v>0</v>
      </c>
      <c r="BL134" s="251">
        <f t="shared" si="140"/>
        <v>0</v>
      </c>
      <c r="BM134" s="252"/>
      <c r="BN134" s="252"/>
      <c r="BO134" s="13"/>
      <c r="BP134" s="215"/>
      <c r="BQ134" s="233">
        <f t="shared" si="155"/>
        <v>0</v>
      </c>
      <c r="BR134" s="214"/>
      <c r="BS134" s="214"/>
      <c r="BT134" s="214"/>
      <c r="BU134" s="214"/>
      <c r="BV134" s="215"/>
      <c r="BW134" s="215"/>
      <c r="BX134" s="215"/>
      <c r="BY134" s="241">
        <f t="shared" si="156"/>
        <v>0</v>
      </c>
      <c r="BZ134" s="242">
        <f t="shared" si="162"/>
        <v>0</v>
      </c>
      <c r="CA134" s="251">
        <f t="shared" si="157"/>
        <v>0</v>
      </c>
      <c r="CB134" s="252"/>
      <c r="CC134" s="252"/>
      <c r="CD134" s="251">
        <f t="shared" si="164"/>
        <v>0</v>
      </c>
      <c r="CE134" s="251">
        <f t="shared" si="141"/>
        <v>0</v>
      </c>
      <c r="CF134" s="251">
        <f t="shared" si="158"/>
        <v>0</v>
      </c>
      <c r="CG134" s="251">
        <f t="shared" si="159"/>
        <v>0</v>
      </c>
      <c r="CH134" s="265"/>
      <c r="CI134" s="266"/>
      <c r="CJ134" s="266"/>
      <c r="CK134" s="63"/>
      <c r="CL134" s="267"/>
      <c r="CM134" s="267"/>
      <c r="CN134" s="267"/>
    </row>
    <row r="135" spans="2:92" ht="15.75">
      <c r="B135" s="85" t="s">
        <v>223</v>
      </c>
      <c r="C135" s="86">
        <v>1012160492913</v>
      </c>
      <c r="D135" s="87" t="s">
        <v>224</v>
      </c>
      <c r="E135" s="202" t="s">
        <v>47</v>
      </c>
      <c r="F135" s="205"/>
      <c r="G135" s="213"/>
      <c r="H135" s="235">
        <f t="shared" si="163"/>
        <v>0</v>
      </c>
      <c r="I135" s="212"/>
      <c r="J135" s="212"/>
      <c r="K135" s="212"/>
      <c r="L135" s="212"/>
      <c r="M135" s="213"/>
      <c r="N135" s="213"/>
      <c r="O135" s="213"/>
      <c r="P135" s="211">
        <f t="shared" ref="P135:P176" si="166">SUM(I135:O135)</f>
        <v>0</v>
      </c>
      <c r="Q135" s="234">
        <f t="shared" si="161"/>
        <v>0</v>
      </c>
      <c r="R135" s="234">
        <f t="shared" si="144"/>
        <v>0</v>
      </c>
      <c r="S135" s="231"/>
      <c r="T135" s="232"/>
      <c r="U135" s="213"/>
      <c r="V135" s="213"/>
      <c r="W135" s="235">
        <f t="shared" si="145"/>
        <v>0</v>
      </c>
      <c r="X135" s="212"/>
      <c r="Y135" s="212"/>
      <c r="Z135" s="212"/>
      <c r="AA135" s="212"/>
      <c r="AB135" s="212"/>
      <c r="AC135" s="212"/>
      <c r="AD135" s="212"/>
      <c r="AE135" s="243">
        <f t="shared" si="146"/>
        <v>0</v>
      </c>
      <c r="AF135" s="244">
        <f t="shared" si="147"/>
        <v>0</v>
      </c>
      <c r="AG135" s="253">
        <f t="shared" si="148"/>
        <v>0</v>
      </c>
      <c r="AH135" s="247">
        <f>-1900+1900</f>
        <v>0</v>
      </c>
      <c r="AI135" s="252"/>
      <c r="AJ135" s="212"/>
      <c r="AK135" s="213"/>
      <c r="AL135" s="235">
        <f t="shared" si="149"/>
        <v>0</v>
      </c>
      <c r="AM135" s="254"/>
      <c r="AN135" s="212"/>
      <c r="AO135" s="212"/>
      <c r="AP135" s="212"/>
      <c r="AQ135" s="212"/>
      <c r="AR135" s="212"/>
      <c r="AS135" s="254"/>
      <c r="AT135" s="337">
        <f t="shared" si="150"/>
        <v>0</v>
      </c>
      <c r="AU135" s="244">
        <f t="shared" si="151"/>
        <v>0</v>
      </c>
      <c r="AV135" s="253">
        <f t="shared" si="152"/>
        <v>0</v>
      </c>
      <c r="AW135" s="247"/>
      <c r="AX135" s="247"/>
      <c r="AY135" s="252"/>
      <c r="AZ135" s="212"/>
      <c r="BA135" s="213"/>
      <c r="BB135" s="235">
        <f t="shared" si="153"/>
        <v>0</v>
      </c>
      <c r="BC135" s="212"/>
      <c r="BD135" s="212"/>
      <c r="BE135" s="254"/>
      <c r="BF135" s="212"/>
      <c r="BG135" s="212"/>
      <c r="BH135" s="212"/>
      <c r="BI135" s="212"/>
      <c r="BJ135" s="243">
        <f t="shared" si="154"/>
        <v>0</v>
      </c>
      <c r="BK135" s="244">
        <f t="shared" si="139"/>
        <v>0</v>
      </c>
      <c r="BL135" s="253">
        <f t="shared" si="140"/>
        <v>0</v>
      </c>
      <c r="BM135" s="252"/>
      <c r="BN135" s="252"/>
      <c r="BO135" s="205"/>
      <c r="BP135" s="213"/>
      <c r="BQ135" s="235">
        <f t="shared" si="155"/>
        <v>0</v>
      </c>
      <c r="BR135" s="212"/>
      <c r="BS135" s="212"/>
      <c r="BT135" s="212"/>
      <c r="BU135" s="212"/>
      <c r="BV135" s="213"/>
      <c r="BW135" s="213"/>
      <c r="BX135" s="213"/>
      <c r="BY135" s="243">
        <f t="shared" si="156"/>
        <v>0</v>
      </c>
      <c r="BZ135" s="244">
        <f t="shared" si="162"/>
        <v>0</v>
      </c>
      <c r="CA135" s="253">
        <f t="shared" si="157"/>
        <v>0</v>
      </c>
      <c r="CB135" s="328"/>
      <c r="CC135" s="252"/>
      <c r="CD135" s="253">
        <f t="shared" si="164"/>
        <v>0</v>
      </c>
      <c r="CE135" s="353">
        <f t="shared" si="141"/>
        <v>0</v>
      </c>
      <c r="CF135" s="253">
        <f t="shared" si="158"/>
        <v>0</v>
      </c>
      <c r="CG135" s="253">
        <f t="shared" si="159"/>
        <v>0</v>
      </c>
      <c r="CH135" s="265"/>
      <c r="CI135" s="266"/>
      <c r="CJ135" s="266"/>
      <c r="CK135" s="63"/>
      <c r="CL135" s="267"/>
      <c r="CM135" s="267"/>
      <c r="CN135" s="267"/>
    </row>
    <row r="136" spans="2:92" ht="15.75" hidden="1">
      <c r="B136" s="82" t="s">
        <v>225</v>
      </c>
      <c r="C136" s="83">
        <v>1012160435777</v>
      </c>
      <c r="D136" s="84" t="s">
        <v>226</v>
      </c>
      <c r="E136" s="199" t="s">
        <v>47</v>
      </c>
      <c r="F136" s="200"/>
      <c r="G136" s="200"/>
      <c r="H136" s="201">
        <f t="shared" si="143"/>
        <v>0</v>
      </c>
      <c r="I136" s="200"/>
      <c r="J136" s="200"/>
      <c r="K136" s="200"/>
      <c r="L136" s="200"/>
      <c r="M136" s="200"/>
      <c r="N136" s="200"/>
      <c r="O136" s="200"/>
      <c r="P136" s="210">
        <f t="shared" si="166"/>
        <v>0</v>
      </c>
      <c r="Q136" s="230">
        <f t="shared" si="161"/>
        <v>0</v>
      </c>
      <c r="R136" s="230">
        <f t="shared" si="144"/>
        <v>0</v>
      </c>
      <c r="S136" s="231"/>
      <c r="T136" s="232"/>
      <c r="U136" s="215"/>
      <c r="V136" s="215"/>
      <c r="W136" s="233">
        <f t="shared" si="145"/>
        <v>0</v>
      </c>
      <c r="X136" s="214"/>
      <c r="Y136" s="214"/>
      <c r="Z136" s="214"/>
      <c r="AA136" s="214"/>
      <c r="AB136" s="214"/>
      <c r="AC136" s="214"/>
      <c r="AD136" s="214"/>
      <c r="AE136" s="241">
        <f t="shared" si="146"/>
        <v>0</v>
      </c>
      <c r="AF136" s="242">
        <f t="shared" si="147"/>
        <v>0</v>
      </c>
      <c r="AG136" s="251">
        <f t="shared" si="148"/>
        <v>0</v>
      </c>
      <c r="AH136" s="247"/>
      <c r="AI136" s="252"/>
      <c r="AJ136" s="214"/>
      <c r="AK136" s="215"/>
      <c r="AL136" s="233">
        <f t="shared" si="149"/>
        <v>0</v>
      </c>
      <c r="AM136" s="255"/>
      <c r="AN136" s="214"/>
      <c r="AO136" s="214"/>
      <c r="AP136" s="214"/>
      <c r="AQ136" s="214"/>
      <c r="AR136" s="214"/>
      <c r="AS136" s="255"/>
      <c r="AT136" s="241">
        <f t="shared" si="150"/>
        <v>0</v>
      </c>
      <c r="AU136" s="242">
        <f t="shared" si="151"/>
        <v>0</v>
      </c>
      <c r="AV136" s="251">
        <f t="shared" si="152"/>
        <v>0</v>
      </c>
      <c r="AW136" s="247"/>
      <c r="AX136" s="247"/>
      <c r="AY136" s="252"/>
      <c r="AZ136" s="214"/>
      <c r="BA136" s="215"/>
      <c r="BB136" s="233">
        <f t="shared" si="153"/>
        <v>0</v>
      </c>
      <c r="BC136" s="214"/>
      <c r="BD136" s="214"/>
      <c r="BE136" s="255"/>
      <c r="BF136" s="214"/>
      <c r="BG136" s="214"/>
      <c r="BH136" s="214"/>
      <c r="BI136" s="214"/>
      <c r="BJ136" s="241">
        <f t="shared" si="154"/>
        <v>0</v>
      </c>
      <c r="BK136" s="242">
        <f t="shared" si="139"/>
        <v>0</v>
      </c>
      <c r="BL136" s="251">
        <f t="shared" si="140"/>
        <v>0</v>
      </c>
      <c r="BM136" s="252"/>
      <c r="BN136" s="252"/>
      <c r="BO136" s="13"/>
      <c r="BP136" s="215"/>
      <c r="BQ136" s="233">
        <f t="shared" si="155"/>
        <v>0</v>
      </c>
      <c r="BR136" s="214"/>
      <c r="BS136" s="214"/>
      <c r="BT136" s="214"/>
      <c r="BU136" s="214"/>
      <c r="BV136" s="215"/>
      <c r="BW136" s="215"/>
      <c r="BX136" s="215"/>
      <c r="BY136" s="241">
        <f t="shared" si="156"/>
        <v>0</v>
      </c>
      <c r="BZ136" s="242">
        <f t="shared" si="162"/>
        <v>0</v>
      </c>
      <c r="CA136" s="251">
        <f t="shared" si="157"/>
        <v>0</v>
      </c>
      <c r="CB136" s="252"/>
      <c r="CC136" s="252"/>
      <c r="CD136" s="251">
        <f t="shared" si="164"/>
        <v>0</v>
      </c>
      <c r="CE136" s="251">
        <f t="shared" si="141"/>
        <v>0</v>
      </c>
      <c r="CF136" s="251">
        <f t="shared" si="158"/>
        <v>0</v>
      </c>
      <c r="CG136" s="251">
        <f t="shared" si="159"/>
        <v>0</v>
      </c>
      <c r="CH136" s="265"/>
      <c r="CI136" s="266"/>
      <c r="CJ136" s="266"/>
      <c r="CK136" s="63"/>
      <c r="CL136" s="267"/>
      <c r="CM136" s="267"/>
      <c r="CN136" s="267"/>
    </row>
    <row r="137" spans="2:92" ht="15.75" hidden="1">
      <c r="B137" s="85" t="s">
        <v>227</v>
      </c>
      <c r="C137" s="86">
        <v>1012160435778</v>
      </c>
      <c r="D137" s="87" t="s">
        <v>228</v>
      </c>
      <c r="E137" s="202" t="s">
        <v>47</v>
      </c>
      <c r="F137" s="203"/>
      <c r="G137" s="203"/>
      <c r="H137" s="204">
        <f t="shared" si="143"/>
        <v>0</v>
      </c>
      <c r="I137" s="203"/>
      <c r="J137" s="203"/>
      <c r="K137" s="203"/>
      <c r="L137" s="203"/>
      <c r="M137" s="203"/>
      <c r="N137" s="203"/>
      <c r="O137" s="203"/>
      <c r="P137" s="211">
        <f t="shared" si="166"/>
        <v>0</v>
      </c>
      <c r="Q137" s="234">
        <f t="shared" si="161"/>
        <v>0</v>
      </c>
      <c r="R137" s="234">
        <f t="shared" si="144"/>
        <v>0</v>
      </c>
      <c r="S137" s="231"/>
      <c r="T137" s="232"/>
      <c r="U137" s="213"/>
      <c r="V137" s="213"/>
      <c r="W137" s="235">
        <f t="shared" si="145"/>
        <v>0</v>
      </c>
      <c r="X137" s="212"/>
      <c r="Y137" s="212"/>
      <c r="Z137" s="212"/>
      <c r="AA137" s="212"/>
      <c r="AB137" s="212"/>
      <c r="AC137" s="212"/>
      <c r="AD137" s="212"/>
      <c r="AE137" s="243">
        <f t="shared" si="146"/>
        <v>0</v>
      </c>
      <c r="AF137" s="244">
        <f t="shared" si="147"/>
        <v>0</v>
      </c>
      <c r="AG137" s="253">
        <f t="shared" si="148"/>
        <v>0</v>
      </c>
      <c r="AH137" s="247"/>
      <c r="AI137" s="252"/>
      <c r="AJ137" s="212"/>
      <c r="AK137" s="213"/>
      <c r="AL137" s="235">
        <f t="shared" si="149"/>
        <v>0</v>
      </c>
      <c r="AM137" s="254"/>
      <c r="AN137" s="212"/>
      <c r="AO137" s="212"/>
      <c r="AP137" s="212"/>
      <c r="AQ137" s="212"/>
      <c r="AR137" s="212"/>
      <c r="AS137" s="254"/>
      <c r="AT137" s="243">
        <f t="shared" si="150"/>
        <v>0</v>
      </c>
      <c r="AU137" s="244">
        <f t="shared" si="151"/>
        <v>0</v>
      </c>
      <c r="AV137" s="253">
        <f t="shared" si="152"/>
        <v>0</v>
      </c>
      <c r="AW137" s="247"/>
      <c r="AX137" s="247"/>
      <c r="AY137" s="252"/>
      <c r="AZ137" s="212"/>
      <c r="BA137" s="213"/>
      <c r="BB137" s="235">
        <f t="shared" si="153"/>
        <v>0</v>
      </c>
      <c r="BC137" s="212"/>
      <c r="BD137" s="212"/>
      <c r="BE137" s="254"/>
      <c r="BF137" s="212"/>
      <c r="BG137" s="212"/>
      <c r="BH137" s="212"/>
      <c r="BI137" s="212"/>
      <c r="BJ137" s="243">
        <f t="shared" si="154"/>
        <v>0</v>
      </c>
      <c r="BK137" s="244">
        <f t="shared" si="139"/>
        <v>0</v>
      </c>
      <c r="BL137" s="253">
        <f t="shared" si="140"/>
        <v>0</v>
      </c>
      <c r="BM137" s="252"/>
      <c r="BN137" s="252"/>
      <c r="BO137" s="205"/>
      <c r="BP137" s="213"/>
      <c r="BQ137" s="235">
        <f t="shared" si="155"/>
        <v>0</v>
      </c>
      <c r="BR137" s="212"/>
      <c r="BS137" s="212"/>
      <c r="BT137" s="212"/>
      <c r="BU137" s="212"/>
      <c r="BV137" s="213"/>
      <c r="BW137" s="213"/>
      <c r="BX137" s="213"/>
      <c r="BY137" s="243">
        <f t="shared" si="156"/>
        <v>0</v>
      </c>
      <c r="BZ137" s="244">
        <f t="shared" si="162"/>
        <v>0</v>
      </c>
      <c r="CA137" s="253">
        <f t="shared" si="157"/>
        <v>0</v>
      </c>
      <c r="CB137" s="328"/>
      <c r="CC137" s="252"/>
      <c r="CD137" s="253">
        <f t="shared" si="164"/>
        <v>0</v>
      </c>
      <c r="CE137" s="253">
        <f t="shared" si="141"/>
        <v>0</v>
      </c>
      <c r="CF137" s="253">
        <f t="shared" si="158"/>
        <v>0</v>
      </c>
      <c r="CG137" s="253">
        <f t="shared" si="159"/>
        <v>0</v>
      </c>
      <c r="CH137" s="265"/>
      <c r="CI137" s="266"/>
      <c r="CJ137" s="266"/>
      <c r="CK137" s="63"/>
      <c r="CL137" s="267"/>
      <c r="CM137" s="267"/>
      <c r="CN137" s="267"/>
    </row>
    <row r="138" spans="2:92" ht="15.75" hidden="1">
      <c r="B138" s="82" t="s">
        <v>229</v>
      </c>
      <c r="C138" s="83">
        <v>1012160435400</v>
      </c>
      <c r="D138" s="84" t="s">
        <v>230</v>
      </c>
      <c r="E138" s="199" t="s">
        <v>47</v>
      </c>
      <c r="F138" s="200"/>
      <c r="G138" s="200"/>
      <c r="H138" s="201">
        <f t="shared" si="143"/>
        <v>0</v>
      </c>
      <c r="I138" s="200"/>
      <c r="J138" s="200"/>
      <c r="K138" s="200"/>
      <c r="L138" s="200"/>
      <c r="M138" s="200"/>
      <c r="N138" s="200"/>
      <c r="O138" s="200"/>
      <c r="P138" s="210">
        <f t="shared" si="166"/>
        <v>0</v>
      </c>
      <c r="Q138" s="230">
        <f t="shared" si="161"/>
        <v>0</v>
      </c>
      <c r="R138" s="230">
        <f t="shared" si="144"/>
        <v>0</v>
      </c>
      <c r="S138" s="231"/>
      <c r="T138" s="232"/>
      <c r="U138" s="215"/>
      <c r="V138" s="215"/>
      <c r="W138" s="233">
        <f t="shared" si="145"/>
        <v>0</v>
      </c>
      <c r="X138" s="214"/>
      <c r="Y138" s="214"/>
      <c r="Z138" s="214"/>
      <c r="AA138" s="214"/>
      <c r="AB138" s="214"/>
      <c r="AC138" s="214"/>
      <c r="AD138" s="214"/>
      <c r="AE138" s="241">
        <f t="shared" si="146"/>
        <v>0</v>
      </c>
      <c r="AF138" s="242">
        <f t="shared" si="147"/>
        <v>0</v>
      </c>
      <c r="AG138" s="251">
        <f t="shared" si="148"/>
        <v>0</v>
      </c>
      <c r="AH138" s="247"/>
      <c r="AI138" s="252"/>
      <c r="AJ138" s="214"/>
      <c r="AK138" s="215"/>
      <c r="AL138" s="233">
        <f t="shared" si="149"/>
        <v>0</v>
      </c>
      <c r="AM138" s="255"/>
      <c r="AN138" s="214"/>
      <c r="AO138" s="214"/>
      <c r="AP138" s="214"/>
      <c r="AQ138" s="214"/>
      <c r="AR138" s="214"/>
      <c r="AS138" s="255"/>
      <c r="AT138" s="241">
        <f t="shared" si="150"/>
        <v>0</v>
      </c>
      <c r="AU138" s="242">
        <f t="shared" si="151"/>
        <v>0</v>
      </c>
      <c r="AV138" s="251">
        <f t="shared" si="152"/>
        <v>0</v>
      </c>
      <c r="AW138" s="247"/>
      <c r="AX138" s="247"/>
      <c r="AY138" s="252"/>
      <c r="AZ138" s="214"/>
      <c r="BA138" s="215"/>
      <c r="BB138" s="233">
        <f t="shared" si="153"/>
        <v>0</v>
      </c>
      <c r="BC138" s="214"/>
      <c r="BD138" s="214"/>
      <c r="BE138" s="255"/>
      <c r="BF138" s="214"/>
      <c r="BG138" s="214"/>
      <c r="BH138" s="214"/>
      <c r="BI138" s="214"/>
      <c r="BJ138" s="241">
        <f t="shared" si="154"/>
        <v>0</v>
      </c>
      <c r="BK138" s="242">
        <f t="shared" si="139"/>
        <v>0</v>
      </c>
      <c r="BL138" s="251">
        <f t="shared" si="140"/>
        <v>0</v>
      </c>
      <c r="BM138" s="252"/>
      <c r="BN138" s="252"/>
      <c r="BO138" s="13"/>
      <c r="BP138" s="215"/>
      <c r="BQ138" s="233">
        <f t="shared" si="155"/>
        <v>0</v>
      </c>
      <c r="BR138" s="214"/>
      <c r="BS138" s="214"/>
      <c r="BT138" s="214"/>
      <c r="BU138" s="214"/>
      <c r="BV138" s="215"/>
      <c r="BW138" s="215"/>
      <c r="BX138" s="215"/>
      <c r="BY138" s="241">
        <f t="shared" si="156"/>
        <v>0</v>
      </c>
      <c r="BZ138" s="242">
        <f t="shared" si="162"/>
        <v>0</v>
      </c>
      <c r="CA138" s="251">
        <f t="shared" si="157"/>
        <v>0</v>
      </c>
      <c r="CB138" s="252"/>
      <c r="CC138" s="252"/>
      <c r="CD138" s="251">
        <f t="shared" si="164"/>
        <v>0</v>
      </c>
      <c r="CE138" s="251">
        <f t="shared" si="141"/>
        <v>0</v>
      </c>
      <c r="CF138" s="251">
        <f t="shared" si="158"/>
        <v>0</v>
      </c>
      <c r="CG138" s="251">
        <f t="shared" si="159"/>
        <v>0</v>
      </c>
      <c r="CH138" s="265"/>
      <c r="CI138" s="266"/>
      <c r="CJ138" s="266"/>
      <c r="CK138" s="63"/>
      <c r="CL138" s="267"/>
      <c r="CM138" s="267"/>
      <c r="CN138" s="267"/>
    </row>
    <row r="139" spans="2:92" ht="15.75" hidden="1">
      <c r="B139" s="85" t="s">
        <v>231</v>
      </c>
      <c r="C139" s="86">
        <v>1012160457015</v>
      </c>
      <c r="D139" s="87" t="s">
        <v>232</v>
      </c>
      <c r="E139" s="202" t="s">
        <v>47</v>
      </c>
      <c r="F139" s="203"/>
      <c r="G139" s="203"/>
      <c r="H139" s="204">
        <f t="shared" si="143"/>
        <v>0</v>
      </c>
      <c r="I139" s="203"/>
      <c r="J139" s="203"/>
      <c r="K139" s="203"/>
      <c r="L139" s="203"/>
      <c r="M139" s="203"/>
      <c r="N139" s="203"/>
      <c r="O139" s="203"/>
      <c r="P139" s="211">
        <f t="shared" si="166"/>
        <v>0</v>
      </c>
      <c r="Q139" s="234">
        <f t="shared" si="161"/>
        <v>0</v>
      </c>
      <c r="R139" s="234">
        <f t="shared" si="144"/>
        <v>0</v>
      </c>
      <c r="S139" s="231"/>
      <c r="T139" s="232"/>
      <c r="U139" s="213"/>
      <c r="V139" s="213"/>
      <c r="W139" s="235">
        <f t="shared" si="145"/>
        <v>0</v>
      </c>
      <c r="X139" s="212"/>
      <c r="Y139" s="212"/>
      <c r="Z139" s="212"/>
      <c r="AA139" s="212"/>
      <c r="AB139" s="212"/>
      <c r="AC139" s="212"/>
      <c r="AD139" s="212"/>
      <c r="AE139" s="243">
        <f t="shared" si="146"/>
        <v>0</v>
      </c>
      <c r="AF139" s="244">
        <f t="shared" si="147"/>
        <v>0</v>
      </c>
      <c r="AG139" s="253">
        <f t="shared" si="148"/>
        <v>0</v>
      </c>
      <c r="AH139" s="247"/>
      <c r="AI139" s="252"/>
      <c r="AJ139" s="212"/>
      <c r="AK139" s="213"/>
      <c r="AL139" s="235">
        <f t="shared" si="149"/>
        <v>0</v>
      </c>
      <c r="AM139" s="254"/>
      <c r="AN139" s="212"/>
      <c r="AO139" s="212"/>
      <c r="AP139" s="212"/>
      <c r="AQ139" s="212"/>
      <c r="AR139" s="212"/>
      <c r="AS139" s="254"/>
      <c r="AT139" s="243">
        <f t="shared" si="150"/>
        <v>0</v>
      </c>
      <c r="AU139" s="244">
        <f t="shared" si="151"/>
        <v>0</v>
      </c>
      <c r="AV139" s="253">
        <f t="shared" si="152"/>
        <v>0</v>
      </c>
      <c r="AW139" s="247"/>
      <c r="AX139" s="247"/>
      <c r="AY139" s="252"/>
      <c r="AZ139" s="212"/>
      <c r="BA139" s="213"/>
      <c r="BB139" s="235">
        <f t="shared" si="153"/>
        <v>0</v>
      </c>
      <c r="BC139" s="212"/>
      <c r="BD139" s="212"/>
      <c r="BE139" s="254"/>
      <c r="BF139" s="212"/>
      <c r="BG139" s="212"/>
      <c r="BH139" s="212"/>
      <c r="BI139" s="212"/>
      <c r="BJ139" s="243">
        <f t="shared" si="154"/>
        <v>0</v>
      </c>
      <c r="BK139" s="244">
        <f t="shared" si="139"/>
        <v>0</v>
      </c>
      <c r="BL139" s="253">
        <f t="shared" si="140"/>
        <v>0</v>
      </c>
      <c r="BM139" s="252"/>
      <c r="BN139" s="252"/>
      <c r="BO139" s="205"/>
      <c r="BP139" s="213"/>
      <c r="BQ139" s="235">
        <f t="shared" si="155"/>
        <v>0</v>
      </c>
      <c r="BR139" s="212"/>
      <c r="BS139" s="212"/>
      <c r="BT139" s="212"/>
      <c r="BU139" s="212"/>
      <c r="BV139" s="213"/>
      <c r="BW139" s="213"/>
      <c r="BX139" s="213"/>
      <c r="BY139" s="243">
        <f t="shared" si="156"/>
        <v>0</v>
      </c>
      <c r="BZ139" s="244">
        <f t="shared" si="162"/>
        <v>0</v>
      </c>
      <c r="CA139" s="253">
        <f t="shared" si="157"/>
        <v>0</v>
      </c>
      <c r="CB139" s="328"/>
      <c r="CC139" s="252"/>
      <c r="CD139" s="253">
        <f t="shared" si="164"/>
        <v>0</v>
      </c>
      <c r="CE139" s="253">
        <f t="shared" si="141"/>
        <v>0</v>
      </c>
      <c r="CF139" s="253">
        <f t="shared" si="158"/>
        <v>0</v>
      </c>
      <c r="CG139" s="253">
        <f t="shared" si="159"/>
        <v>0</v>
      </c>
      <c r="CH139" s="265"/>
      <c r="CI139" s="266"/>
      <c r="CJ139" s="266"/>
      <c r="CK139" s="63"/>
      <c r="CL139" s="267">
        <f t="shared" si="142"/>
        <v>0</v>
      </c>
      <c r="CM139" s="267">
        <f t="shared" ref="CM139:CM154" si="167">CD139/CD$177</f>
        <v>0</v>
      </c>
      <c r="CN139" s="267">
        <f t="shared" si="160"/>
        <v>0</v>
      </c>
    </row>
    <row r="140" spans="2:92" ht="15.75" hidden="1">
      <c r="B140" s="82" t="s">
        <v>233</v>
      </c>
      <c r="C140" s="83">
        <v>1012160457017</v>
      </c>
      <c r="D140" s="84" t="s">
        <v>234</v>
      </c>
      <c r="E140" s="199" t="s">
        <v>47</v>
      </c>
      <c r="F140" s="200"/>
      <c r="G140" s="200"/>
      <c r="H140" s="201">
        <f t="shared" si="143"/>
        <v>0</v>
      </c>
      <c r="I140" s="200"/>
      <c r="J140" s="200"/>
      <c r="K140" s="200"/>
      <c r="L140" s="200"/>
      <c r="M140" s="200"/>
      <c r="N140" s="200"/>
      <c r="O140" s="200"/>
      <c r="P140" s="210">
        <f t="shared" si="166"/>
        <v>0</v>
      </c>
      <c r="Q140" s="230">
        <f t="shared" si="161"/>
        <v>0</v>
      </c>
      <c r="R140" s="230">
        <f t="shared" si="144"/>
        <v>0</v>
      </c>
      <c r="S140" s="231"/>
      <c r="T140" s="232"/>
      <c r="U140" s="215"/>
      <c r="V140" s="215"/>
      <c r="W140" s="233">
        <f t="shared" si="145"/>
        <v>0</v>
      </c>
      <c r="X140" s="214"/>
      <c r="Y140" s="214"/>
      <c r="Z140" s="214"/>
      <c r="AA140" s="214"/>
      <c r="AB140" s="214"/>
      <c r="AC140" s="214"/>
      <c r="AD140" s="214"/>
      <c r="AE140" s="241">
        <f t="shared" si="146"/>
        <v>0</v>
      </c>
      <c r="AF140" s="242">
        <f t="shared" si="147"/>
        <v>0</v>
      </c>
      <c r="AG140" s="251">
        <f t="shared" si="148"/>
        <v>0</v>
      </c>
      <c r="AH140" s="247"/>
      <c r="AI140" s="252"/>
      <c r="AJ140" s="214"/>
      <c r="AK140" s="215"/>
      <c r="AL140" s="233">
        <f t="shared" si="149"/>
        <v>0</v>
      </c>
      <c r="AM140" s="255"/>
      <c r="AN140" s="214"/>
      <c r="AO140" s="214"/>
      <c r="AP140" s="214"/>
      <c r="AQ140" s="214"/>
      <c r="AR140" s="214"/>
      <c r="AS140" s="255"/>
      <c r="AT140" s="241">
        <f t="shared" si="150"/>
        <v>0</v>
      </c>
      <c r="AU140" s="242">
        <f t="shared" si="151"/>
        <v>0</v>
      </c>
      <c r="AV140" s="251">
        <f t="shared" si="152"/>
        <v>0</v>
      </c>
      <c r="AW140" s="247"/>
      <c r="AX140" s="247"/>
      <c r="AY140" s="252"/>
      <c r="AZ140" s="214"/>
      <c r="BA140" s="215"/>
      <c r="BB140" s="233">
        <f t="shared" si="153"/>
        <v>0</v>
      </c>
      <c r="BC140" s="214"/>
      <c r="BD140" s="214"/>
      <c r="BE140" s="255"/>
      <c r="BF140" s="214"/>
      <c r="BG140" s="214"/>
      <c r="BH140" s="214"/>
      <c r="BI140" s="214"/>
      <c r="BJ140" s="241">
        <f t="shared" si="154"/>
        <v>0</v>
      </c>
      <c r="BK140" s="242">
        <f t="shared" si="139"/>
        <v>0</v>
      </c>
      <c r="BL140" s="251">
        <f t="shared" si="140"/>
        <v>0</v>
      </c>
      <c r="BM140" s="252"/>
      <c r="BN140" s="252"/>
      <c r="BO140" s="13"/>
      <c r="BP140" s="215"/>
      <c r="BQ140" s="233">
        <f t="shared" si="155"/>
        <v>0</v>
      </c>
      <c r="BR140" s="214"/>
      <c r="BS140" s="214"/>
      <c r="BT140" s="214"/>
      <c r="BU140" s="214"/>
      <c r="BV140" s="215"/>
      <c r="BW140" s="215"/>
      <c r="BX140" s="215"/>
      <c r="BY140" s="241">
        <f t="shared" si="156"/>
        <v>0</v>
      </c>
      <c r="BZ140" s="242">
        <f t="shared" si="162"/>
        <v>0</v>
      </c>
      <c r="CA140" s="251">
        <f t="shared" si="157"/>
        <v>0</v>
      </c>
      <c r="CB140" s="252"/>
      <c r="CC140" s="252"/>
      <c r="CD140" s="251">
        <f t="shared" si="164"/>
        <v>0</v>
      </c>
      <c r="CE140" s="251">
        <f t="shared" si="141"/>
        <v>0</v>
      </c>
      <c r="CF140" s="251">
        <f t="shared" si="158"/>
        <v>0</v>
      </c>
      <c r="CG140" s="251">
        <f t="shared" si="159"/>
        <v>0</v>
      </c>
      <c r="CH140" s="265"/>
      <c r="CI140" s="266"/>
      <c r="CJ140" s="266"/>
      <c r="CK140" s="63"/>
      <c r="CL140" s="267">
        <f t="shared" si="142"/>
        <v>0</v>
      </c>
      <c r="CM140" s="267">
        <f t="shared" si="167"/>
        <v>0</v>
      </c>
      <c r="CN140" s="267">
        <f t="shared" si="160"/>
        <v>0</v>
      </c>
    </row>
    <row r="141" spans="2:92" ht="15.75" hidden="1">
      <c r="B141" s="85" t="s">
        <v>235</v>
      </c>
      <c r="C141" s="86">
        <v>1012160457019</v>
      </c>
      <c r="D141" s="87" t="s">
        <v>236</v>
      </c>
      <c r="E141" s="202" t="s">
        <v>47</v>
      </c>
      <c r="F141" s="203"/>
      <c r="G141" s="203"/>
      <c r="H141" s="204">
        <f t="shared" si="143"/>
        <v>0</v>
      </c>
      <c r="I141" s="203"/>
      <c r="J141" s="203"/>
      <c r="K141" s="203"/>
      <c r="L141" s="203"/>
      <c r="M141" s="203"/>
      <c r="N141" s="203"/>
      <c r="O141" s="203"/>
      <c r="P141" s="211">
        <f t="shared" si="166"/>
        <v>0</v>
      </c>
      <c r="Q141" s="234">
        <f t="shared" si="161"/>
        <v>0</v>
      </c>
      <c r="R141" s="234">
        <f t="shared" si="144"/>
        <v>0</v>
      </c>
      <c r="S141" s="231"/>
      <c r="T141" s="232"/>
      <c r="U141" s="213"/>
      <c r="V141" s="213"/>
      <c r="W141" s="235">
        <f t="shared" si="145"/>
        <v>0</v>
      </c>
      <c r="X141" s="212"/>
      <c r="Y141" s="212"/>
      <c r="Z141" s="212"/>
      <c r="AA141" s="212"/>
      <c r="AB141" s="212"/>
      <c r="AC141" s="212"/>
      <c r="AD141" s="212"/>
      <c r="AE141" s="243">
        <f t="shared" si="146"/>
        <v>0</v>
      </c>
      <c r="AF141" s="244">
        <f t="shared" si="147"/>
        <v>0</v>
      </c>
      <c r="AG141" s="253">
        <f t="shared" si="148"/>
        <v>0</v>
      </c>
      <c r="AH141" s="247"/>
      <c r="AI141" s="252"/>
      <c r="AJ141" s="212"/>
      <c r="AK141" s="213"/>
      <c r="AL141" s="235">
        <f t="shared" si="149"/>
        <v>0</v>
      </c>
      <c r="AM141" s="254"/>
      <c r="AN141" s="212"/>
      <c r="AO141" s="212"/>
      <c r="AP141" s="212"/>
      <c r="AQ141" s="212"/>
      <c r="AR141" s="212"/>
      <c r="AS141" s="254"/>
      <c r="AT141" s="243">
        <f t="shared" si="150"/>
        <v>0</v>
      </c>
      <c r="AU141" s="244">
        <f t="shared" si="151"/>
        <v>0</v>
      </c>
      <c r="AV141" s="253">
        <f t="shared" si="152"/>
        <v>0</v>
      </c>
      <c r="AW141" s="247"/>
      <c r="AX141" s="247"/>
      <c r="AY141" s="252"/>
      <c r="AZ141" s="212"/>
      <c r="BA141" s="213"/>
      <c r="BB141" s="235">
        <f t="shared" si="153"/>
        <v>0</v>
      </c>
      <c r="BC141" s="212"/>
      <c r="BD141" s="212"/>
      <c r="BE141" s="254"/>
      <c r="BF141" s="212"/>
      <c r="BG141" s="212"/>
      <c r="BH141" s="212"/>
      <c r="BI141" s="212"/>
      <c r="BJ141" s="243">
        <f t="shared" si="154"/>
        <v>0</v>
      </c>
      <c r="BK141" s="244">
        <f t="shared" ref="BK141:BK176" si="168">IF((BJ141-BB141)&lt;0,(BJ141-BB141),0)</f>
        <v>0</v>
      </c>
      <c r="BL141" s="253">
        <f t="shared" ref="BL141:BL176" si="169">IF((BJ141-BB141)&gt;0,(BJ141-BB141),0)</f>
        <v>0</v>
      </c>
      <c r="BM141" s="252"/>
      <c r="BN141" s="252"/>
      <c r="BO141" s="205"/>
      <c r="BP141" s="213"/>
      <c r="BQ141" s="235">
        <f t="shared" si="155"/>
        <v>0</v>
      </c>
      <c r="BR141" s="212"/>
      <c r="BS141" s="212"/>
      <c r="BT141" s="212"/>
      <c r="BU141" s="212"/>
      <c r="BV141" s="213"/>
      <c r="BW141" s="213"/>
      <c r="BX141" s="213"/>
      <c r="BY141" s="243">
        <f t="shared" si="156"/>
        <v>0</v>
      </c>
      <c r="BZ141" s="244">
        <f t="shared" si="162"/>
        <v>0</v>
      </c>
      <c r="CA141" s="253">
        <f t="shared" si="157"/>
        <v>0</v>
      </c>
      <c r="CB141" s="328"/>
      <c r="CC141" s="252"/>
      <c r="CD141" s="253">
        <f t="shared" si="164"/>
        <v>0</v>
      </c>
      <c r="CE141" s="253">
        <f t="shared" ref="CE141:CE170" si="170">+P141+AE141+AT141+BJ141+BY141+CC141</f>
        <v>0</v>
      </c>
      <c r="CF141" s="253">
        <f t="shared" si="158"/>
        <v>0</v>
      </c>
      <c r="CG141" s="253">
        <f t="shared" si="159"/>
        <v>0</v>
      </c>
      <c r="CH141" s="265"/>
      <c r="CI141" s="266"/>
      <c r="CJ141" s="266"/>
      <c r="CK141" s="63"/>
      <c r="CL141" s="267">
        <f t="shared" si="142"/>
        <v>0</v>
      </c>
      <c r="CM141" s="267">
        <f t="shared" si="167"/>
        <v>0</v>
      </c>
      <c r="CN141" s="267">
        <f t="shared" si="160"/>
        <v>0</v>
      </c>
    </row>
    <row r="142" spans="2:92" ht="15.75" hidden="1">
      <c r="B142" s="82" t="s">
        <v>237</v>
      </c>
      <c r="C142" s="83">
        <v>1012160456287</v>
      </c>
      <c r="D142" s="84" t="s">
        <v>238</v>
      </c>
      <c r="E142" s="199" t="s">
        <v>47</v>
      </c>
      <c r="F142" s="200"/>
      <c r="G142" s="200"/>
      <c r="H142" s="201">
        <f t="shared" ref="H142:H176" si="171">+F142+G142</f>
        <v>0</v>
      </c>
      <c r="I142" s="200"/>
      <c r="J142" s="200"/>
      <c r="K142" s="200"/>
      <c r="L142" s="200"/>
      <c r="M142" s="200"/>
      <c r="N142" s="200"/>
      <c r="O142" s="200"/>
      <c r="P142" s="210">
        <f t="shared" si="166"/>
        <v>0</v>
      </c>
      <c r="Q142" s="230">
        <f t="shared" si="161"/>
        <v>0</v>
      </c>
      <c r="R142" s="230">
        <f t="shared" ref="R142:R176" si="172">IF((P142-H142)&gt;0,(P142-H142),0)</f>
        <v>0</v>
      </c>
      <c r="S142" s="231"/>
      <c r="T142" s="232"/>
      <c r="U142" s="215"/>
      <c r="V142" s="215"/>
      <c r="W142" s="233">
        <f t="shared" ref="W142:W176" si="173">+U142+V142</f>
        <v>0</v>
      </c>
      <c r="X142" s="214"/>
      <c r="Y142" s="214"/>
      <c r="Z142" s="214"/>
      <c r="AA142" s="214"/>
      <c r="AB142" s="214"/>
      <c r="AC142" s="214"/>
      <c r="AD142" s="214"/>
      <c r="AE142" s="241">
        <f t="shared" ref="AE142:AE176" si="174">SUM(X142:AD142)</f>
        <v>0</v>
      </c>
      <c r="AF142" s="242">
        <f t="shared" ref="AF142:AF176" si="175">IF((AE142-W142)&lt;0,(AE142-W142),0)</f>
        <v>0</v>
      </c>
      <c r="AG142" s="251">
        <f t="shared" ref="AG142:AG176" si="176">IF((AE142-W142)&gt;0,(AE142-W142),0)</f>
        <v>0</v>
      </c>
      <c r="AH142" s="247"/>
      <c r="AI142" s="252"/>
      <c r="AJ142" s="214"/>
      <c r="AK142" s="215"/>
      <c r="AL142" s="233">
        <f t="shared" ref="AL142:AL176" si="177">+AJ142+AK142</f>
        <v>0</v>
      </c>
      <c r="AM142" s="255"/>
      <c r="AN142" s="214"/>
      <c r="AO142" s="214"/>
      <c r="AP142" s="214"/>
      <c r="AQ142" s="214"/>
      <c r="AR142" s="214"/>
      <c r="AS142" s="255"/>
      <c r="AT142" s="241">
        <f t="shared" ref="AT142:AT176" si="178">SUM(AM142:AS142)</f>
        <v>0</v>
      </c>
      <c r="AU142" s="242">
        <f t="shared" ref="AU142:AU176" si="179">IF((AT142-AL142)&lt;0,(AT142-AL142),0)</f>
        <v>0</v>
      </c>
      <c r="AV142" s="251">
        <f t="shared" ref="AV142:AV176" si="180">IF((AT142-AL142)&gt;0,(AT142-AL142),0)</f>
        <v>0</v>
      </c>
      <c r="AW142" s="247"/>
      <c r="AX142" s="247"/>
      <c r="AY142" s="252"/>
      <c r="AZ142" s="214"/>
      <c r="BA142" s="215"/>
      <c r="BB142" s="233">
        <f t="shared" ref="BB142:BB176" si="181">AZ142+BA142</f>
        <v>0</v>
      </c>
      <c r="BC142" s="214"/>
      <c r="BD142" s="214"/>
      <c r="BE142" s="255"/>
      <c r="BF142" s="214"/>
      <c r="BG142" s="214"/>
      <c r="BH142" s="214"/>
      <c r="BI142" s="214"/>
      <c r="BJ142" s="241">
        <f t="shared" ref="BJ142:BJ176" si="182">SUM(BC142:BI142)</f>
        <v>0</v>
      </c>
      <c r="BK142" s="242">
        <f t="shared" si="168"/>
        <v>0</v>
      </c>
      <c r="BL142" s="251">
        <f t="shared" si="169"/>
        <v>0</v>
      </c>
      <c r="BM142" s="252"/>
      <c r="BN142" s="252"/>
      <c r="BO142" s="13"/>
      <c r="BP142" s="215"/>
      <c r="BQ142" s="233">
        <f t="shared" ref="BQ142:BQ176" si="183">+BO142-BP142</f>
        <v>0</v>
      </c>
      <c r="BR142" s="214"/>
      <c r="BS142" s="214"/>
      <c r="BT142" s="214"/>
      <c r="BU142" s="214"/>
      <c r="BV142" s="215"/>
      <c r="BW142" s="215"/>
      <c r="BX142" s="215"/>
      <c r="BY142" s="241">
        <f t="shared" ref="BY142:BY176" si="184">SUM(BR142:BX142)</f>
        <v>0</v>
      </c>
      <c r="BZ142" s="242">
        <f t="shared" si="162"/>
        <v>0</v>
      </c>
      <c r="CA142" s="251">
        <f t="shared" ref="CA142:CA176" si="185">IF((BY142-BQ142)&gt;0,(BY142-BQ142),0)</f>
        <v>0</v>
      </c>
      <c r="CB142" s="252"/>
      <c r="CC142" s="252"/>
      <c r="CD142" s="251">
        <f t="shared" si="164"/>
        <v>0</v>
      </c>
      <c r="CE142" s="251">
        <f t="shared" si="170"/>
        <v>0</v>
      </c>
      <c r="CF142" s="251">
        <f t="shared" ref="CF142:CF176" si="186">IF((CE142-CD142)&lt;0,(CE142-CD142),0)</f>
        <v>0</v>
      </c>
      <c r="CG142" s="251">
        <f t="shared" ref="CG142:CG176" si="187">IF((CE142-CD142)&gt;0,(CE142-CD142),0)</f>
        <v>0</v>
      </c>
      <c r="CH142" s="265"/>
      <c r="CI142" s="266"/>
      <c r="CJ142" s="266"/>
      <c r="CK142" s="63"/>
      <c r="CL142" s="267">
        <f t="shared" si="142"/>
        <v>0</v>
      </c>
      <c r="CM142" s="267">
        <f t="shared" si="167"/>
        <v>0</v>
      </c>
      <c r="CN142" s="267">
        <f t="shared" si="160"/>
        <v>0</v>
      </c>
    </row>
    <row r="143" spans="2:92" ht="15.75" hidden="1">
      <c r="B143" s="85" t="s">
        <v>239</v>
      </c>
      <c r="C143" s="86">
        <v>1012160457011</v>
      </c>
      <c r="D143" s="87" t="s">
        <v>240</v>
      </c>
      <c r="E143" s="202" t="s">
        <v>47</v>
      </c>
      <c r="F143" s="203"/>
      <c r="G143" s="203"/>
      <c r="H143" s="204">
        <f t="shared" si="171"/>
        <v>0</v>
      </c>
      <c r="I143" s="203"/>
      <c r="J143" s="203"/>
      <c r="K143" s="203"/>
      <c r="L143" s="203"/>
      <c r="M143" s="203"/>
      <c r="N143" s="203"/>
      <c r="O143" s="203"/>
      <c r="P143" s="211">
        <f t="shared" si="166"/>
        <v>0</v>
      </c>
      <c r="Q143" s="234">
        <f t="shared" si="161"/>
        <v>0</v>
      </c>
      <c r="R143" s="234">
        <f t="shared" si="172"/>
        <v>0</v>
      </c>
      <c r="S143" s="231"/>
      <c r="T143" s="232"/>
      <c r="U143" s="213"/>
      <c r="V143" s="213"/>
      <c r="W143" s="235">
        <f t="shared" si="173"/>
        <v>0</v>
      </c>
      <c r="X143" s="212"/>
      <c r="Y143" s="212"/>
      <c r="Z143" s="212"/>
      <c r="AA143" s="212"/>
      <c r="AB143" s="212"/>
      <c r="AC143" s="212"/>
      <c r="AD143" s="212"/>
      <c r="AE143" s="243">
        <f t="shared" si="174"/>
        <v>0</v>
      </c>
      <c r="AF143" s="244">
        <f t="shared" si="175"/>
        <v>0</v>
      </c>
      <c r="AG143" s="253">
        <f t="shared" si="176"/>
        <v>0</v>
      </c>
      <c r="AH143" s="247"/>
      <c r="AI143" s="252"/>
      <c r="AJ143" s="212"/>
      <c r="AK143" s="213"/>
      <c r="AL143" s="235">
        <f t="shared" si="177"/>
        <v>0</v>
      </c>
      <c r="AM143" s="254"/>
      <c r="AN143" s="212"/>
      <c r="AO143" s="212"/>
      <c r="AP143" s="212"/>
      <c r="AQ143" s="212"/>
      <c r="AR143" s="212"/>
      <c r="AS143" s="254"/>
      <c r="AT143" s="243">
        <f t="shared" si="178"/>
        <v>0</v>
      </c>
      <c r="AU143" s="244">
        <f t="shared" si="179"/>
        <v>0</v>
      </c>
      <c r="AV143" s="253">
        <f t="shared" si="180"/>
        <v>0</v>
      </c>
      <c r="AW143" s="247"/>
      <c r="AX143" s="247"/>
      <c r="AY143" s="252"/>
      <c r="AZ143" s="212"/>
      <c r="BA143" s="213"/>
      <c r="BB143" s="235">
        <f t="shared" si="181"/>
        <v>0</v>
      </c>
      <c r="BC143" s="212"/>
      <c r="BD143" s="212"/>
      <c r="BE143" s="254"/>
      <c r="BF143" s="212"/>
      <c r="BG143" s="212"/>
      <c r="BH143" s="212"/>
      <c r="BI143" s="212"/>
      <c r="BJ143" s="243">
        <f t="shared" si="182"/>
        <v>0</v>
      </c>
      <c r="BK143" s="244">
        <f t="shared" si="168"/>
        <v>0</v>
      </c>
      <c r="BL143" s="253">
        <f t="shared" si="169"/>
        <v>0</v>
      </c>
      <c r="BM143" s="252"/>
      <c r="BN143" s="252"/>
      <c r="BO143" s="205"/>
      <c r="BP143" s="213"/>
      <c r="BQ143" s="235">
        <f t="shared" si="183"/>
        <v>0</v>
      </c>
      <c r="BR143" s="212"/>
      <c r="BS143" s="212"/>
      <c r="BT143" s="212"/>
      <c r="BU143" s="212"/>
      <c r="BV143" s="213"/>
      <c r="BW143" s="213"/>
      <c r="BX143" s="213"/>
      <c r="BY143" s="243">
        <f t="shared" si="184"/>
        <v>0</v>
      </c>
      <c r="BZ143" s="244">
        <f t="shared" ref="BZ143:BZ176" si="188">IF((BY143-BQ143)&lt;0,(BY143-BQ143),0)</f>
        <v>0</v>
      </c>
      <c r="CA143" s="253">
        <f t="shared" si="185"/>
        <v>0</v>
      </c>
      <c r="CB143" s="328"/>
      <c r="CC143" s="252"/>
      <c r="CD143" s="253">
        <f t="shared" si="164"/>
        <v>0</v>
      </c>
      <c r="CE143" s="253">
        <f t="shared" si="170"/>
        <v>0</v>
      </c>
      <c r="CF143" s="253">
        <f t="shared" si="186"/>
        <v>0</v>
      </c>
      <c r="CG143" s="253">
        <f t="shared" si="187"/>
        <v>0</v>
      </c>
      <c r="CH143" s="265"/>
      <c r="CI143" s="266"/>
      <c r="CJ143" s="266"/>
      <c r="CK143" s="63"/>
      <c r="CL143" s="267">
        <f t="shared" si="142"/>
        <v>0</v>
      </c>
      <c r="CM143" s="267">
        <f t="shared" si="167"/>
        <v>0</v>
      </c>
      <c r="CN143" s="267">
        <f t="shared" si="160"/>
        <v>0</v>
      </c>
    </row>
    <row r="144" spans="2:92" ht="15.75" hidden="1">
      <c r="B144" s="82" t="s">
        <v>241</v>
      </c>
      <c r="C144" s="83">
        <v>1012160435779</v>
      </c>
      <c r="D144" s="84" t="s">
        <v>242</v>
      </c>
      <c r="E144" s="199" t="s">
        <v>47</v>
      </c>
      <c r="F144" s="200"/>
      <c r="G144" s="200"/>
      <c r="H144" s="201">
        <f t="shared" si="171"/>
        <v>0</v>
      </c>
      <c r="I144" s="200"/>
      <c r="J144" s="200"/>
      <c r="K144" s="200"/>
      <c r="L144" s="200"/>
      <c r="M144" s="200"/>
      <c r="N144" s="200"/>
      <c r="O144" s="200"/>
      <c r="P144" s="210">
        <f t="shared" si="166"/>
        <v>0</v>
      </c>
      <c r="Q144" s="230">
        <f t="shared" ref="Q144:Q176" si="189">IF((P144-H144)&lt;0,(P144-H144),0)</f>
        <v>0</v>
      </c>
      <c r="R144" s="230">
        <f t="shared" si="172"/>
        <v>0</v>
      </c>
      <c r="S144" s="231"/>
      <c r="T144" s="232"/>
      <c r="U144" s="215"/>
      <c r="V144" s="215"/>
      <c r="W144" s="233">
        <f t="shared" si="173"/>
        <v>0</v>
      </c>
      <c r="X144" s="214"/>
      <c r="Y144" s="214"/>
      <c r="Z144" s="214"/>
      <c r="AA144" s="214"/>
      <c r="AB144" s="214"/>
      <c r="AC144" s="214"/>
      <c r="AD144" s="214"/>
      <c r="AE144" s="241">
        <f t="shared" si="174"/>
        <v>0</v>
      </c>
      <c r="AF144" s="242">
        <f t="shared" si="175"/>
        <v>0</v>
      </c>
      <c r="AG144" s="251">
        <f t="shared" si="176"/>
        <v>0</v>
      </c>
      <c r="AH144" s="247"/>
      <c r="AI144" s="252"/>
      <c r="AJ144" s="214"/>
      <c r="AK144" s="215"/>
      <c r="AL144" s="233">
        <f t="shared" si="177"/>
        <v>0</v>
      </c>
      <c r="AM144" s="255"/>
      <c r="AN144" s="214"/>
      <c r="AO144" s="214"/>
      <c r="AP144" s="214"/>
      <c r="AQ144" s="214"/>
      <c r="AR144" s="214"/>
      <c r="AS144" s="255"/>
      <c r="AT144" s="241">
        <f t="shared" si="178"/>
        <v>0</v>
      </c>
      <c r="AU144" s="242">
        <f t="shared" si="179"/>
        <v>0</v>
      </c>
      <c r="AV144" s="251">
        <f t="shared" si="180"/>
        <v>0</v>
      </c>
      <c r="AW144" s="247"/>
      <c r="AX144" s="247"/>
      <c r="AY144" s="252"/>
      <c r="AZ144" s="214"/>
      <c r="BA144" s="215"/>
      <c r="BB144" s="233">
        <f t="shared" si="181"/>
        <v>0</v>
      </c>
      <c r="BC144" s="214"/>
      <c r="BD144" s="214"/>
      <c r="BE144" s="255"/>
      <c r="BF144" s="214"/>
      <c r="BG144" s="214"/>
      <c r="BH144" s="214"/>
      <c r="BI144" s="214"/>
      <c r="BJ144" s="241">
        <f t="shared" si="182"/>
        <v>0</v>
      </c>
      <c r="BK144" s="242">
        <f t="shared" si="168"/>
        <v>0</v>
      </c>
      <c r="BL144" s="251">
        <f t="shared" si="169"/>
        <v>0</v>
      </c>
      <c r="BM144" s="252"/>
      <c r="BN144" s="252"/>
      <c r="BO144" s="13"/>
      <c r="BP144" s="215"/>
      <c r="BQ144" s="233">
        <f t="shared" si="183"/>
        <v>0</v>
      </c>
      <c r="BR144" s="214"/>
      <c r="BS144" s="214"/>
      <c r="BT144" s="214"/>
      <c r="BU144" s="214"/>
      <c r="BV144" s="215"/>
      <c r="BW144" s="215"/>
      <c r="BX144" s="215"/>
      <c r="BY144" s="241">
        <f t="shared" si="184"/>
        <v>0</v>
      </c>
      <c r="BZ144" s="242">
        <f t="shared" si="188"/>
        <v>0</v>
      </c>
      <c r="CA144" s="251">
        <f t="shared" si="185"/>
        <v>0</v>
      </c>
      <c r="CB144" s="252"/>
      <c r="CC144" s="252"/>
      <c r="CD144" s="251">
        <f t="shared" si="164"/>
        <v>0</v>
      </c>
      <c r="CE144" s="251">
        <f t="shared" si="170"/>
        <v>0</v>
      </c>
      <c r="CF144" s="251">
        <f t="shared" si="186"/>
        <v>0</v>
      </c>
      <c r="CG144" s="251">
        <f t="shared" si="187"/>
        <v>0</v>
      </c>
      <c r="CH144" s="265"/>
      <c r="CI144" s="266"/>
      <c r="CJ144" s="266"/>
      <c r="CK144" s="63"/>
      <c r="CL144" s="267">
        <f t="shared" si="142"/>
        <v>0</v>
      </c>
      <c r="CM144" s="267">
        <f t="shared" si="167"/>
        <v>0</v>
      </c>
      <c r="CN144" s="267">
        <f t="shared" si="160"/>
        <v>0</v>
      </c>
    </row>
    <row r="145" spans="2:92" ht="15.75" hidden="1">
      <c r="B145" s="85" t="s">
        <v>243</v>
      </c>
      <c r="C145" s="86">
        <v>1012160438110</v>
      </c>
      <c r="D145" s="87" t="s">
        <v>244</v>
      </c>
      <c r="E145" s="202" t="s">
        <v>47</v>
      </c>
      <c r="F145" s="203"/>
      <c r="G145" s="203"/>
      <c r="H145" s="204">
        <f t="shared" si="171"/>
        <v>0</v>
      </c>
      <c r="I145" s="203"/>
      <c r="J145" s="203"/>
      <c r="K145" s="203"/>
      <c r="L145" s="203"/>
      <c r="M145" s="203"/>
      <c r="N145" s="203"/>
      <c r="O145" s="203"/>
      <c r="P145" s="211">
        <f t="shared" si="166"/>
        <v>0</v>
      </c>
      <c r="Q145" s="234">
        <f t="shared" si="189"/>
        <v>0</v>
      </c>
      <c r="R145" s="234">
        <f t="shared" si="172"/>
        <v>0</v>
      </c>
      <c r="S145" s="231"/>
      <c r="T145" s="232"/>
      <c r="U145" s="213"/>
      <c r="V145" s="213"/>
      <c r="W145" s="235">
        <f t="shared" si="173"/>
        <v>0</v>
      </c>
      <c r="X145" s="212"/>
      <c r="Y145" s="212"/>
      <c r="Z145" s="212"/>
      <c r="AA145" s="212"/>
      <c r="AB145" s="212"/>
      <c r="AC145" s="212"/>
      <c r="AD145" s="212"/>
      <c r="AE145" s="243">
        <f t="shared" si="174"/>
        <v>0</v>
      </c>
      <c r="AF145" s="244">
        <f t="shared" si="175"/>
        <v>0</v>
      </c>
      <c r="AG145" s="253">
        <f t="shared" si="176"/>
        <v>0</v>
      </c>
      <c r="AH145" s="247"/>
      <c r="AI145" s="252"/>
      <c r="AJ145" s="212"/>
      <c r="AK145" s="213"/>
      <c r="AL145" s="235">
        <f t="shared" si="177"/>
        <v>0</v>
      </c>
      <c r="AM145" s="254"/>
      <c r="AN145" s="212"/>
      <c r="AO145" s="212"/>
      <c r="AP145" s="212"/>
      <c r="AQ145" s="212"/>
      <c r="AR145" s="212"/>
      <c r="AS145" s="254"/>
      <c r="AT145" s="243">
        <f t="shared" si="178"/>
        <v>0</v>
      </c>
      <c r="AU145" s="244">
        <f t="shared" si="179"/>
        <v>0</v>
      </c>
      <c r="AV145" s="253">
        <f t="shared" si="180"/>
        <v>0</v>
      </c>
      <c r="AW145" s="247"/>
      <c r="AX145" s="247"/>
      <c r="AY145" s="252"/>
      <c r="AZ145" s="212"/>
      <c r="BA145" s="213"/>
      <c r="BB145" s="235">
        <f t="shared" si="181"/>
        <v>0</v>
      </c>
      <c r="BC145" s="212"/>
      <c r="BD145" s="212"/>
      <c r="BE145" s="254"/>
      <c r="BF145" s="212"/>
      <c r="BG145" s="212"/>
      <c r="BH145" s="212"/>
      <c r="BI145" s="212"/>
      <c r="BJ145" s="243">
        <f t="shared" si="182"/>
        <v>0</v>
      </c>
      <c r="BK145" s="244">
        <f t="shared" si="168"/>
        <v>0</v>
      </c>
      <c r="BL145" s="253">
        <f t="shared" si="169"/>
        <v>0</v>
      </c>
      <c r="BM145" s="252"/>
      <c r="BN145" s="252"/>
      <c r="BO145" s="205"/>
      <c r="BP145" s="213"/>
      <c r="BQ145" s="235">
        <f t="shared" si="183"/>
        <v>0</v>
      </c>
      <c r="BR145" s="212"/>
      <c r="BS145" s="212"/>
      <c r="BT145" s="212"/>
      <c r="BU145" s="212"/>
      <c r="BV145" s="213"/>
      <c r="BW145" s="213"/>
      <c r="BX145" s="213"/>
      <c r="BY145" s="243">
        <f t="shared" si="184"/>
        <v>0</v>
      </c>
      <c r="BZ145" s="244">
        <f t="shared" si="188"/>
        <v>0</v>
      </c>
      <c r="CA145" s="253">
        <f t="shared" si="185"/>
        <v>0</v>
      </c>
      <c r="CB145" s="328"/>
      <c r="CC145" s="252"/>
      <c r="CD145" s="253">
        <f t="shared" si="164"/>
        <v>0</v>
      </c>
      <c r="CE145" s="253">
        <f t="shared" si="170"/>
        <v>0</v>
      </c>
      <c r="CF145" s="253">
        <f t="shared" si="186"/>
        <v>0</v>
      </c>
      <c r="CG145" s="253">
        <f t="shared" si="187"/>
        <v>0</v>
      </c>
      <c r="CH145" s="265"/>
      <c r="CI145" s="266"/>
      <c r="CJ145" s="266"/>
      <c r="CK145" s="63"/>
      <c r="CL145" s="267">
        <f t="shared" si="142"/>
        <v>0</v>
      </c>
      <c r="CM145" s="267">
        <f t="shared" si="167"/>
        <v>0</v>
      </c>
      <c r="CN145" s="267">
        <f t="shared" si="160"/>
        <v>0</v>
      </c>
    </row>
    <row r="146" spans="2:92" ht="15.75" hidden="1">
      <c r="B146" s="82" t="s">
        <v>245</v>
      </c>
      <c r="C146" s="83">
        <v>1012160438111</v>
      </c>
      <c r="D146" s="84" t="s">
        <v>246</v>
      </c>
      <c r="E146" s="199" t="s">
        <v>47</v>
      </c>
      <c r="F146" s="200"/>
      <c r="G146" s="200"/>
      <c r="H146" s="201">
        <f t="shared" si="171"/>
        <v>0</v>
      </c>
      <c r="I146" s="200"/>
      <c r="J146" s="200"/>
      <c r="K146" s="200"/>
      <c r="L146" s="200"/>
      <c r="M146" s="200"/>
      <c r="N146" s="200"/>
      <c r="O146" s="200"/>
      <c r="P146" s="210">
        <f t="shared" si="166"/>
        <v>0</v>
      </c>
      <c r="Q146" s="230">
        <f t="shared" si="189"/>
        <v>0</v>
      </c>
      <c r="R146" s="230">
        <f t="shared" si="172"/>
        <v>0</v>
      </c>
      <c r="S146" s="231"/>
      <c r="T146" s="232"/>
      <c r="U146" s="215"/>
      <c r="V146" s="215"/>
      <c r="W146" s="233">
        <f t="shared" si="173"/>
        <v>0</v>
      </c>
      <c r="X146" s="214"/>
      <c r="Y146" s="214"/>
      <c r="Z146" s="214"/>
      <c r="AA146" s="214"/>
      <c r="AB146" s="214"/>
      <c r="AC146" s="214"/>
      <c r="AD146" s="214"/>
      <c r="AE146" s="241">
        <f t="shared" si="174"/>
        <v>0</v>
      </c>
      <c r="AF146" s="242">
        <f t="shared" si="175"/>
        <v>0</v>
      </c>
      <c r="AG146" s="251">
        <f t="shared" si="176"/>
        <v>0</v>
      </c>
      <c r="AH146" s="247"/>
      <c r="AI146" s="252"/>
      <c r="AJ146" s="214"/>
      <c r="AK146" s="215"/>
      <c r="AL146" s="233">
        <f t="shared" si="177"/>
        <v>0</v>
      </c>
      <c r="AM146" s="255"/>
      <c r="AN146" s="214"/>
      <c r="AO146" s="214"/>
      <c r="AP146" s="214"/>
      <c r="AQ146" s="214"/>
      <c r="AR146" s="214"/>
      <c r="AS146" s="255"/>
      <c r="AT146" s="241">
        <f t="shared" si="178"/>
        <v>0</v>
      </c>
      <c r="AU146" s="242">
        <f t="shared" si="179"/>
        <v>0</v>
      </c>
      <c r="AV146" s="251">
        <f t="shared" si="180"/>
        <v>0</v>
      </c>
      <c r="AW146" s="247"/>
      <c r="AX146" s="247"/>
      <c r="AY146" s="252"/>
      <c r="AZ146" s="214"/>
      <c r="BA146" s="215"/>
      <c r="BB146" s="233">
        <f t="shared" si="181"/>
        <v>0</v>
      </c>
      <c r="BC146" s="214"/>
      <c r="BD146" s="214"/>
      <c r="BE146" s="255"/>
      <c r="BF146" s="214"/>
      <c r="BG146" s="214"/>
      <c r="BH146" s="214"/>
      <c r="BI146" s="214"/>
      <c r="BJ146" s="241">
        <f t="shared" si="182"/>
        <v>0</v>
      </c>
      <c r="BK146" s="242">
        <f t="shared" si="168"/>
        <v>0</v>
      </c>
      <c r="BL146" s="251">
        <f t="shared" si="169"/>
        <v>0</v>
      </c>
      <c r="BM146" s="252"/>
      <c r="BN146" s="252"/>
      <c r="BO146" s="13"/>
      <c r="BP146" s="215"/>
      <c r="BQ146" s="233">
        <f t="shared" si="183"/>
        <v>0</v>
      </c>
      <c r="BR146" s="214"/>
      <c r="BS146" s="214"/>
      <c r="BT146" s="214"/>
      <c r="BU146" s="214"/>
      <c r="BV146" s="215"/>
      <c r="BW146" s="215"/>
      <c r="BX146" s="215"/>
      <c r="BY146" s="241">
        <f t="shared" si="184"/>
        <v>0</v>
      </c>
      <c r="BZ146" s="242">
        <f t="shared" si="188"/>
        <v>0</v>
      </c>
      <c r="CA146" s="251">
        <f t="shared" si="185"/>
        <v>0</v>
      </c>
      <c r="CB146" s="252"/>
      <c r="CC146" s="252"/>
      <c r="CD146" s="251">
        <f t="shared" si="164"/>
        <v>0</v>
      </c>
      <c r="CE146" s="251">
        <f t="shared" si="170"/>
        <v>0</v>
      </c>
      <c r="CF146" s="251">
        <f t="shared" si="186"/>
        <v>0</v>
      </c>
      <c r="CG146" s="251">
        <f t="shared" si="187"/>
        <v>0</v>
      </c>
      <c r="CH146" s="265"/>
      <c r="CI146" s="266"/>
      <c r="CJ146" s="266"/>
      <c r="CK146" s="63"/>
      <c r="CL146" s="267">
        <f t="shared" si="142"/>
        <v>0</v>
      </c>
      <c r="CM146" s="267">
        <f t="shared" si="167"/>
        <v>0</v>
      </c>
      <c r="CN146" s="267">
        <f t="shared" si="160"/>
        <v>0</v>
      </c>
    </row>
    <row r="147" spans="2:92" ht="15.75" hidden="1">
      <c r="B147" s="85" t="s">
        <v>247</v>
      </c>
      <c r="C147" s="86">
        <v>1012160438112</v>
      </c>
      <c r="D147" s="87" t="s">
        <v>248</v>
      </c>
      <c r="E147" s="202" t="s">
        <v>47</v>
      </c>
      <c r="F147" s="203"/>
      <c r="G147" s="203"/>
      <c r="H147" s="204">
        <f t="shared" si="171"/>
        <v>0</v>
      </c>
      <c r="I147" s="203"/>
      <c r="J147" s="203"/>
      <c r="K147" s="203"/>
      <c r="L147" s="203"/>
      <c r="M147" s="203"/>
      <c r="N147" s="203"/>
      <c r="O147" s="203"/>
      <c r="P147" s="211">
        <f t="shared" si="166"/>
        <v>0</v>
      </c>
      <c r="Q147" s="234">
        <f t="shared" si="189"/>
        <v>0</v>
      </c>
      <c r="R147" s="234">
        <f t="shared" si="172"/>
        <v>0</v>
      </c>
      <c r="S147" s="231"/>
      <c r="T147" s="232"/>
      <c r="U147" s="213"/>
      <c r="V147" s="213"/>
      <c r="W147" s="235">
        <f t="shared" si="173"/>
        <v>0</v>
      </c>
      <c r="X147" s="212"/>
      <c r="Y147" s="212"/>
      <c r="Z147" s="212"/>
      <c r="AA147" s="212"/>
      <c r="AB147" s="212"/>
      <c r="AC147" s="212"/>
      <c r="AD147" s="212"/>
      <c r="AE147" s="243">
        <f t="shared" si="174"/>
        <v>0</v>
      </c>
      <c r="AF147" s="244">
        <f t="shared" si="175"/>
        <v>0</v>
      </c>
      <c r="AG147" s="253">
        <f t="shared" si="176"/>
        <v>0</v>
      </c>
      <c r="AH147" s="247"/>
      <c r="AI147" s="252"/>
      <c r="AJ147" s="212"/>
      <c r="AK147" s="213"/>
      <c r="AL147" s="235">
        <f t="shared" si="177"/>
        <v>0</v>
      </c>
      <c r="AM147" s="254"/>
      <c r="AN147" s="212"/>
      <c r="AO147" s="212"/>
      <c r="AP147" s="212"/>
      <c r="AQ147" s="212"/>
      <c r="AR147" s="212"/>
      <c r="AS147" s="254"/>
      <c r="AT147" s="243">
        <f t="shared" si="178"/>
        <v>0</v>
      </c>
      <c r="AU147" s="244">
        <f t="shared" si="179"/>
        <v>0</v>
      </c>
      <c r="AV147" s="253">
        <f t="shared" si="180"/>
        <v>0</v>
      </c>
      <c r="AW147" s="247"/>
      <c r="AX147" s="247"/>
      <c r="AY147" s="252"/>
      <c r="AZ147" s="212"/>
      <c r="BA147" s="213"/>
      <c r="BB147" s="235">
        <f t="shared" si="181"/>
        <v>0</v>
      </c>
      <c r="BC147" s="212"/>
      <c r="BD147" s="212"/>
      <c r="BE147" s="254"/>
      <c r="BF147" s="212"/>
      <c r="BG147" s="212"/>
      <c r="BH147" s="212"/>
      <c r="BI147" s="212"/>
      <c r="BJ147" s="243">
        <f t="shared" si="182"/>
        <v>0</v>
      </c>
      <c r="BK147" s="244">
        <f t="shared" si="168"/>
        <v>0</v>
      </c>
      <c r="BL147" s="253">
        <f t="shared" si="169"/>
        <v>0</v>
      </c>
      <c r="BM147" s="252"/>
      <c r="BN147" s="252"/>
      <c r="BO147" s="205"/>
      <c r="BP147" s="213"/>
      <c r="BQ147" s="235">
        <f t="shared" si="183"/>
        <v>0</v>
      </c>
      <c r="BR147" s="212"/>
      <c r="BS147" s="212"/>
      <c r="BT147" s="212"/>
      <c r="BU147" s="212"/>
      <c r="BV147" s="213"/>
      <c r="BW147" s="213"/>
      <c r="BX147" s="213"/>
      <c r="BY147" s="243">
        <f t="shared" si="184"/>
        <v>0</v>
      </c>
      <c r="BZ147" s="244">
        <f t="shared" si="188"/>
        <v>0</v>
      </c>
      <c r="CA147" s="253">
        <f t="shared" si="185"/>
        <v>0</v>
      </c>
      <c r="CB147" s="328"/>
      <c r="CC147" s="252"/>
      <c r="CD147" s="253">
        <f t="shared" si="164"/>
        <v>0</v>
      </c>
      <c r="CE147" s="253">
        <f t="shared" si="170"/>
        <v>0</v>
      </c>
      <c r="CF147" s="253">
        <f t="shared" si="186"/>
        <v>0</v>
      </c>
      <c r="CG147" s="253">
        <f t="shared" si="187"/>
        <v>0</v>
      </c>
      <c r="CH147" s="265"/>
      <c r="CI147" s="266"/>
      <c r="CJ147" s="266"/>
      <c r="CK147" s="63"/>
      <c r="CL147" s="267">
        <f t="shared" si="142"/>
        <v>0</v>
      </c>
      <c r="CM147" s="267">
        <f t="shared" si="167"/>
        <v>0</v>
      </c>
      <c r="CN147" s="267">
        <f t="shared" si="160"/>
        <v>0</v>
      </c>
    </row>
    <row r="148" spans="2:92" ht="15.75" hidden="1">
      <c r="B148" s="82" t="s">
        <v>249</v>
      </c>
      <c r="C148" s="83">
        <v>1012160438113</v>
      </c>
      <c r="D148" s="84" t="s">
        <v>250</v>
      </c>
      <c r="E148" s="199" t="s">
        <v>50</v>
      </c>
      <c r="F148" s="200"/>
      <c r="G148" s="200"/>
      <c r="H148" s="201">
        <f t="shared" si="171"/>
        <v>0</v>
      </c>
      <c r="I148" s="200"/>
      <c r="J148" s="200"/>
      <c r="K148" s="200"/>
      <c r="L148" s="200"/>
      <c r="M148" s="200"/>
      <c r="N148" s="200"/>
      <c r="O148" s="200"/>
      <c r="P148" s="210">
        <f t="shared" si="166"/>
        <v>0</v>
      </c>
      <c r="Q148" s="230">
        <f t="shared" si="189"/>
        <v>0</v>
      </c>
      <c r="R148" s="230">
        <f t="shared" si="172"/>
        <v>0</v>
      </c>
      <c r="S148" s="231"/>
      <c r="T148" s="232"/>
      <c r="U148" s="215"/>
      <c r="V148" s="215"/>
      <c r="W148" s="233">
        <f t="shared" si="173"/>
        <v>0</v>
      </c>
      <c r="X148" s="214"/>
      <c r="Y148" s="214"/>
      <c r="Z148" s="214"/>
      <c r="AA148" s="214"/>
      <c r="AB148" s="214"/>
      <c r="AC148" s="214"/>
      <c r="AD148" s="214"/>
      <c r="AE148" s="241">
        <f t="shared" si="174"/>
        <v>0</v>
      </c>
      <c r="AF148" s="242">
        <f t="shared" si="175"/>
        <v>0</v>
      </c>
      <c r="AG148" s="251">
        <f t="shared" si="176"/>
        <v>0</v>
      </c>
      <c r="AH148" s="247"/>
      <c r="AI148" s="252"/>
      <c r="AJ148" s="214"/>
      <c r="AK148" s="215"/>
      <c r="AL148" s="233">
        <f t="shared" si="177"/>
        <v>0</v>
      </c>
      <c r="AM148" s="255"/>
      <c r="AN148" s="214"/>
      <c r="AO148" s="214"/>
      <c r="AP148" s="214"/>
      <c r="AQ148" s="214"/>
      <c r="AR148" s="214"/>
      <c r="AS148" s="255"/>
      <c r="AT148" s="241">
        <f t="shared" si="178"/>
        <v>0</v>
      </c>
      <c r="AU148" s="242">
        <f t="shared" si="179"/>
        <v>0</v>
      </c>
      <c r="AV148" s="251">
        <f t="shared" si="180"/>
        <v>0</v>
      </c>
      <c r="AW148" s="247"/>
      <c r="AX148" s="247"/>
      <c r="AY148" s="252"/>
      <c r="AZ148" s="214"/>
      <c r="BA148" s="215"/>
      <c r="BB148" s="233">
        <f t="shared" si="181"/>
        <v>0</v>
      </c>
      <c r="BC148" s="214"/>
      <c r="BD148" s="214"/>
      <c r="BE148" s="255"/>
      <c r="BF148" s="214"/>
      <c r="BG148" s="214"/>
      <c r="BH148" s="214"/>
      <c r="BI148" s="214"/>
      <c r="BJ148" s="241">
        <f t="shared" si="182"/>
        <v>0</v>
      </c>
      <c r="BK148" s="242">
        <f t="shared" si="168"/>
        <v>0</v>
      </c>
      <c r="BL148" s="251">
        <f t="shared" si="169"/>
        <v>0</v>
      </c>
      <c r="BM148" s="252"/>
      <c r="BN148" s="252"/>
      <c r="BO148" s="13"/>
      <c r="BP148" s="215"/>
      <c r="BQ148" s="233">
        <f t="shared" si="183"/>
        <v>0</v>
      </c>
      <c r="BR148" s="214"/>
      <c r="BS148" s="214"/>
      <c r="BT148" s="214"/>
      <c r="BU148" s="214"/>
      <c r="BV148" s="215"/>
      <c r="BW148" s="215"/>
      <c r="BX148" s="215"/>
      <c r="BY148" s="241">
        <f t="shared" si="184"/>
        <v>0</v>
      </c>
      <c r="BZ148" s="242">
        <f t="shared" si="188"/>
        <v>0</v>
      </c>
      <c r="CA148" s="251">
        <f t="shared" si="185"/>
        <v>0</v>
      </c>
      <c r="CB148" s="252"/>
      <c r="CC148" s="252"/>
      <c r="CD148" s="251">
        <f t="shared" si="164"/>
        <v>0</v>
      </c>
      <c r="CE148" s="251">
        <f t="shared" si="170"/>
        <v>0</v>
      </c>
      <c r="CF148" s="251">
        <f t="shared" si="186"/>
        <v>0</v>
      </c>
      <c r="CG148" s="251">
        <f t="shared" si="187"/>
        <v>0</v>
      </c>
      <c r="CH148" s="265"/>
      <c r="CI148" s="266"/>
      <c r="CJ148" s="266"/>
      <c r="CK148" s="63"/>
      <c r="CL148" s="267">
        <f t="shared" si="142"/>
        <v>0</v>
      </c>
      <c r="CM148" s="267">
        <f t="shared" si="167"/>
        <v>0</v>
      </c>
      <c r="CN148" s="267">
        <f t="shared" si="160"/>
        <v>0</v>
      </c>
    </row>
    <row r="149" spans="2:92" ht="15.75" hidden="1">
      <c r="B149" s="85" t="s">
        <v>251</v>
      </c>
      <c r="C149" s="86">
        <v>1012160438114</v>
      </c>
      <c r="D149" s="87" t="s">
        <v>252</v>
      </c>
      <c r="E149" s="202" t="s">
        <v>50</v>
      </c>
      <c r="F149" s="203"/>
      <c r="G149" s="203"/>
      <c r="H149" s="204">
        <f t="shared" si="171"/>
        <v>0</v>
      </c>
      <c r="I149" s="203"/>
      <c r="J149" s="203"/>
      <c r="K149" s="203"/>
      <c r="L149" s="203"/>
      <c r="M149" s="203"/>
      <c r="N149" s="203"/>
      <c r="O149" s="203"/>
      <c r="P149" s="211">
        <f t="shared" si="166"/>
        <v>0</v>
      </c>
      <c r="Q149" s="234">
        <f t="shared" si="189"/>
        <v>0</v>
      </c>
      <c r="R149" s="234">
        <f t="shared" si="172"/>
        <v>0</v>
      </c>
      <c r="S149" s="231"/>
      <c r="T149" s="232"/>
      <c r="U149" s="213"/>
      <c r="V149" s="213"/>
      <c r="W149" s="235">
        <f t="shared" si="173"/>
        <v>0</v>
      </c>
      <c r="X149" s="212"/>
      <c r="Y149" s="212"/>
      <c r="Z149" s="212"/>
      <c r="AA149" s="212"/>
      <c r="AB149" s="212"/>
      <c r="AC149" s="212"/>
      <c r="AD149" s="212"/>
      <c r="AE149" s="243">
        <f t="shared" si="174"/>
        <v>0</v>
      </c>
      <c r="AF149" s="244">
        <f t="shared" si="175"/>
        <v>0</v>
      </c>
      <c r="AG149" s="253">
        <f t="shared" si="176"/>
        <v>0</v>
      </c>
      <c r="AH149" s="247"/>
      <c r="AI149" s="252"/>
      <c r="AJ149" s="212"/>
      <c r="AK149" s="213"/>
      <c r="AL149" s="235">
        <f t="shared" si="177"/>
        <v>0</v>
      </c>
      <c r="AM149" s="254"/>
      <c r="AN149" s="212"/>
      <c r="AO149" s="212"/>
      <c r="AP149" s="212"/>
      <c r="AQ149" s="212"/>
      <c r="AR149" s="212"/>
      <c r="AS149" s="254"/>
      <c r="AT149" s="243">
        <f t="shared" si="178"/>
        <v>0</v>
      </c>
      <c r="AU149" s="244">
        <f t="shared" si="179"/>
        <v>0</v>
      </c>
      <c r="AV149" s="253">
        <f t="shared" si="180"/>
        <v>0</v>
      </c>
      <c r="AW149" s="247"/>
      <c r="AX149" s="247"/>
      <c r="AY149" s="252"/>
      <c r="AZ149" s="212"/>
      <c r="BA149" s="213"/>
      <c r="BB149" s="235">
        <f t="shared" si="181"/>
        <v>0</v>
      </c>
      <c r="BC149" s="212"/>
      <c r="BD149" s="212"/>
      <c r="BE149" s="254"/>
      <c r="BF149" s="212"/>
      <c r="BG149" s="212"/>
      <c r="BH149" s="212"/>
      <c r="BI149" s="212"/>
      <c r="BJ149" s="243">
        <f t="shared" si="182"/>
        <v>0</v>
      </c>
      <c r="BK149" s="244">
        <f t="shared" si="168"/>
        <v>0</v>
      </c>
      <c r="BL149" s="253">
        <f t="shared" si="169"/>
        <v>0</v>
      </c>
      <c r="BM149" s="252"/>
      <c r="BN149" s="252"/>
      <c r="BO149" s="205"/>
      <c r="BP149" s="213"/>
      <c r="BQ149" s="235">
        <f t="shared" si="183"/>
        <v>0</v>
      </c>
      <c r="BR149" s="212"/>
      <c r="BS149" s="212"/>
      <c r="BT149" s="212"/>
      <c r="BU149" s="212"/>
      <c r="BV149" s="213"/>
      <c r="BW149" s="213"/>
      <c r="BX149" s="213"/>
      <c r="BY149" s="243">
        <f t="shared" si="184"/>
        <v>0</v>
      </c>
      <c r="BZ149" s="244">
        <f t="shared" si="188"/>
        <v>0</v>
      </c>
      <c r="CA149" s="253">
        <f t="shared" si="185"/>
        <v>0</v>
      </c>
      <c r="CB149" s="328"/>
      <c r="CC149" s="252"/>
      <c r="CD149" s="253">
        <f t="shared" si="164"/>
        <v>0</v>
      </c>
      <c r="CE149" s="253">
        <f t="shared" si="170"/>
        <v>0</v>
      </c>
      <c r="CF149" s="253">
        <f t="shared" si="186"/>
        <v>0</v>
      </c>
      <c r="CG149" s="253">
        <f t="shared" si="187"/>
        <v>0</v>
      </c>
      <c r="CH149" s="265"/>
      <c r="CI149" s="266"/>
      <c r="CJ149" s="266"/>
      <c r="CK149" s="63"/>
      <c r="CL149" s="267">
        <f t="shared" si="142"/>
        <v>0</v>
      </c>
      <c r="CM149" s="267">
        <f t="shared" si="167"/>
        <v>0</v>
      </c>
      <c r="CN149" s="267">
        <f t="shared" si="160"/>
        <v>0</v>
      </c>
    </row>
    <row r="150" spans="2:92" ht="15.75" hidden="1">
      <c r="B150" s="84"/>
      <c r="C150" s="84"/>
      <c r="D150" s="84"/>
      <c r="E150" s="199"/>
      <c r="F150" s="200"/>
      <c r="G150" s="200"/>
      <c r="H150" s="201">
        <f t="shared" si="171"/>
        <v>0</v>
      </c>
      <c r="I150" s="200"/>
      <c r="J150" s="200"/>
      <c r="K150" s="200"/>
      <c r="L150" s="200"/>
      <c r="M150" s="200"/>
      <c r="N150" s="200"/>
      <c r="O150" s="200"/>
      <c r="P150" s="210">
        <f t="shared" si="166"/>
        <v>0</v>
      </c>
      <c r="Q150" s="230">
        <f t="shared" si="189"/>
        <v>0</v>
      </c>
      <c r="R150" s="230">
        <f t="shared" si="172"/>
        <v>0</v>
      </c>
      <c r="S150" s="231"/>
      <c r="T150" s="232"/>
      <c r="U150" s="215"/>
      <c r="V150" s="215"/>
      <c r="W150" s="233">
        <f t="shared" si="173"/>
        <v>0</v>
      </c>
      <c r="X150" s="214"/>
      <c r="Y150" s="214"/>
      <c r="Z150" s="214"/>
      <c r="AA150" s="214"/>
      <c r="AB150" s="214"/>
      <c r="AC150" s="214"/>
      <c r="AD150" s="214"/>
      <c r="AE150" s="241">
        <f t="shared" si="174"/>
        <v>0</v>
      </c>
      <c r="AF150" s="242">
        <f t="shared" si="175"/>
        <v>0</v>
      </c>
      <c r="AG150" s="251">
        <f t="shared" si="176"/>
        <v>0</v>
      </c>
      <c r="AH150" s="247"/>
      <c r="AI150" s="252"/>
      <c r="AJ150" s="214"/>
      <c r="AK150" s="215"/>
      <c r="AL150" s="233">
        <f t="shared" si="177"/>
        <v>0</v>
      </c>
      <c r="AM150" s="255"/>
      <c r="AN150" s="214"/>
      <c r="AO150" s="214"/>
      <c r="AP150" s="214"/>
      <c r="AQ150" s="214"/>
      <c r="AR150" s="214"/>
      <c r="AS150" s="255"/>
      <c r="AT150" s="241">
        <f t="shared" si="178"/>
        <v>0</v>
      </c>
      <c r="AU150" s="242">
        <f t="shared" si="179"/>
        <v>0</v>
      </c>
      <c r="AV150" s="251">
        <f t="shared" si="180"/>
        <v>0</v>
      </c>
      <c r="AW150" s="247"/>
      <c r="AX150" s="247"/>
      <c r="AY150" s="252"/>
      <c r="AZ150" s="214"/>
      <c r="BA150" s="215"/>
      <c r="BB150" s="233">
        <f t="shared" si="181"/>
        <v>0</v>
      </c>
      <c r="BC150" s="214"/>
      <c r="BD150" s="214"/>
      <c r="BE150" s="255"/>
      <c r="BF150" s="214"/>
      <c r="BG150" s="214"/>
      <c r="BH150" s="214"/>
      <c r="BI150" s="214"/>
      <c r="BJ150" s="241">
        <f t="shared" si="182"/>
        <v>0</v>
      </c>
      <c r="BK150" s="242">
        <f t="shared" si="168"/>
        <v>0</v>
      </c>
      <c r="BL150" s="251">
        <f t="shared" si="169"/>
        <v>0</v>
      </c>
      <c r="BM150" s="252"/>
      <c r="BN150" s="252"/>
      <c r="BO150" s="13"/>
      <c r="BP150" s="215"/>
      <c r="BQ150" s="233">
        <f t="shared" si="183"/>
        <v>0</v>
      </c>
      <c r="BR150" s="214"/>
      <c r="BS150" s="214"/>
      <c r="BT150" s="214"/>
      <c r="BU150" s="214"/>
      <c r="BV150" s="215"/>
      <c r="BW150" s="215"/>
      <c r="BX150" s="215"/>
      <c r="BY150" s="241">
        <f t="shared" si="184"/>
        <v>0</v>
      </c>
      <c r="BZ150" s="242">
        <f t="shared" si="188"/>
        <v>0</v>
      </c>
      <c r="CA150" s="251">
        <f t="shared" si="185"/>
        <v>0</v>
      </c>
      <c r="CB150" s="252"/>
      <c r="CC150" s="252"/>
      <c r="CD150" s="251">
        <f t="shared" si="164"/>
        <v>0</v>
      </c>
      <c r="CE150" s="251">
        <f t="shared" si="170"/>
        <v>0</v>
      </c>
      <c r="CF150" s="251">
        <f t="shared" si="186"/>
        <v>0</v>
      </c>
      <c r="CG150" s="251">
        <f t="shared" si="187"/>
        <v>0</v>
      </c>
      <c r="CH150" s="265"/>
      <c r="CI150" s="266"/>
      <c r="CJ150" s="266"/>
      <c r="CK150" s="63"/>
      <c r="CL150" s="267">
        <f t="shared" ref="CL150:CL176" si="190">IFERROR(1-ABS(CD150-CE150)/CE150,0)</f>
        <v>0</v>
      </c>
      <c r="CM150" s="267">
        <f t="shared" si="167"/>
        <v>0</v>
      </c>
      <c r="CN150" s="267">
        <f t="shared" si="160"/>
        <v>0</v>
      </c>
    </row>
    <row r="151" spans="2:92" ht="15.75" hidden="1">
      <c r="B151" s="87"/>
      <c r="C151" s="87"/>
      <c r="D151" s="87"/>
      <c r="E151" s="202"/>
      <c r="F151" s="203"/>
      <c r="G151" s="203"/>
      <c r="H151" s="204">
        <f t="shared" si="171"/>
        <v>0</v>
      </c>
      <c r="I151" s="203"/>
      <c r="J151" s="203"/>
      <c r="K151" s="203"/>
      <c r="L151" s="203"/>
      <c r="M151" s="203"/>
      <c r="N151" s="203"/>
      <c r="O151" s="203"/>
      <c r="P151" s="211">
        <f t="shared" si="166"/>
        <v>0</v>
      </c>
      <c r="Q151" s="234">
        <f t="shared" si="189"/>
        <v>0</v>
      </c>
      <c r="R151" s="234">
        <f t="shared" si="172"/>
        <v>0</v>
      </c>
      <c r="S151" s="231"/>
      <c r="T151" s="232"/>
      <c r="U151" s="213"/>
      <c r="V151" s="213"/>
      <c r="W151" s="235">
        <f t="shared" si="173"/>
        <v>0</v>
      </c>
      <c r="X151" s="212"/>
      <c r="Y151" s="212"/>
      <c r="Z151" s="212"/>
      <c r="AA151" s="212"/>
      <c r="AB151" s="212"/>
      <c r="AC151" s="212"/>
      <c r="AD151" s="212"/>
      <c r="AE151" s="243">
        <f t="shared" si="174"/>
        <v>0</v>
      </c>
      <c r="AF151" s="244">
        <f t="shared" si="175"/>
        <v>0</v>
      </c>
      <c r="AG151" s="253">
        <f t="shared" si="176"/>
        <v>0</v>
      </c>
      <c r="AH151" s="247"/>
      <c r="AI151" s="252"/>
      <c r="AJ151" s="212"/>
      <c r="AK151" s="213"/>
      <c r="AL151" s="235">
        <f t="shared" si="177"/>
        <v>0</v>
      </c>
      <c r="AM151" s="254"/>
      <c r="AN151" s="212"/>
      <c r="AO151" s="212"/>
      <c r="AP151" s="212"/>
      <c r="AQ151" s="212"/>
      <c r="AR151" s="212"/>
      <c r="AS151" s="254"/>
      <c r="AT151" s="243">
        <f t="shared" si="178"/>
        <v>0</v>
      </c>
      <c r="AU151" s="244">
        <f t="shared" si="179"/>
        <v>0</v>
      </c>
      <c r="AV151" s="253">
        <f t="shared" si="180"/>
        <v>0</v>
      </c>
      <c r="AW151" s="247"/>
      <c r="AX151" s="247"/>
      <c r="AY151" s="252"/>
      <c r="AZ151" s="212"/>
      <c r="BA151" s="213"/>
      <c r="BB151" s="235">
        <f t="shared" si="181"/>
        <v>0</v>
      </c>
      <c r="BC151" s="212"/>
      <c r="BD151" s="212"/>
      <c r="BE151" s="254"/>
      <c r="BF151" s="212"/>
      <c r="BG151" s="212"/>
      <c r="BH151" s="212"/>
      <c r="BI151" s="212"/>
      <c r="BJ151" s="243">
        <f t="shared" si="182"/>
        <v>0</v>
      </c>
      <c r="BK151" s="244">
        <f t="shared" si="168"/>
        <v>0</v>
      </c>
      <c r="BL151" s="253">
        <f t="shared" si="169"/>
        <v>0</v>
      </c>
      <c r="BM151" s="252"/>
      <c r="BN151" s="252"/>
      <c r="BO151" s="205"/>
      <c r="BP151" s="213"/>
      <c r="BQ151" s="235">
        <f t="shared" si="183"/>
        <v>0</v>
      </c>
      <c r="BR151" s="212"/>
      <c r="BS151" s="212"/>
      <c r="BT151" s="212"/>
      <c r="BU151" s="212"/>
      <c r="BV151" s="213"/>
      <c r="BW151" s="213"/>
      <c r="BX151" s="213"/>
      <c r="BY151" s="243">
        <f t="shared" si="184"/>
        <v>0</v>
      </c>
      <c r="BZ151" s="244">
        <f t="shared" si="188"/>
        <v>0</v>
      </c>
      <c r="CA151" s="253">
        <f t="shared" si="185"/>
        <v>0</v>
      </c>
      <c r="CB151" s="328"/>
      <c r="CC151" s="252"/>
      <c r="CD151" s="253">
        <f t="shared" si="164"/>
        <v>0</v>
      </c>
      <c r="CE151" s="253">
        <f t="shared" si="170"/>
        <v>0</v>
      </c>
      <c r="CF151" s="253">
        <f t="shared" si="186"/>
        <v>0</v>
      </c>
      <c r="CG151" s="253">
        <f t="shared" si="187"/>
        <v>0</v>
      </c>
      <c r="CH151" s="265"/>
      <c r="CI151" s="266"/>
      <c r="CJ151" s="266"/>
      <c r="CK151" s="63"/>
      <c r="CL151" s="267">
        <f t="shared" si="190"/>
        <v>0</v>
      </c>
      <c r="CM151" s="267">
        <f t="shared" si="167"/>
        <v>0</v>
      </c>
      <c r="CN151" s="267">
        <f t="shared" ref="CN151:CN176" si="191">CL151*CM151</f>
        <v>0</v>
      </c>
    </row>
    <row r="152" spans="2:92" ht="15.75" hidden="1">
      <c r="B152" s="82"/>
      <c r="C152" s="83"/>
      <c r="D152" s="84"/>
      <c r="E152" s="199"/>
      <c r="F152" s="200"/>
      <c r="G152" s="200"/>
      <c r="H152" s="201">
        <f t="shared" si="171"/>
        <v>0</v>
      </c>
      <c r="I152" s="200"/>
      <c r="J152" s="200"/>
      <c r="K152" s="200"/>
      <c r="L152" s="200"/>
      <c r="M152" s="200"/>
      <c r="N152" s="200"/>
      <c r="O152" s="200"/>
      <c r="P152" s="210">
        <f t="shared" si="166"/>
        <v>0</v>
      </c>
      <c r="Q152" s="230">
        <f t="shared" si="189"/>
        <v>0</v>
      </c>
      <c r="R152" s="230">
        <f t="shared" si="172"/>
        <v>0</v>
      </c>
      <c r="S152" s="231"/>
      <c r="T152" s="232"/>
      <c r="U152" s="215"/>
      <c r="V152" s="215"/>
      <c r="W152" s="233">
        <f t="shared" si="173"/>
        <v>0</v>
      </c>
      <c r="X152" s="214"/>
      <c r="Y152" s="214"/>
      <c r="Z152" s="214"/>
      <c r="AA152" s="214"/>
      <c r="AB152" s="214"/>
      <c r="AC152" s="214"/>
      <c r="AD152" s="214"/>
      <c r="AE152" s="241">
        <f t="shared" si="174"/>
        <v>0</v>
      </c>
      <c r="AF152" s="242">
        <f t="shared" si="175"/>
        <v>0</v>
      </c>
      <c r="AG152" s="251">
        <f t="shared" si="176"/>
        <v>0</v>
      </c>
      <c r="AH152" s="247"/>
      <c r="AI152" s="252"/>
      <c r="AJ152" s="214"/>
      <c r="AK152" s="215"/>
      <c r="AL152" s="233">
        <f t="shared" si="177"/>
        <v>0</v>
      </c>
      <c r="AM152" s="255"/>
      <c r="AN152" s="214"/>
      <c r="AO152" s="214"/>
      <c r="AP152" s="214"/>
      <c r="AQ152" s="214"/>
      <c r="AR152" s="214"/>
      <c r="AS152" s="255"/>
      <c r="AT152" s="241">
        <f t="shared" si="178"/>
        <v>0</v>
      </c>
      <c r="AU152" s="242">
        <f t="shared" si="179"/>
        <v>0</v>
      </c>
      <c r="AV152" s="251">
        <f t="shared" si="180"/>
        <v>0</v>
      </c>
      <c r="AW152" s="247"/>
      <c r="AX152" s="247"/>
      <c r="AY152" s="252"/>
      <c r="AZ152" s="214"/>
      <c r="BA152" s="215"/>
      <c r="BB152" s="233">
        <f t="shared" si="181"/>
        <v>0</v>
      </c>
      <c r="BC152" s="214"/>
      <c r="BD152" s="214"/>
      <c r="BE152" s="255"/>
      <c r="BF152" s="214"/>
      <c r="BG152" s="214"/>
      <c r="BH152" s="214"/>
      <c r="BI152" s="214"/>
      <c r="BJ152" s="241">
        <f t="shared" si="182"/>
        <v>0</v>
      </c>
      <c r="BK152" s="242">
        <f t="shared" si="168"/>
        <v>0</v>
      </c>
      <c r="BL152" s="251">
        <f t="shared" si="169"/>
        <v>0</v>
      </c>
      <c r="BM152" s="252"/>
      <c r="BN152" s="252"/>
      <c r="BO152" s="13"/>
      <c r="BP152" s="215"/>
      <c r="BQ152" s="233">
        <f t="shared" si="183"/>
        <v>0</v>
      </c>
      <c r="BR152" s="214"/>
      <c r="BS152" s="214"/>
      <c r="BT152" s="214"/>
      <c r="BU152" s="214"/>
      <c r="BV152" s="215"/>
      <c r="BW152" s="215"/>
      <c r="BX152" s="215"/>
      <c r="BY152" s="241">
        <f t="shared" si="184"/>
        <v>0</v>
      </c>
      <c r="BZ152" s="242">
        <f t="shared" si="188"/>
        <v>0</v>
      </c>
      <c r="CA152" s="251">
        <f t="shared" si="185"/>
        <v>0</v>
      </c>
      <c r="CB152" s="252"/>
      <c r="CC152" s="252"/>
      <c r="CD152" s="251">
        <f t="shared" si="164"/>
        <v>0</v>
      </c>
      <c r="CE152" s="251">
        <f t="shared" si="170"/>
        <v>0</v>
      </c>
      <c r="CF152" s="251">
        <f t="shared" si="186"/>
        <v>0</v>
      </c>
      <c r="CG152" s="251">
        <f t="shared" si="187"/>
        <v>0</v>
      </c>
      <c r="CH152" s="265"/>
      <c r="CI152" s="266"/>
      <c r="CJ152" s="266"/>
      <c r="CK152" s="63"/>
      <c r="CL152" s="267">
        <f t="shared" si="190"/>
        <v>0</v>
      </c>
      <c r="CM152" s="267">
        <f t="shared" si="167"/>
        <v>0</v>
      </c>
      <c r="CN152" s="267">
        <f t="shared" si="191"/>
        <v>0</v>
      </c>
    </row>
    <row r="153" spans="2:92" ht="15.75" hidden="1">
      <c r="B153" s="85"/>
      <c r="C153" s="86"/>
      <c r="D153" s="87"/>
      <c r="E153" s="202"/>
      <c r="F153" s="203"/>
      <c r="G153" s="203"/>
      <c r="H153" s="204">
        <f t="shared" si="171"/>
        <v>0</v>
      </c>
      <c r="I153" s="203"/>
      <c r="J153" s="203"/>
      <c r="K153" s="203"/>
      <c r="L153" s="203"/>
      <c r="M153" s="203"/>
      <c r="N153" s="203"/>
      <c r="O153" s="203"/>
      <c r="P153" s="211">
        <f t="shared" si="166"/>
        <v>0</v>
      </c>
      <c r="Q153" s="234">
        <f t="shared" si="189"/>
        <v>0</v>
      </c>
      <c r="R153" s="234">
        <f t="shared" si="172"/>
        <v>0</v>
      </c>
      <c r="S153" s="231"/>
      <c r="T153" s="232"/>
      <c r="U153" s="213"/>
      <c r="V153" s="213"/>
      <c r="W153" s="235">
        <f t="shared" si="173"/>
        <v>0</v>
      </c>
      <c r="X153" s="212"/>
      <c r="Y153" s="212"/>
      <c r="Z153" s="212"/>
      <c r="AA153" s="212"/>
      <c r="AB153" s="212"/>
      <c r="AC153" s="212"/>
      <c r="AD153" s="212"/>
      <c r="AE153" s="243">
        <f t="shared" si="174"/>
        <v>0</v>
      </c>
      <c r="AF153" s="244">
        <f t="shared" si="175"/>
        <v>0</v>
      </c>
      <c r="AG153" s="253">
        <f t="shared" si="176"/>
        <v>0</v>
      </c>
      <c r="AH153" s="247"/>
      <c r="AI153" s="252"/>
      <c r="AJ153" s="212"/>
      <c r="AK153" s="213"/>
      <c r="AL153" s="235">
        <f t="shared" si="177"/>
        <v>0</v>
      </c>
      <c r="AM153" s="254"/>
      <c r="AN153" s="212"/>
      <c r="AO153" s="212"/>
      <c r="AP153" s="212"/>
      <c r="AQ153" s="212"/>
      <c r="AR153" s="212"/>
      <c r="AS153" s="254"/>
      <c r="AT153" s="243">
        <f t="shared" si="178"/>
        <v>0</v>
      </c>
      <c r="AU153" s="244">
        <f t="shared" si="179"/>
        <v>0</v>
      </c>
      <c r="AV153" s="253">
        <f t="shared" si="180"/>
        <v>0</v>
      </c>
      <c r="AW153" s="247"/>
      <c r="AX153" s="247"/>
      <c r="AY153" s="252"/>
      <c r="AZ153" s="212"/>
      <c r="BA153" s="213"/>
      <c r="BB153" s="235">
        <f t="shared" si="181"/>
        <v>0</v>
      </c>
      <c r="BC153" s="212"/>
      <c r="BD153" s="212"/>
      <c r="BE153" s="254"/>
      <c r="BF153" s="212"/>
      <c r="BG153" s="212"/>
      <c r="BH153" s="212"/>
      <c r="BI153" s="212"/>
      <c r="BJ153" s="243">
        <f t="shared" si="182"/>
        <v>0</v>
      </c>
      <c r="BK153" s="244">
        <f t="shared" si="168"/>
        <v>0</v>
      </c>
      <c r="BL153" s="253">
        <f t="shared" si="169"/>
        <v>0</v>
      </c>
      <c r="BM153" s="252"/>
      <c r="BN153" s="252"/>
      <c r="BO153" s="205"/>
      <c r="BP153" s="213"/>
      <c r="BQ153" s="235">
        <f t="shared" si="183"/>
        <v>0</v>
      </c>
      <c r="BR153" s="212"/>
      <c r="BS153" s="212"/>
      <c r="BT153" s="212"/>
      <c r="BU153" s="212"/>
      <c r="BV153" s="213"/>
      <c r="BW153" s="213"/>
      <c r="BX153" s="213"/>
      <c r="BY153" s="243">
        <f t="shared" si="184"/>
        <v>0</v>
      </c>
      <c r="BZ153" s="244">
        <f t="shared" si="188"/>
        <v>0</v>
      </c>
      <c r="CA153" s="253">
        <f t="shared" si="185"/>
        <v>0</v>
      </c>
      <c r="CB153" s="328"/>
      <c r="CC153" s="252"/>
      <c r="CD153" s="253">
        <f t="shared" si="164"/>
        <v>0</v>
      </c>
      <c r="CE153" s="253">
        <f t="shared" si="170"/>
        <v>0</v>
      </c>
      <c r="CF153" s="253">
        <f t="shared" si="186"/>
        <v>0</v>
      </c>
      <c r="CG153" s="253">
        <f t="shared" si="187"/>
        <v>0</v>
      </c>
      <c r="CH153" s="265"/>
      <c r="CI153" s="266"/>
      <c r="CJ153" s="266"/>
      <c r="CK153" s="63"/>
      <c r="CL153" s="267">
        <f t="shared" si="190"/>
        <v>0</v>
      </c>
      <c r="CM153" s="267">
        <f t="shared" si="167"/>
        <v>0</v>
      </c>
      <c r="CN153" s="267">
        <f t="shared" si="191"/>
        <v>0</v>
      </c>
    </row>
    <row r="154" spans="2:92" ht="15.75" hidden="1">
      <c r="B154" s="82"/>
      <c r="C154" s="83"/>
      <c r="D154" s="84"/>
      <c r="E154" s="199"/>
      <c r="F154" s="200"/>
      <c r="G154" s="200"/>
      <c r="H154" s="201">
        <f t="shared" si="171"/>
        <v>0</v>
      </c>
      <c r="I154" s="200"/>
      <c r="J154" s="200"/>
      <c r="K154" s="200"/>
      <c r="L154" s="200"/>
      <c r="M154" s="200"/>
      <c r="N154" s="200"/>
      <c r="O154" s="200"/>
      <c r="P154" s="210">
        <f t="shared" si="166"/>
        <v>0</v>
      </c>
      <c r="Q154" s="230">
        <f t="shared" si="189"/>
        <v>0</v>
      </c>
      <c r="R154" s="230">
        <f t="shared" si="172"/>
        <v>0</v>
      </c>
      <c r="S154" s="231"/>
      <c r="T154" s="232"/>
      <c r="U154" s="215"/>
      <c r="V154" s="215"/>
      <c r="W154" s="233">
        <f t="shared" si="173"/>
        <v>0</v>
      </c>
      <c r="X154" s="214"/>
      <c r="Y154" s="214"/>
      <c r="Z154" s="214"/>
      <c r="AA154" s="214"/>
      <c r="AB154" s="214"/>
      <c r="AC154" s="214"/>
      <c r="AD154" s="214"/>
      <c r="AE154" s="241">
        <f t="shared" si="174"/>
        <v>0</v>
      </c>
      <c r="AF154" s="242">
        <f t="shared" si="175"/>
        <v>0</v>
      </c>
      <c r="AG154" s="251">
        <f t="shared" si="176"/>
        <v>0</v>
      </c>
      <c r="AH154" s="247"/>
      <c r="AI154" s="252"/>
      <c r="AJ154" s="214"/>
      <c r="AK154" s="215"/>
      <c r="AL154" s="233">
        <f t="shared" si="177"/>
        <v>0</v>
      </c>
      <c r="AM154" s="255"/>
      <c r="AN154" s="214"/>
      <c r="AO154" s="214"/>
      <c r="AP154" s="214"/>
      <c r="AQ154" s="214"/>
      <c r="AR154" s="214"/>
      <c r="AS154" s="255"/>
      <c r="AT154" s="241">
        <f t="shared" si="178"/>
        <v>0</v>
      </c>
      <c r="AU154" s="242">
        <f t="shared" si="179"/>
        <v>0</v>
      </c>
      <c r="AV154" s="251">
        <f t="shared" si="180"/>
        <v>0</v>
      </c>
      <c r="AW154" s="247"/>
      <c r="AX154" s="247"/>
      <c r="AY154" s="252"/>
      <c r="AZ154" s="214"/>
      <c r="BA154" s="215"/>
      <c r="BB154" s="233">
        <f t="shared" si="181"/>
        <v>0</v>
      </c>
      <c r="BC154" s="214"/>
      <c r="BD154" s="214"/>
      <c r="BE154" s="255"/>
      <c r="BF154" s="214"/>
      <c r="BG154" s="214"/>
      <c r="BH154" s="214"/>
      <c r="BI154" s="214"/>
      <c r="BJ154" s="241">
        <f t="shared" si="182"/>
        <v>0</v>
      </c>
      <c r="BK154" s="242">
        <f t="shared" si="168"/>
        <v>0</v>
      </c>
      <c r="BL154" s="251">
        <f t="shared" si="169"/>
        <v>0</v>
      </c>
      <c r="BM154" s="252"/>
      <c r="BN154" s="252"/>
      <c r="BO154" s="13"/>
      <c r="BP154" s="215"/>
      <c r="BQ154" s="233">
        <f t="shared" si="183"/>
        <v>0</v>
      </c>
      <c r="BR154" s="214"/>
      <c r="BS154" s="214"/>
      <c r="BT154" s="214"/>
      <c r="BU154" s="214"/>
      <c r="BV154" s="215"/>
      <c r="BW154" s="215"/>
      <c r="BX154" s="215"/>
      <c r="BY154" s="241">
        <f t="shared" si="184"/>
        <v>0</v>
      </c>
      <c r="BZ154" s="242">
        <f t="shared" si="188"/>
        <v>0</v>
      </c>
      <c r="CA154" s="251">
        <f t="shared" si="185"/>
        <v>0</v>
      </c>
      <c r="CB154" s="252"/>
      <c r="CC154" s="252"/>
      <c r="CD154" s="251">
        <f t="shared" si="164"/>
        <v>0</v>
      </c>
      <c r="CE154" s="251">
        <f t="shared" si="170"/>
        <v>0</v>
      </c>
      <c r="CF154" s="251">
        <f t="shared" si="186"/>
        <v>0</v>
      </c>
      <c r="CG154" s="251">
        <f t="shared" si="187"/>
        <v>0</v>
      </c>
      <c r="CH154" s="265"/>
      <c r="CI154" s="266"/>
      <c r="CJ154" s="266"/>
      <c r="CK154" s="63"/>
      <c r="CL154" s="267">
        <f t="shared" si="190"/>
        <v>0</v>
      </c>
      <c r="CM154" s="267">
        <f t="shared" si="167"/>
        <v>0</v>
      </c>
      <c r="CN154" s="267">
        <f t="shared" si="191"/>
        <v>0</v>
      </c>
    </row>
    <row r="155" spans="2:92" ht="18.75">
      <c r="B155" s="79" t="s">
        <v>253</v>
      </c>
      <c r="C155" s="80"/>
      <c r="D155" s="80"/>
      <c r="E155" s="198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227"/>
      <c r="T155" s="232"/>
      <c r="U155" s="229"/>
      <c r="V155" s="229"/>
      <c r="W155" s="229"/>
      <c r="X155" s="236"/>
      <c r="Y155" s="236"/>
      <c r="Z155" s="236"/>
      <c r="AA155" s="236"/>
      <c r="AB155" s="236"/>
      <c r="AC155" s="236"/>
      <c r="AD155" s="236"/>
      <c r="AE155" s="229"/>
      <c r="AF155" s="229"/>
      <c r="AG155" s="229"/>
      <c r="AH155" s="247"/>
      <c r="AI155" s="228"/>
      <c r="AJ155" s="229"/>
      <c r="AK155" s="229"/>
      <c r="AL155" s="229"/>
      <c r="AM155" s="236"/>
      <c r="AN155" s="236"/>
      <c r="AO155" s="236"/>
      <c r="AP155" s="236"/>
      <c r="AQ155" s="236"/>
      <c r="AR155" s="236"/>
      <c r="AS155" s="236"/>
      <c r="AT155" s="229"/>
      <c r="AU155" s="229"/>
      <c r="AV155" s="229"/>
      <c r="AW155" s="247"/>
      <c r="AX155" s="247"/>
      <c r="AY155" s="228"/>
      <c r="AZ155" s="229"/>
      <c r="BA155" s="229"/>
      <c r="BB155" s="229"/>
      <c r="BC155" s="236"/>
      <c r="BD155" s="236"/>
      <c r="BE155" s="236"/>
      <c r="BF155" s="236"/>
      <c r="BG155" s="236"/>
      <c r="BH155" s="236"/>
      <c r="BI155" s="236"/>
      <c r="BJ155" s="229"/>
      <c r="BK155" s="229"/>
      <c r="BL155" s="229"/>
      <c r="BM155" s="228"/>
      <c r="BN155" s="228"/>
      <c r="BO155" s="229"/>
      <c r="BP155" s="229"/>
      <c r="BQ155" s="229"/>
      <c r="BR155" s="229"/>
      <c r="BS155" s="229"/>
      <c r="BT155" s="229"/>
      <c r="BU155" s="229"/>
      <c r="BV155" s="229"/>
      <c r="BW155" s="229"/>
      <c r="BX155" s="229"/>
      <c r="BY155" s="229"/>
      <c r="BZ155" s="229"/>
      <c r="CA155" s="229"/>
      <c r="CB155" s="327"/>
      <c r="CC155" s="264"/>
      <c r="CD155" s="229"/>
      <c r="CE155" s="229">
        <f t="shared" si="170"/>
        <v>0</v>
      </c>
      <c r="CF155" s="229"/>
      <c r="CG155" s="229"/>
      <c r="CH155" s="228"/>
      <c r="CI155" s="228"/>
      <c r="CJ155" s="228"/>
    </row>
    <row r="156" spans="2:92" ht="15.75">
      <c r="B156" s="82" t="s">
        <v>254</v>
      </c>
      <c r="C156" s="83">
        <v>1012150720906</v>
      </c>
      <c r="D156" s="84" t="s">
        <v>255</v>
      </c>
      <c r="E156" s="199" t="s">
        <v>47</v>
      </c>
      <c r="F156" s="13"/>
      <c r="G156" s="200"/>
      <c r="H156" s="201">
        <f t="shared" si="171"/>
        <v>0</v>
      </c>
      <c r="I156" s="214"/>
      <c r="J156" s="214"/>
      <c r="K156" s="214"/>
      <c r="L156" s="214"/>
      <c r="M156" s="215"/>
      <c r="N156" s="215"/>
      <c r="O156" s="215"/>
      <c r="P156" s="210">
        <f t="shared" si="166"/>
        <v>0</v>
      </c>
      <c r="Q156" s="230">
        <f t="shared" si="189"/>
        <v>0</v>
      </c>
      <c r="R156" s="230">
        <f t="shared" si="172"/>
        <v>0</v>
      </c>
      <c r="S156" s="231"/>
      <c r="T156" s="232"/>
      <c r="U156" s="215"/>
      <c r="V156" s="215"/>
      <c r="W156" s="233">
        <f t="shared" si="173"/>
        <v>0</v>
      </c>
      <c r="X156" s="214"/>
      <c r="Y156" s="214"/>
      <c r="Z156" s="214"/>
      <c r="AA156" s="214"/>
      <c r="AB156" s="214"/>
      <c r="AC156" s="214"/>
      <c r="AD156" s="214"/>
      <c r="AE156" s="241">
        <f t="shared" si="174"/>
        <v>0</v>
      </c>
      <c r="AF156" s="242">
        <f t="shared" si="175"/>
        <v>0</v>
      </c>
      <c r="AG156" s="251">
        <f t="shared" si="176"/>
        <v>0</v>
      </c>
      <c r="AH156" s="247"/>
      <c r="AI156" s="252"/>
      <c r="AJ156" s="214"/>
      <c r="AK156" s="215"/>
      <c r="AL156" s="233">
        <f t="shared" si="177"/>
        <v>0</v>
      </c>
      <c r="AM156" s="255"/>
      <c r="AN156" s="214"/>
      <c r="AO156" s="214"/>
      <c r="AP156" s="214"/>
      <c r="AQ156" s="214"/>
      <c r="AR156" s="214"/>
      <c r="AS156" s="255"/>
      <c r="AT156" s="241">
        <f t="shared" si="178"/>
        <v>0</v>
      </c>
      <c r="AU156" s="242">
        <f t="shared" si="179"/>
        <v>0</v>
      </c>
      <c r="AV156" s="251">
        <f t="shared" si="180"/>
        <v>0</v>
      </c>
      <c r="AW156" s="247"/>
      <c r="AX156" s="247"/>
      <c r="AY156" s="252"/>
      <c r="AZ156" s="214"/>
      <c r="BA156" s="215"/>
      <c r="BB156" s="233">
        <f t="shared" si="181"/>
        <v>0</v>
      </c>
      <c r="BC156" s="214"/>
      <c r="BD156" s="214"/>
      <c r="BE156" s="255"/>
      <c r="BF156" s="214"/>
      <c r="BG156" s="214"/>
      <c r="BH156" s="214"/>
      <c r="BI156" s="214"/>
      <c r="BJ156" s="241">
        <f t="shared" si="182"/>
        <v>0</v>
      </c>
      <c r="BK156" s="242">
        <f t="shared" si="168"/>
        <v>0</v>
      </c>
      <c r="BL156" s="251">
        <f t="shared" si="169"/>
        <v>0</v>
      </c>
      <c r="BM156" s="252"/>
      <c r="BN156" s="252"/>
      <c r="BO156" s="13"/>
      <c r="BP156" s="215"/>
      <c r="BQ156" s="233">
        <f t="shared" si="183"/>
        <v>0</v>
      </c>
      <c r="BR156" s="214"/>
      <c r="BS156" s="214"/>
      <c r="BT156" s="214"/>
      <c r="BU156" s="214"/>
      <c r="BV156" s="215"/>
      <c r="BW156" s="215"/>
      <c r="BX156" s="215"/>
      <c r="BY156" s="241">
        <f t="shared" si="184"/>
        <v>0</v>
      </c>
      <c r="BZ156" s="242">
        <f t="shared" si="188"/>
        <v>0</v>
      </c>
      <c r="CA156" s="251">
        <f t="shared" si="185"/>
        <v>0</v>
      </c>
      <c r="CB156" s="252"/>
      <c r="CC156" s="252"/>
      <c r="CD156" s="251">
        <f t="shared" ref="CD156:CD176" si="192">H156+W156+AL156+BB156+BQ156</f>
        <v>0</v>
      </c>
      <c r="CE156" s="353">
        <f t="shared" si="170"/>
        <v>0</v>
      </c>
      <c r="CF156" s="251">
        <f t="shared" si="186"/>
        <v>0</v>
      </c>
      <c r="CG156" s="251">
        <f t="shared" si="187"/>
        <v>0</v>
      </c>
      <c r="CH156" s="265"/>
      <c r="CI156" s="266"/>
      <c r="CJ156" s="266"/>
      <c r="CK156" s="63"/>
      <c r="CL156" s="267">
        <f t="shared" si="190"/>
        <v>0</v>
      </c>
      <c r="CM156" s="267">
        <f t="shared" ref="CM156:CM170" si="193">CD156/CD$177</f>
        <v>0</v>
      </c>
      <c r="CN156" s="267">
        <f t="shared" si="191"/>
        <v>0</v>
      </c>
    </row>
    <row r="157" spans="2:92" ht="15.75">
      <c r="B157" s="85" t="s">
        <v>256</v>
      </c>
      <c r="C157" s="86">
        <v>1012150793381</v>
      </c>
      <c r="D157" s="87" t="s">
        <v>257</v>
      </c>
      <c r="E157" s="202" t="s">
        <v>50</v>
      </c>
      <c r="F157" s="415">
        <v>360</v>
      </c>
      <c r="G157" s="203"/>
      <c r="H157" s="204">
        <f t="shared" si="171"/>
        <v>360</v>
      </c>
      <c r="I157" s="419">
        <v>359</v>
      </c>
      <c r="J157" s="419"/>
      <c r="K157" s="419"/>
      <c r="L157" s="419"/>
      <c r="M157" s="420"/>
      <c r="N157" s="420"/>
      <c r="O157" s="420"/>
      <c r="P157" s="211">
        <f t="shared" si="166"/>
        <v>359</v>
      </c>
      <c r="Q157" s="234">
        <f t="shared" si="189"/>
        <v>-1</v>
      </c>
      <c r="R157" s="234">
        <f t="shared" si="172"/>
        <v>0</v>
      </c>
      <c r="S157" s="231"/>
      <c r="T157" s="232"/>
      <c r="U157" s="213"/>
      <c r="V157" s="213"/>
      <c r="W157" s="235">
        <f t="shared" si="173"/>
        <v>0</v>
      </c>
      <c r="X157" s="212"/>
      <c r="Y157" s="212"/>
      <c r="Z157" s="212"/>
      <c r="AA157" s="212"/>
      <c r="AB157" s="212"/>
      <c r="AC157" s="212"/>
      <c r="AD157" s="212"/>
      <c r="AE157" s="243">
        <f t="shared" si="174"/>
        <v>0</v>
      </c>
      <c r="AF157" s="337">
        <f t="shared" si="175"/>
        <v>0</v>
      </c>
      <c r="AG157" s="253">
        <f t="shared" si="176"/>
        <v>0</v>
      </c>
      <c r="AH157" s="247"/>
      <c r="AI157" s="252"/>
      <c r="AJ157" s="212"/>
      <c r="AK157" s="213"/>
      <c r="AL157" s="235">
        <f t="shared" si="177"/>
        <v>0</v>
      </c>
      <c r="AM157" s="254"/>
      <c r="AN157" s="212"/>
      <c r="AO157" s="212"/>
      <c r="AP157" s="212"/>
      <c r="AQ157" s="212"/>
      <c r="AR157" s="212"/>
      <c r="AS157" s="254"/>
      <c r="AT157" s="243">
        <f t="shared" si="178"/>
        <v>0</v>
      </c>
      <c r="AU157" s="244">
        <f t="shared" si="179"/>
        <v>0</v>
      </c>
      <c r="AV157" s="253">
        <f t="shared" si="180"/>
        <v>0</v>
      </c>
      <c r="AW157" s="247"/>
      <c r="AX157" s="247"/>
      <c r="AY157" s="252"/>
      <c r="AZ157" s="212"/>
      <c r="BA157" s="213"/>
      <c r="BB157" s="235">
        <f t="shared" si="181"/>
        <v>0</v>
      </c>
      <c r="BC157" s="212"/>
      <c r="BD157" s="212"/>
      <c r="BE157" s="254"/>
      <c r="BF157" s="212"/>
      <c r="BG157" s="212"/>
      <c r="BH157" s="212"/>
      <c r="BI157" s="212"/>
      <c r="BJ157" s="243">
        <f t="shared" si="182"/>
        <v>0</v>
      </c>
      <c r="BK157" s="244">
        <f t="shared" si="168"/>
        <v>0</v>
      </c>
      <c r="BL157" s="253">
        <f t="shared" si="169"/>
        <v>0</v>
      </c>
      <c r="BM157" s="252"/>
      <c r="BN157" s="252"/>
      <c r="BO157" s="205"/>
      <c r="BP157" s="213"/>
      <c r="BQ157" s="235">
        <f t="shared" si="183"/>
        <v>0</v>
      </c>
      <c r="BR157" s="212"/>
      <c r="BS157" s="212"/>
      <c r="BT157" s="212"/>
      <c r="BU157" s="212"/>
      <c r="BV157" s="213"/>
      <c r="BW157" s="213"/>
      <c r="BX157" s="213"/>
      <c r="BY157" s="243">
        <f t="shared" si="184"/>
        <v>0</v>
      </c>
      <c r="BZ157" s="244">
        <f t="shared" si="188"/>
        <v>0</v>
      </c>
      <c r="CA157" s="253">
        <f t="shared" si="185"/>
        <v>0</v>
      </c>
      <c r="CB157" s="328"/>
      <c r="CC157" s="252"/>
      <c r="CD157" s="253">
        <f t="shared" si="192"/>
        <v>360</v>
      </c>
      <c r="CE157" s="353">
        <f t="shared" si="170"/>
        <v>359</v>
      </c>
      <c r="CF157" s="253">
        <f t="shared" si="186"/>
        <v>-1</v>
      </c>
      <c r="CG157" s="253">
        <f t="shared" si="187"/>
        <v>0</v>
      </c>
      <c r="CH157" s="265"/>
      <c r="CI157" s="266"/>
      <c r="CJ157" s="266"/>
      <c r="CK157" s="63"/>
      <c r="CL157" s="267">
        <f t="shared" si="190"/>
        <v>0.99721448467966578</v>
      </c>
      <c r="CM157" s="267">
        <f t="shared" si="193"/>
        <v>6.2413314840499305E-3</v>
      </c>
      <c r="CN157" s="267">
        <f t="shared" si="191"/>
        <v>6.2239461595818254E-3</v>
      </c>
    </row>
    <row r="158" spans="2:92" ht="15.75">
      <c r="B158" s="82" t="s">
        <v>258</v>
      </c>
      <c r="C158" s="83">
        <v>1012150730903</v>
      </c>
      <c r="D158" s="84" t="s">
        <v>259</v>
      </c>
      <c r="E158" s="199" t="s">
        <v>50</v>
      </c>
      <c r="F158" s="414">
        <v>1000</v>
      </c>
      <c r="G158" s="200"/>
      <c r="H158" s="201">
        <f t="shared" si="171"/>
        <v>1000</v>
      </c>
      <c r="I158" s="417"/>
      <c r="J158" s="417"/>
      <c r="K158" s="417"/>
      <c r="L158" s="417"/>
      <c r="M158" s="418"/>
      <c r="N158" s="418"/>
      <c r="O158" s="418">
        <f>200+933</f>
        <v>1133</v>
      </c>
      <c r="P158" s="210">
        <f t="shared" si="166"/>
        <v>1133</v>
      </c>
      <c r="Q158" s="230">
        <f t="shared" si="189"/>
        <v>0</v>
      </c>
      <c r="R158" s="230">
        <f t="shared" si="172"/>
        <v>133</v>
      </c>
      <c r="S158" s="231"/>
      <c r="T158" s="232"/>
      <c r="U158" s="215"/>
      <c r="V158" s="215"/>
      <c r="W158" s="233">
        <f t="shared" si="173"/>
        <v>0</v>
      </c>
      <c r="X158" s="214"/>
      <c r="Y158" s="214"/>
      <c r="Z158" s="214"/>
      <c r="AA158" s="214"/>
      <c r="AB158" s="214"/>
      <c r="AC158" s="214"/>
      <c r="AD158" s="214"/>
      <c r="AE158" s="241">
        <f t="shared" si="174"/>
        <v>0</v>
      </c>
      <c r="AF158" s="241">
        <f t="shared" si="175"/>
        <v>0</v>
      </c>
      <c r="AG158" s="251">
        <f t="shared" si="176"/>
        <v>0</v>
      </c>
      <c r="AH158" s="247"/>
      <c r="AI158" s="252"/>
      <c r="AJ158" s="214"/>
      <c r="AK158" s="215"/>
      <c r="AL158" s="233">
        <f t="shared" si="177"/>
        <v>0</v>
      </c>
      <c r="AM158" s="255"/>
      <c r="AN158" s="214"/>
      <c r="AO158" s="214"/>
      <c r="AP158" s="214"/>
      <c r="AQ158" s="214"/>
      <c r="AR158" s="214"/>
      <c r="AS158" s="255"/>
      <c r="AT158" s="241">
        <f t="shared" si="178"/>
        <v>0</v>
      </c>
      <c r="AU158" s="242">
        <f t="shared" si="179"/>
        <v>0</v>
      </c>
      <c r="AV158" s="251">
        <f t="shared" si="180"/>
        <v>0</v>
      </c>
      <c r="AW158" s="247"/>
      <c r="AX158" s="247"/>
      <c r="AY158" s="252"/>
      <c r="AZ158" s="214"/>
      <c r="BA158" s="215"/>
      <c r="BB158" s="233">
        <f t="shared" si="181"/>
        <v>0</v>
      </c>
      <c r="BC158" s="214"/>
      <c r="BD158" s="214"/>
      <c r="BE158" s="255"/>
      <c r="BF158" s="214"/>
      <c r="BG158" s="214"/>
      <c r="BH158" s="214"/>
      <c r="BI158" s="214"/>
      <c r="BJ158" s="241">
        <f t="shared" si="182"/>
        <v>0</v>
      </c>
      <c r="BK158" s="242">
        <f t="shared" si="168"/>
        <v>0</v>
      </c>
      <c r="BL158" s="251">
        <f t="shared" si="169"/>
        <v>0</v>
      </c>
      <c r="BM158" s="252"/>
      <c r="BN158" s="252"/>
      <c r="BO158" s="13"/>
      <c r="BP158" s="215"/>
      <c r="BQ158" s="233">
        <f t="shared" si="183"/>
        <v>0</v>
      </c>
      <c r="BR158" s="214"/>
      <c r="BS158" s="214"/>
      <c r="BT158" s="214"/>
      <c r="BU158" s="214"/>
      <c r="BV158" s="215"/>
      <c r="BW158" s="215"/>
      <c r="BX158" s="215"/>
      <c r="BY158" s="241">
        <f t="shared" si="184"/>
        <v>0</v>
      </c>
      <c r="BZ158" s="242">
        <f t="shared" si="188"/>
        <v>0</v>
      </c>
      <c r="CA158" s="251">
        <f t="shared" si="185"/>
        <v>0</v>
      </c>
      <c r="CB158" s="252"/>
      <c r="CC158" s="252"/>
      <c r="CD158" s="251">
        <f t="shared" si="192"/>
        <v>1000</v>
      </c>
      <c r="CE158" s="353">
        <f t="shared" si="170"/>
        <v>1133</v>
      </c>
      <c r="CF158" s="251">
        <f t="shared" si="186"/>
        <v>0</v>
      </c>
      <c r="CG158" s="251">
        <f t="shared" si="187"/>
        <v>133</v>
      </c>
      <c r="CH158" s="265"/>
      <c r="CI158" s="266"/>
      <c r="CJ158" s="266"/>
      <c r="CK158" s="63"/>
      <c r="CL158" s="267">
        <f t="shared" si="190"/>
        <v>0.88261253309796994</v>
      </c>
      <c r="CM158" s="267">
        <f t="shared" si="193"/>
        <v>1.7337031900138695E-2</v>
      </c>
      <c r="CN158" s="267">
        <f t="shared" si="191"/>
        <v>1.5301881641781725E-2</v>
      </c>
    </row>
    <row r="159" spans="2:92" ht="15.75">
      <c r="B159" s="85" t="s">
        <v>260</v>
      </c>
      <c r="C159" s="86">
        <v>1012150730602</v>
      </c>
      <c r="D159" s="87" t="s">
        <v>261</v>
      </c>
      <c r="E159" s="202" t="s">
        <v>50</v>
      </c>
      <c r="F159" s="415"/>
      <c r="G159" s="203"/>
      <c r="H159" s="204">
        <f t="shared" si="171"/>
        <v>0</v>
      </c>
      <c r="I159" s="419"/>
      <c r="J159" s="419"/>
      <c r="K159" s="419"/>
      <c r="L159" s="419"/>
      <c r="M159" s="420"/>
      <c r="N159" s="420"/>
      <c r="O159" s="420"/>
      <c r="P159" s="211">
        <f t="shared" si="166"/>
        <v>0</v>
      </c>
      <c r="Q159" s="234">
        <f t="shared" si="189"/>
        <v>0</v>
      </c>
      <c r="R159" s="234">
        <f t="shared" si="172"/>
        <v>0</v>
      </c>
      <c r="S159" s="231"/>
      <c r="T159" s="232"/>
      <c r="U159" s="213"/>
      <c r="V159" s="213"/>
      <c r="W159" s="235">
        <f t="shared" si="173"/>
        <v>0</v>
      </c>
      <c r="X159" s="212"/>
      <c r="Y159" s="212"/>
      <c r="Z159" s="212"/>
      <c r="AA159" s="212"/>
      <c r="AB159" s="212"/>
      <c r="AC159" s="212"/>
      <c r="AD159" s="212"/>
      <c r="AE159" s="243">
        <f t="shared" si="174"/>
        <v>0</v>
      </c>
      <c r="AF159" s="243">
        <f t="shared" si="175"/>
        <v>0</v>
      </c>
      <c r="AG159" s="253">
        <f t="shared" si="176"/>
        <v>0</v>
      </c>
      <c r="AH159" s="247"/>
      <c r="AI159" s="252"/>
      <c r="AJ159" s="212"/>
      <c r="AK159" s="213"/>
      <c r="AL159" s="235">
        <f t="shared" si="177"/>
        <v>0</v>
      </c>
      <c r="AM159" s="254"/>
      <c r="AN159" s="212"/>
      <c r="AO159" s="212"/>
      <c r="AP159" s="212"/>
      <c r="AQ159" s="212"/>
      <c r="AR159" s="212"/>
      <c r="AS159" s="254"/>
      <c r="AT159" s="243">
        <f t="shared" si="178"/>
        <v>0</v>
      </c>
      <c r="AU159" s="244">
        <f t="shared" si="179"/>
        <v>0</v>
      </c>
      <c r="AV159" s="253">
        <f t="shared" si="180"/>
        <v>0</v>
      </c>
      <c r="AW159" s="247"/>
      <c r="AX159" s="247"/>
      <c r="AY159" s="252"/>
      <c r="AZ159" s="212"/>
      <c r="BA159" s="213"/>
      <c r="BB159" s="235">
        <f t="shared" si="181"/>
        <v>0</v>
      </c>
      <c r="BC159" s="212"/>
      <c r="BD159" s="212"/>
      <c r="BE159" s="254"/>
      <c r="BF159" s="212"/>
      <c r="BG159" s="212"/>
      <c r="BH159" s="212"/>
      <c r="BI159" s="212"/>
      <c r="BJ159" s="243">
        <f t="shared" si="182"/>
        <v>0</v>
      </c>
      <c r="BK159" s="244">
        <f t="shared" si="168"/>
        <v>0</v>
      </c>
      <c r="BL159" s="253">
        <f t="shared" si="169"/>
        <v>0</v>
      </c>
      <c r="BM159" s="252"/>
      <c r="BN159" s="252"/>
      <c r="BO159" s="205"/>
      <c r="BP159" s="213"/>
      <c r="BQ159" s="235">
        <f t="shared" si="183"/>
        <v>0</v>
      </c>
      <c r="BR159" s="212"/>
      <c r="BS159" s="212"/>
      <c r="BT159" s="212"/>
      <c r="BU159" s="212"/>
      <c r="BV159" s="213"/>
      <c r="BW159" s="213"/>
      <c r="BX159" s="213"/>
      <c r="BY159" s="243">
        <f t="shared" si="184"/>
        <v>0</v>
      </c>
      <c r="BZ159" s="244">
        <f t="shared" si="188"/>
        <v>0</v>
      </c>
      <c r="CA159" s="253">
        <f t="shared" si="185"/>
        <v>0</v>
      </c>
      <c r="CB159" s="328"/>
      <c r="CC159" s="252"/>
      <c r="CD159" s="253">
        <f t="shared" si="192"/>
        <v>0</v>
      </c>
      <c r="CE159" s="253">
        <f t="shared" si="170"/>
        <v>0</v>
      </c>
      <c r="CF159" s="253">
        <f t="shared" si="186"/>
        <v>0</v>
      </c>
      <c r="CG159" s="253">
        <f t="shared" si="187"/>
        <v>0</v>
      </c>
      <c r="CH159" s="265"/>
      <c r="CI159" s="266"/>
      <c r="CJ159" s="266"/>
      <c r="CK159" s="63"/>
      <c r="CL159" s="267">
        <f t="shared" si="190"/>
        <v>0</v>
      </c>
      <c r="CM159" s="267">
        <f t="shared" si="193"/>
        <v>0</v>
      </c>
      <c r="CN159" s="267">
        <f t="shared" si="191"/>
        <v>0</v>
      </c>
    </row>
    <row r="160" spans="2:92" ht="15.75">
      <c r="B160" s="82" t="s">
        <v>262</v>
      </c>
      <c r="C160" s="83">
        <v>1012150730603</v>
      </c>
      <c r="D160" s="84" t="s">
        <v>263</v>
      </c>
      <c r="E160" s="199" t="s">
        <v>50</v>
      </c>
      <c r="F160" s="414">
        <v>200</v>
      </c>
      <c r="G160" s="200"/>
      <c r="H160" s="201">
        <f t="shared" si="171"/>
        <v>200</v>
      </c>
      <c r="I160" s="417"/>
      <c r="J160" s="417"/>
      <c r="K160" s="417"/>
      <c r="L160" s="417"/>
      <c r="M160" s="417"/>
      <c r="N160" s="418"/>
      <c r="O160" s="418">
        <v>196</v>
      </c>
      <c r="P160" s="210">
        <f t="shared" si="166"/>
        <v>196</v>
      </c>
      <c r="Q160" s="230">
        <f t="shared" si="189"/>
        <v>-4</v>
      </c>
      <c r="R160" s="230">
        <f t="shared" si="172"/>
        <v>0</v>
      </c>
      <c r="S160" s="231"/>
      <c r="T160" s="232"/>
      <c r="U160" s="215"/>
      <c r="V160" s="215"/>
      <c r="W160" s="233">
        <f t="shared" si="173"/>
        <v>0</v>
      </c>
      <c r="X160" s="214"/>
      <c r="Y160" s="214"/>
      <c r="Z160" s="214"/>
      <c r="AA160" s="214"/>
      <c r="AB160" s="214"/>
      <c r="AC160" s="214"/>
      <c r="AD160" s="214"/>
      <c r="AE160" s="241">
        <f t="shared" si="174"/>
        <v>0</v>
      </c>
      <c r="AF160" s="241">
        <f t="shared" si="175"/>
        <v>0</v>
      </c>
      <c r="AG160" s="251">
        <f t="shared" si="176"/>
        <v>0</v>
      </c>
      <c r="AH160" s="247"/>
      <c r="AI160" s="252"/>
      <c r="AJ160" s="214"/>
      <c r="AK160" s="215"/>
      <c r="AL160" s="233">
        <f t="shared" si="177"/>
        <v>0</v>
      </c>
      <c r="AM160" s="255"/>
      <c r="AN160" s="214"/>
      <c r="AO160" s="214"/>
      <c r="AP160" s="214"/>
      <c r="AQ160" s="214"/>
      <c r="AR160" s="214"/>
      <c r="AS160" s="255"/>
      <c r="AT160" s="337">
        <f t="shared" si="178"/>
        <v>0</v>
      </c>
      <c r="AU160" s="242">
        <f t="shared" si="179"/>
        <v>0</v>
      </c>
      <c r="AV160" s="251">
        <f t="shared" si="180"/>
        <v>0</v>
      </c>
      <c r="AW160" s="247"/>
      <c r="AX160" s="247"/>
      <c r="AY160" s="252"/>
      <c r="AZ160" s="217"/>
      <c r="BA160" s="215"/>
      <c r="BB160" s="233">
        <f t="shared" si="181"/>
        <v>0</v>
      </c>
      <c r="BC160" s="214"/>
      <c r="BD160" s="214"/>
      <c r="BE160" s="255"/>
      <c r="BF160" s="214"/>
      <c r="BG160" s="214"/>
      <c r="BH160" s="214"/>
      <c r="BI160" s="214"/>
      <c r="BJ160" s="241">
        <f t="shared" si="182"/>
        <v>0</v>
      </c>
      <c r="BK160" s="242">
        <f t="shared" si="168"/>
        <v>0</v>
      </c>
      <c r="BL160" s="251">
        <f t="shared" si="169"/>
        <v>0</v>
      </c>
      <c r="BM160" s="252"/>
      <c r="BN160" s="252"/>
      <c r="BO160" s="13"/>
      <c r="BP160" s="215"/>
      <c r="BQ160" s="233">
        <f t="shared" si="183"/>
        <v>0</v>
      </c>
      <c r="BR160" s="214"/>
      <c r="BS160" s="214"/>
      <c r="BT160" s="214"/>
      <c r="BU160" s="214"/>
      <c r="BV160" s="214"/>
      <c r="BW160" s="215"/>
      <c r="BX160" s="215"/>
      <c r="BY160" s="241">
        <f t="shared" si="184"/>
        <v>0</v>
      </c>
      <c r="BZ160" s="242">
        <f t="shared" si="188"/>
        <v>0</v>
      </c>
      <c r="CA160" s="251">
        <f t="shared" si="185"/>
        <v>0</v>
      </c>
      <c r="CB160" s="252"/>
      <c r="CC160" s="252"/>
      <c r="CD160" s="251">
        <f t="shared" si="192"/>
        <v>200</v>
      </c>
      <c r="CE160" s="353">
        <f t="shared" si="170"/>
        <v>196</v>
      </c>
      <c r="CF160" s="251">
        <f t="shared" si="186"/>
        <v>-4</v>
      </c>
      <c r="CG160" s="251">
        <f t="shared" si="187"/>
        <v>0</v>
      </c>
      <c r="CH160" s="265"/>
      <c r="CI160" s="266"/>
      <c r="CJ160" s="266"/>
      <c r="CK160" s="63"/>
      <c r="CL160" s="267">
        <f t="shared" si="190"/>
        <v>0.97959183673469385</v>
      </c>
      <c r="CM160" s="267">
        <f t="shared" si="193"/>
        <v>3.4674063800277394E-3</v>
      </c>
      <c r="CN160" s="267">
        <f t="shared" si="191"/>
        <v>3.3966429845169693E-3</v>
      </c>
    </row>
    <row r="161" spans="2:92" ht="15.75">
      <c r="B161" s="85" t="s">
        <v>264</v>
      </c>
      <c r="C161" s="86">
        <v>1012150729591</v>
      </c>
      <c r="D161" s="87" t="s">
        <v>265</v>
      </c>
      <c r="E161" s="202" t="s">
        <v>50</v>
      </c>
      <c r="F161" s="415">
        <v>1200</v>
      </c>
      <c r="G161" s="213"/>
      <c r="H161" s="235">
        <f t="shared" ref="H161:H173" si="194">+F161-G161</f>
        <v>1200</v>
      </c>
      <c r="I161" s="419"/>
      <c r="J161" s="419"/>
      <c r="K161" s="419"/>
      <c r="L161" s="419">
        <v>160</v>
      </c>
      <c r="M161" s="420">
        <v>1041</v>
      </c>
      <c r="N161" s="420"/>
      <c r="O161" s="420"/>
      <c r="P161" s="211">
        <f t="shared" si="166"/>
        <v>1201</v>
      </c>
      <c r="Q161" s="234">
        <f t="shared" si="189"/>
        <v>0</v>
      </c>
      <c r="R161" s="234">
        <f t="shared" si="172"/>
        <v>1</v>
      </c>
      <c r="S161" s="231"/>
      <c r="T161" s="232"/>
      <c r="U161" s="213"/>
      <c r="V161" s="213"/>
      <c r="W161" s="235">
        <f t="shared" si="173"/>
        <v>0</v>
      </c>
      <c r="X161" s="212"/>
      <c r="Y161" s="212"/>
      <c r="Z161" s="212"/>
      <c r="AA161" s="212"/>
      <c r="AB161" s="212"/>
      <c r="AC161" s="212"/>
      <c r="AD161" s="212"/>
      <c r="AE161" s="243">
        <f t="shared" si="174"/>
        <v>0</v>
      </c>
      <c r="AF161" s="243">
        <f t="shared" si="175"/>
        <v>0</v>
      </c>
      <c r="AG161" s="253">
        <f t="shared" si="176"/>
        <v>0</v>
      </c>
      <c r="AH161" s="247"/>
      <c r="AI161" s="252"/>
      <c r="AJ161" s="212"/>
      <c r="AK161" s="213"/>
      <c r="AL161" s="235">
        <f t="shared" si="177"/>
        <v>0</v>
      </c>
      <c r="AM161" s="254"/>
      <c r="AN161" s="212"/>
      <c r="AO161" s="212"/>
      <c r="AP161" s="212"/>
      <c r="AQ161" s="212"/>
      <c r="AR161" s="312"/>
      <c r="AS161" s="254"/>
      <c r="AT161" s="337">
        <f t="shared" si="178"/>
        <v>0</v>
      </c>
      <c r="AU161" s="244">
        <f t="shared" si="179"/>
        <v>0</v>
      </c>
      <c r="AV161" s="253">
        <f t="shared" si="180"/>
        <v>0</v>
      </c>
      <c r="AW161" s="247"/>
      <c r="AX161" s="247"/>
      <c r="AY161" s="252"/>
      <c r="AZ161" s="212"/>
      <c r="BA161" s="213"/>
      <c r="BB161" s="235">
        <f t="shared" si="181"/>
        <v>0</v>
      </c>
      <c r="BC161" s="212"/>
      <c r="BD161" s="212"/>
      <c r="BE161" s="254"/>
      <c r="BF161" s="212"/>
      <c r="BG161" s="212"/>
      <c r="BH161" s="212"/>
      <c r="BI161" s="212"/>
      <c r="BJ161" s="243">
        <f t="shared" si="182"/>
        <v>0</v>
      </c>
      <c r="BK161" s="244">
        <f t="shared" si="168"/>
        <v>0</v>
      </c>
      <c r="BL161" s="253">
        <f t="shared" si="169"/>
        <v>0</v>
      </c>
      <c r="BM161" s="252"/>
      <c r="BN161" s="252"/>
      <c r="BO161" s="205"/>
      <c r="BP161" s="213"/>
      <c r="BQ161" s="235">
        <f t="shared" si="183"/>
        <v>0</v>
      </c>
      <c r="BR161" s="212"/>
      <c r="BS161" s="212"/>
      <c r="BT161" s="212"/>
      <c r="BU161" s="212"/>
      <c r="BV161" s="213"/>
      <c r="BW161" s="213"/>
      <c r="BX161" s="213"/>
      <c r="BY161" s="243">
        <f t="shared" si="184"/>
        <v>0</v>
      </c>
      <c r="BZ161" s="244">
        <f t="shared" si="188"/>
        <v>0</v>
      </c>
      <c r="CA161" s="253">
        <f t="shared" si="185"/>
        <v>0</v>
      </c>
      <c r="CB161" s="328"/>
      <c r="CC161" s="252"/>
      <c r="CD161" s="253">
        <f t="shared" si="192"/>
        <v>1200</v>
      </c>
      <c r="CE161" s="353">
        <f t="shared" si="170"/>
        <v>1201</v>
      </c>
      <c r="CF161" s="253">
        <f t="shared" si="186"/>
        <v>0</v>
      </c>
      <c r="CG161" s="253">
        <f t="shared" si="187"/>
        <v>1</v>
      </c>
      <c r="CH161" s="265"/>
      <c r="CI161" s="266"/>
      <c r="CJ161" s="266"/>
      <c r="CK161" s="63"/>
      <c r="CL161" s="267">
        <f t="shared" si="190"/>
        <v>0.99916736053288924</v>
      </c>
      <c r="CM161" s="267">
        <f t="shared" si="193"/>
        <v>2.0804438280166437E-2</v>
      </c>
      <c r="CN161" s="267">
        <f t="shared" si="191"/>
        <v>2.0787115683763301E-2</v>
      </c>
    </row>
    <row r="162" spans="2:92" ht="15.75">
      <c r="B162" s="82" t="s">
        <v>266</v>
      </c>
      <c r="C162" s="83">
        <v>1012150729593</v>
      </c>
      <c r="D162" s="84" t="s">
        <v>267</v>
      </c>
      <c r="E162" s="199" t="s">
        <v>50</v>
      </c>
      <c r="F162" s="414"/>
      <c r="G162" s="215"/>
      <c r="H162" s="233">
        <f t="shared" si="194"/>
        <v>0</v>
      </c>
      <c r="I162" s="417"/>
      <c r="J162" s="417"/>
      <c r="K162" s="417"/>
      <c r="L162" s="417"/>
      <c r="M162" s="418"/>
      <c r="N162" s="418"/>
      <c r="O162" s="418"/>
      <c r="P162" s="210">
        <f t="shared" si="166"/>
        <v>0</v>
      </c>
      <c r="Q162" s="230">
        <f t="shared" si="189"/>
        <v>0</v>
      </c>
      <c r="R162" s="230">
        <f t="shared" si="172"/>
        <v>0</v>
      </c>
      <c r="S162" s="231"/>
      <c r="T162" s="232"/>
      <c r="U162" s="215"/>
      <c r="V162" s="215"/>
      <c r="W162" s="233">
        <f t="shared" si="173"/>
        <v>0</v>
      </c>
      <c r="X162" s="214"/>
      <c r="Y162" s="214"/>
      <c r="Z162" s="214"/>
      <c r="AA162" s="214"/>
      <c r="AB162" s="214"/>
      <c r="AC162" s="214"/>
      <c r="AD162" s="214"/>
      <c r="AE162" s="241">
        <f t="shared" si="174"/>
        <v>0</v>
      </c>
      <c r="AF162" s="241">
        <f t="shared" si="175"/>
        <v>0</v>
      </c>
      <c r="AG162" s="251">
        <f t="shared" si="176"/>
        <v>0</v>
      </c>
      <c r="AH162" s="247"/>
      <c r="AI162" s="252"/>
      <c r="AJ162" s="214"/>
      <c r="AK162" s="215"/>
      <c r="AL162" s="233">
        <f t="shared" si="177"/>
        <v>0</v>
      </c>
      <c r="AM162" s="255"/>
      <c r="AN162" s="214"/>
      <c r="AO162" s="214"/>
      <c r="AP162" s="214"/>
      <c r="AQ162" s="214"/>
      <c r="AR162" s="214"/>
      <c r="AS162" s="255"/>
      <c r="AT162" s="241">
        <f t="shared" si="178"/>
        <v>0</v>
      </c>
      <c r="AU162" s="242">
        <f t="shared" si="179"/>
        <v>0</v>
      </c>
      <c r="AV162" s="251">
        <f t="shared" si="180"/>
        <v>0</v>
      </c>
      <c r="AW162" s="247"/>
      <c r="AX162" s="247"/>
      <c r="AY162" s="252"/>
      <c r="AZ162" s="214"/>
      <c r="BA162" s="215"/>
      <c r="BB162" s="233">
        <f t="shared" si="181"/>
        <v>0</v>
      </c>
      <c r="BC162" s="214"/>
      <c r="BD162" s="214"/>
      <c r="BE162" s="255"/>
      <c r="BF162" s="214"/>
      <c r="BG162" s="214"/>
      <c r="BH162" s="214"/>
      <c r="BI162" s="214"/>
      <c r="BJ162" s="241">
        <f t="shared" si="182"/>
        <v>0</v>
      </c>
      <c r="BK162" s="242">
        <f t="shared" si="168"/>
        <v>0</v>
      </c>
      <c r="BL162" s="251">
        <f t="shared" si="169"/>
        <v>0</v>
      </c>
      <c r="BM162" s="252"/>
      <c r="BN162" s="252"/>
      <c r="BO162" s="13"/>
      <c r="BP162" s="215"/>
      <c r="BQ162" s="233">
        <f t="shared" si="183"/>
        <v>0</v>
      </c>
      <c r="BR162" s="214"/>
      <c r="BS162" s="214"/>
      <c r="BT162" s="214"/>
      <c r="BU162" s="214"/>
      <c r="BV162" s="215"/>
      <c r="BW162" s="215"/>
      <c r="BX162" s="215"/>
      <c r="BY162" s="241">
        <f t="shared" si="184"/>
        <v>0</v>
      </c>
      <c r="BZ162" s="242">
        <f t="shared" si="188"/>
        <v>0</v>
      </c>
      <c r="CA162" s="251">
        <f t="shared" si="185"/>
        <v>0</v>
      </c>
      <c r="CB162" s="252"/>
      <c r="CC162" s="252"/>
      <c r="CD162" s="251">
        <f t="shared" si="192"/>
        <v>0</v>
      </c>
      <c r="CE162" s="251">
        <f t="shared" si="170"/>
        <v>0</v>
      </c>
      <c r="CF162" s="251">
        <f t="shared" si="186"/>
        <v>0</v>
      </c>
      <c r="CG162" s="251">
        <f t="shared" si="187"/>
        <v>0</v>
      </c>
      <c r="CH162" s="265"/>
      <c r="CI162" s="266"/>
      <c r="CJ162" s="266"/>
      <c r="CK162" s="63"/>
      <c r="CL162" s="267">
        <f t="shared" si="190"/>
        <v>0</v>
      </c>
      <c r="CM162" s="267">
        <f t="shared" si="193"/>
        <v>0</v>
      </c>
      <c r="CN162" s="267">
        <f t="shared" si="191"/>
        <v>0</v>
      </c>
    </row>
    <row r="163" spans="2:92" ht="15.75">
      <c r="B163" s="85" t="s">
        <v>268</v>
      </c>
      <c r="C163" s="86">
        <v>1012150730605</v>
      </c>
      <c r="D163" s="87" t="s">
        <v>269</v>
      </c>
      <c r="E163" s="202" t="s">
        <v>50</v>
      </c>
      <c r="F163" s="415">
        <v>1200</v>
      </c>
      <c r="G163" s="213"/>
      <c r="H163" s="235">
        <f t="shared" si="194"/>
        <v>1200</v>
      </c>
      <c r="I163" s="419"/>
      <c r="J163" s="419"/>
      <c r="K163" s="419"/>
      <c r="L163" s="419"/>
      <c r="M163" s="420">
        <f>763+440</f>
        <v>1203</v>
      </c>
      <c r="N163" s="420"/>
      <c r="O163" s="420"/>
      <c r="P163" s="211">
        <f t="shared" si="166"/>
        <v>1203</v>
      </c>
      <c r="Q163" s="234">
        <f t="shared" si="189"/>
        <v>0</v>
      </c>
      <c r="R163" s="234">
        <f t="shared" si="172"/>
        <v>3</v>
      </c>
      <c r="S163" s="231"/>
      <c r="T163" s="232"/>
      <c r="U163" s="213"/>
      <c r="V163" s="213"/>
      <c r="W163" s="235">
        <f t="shared" si="173"/>
        <v>0</v>
      </c>
      <c r="X163" s="212"/>
      <c r="Y163" s="212"/>
      <c r="Z163" s="212"/>
      <c r="AA163" s="212"/>
      <c r="AB163" s="212"/>
      <c r="AC163" s="212"/>
      <c r="AD163" s="212"/>
      <c r="AE163" s="243">
        <f t="shared" si="174"/>
        <v>0</v>
      </c>
      <c r="AF163" s="243">
        <f t="shared" si="175"/>
        <v>0</v>
      </c>
      <c r="AG163" s="253">
        <f t="shared" si="176"/>
        <v>0</v>
      </c>
      <c r="AH163" s="247"/>
      <c r="AI163" s="252"/>
      <c r="AJ163" s="212"/>
      <c r="AK163" s="213"/>
      <c r="AL163" s="235">
        <f t="shared" si="177"/>
        <v>0</v>
      </c>
      <c r="AM163" s="254"/>
      <c r="AN163" s="212"/>
      <c r="AO163" s="212"/>
      <c r="AP163" s="212"/>
      <c r="AQ163" s="212"/>
      <c r="AR163" s="212"/>
      <c r="AS163" s="254"/>
      <c r="AT163" s="243">
        <f t="shared" si="178"/>
        <v>0</v>
      </c>
      <c r="AU163" s="244">
        <f t="shared" si="179"/>
        <v>0</v>
      </c>
      <c r="AV163" s="253">
        <f t="shared" si="180"/>
        <v>0</v>
      </c>
      <c r="AW163" s="247"/>
      <c r="AX163" s="247"/>
      <c r="AY163" s="252"/>
      <c r="AZ163" s="212"/>
      <c r="BA163" s="213"/>
      <c r="BB163" s="235">
        <f t="shared" si="181"/>
        <v>0</v>
      </c>
      <c r="BC163" s="212"/>
      <c r="BD163" s="212"/>
      <c r="BE163" s="254"/>
      <c r="BF163" s="212"/>
      <c r="BG163" s="212"/>
      <c r="BH163" s="212"/>
      <c r="BI163" s="212"/>
      <c r="BJ163" s="243">
        <f t="shared" si="182"/>
        <v>0</v>
      </c>
      <c r="BK163" s="244">
        <f t="shared" si="168"/>
        <v>0</v>
      </c>
      <c r="BL163" s="253">
        <f t="shared" si="169"/>
        <v>0</v>
      </c>
      <c r="BM163" s="252"/>
      <c r="BN163" s="252"/>
      <c r="BO163" s="205"/>
      <c r="BP163" s="213"/>
      <c r="BQ163" s="235">
        <f t="shared" si="183"/>
        <v>0</v>
      </c>
      <c r="BR163" s="212"/>
      <c r="BS163" s="212"/>
      <c r="BT163" s="212"/>
      <c r="BU163" s="212"/>
      <c r="BV163" s="213"/>
      <c r="BW163" s="213"/>
      <c r="BX163" s="213"/>
      <c r="BY163" s="243">
        <f t="shared" si="184"/>
        <v>0</v>
      </c>
      <c r="BZ163" s="244">
        <f t="shared" si="188"/>
        <v>0</v>
      </c>
      <c r="CA163" s="253">
        <f t="shared" si="185"/>
        <v>0</v>
      </c>
      <c r="CB163" s="328"/>
      <c r="CC163" s="252"/>
      <c r="CD163" s="253">
        <f t="shared" si="192"/>
        <v>1200</v>
      </c>
      <c r="CE163" s="353">
        <f t="shared" si="170"/>
        <v>1203</v>
      </c>
      <c r="CF163" s="253">
        <f t="shared" si="186"/>
        <v>0</v>
      </c>
      <c r="CG163" s="253">
        <f t="shared" si="187"/>
        <v>3</v>
      </c>
      <c r="CH163" s="265"/>
      <c r="CI163" s="266"/>
      <c r="CJ163" s="266"/>
      <c r="CK163" s="63"/>
      <c r="CL163" s="267">
        <f t="shared" si="190"/>
        <v>0.99750623441396513</v>
      </c>
      <c r="CM163" s="267">
        <f t="shared" si="193"/>
        <v>2.0804438280166437E-2</v>
      </c>
      <c r="CN163" s="267">
        <f t="shared" si="191"/>
        <v>2.0752556887946572E-2</v>
      </c>
    </row>
    <row r="164" spans="2:92" ht="15.75">
      <c r="B164" s="82" t="s">
        <v>270</v>
      </c>
      <c r="C164" s="83">
        <v>1012150730608</v>
      </c>
      <c r="D164" s="84" t="s">
        <v>271</v>
      </c>
      <c r="E164" s="199" t="s">
        <v>50</v>
      </c>
      <c r="F164" s="414">
        <v>120</v>
      </c>
      <c r="G164" s="215"/>
      <c r="H164" s="233">
        <f t="shared" si="194"/>
        <v>120</v>
      </c>
      <c r="I164" s="417"/>
      <c r="J164" s="417"/>
      <c r="K164" s="417"/>
      <c r="L164" s="417"/>
      <c r="M164" s="418"/>
      <c r="N164" s="418"/>
      <c r="O164" s="418">
        <f>320-200</f>
        <v>120</v>
      </c>
      <c r="P164" s="210">
        <f t="shared" si="166"/>
        <v>120</v>
      </c>
      <c r="Q164" s="230">
        <f t="shared" si="189"/>
        <v>0</v>
      </c>
      <c r="R164" s="230">
        <f t="shared" si="172"/>
        <v>0</v>
      </c>
      <c r="S164" s="231"/>
      <c r="T164" s="232"/>
      <c r="U164" s="215"/>
      <c r="V164" s="215"/>
      <c r="W164" s="233">
        <f t="shared" si="173"/>
        <v>0</v>
      </c>
      <c r="X164" s="214"/>
      <c r="Y164" s="214"/>
      <c r="Z164" s="214"/>
      <c r="AA164" s="214"/>
      <c r="AB164" s="214"/>
      <c r="AC164" s="214"/>
      <c r="AD164" s="214"/>
      <c r="AE164" s="241">
        <f t="shared" si="174"/>
        <v>0</v>
      </c>
      <c r="AF164" s="241">
        <f t="shared" si="175"/>
        <v>0</v>
      </c>
      <c r="AG164" s="251">
        <f t="shared" si="176"/>
        <v>0</v>
      </c>
      <c r="AH164" s="247"/>
      <c r="AI164" s="252"/>
      <c r="AJ164" s="214"/>
      <c r="AK164" s="215"/>
      <c r="AL164" s="233">
        <f t="shared" si="177"/>
        <v>0</v>
      </c>
      <c r="AM164" s="255"/>
      <c r="AN164" s="214"/>
      <c r="AO164" s="214"/>
      <c r="AP164" s="214"/>
      <c r="AQ164" s="214"/>
      <c r="AR164" s="214"/>
      <c r="AS164" s="255"/>
      <c r="AT164" s="337">
        <f t="shared" si="178"/>
        <v>0</v>
      </c>
      <c r="AU164" s="242">
        <f t="shared" si="179"/>
        <v>0</v>
      </c>
      <c r="AV164" s="251">
        <f t="shared" si="180"/>
        <v>0</v>
      </c>
      <c r="AW164" s="247"/>
      <c r="AX164" s="247"/>
      <c r="AY164" s="252"/>
      <c r="AZ164" s="214"/>
      <c r="BA164" s="215"/>
      <c r="BB164" s="233">
        <f t="shared" si="181"/>
        <v>0</v>
      </c>
      <c r="BC164" s="214"/>
      <c r="BD164" s="214"/>
      <c r="BE164" s="255"/>
      <c r="BF164" s="214"/>
      <c r="BG164" s="214"/>
      <c r="BH164" s="214"/>
      <c r="BI164" s="214"/>
      <c r="BJ164" s="241">
        <f t="shared" si="182"/>
        <v>0</v>
      </c>
      <c r="BK164" s="242">
        <f t="shared" si="168"/>
        <v>0</v>
      </c>
      <c r="BL164" s="251">
        <f t="shared" si="169"/>
        <v>0</v>
      </c>
      <c r="BM164" s="252"/>
      <c r="BN164" s="252"/>
      <c r="BO164" s="13"/>
      <c r="BP164" s="215"/>
      <c r="BQ164" s="233">
        <f t="shared" si="183"/>
        <v>0</v>
      </c>
      <c r="BR164" s="214"/>
      <c r="BS164" s="214"/>
      <c r="BT164" s="214"/>
      <c r="BU164" s="214"/>
      <c r="BV164" s="215"/>
      <c r="BW164" s="215"/>
      <c r="BX164" s="215"/>
      <c r="BY164" s="241">
        <f t="shared" si="184"/>
        <v>0</v>
      </c>
      <c r="BZ164" s="242">
        <f t="shared" si="188"/>
        <v>0</v>
      </c>
      <c r="CA164" s="251">
        <f t="shared" si="185"/>
        <v>0</v>
      </c>
      <c r="CB164" s="252"/>
      <c r="CC164" s="252"/>
      <c r="CD164" s="251">
        <f t="shared" si="192"/>
        <v>120</v>
      </c>
      <c r="CE164" s="353">
        <f t="shared" si="170"/>
        <v>120</v>
      </c>
      <c r="CF164" s="251">
        <f t="shared" si="186"/>
        <v>0</v>
      </c>
      <c r="CG164" s="251">
        <f t="shared" si="187"/>
        <v>0</v>
      </c>
      <c r="CH164" s="265"/>
      <c r="CI164" s="266"/>
      <c r="CJ164" s="266"/>
      <c r="CK164" s="63"/>
      <c r="CL164" s="267">
        <f t="shared" si="190"/>
        <v>1</v>
      </c>
      <c r="CM164" s="267">
        <f t="shared" si="193"/>
        <v>2.0804438280166435E-3</v>
      </c>
      <c r="CN164" s="267">
        <f t="shared" si="191"/>
        <v>2.0804438280166435E-3</v>
      </c>
    </row>
    <row r="165" spans="2:92" ht="15.75">
      <c r="B165" s="85" t="s">
        <v>272</v>
      </c>
      <c r="C165" s="86">
        <v>1012150720903</v>
      </c>
      <c r="D165" s="87" t="s">
        <v>273</v>
      </c>
      <c r="E165" s="202" t="s">
        <v>50</v>
      </c>
      <c r="F165" s="415"/>
      <c r="G165" s="213"/>
      <c r="H165" s="235">
        <f t="shared" si="194"/>
        <v>0</v>
      </c>
      <c r="I165" s="419"/>
      <c r="J165" s="419"/>
      <c r="K165" s="419"/>
      <c r="L165" s="419"/>
      <c r="M165" s="420"/>
      <c r="N165" s="420"/>
      <c r="O165" s="420"/>
      <c r="P165" s="211">
        <f t="shared" si="166"/>
        <v>0</v>
      </c>
      <c r="Q165" s="234">
        <f t="shared" si="189"/>
        <v>0</v>
      </c>
      <c r="R165" s="234">
        <f t="shared" si="172"/>
        <v>0</v>
      </c>
      <c r="S165" s="231"/>
      <c r="T165" s="232"/>
      <c r="U165" s="213"/>
      <c r="V165" s="213"/>
      <c r="W165" s="235">
        <f t="shared" si="173"/>
        <v>0</v>
      </c>
      <c r="X165" s="212"/>
      <c r="Y165" s="212"/>
      <c r="Z165" s="212"/>
      <c r="AA165" s="212"/>
      <c r="AB165" s="212"/>
      <c r="AC165" s="212"/>
      <c r="AD165" s="212"/>
      <c r="AE165" s="243">
        <f t="shared" si="174"/>
        <v>0</v>
      </c>
      <c r="AF165" s="243">
        <f t="shared" si="175"/>
        <v>0</v>
      </c>
      <c r="AG165" s="253">
        <f t="shared" si="176"/>
        <v>0</v>
      </c>
      <c r="AH165" s="247"/>
      <c r="AI165" s="252"/>
      <c r="AJ165" s="212"/>
      <c r="AK165" s="213"/>
      <c r="AL165" s="235">
        <f t="shared" si="177"/>
        <v>0</v>
      </c>
      <c r="AM165" s="254"/>
      <c r="AN165" s="212"/>
      <c r="AO165" s="212"/>
      <c r="AP165" s="212"/>
      <c r="AQ165" s="212"/>
      <c r="AR165" s="212"/>
      <c r="AS165" s="254"/>
      <c r="AT165" s="243">
        <f t="shared" si="178"/>
        <v>0</v>
      </c>
      <c r="AU165" s="244">
        <f t="shared" si="179"/>
        <v>0</v>
      </c>
      <c r="AV165" s="253">
        <f t="shared" si="180"/>
        <v>0</v>
      </c>
      <c r="AW165" s="247"/>
      <c r="AX165" s="247"/>
      <c r="AY165" s="252"/>
      <c r="AZ165" s="212"/>
      <c r="BA165" s="213"/>
      <c r="BB165" s="235">
        <f t="shared" si="181"/>
        <v>0</v>
      </c>
      <c r="BC165" s="212"/>
      <c r="BD165" s="212"/>
      <c r="BE165" s="254"/>
      <c r="BF165" s="212"/>
      <c r="BG165" s="212"/>
      <c r="BH165" s="212"/>
      <c r="BI165" s="212"/>
      <c r="BJ165" s="243">
        <f t="shared" si="182"/>
        <v>0</v>
      </c>
      <c r="BK165" s="244">
        <f t="shared" si="168"/>
        <v>0</v>
      </c>
      <c r="BL165" s="253">
        <f t="shared" si="169"/>
        <v>0</v>
      </c>
      <c r="BM165" s="252"/>
      <c r="BN165" s="252"/>
      <c r="BO165" s="205"/>
      <c r="BP165" s="213"/>
      <c r="BQ165" s="235">
        <f t="shared" si="183"/>
        <v>0</v>
      </c>
      <c r="BR165" s="212"/>
      <c r="BS165" s="212"/>
      <c r="BT165" s="212"/>
      <c r="BU165" s="212"/>
      <c r="BV165" s="213"/>
      <c r="BW165" s="213"/>
      <c r="BX165" s="213"/>
      <c r="BY165" s="243">
        <f t="shared" si="184"/>
        <v>0</v>
      </c>
      <c r="BZ165" s="244">
        <f t="shared" si="188"/>
        <v>0</v>
      </c>
      <c r="CA165" s="253">
        <f t="shared" si="185"/>
        <v>0</v>
      </c>
      <c r="CB165" s="328"/>
      <c r="CC165" s="252"/>
      <c r="CD165" s="253">
        <f t="shared" si="192"/>
        <v>0</v>
      </c>
      <c r="CE165" s="253">
        <f t="shared" si="170"/>
        <v>0</v>
      </c>
      <c r="CF165" s="253">
        <f t="shared" si="186"/>
        <v>0</v>
      </c>
      <c r="CG165" s="253">
        <f t="shared" si="187"/>
        <v>0</v>
      </c>
      <c r="CH165" s="265"/>
      <c r="CI165" s="266"/>
      <c r="CJ165" s="266"/>
      <c r="CK165" s="63"/>
      <c r="CL165" s="267">
        <f t="shared" si="190"/>
        <v>0</v>
      </c>
      <c r="CM165" s="267">
        <f t="shared" si="193"/>
        <v>0</v>
      </c>
      <c r="CN165" s="267">
        <f t="shared" si="191"/>
        <v>0</v>
      </c>
    </row>
    <row r="166" spans="2:92" ht="15.75">
      <c r="B166" s="82" t="s">
        <v>274</v>
      </c>
      <c r="C166" s="83">
        <v>1012150798924</v>
      </c>
      <c r="D166" s="84" t="s">
        <v>275</v>
      </c>
      <c r="E166" s="199" t="s">
        <v>50</v>
      </c>
      <c r="F166" s="414">
        <v>200</v>
      </c>
      <c r="G166" s="215"/>
      <c r="H166" s="233">
        <f t="shared" si="194"/>
        <v>200</v>
      </c>
      <c r="I166" s="417"/>
      <c r="J166" s="417"/>
      <c r="K166" s="417"/>
      <c r="L166" s="417"/>
      <c r="M166" s="418">
        <v>178</v>
      </c>
      <c r="N166" s="418"/>
      <c r="O166" s="418"/>
      <c r="P166" s="210">
        <f t="shared" si="166"/>
        <v>178</v>
      </c>
      <c r="Q166" s="230">
        <f t="shared" si="189"/>
        <v>-22</v>
      </c>
      <c r="R166" s="230">
        <f t="shared" si="172"/>
        <v>0</v>
      </c>
      <c r="S166" s="231"/>
      <c r="T166" s="232"/>
      <c r="U166" s="215"/>
      <c r="V166" s="215"/>
      <c r="W166" s="233">
        <f t="shared" si="173"/>
        <v>0</v>
      </c>
      <c r="X166" s="214"/>
      <c r="Y166" s="214"/>
      <c r="Z166" s="214"/>
      <c r="AA166" s="214"/>
      <c r="AB166" s="214"/>
      <c r="AC166" s="214"/>
      <c r="AD166" s="214"/>
      <c r="AE166" s="241">
        <f t="shared" si="174"/>
        <v>0</v>
      </c>
      <c r="AF166" s="241">
        <f t="shared" si="175"/>
        <v>0</v>
      </c>
      <c r="AG166" s="251">
        <f t="shared" si="176"/>
        <v>0</v>
      </c>
      <c r="AH166" s="247"/>
      <c r="AI166" s="252"/>
      <c r="AJ166" s="214"/>
      <c r="AK166" s="215"/>
      <c r="AL166" s="233">
        <f t="shared" si="177"/>
        <v>0</v>
      </c>
      <c r="AM166" s="255"/>
      <c r="AN166" s="214"/>
      <c r="AO166" s="214"/>
      <c r="AP166" s="214"/>
      <c r="AQ166" s="214"/>
      <c r="AR166" s="214"/>
      <c r="AS166" s="255"/>
      <c r="AT166" s="339">
        <f t="shared" si="178"/>
        <v>0</v>
      </c>
      <c r="AU166" s="242">
        <f t="shared" si="179"/>
        <v>0</v>
      </c>
      <c r="AV166" s="251">
        <f t="shared" si="180"/>
        <v>0</v>
      </c>
      <c r="AW166" s="247"/>
      <c r="AX166" s="247"/>
      <c r="AY166" s="252"/>
      <c r="AZ166" s="214"/>
      <c r="BA166" s="215"/>
      <c r="BB166" s="233">
        <f t="shared" si="181"/>
        <v>0</v>
      </c>
      <c r="BC166" s="214"/>
      <c r="BD166" s="214"/>
      <c r="BE166" s="255"/>
      <c r="BF166" s="214"/>
      <c r="BG166" s="214"/>
      <c r="BH166" s="214"/>
      <c r="BI166" s="214"/>
      <c r="BJ166" s="241">
        <f t="shared" si="182"/>
        <v>0</v>
      </c>
      <c r="BK166" s="242">
        <f t="shared" si="168"/>
        <v>0</v>
      </c>
      <c r="BL166" s="251">
        <f t="shared" si="169"/>
        <v>0</v>
      </c>
      <c r="BM166" s="252"/>
      <c r="BN166" s="252"/>
      <c r="BO166" s="13"/>
      <c r="BP166" s="215"/>
      <c r="BQ166" s="233">
        <f t="shared" si="183"/>
        <v>0</v>
      </c>
      <c r="BR166" s="214"/>
      <c r="BS166" s="214"/>
      <c r="BT166" s="214"/>
      <c r="BU166" s="214"/>
      <c r="BV166" s="215"/>
      <c r="BW166" s="215"/>
      <c r="BX166" s="215"/>
      <c r="BY166" s="241">
        <f t="shared" si="184"/>
        <v>0</v>
      </c>
      <c r="BZ166" s="242">
        <f t="shared" si="188"/>
        <v>0</v>
      </c>
      <c r="CA166" s="251">
        <f t="shared" si="185"/>
        <v>0</v>
      </c>
      <c r="CB166" s="252"/>
      <c r="CC166" s="252"/>
      <c r="CD166" s="251">
        <f t="shared" si="192"/>
        <v>200</v>
      </c>
      <c r="CE166" s="353">
        <f t="shared" si="170"/>
        <v>178</v>
      </c>
      <c r="CF166" s="251">
        <f t="shared" si="186"/>
        <v>-22</v>
      </c>
      <c r="CG166" s="251">
        <f t="shared" si="187"/>
        <v>0</v>
      </c>
      <c r="CH166" s="265"/>
      <c r="CI166" s="266"/>
      <c r="CJ166" s="266"/>
      <c r="CK166" s="63"/>
      <c r="CL166" s="267">
        <f t="shared" si="190"/>
        <v>0.8764044943820225</v>
      </c>
      <c r="CM166" s="267">
        <f t="shared" si="193"/>
        <v>3.4674063800277394E-3</v>
      </c>
      <c r="CN166" s="267">
        <f t="shared" si="191"/>
        <v>3.0388505353052099E-3</v>
      </c>
    </row>
    <row r="167" spans="2:92" ht="15.75">
      <c r="B167" s="85" t="s">
        <v>276</v>
      </c>
      <c r="C167" s="86">
        <v>1012150799001</v>
      </c>
      <c r="D167" s="87" t="s">
        <v>277</v>
      </c>
      <c r="E167" s="202" t="s">
        <v>50</v>
      </c>
      <c r="F167" s="415">
        <v>160</v>
      </c>
      <c r="G167" s="213"/>
      <c r="H167" s="235">
        <f t="shared" si="194"/>
        <v>160</v>
      </c>
      <c r="I167" s="419"/>
      <c r="J167" s="419"/>
      <c r="K167" s="419"/>
      <c r="L167" s="419"/>
      <c r="M167" s="420">
        <v>164</v>
      </c>
      <c r="N167" s="420"/>
      <c r="O167" s="420"/>
      <c r="P167" s="211">
        <f t="shared" si="166"/>
        <v>164</v>
      </c>
      <c r="Q167" s="234">
        <f t="shared" si="189"/>
        <v>0</v>
      </c>
      <c r="R167" s="234">
        <f t="shared" si="172"/>
        <v>4</v>
      </c>
      <c r="S167" s="231"/>
      <c r="T167" s="232"/>
      <c r="U167" s="213"/>
      <c r="V167" s="213"/>
      <c r="W167" s="235">
        <f t="shared" si="173"/>
        <v>0</v>
      </c>
      <c r="X167" s="212"/>
      <c r="Y167" s="212"/>
      <c r="Z167" s="212"/>
      <c r="AA167" s="212"/>
      <c r="AB167" s="212"/>
      <c r="AC167" s="212"/>
      <c r="AD167" s="212"/>
      <c r="AE167" s="243">
        <f t="shared" si="174"/>
        <v>0</v>
      </c>
      <c r="AF167" s="244">
        <f t="shared" si="175"/>
        <v>0</v>
      </c>
      <c r="AG167" s="253">
        <f t="shared" si="176"/>
        <v>0</v>
      </c>
      <c r="AH167" s="247"/>
      <c r="AI167" s="252"/>
      <c r="AJ167" s="212"/>
      <c r="AK167" s="213"/>
      <c r="AL167" s="235">
        <f t="shared" si="177"/>
        <v>0</v>
      </c>
      <c r="AM167" s="254"/>
      <c r="AN167" s="212"/>
      <c r="AO167" s="212"/>
      <c r="AP167" s="212"/>
      <c r="AQ167" s="212"/>
      <c r="AR167" s="212"/>
      <c r="AS167" s="254"/>
      <c r="AT167" s="243">
        <f t="shared" si="178"/>
        <v>0</v>
      </c>
      <c r="AU167" s="244">
        <f t="shared" si="179"/>
        <v>0</v>
      </c>
      <c r="AV167" s="253">
        <f t="shared" si="180"/>
        <v>0</v>
      </c>
      <c r="AW167" s="247"/>
      <c r="AX167" s="247"/>
      <c r="AY167" s="252"/>
      <c r="AZ167" s="212"/>
      <c r="BA167" s="213"/>
      <c r="BB167" s="235">
        <f t="shared" si="181"/>
        <v>0</v>
      </c>
      <c r="BC167" s="212"/>
      <c r="BD167" s="212"/>
      <c r="BE167" s="254"/>
      <c r="BF167" s="212"/>
      <c r="BG167" s="212"/>
      <c r="BH167" s="212"/>
      <c r="BI167" s="212"/>
      <c r="BJ167" s="243">
        <f t="shared" si="182"/>
        <v>0</v>
      </c>
      <c r="BK167" s="244">
        <f t="shared" si="168"/>
        <v>0</v>
      </c>
      <c r="BL167" s="253">
        <f t="shared" si="169"/>
        <v>0</v>
      </c>
      <c r="BM167" s="252"/>
      <c r="BN167" s="252"/>
      <c r="BO167" s="205"/>
      <c r="BP167" s="213"/>
      <c r="BQ167" s="235">
        <f t="shared" si="183"/>
        <v>0</v>
      </c>
      <c r="BR167" s="212"/>
      <c r="BS167" s="212"/>
      <c r="BT167" s="212"/>
      <c r="BU167" s="212"/>
      <c r="BV167" s="213"/>
      <c r="BW167" s="213"/>
      <c r="BX167" s="213"/>
      <c r="BY167" s="243">
        <f t="shared" si="184"/>
        <v>0</v>
      </c>
      <c r="BZ167" s="244">
        <f t="shared" si="188"/>
        <v>0</v>
      </c>
      <c r="CA167" s="253">
        <f t="shared" si="185"/>
        <v>0</v>
      </c>
      <c r="CB167" s="328"/>
      <c r="CC167" s="252"/>
      <c r="CD167" s="253">
        <f t="shared" si="192"/>
        <v>160</v>
      </c>
      <c r="CE167" s="353">
        <f t="shared" si="170"/>
        <v>164</v>
      </c>
      <c r="CF167" s="253">
        <f t="shared" si="186"/>
        <v>0</v>
      </c>
      <c r="CG167" s="253">
        <f t="shared" si="187"/>
        <v>4</v>
      </c>
      <c r="CH167" s="265"/>
      <c r="CI167" s="266"/>
      <c r="CJ167" s="266"/>
      <c r="CK167" s="63"/>
      <c r="CL167" s="267">
        <f t="shared" si="190"/>
        <v>0.97560975609756095</v>
      </c>
      <c r="CM167" s="267">
        <f t="shared" si="193"/>
        <v>2.7739251040221915E-3</v>
      </c>
      <c r="CN167" s="267">
        <f t="shared" si="191"/>
        <v>2.7062683941679916E-3</v>
      </c>
    </row>
    <row r="168" spans="2:92" ht="15.75">
      <c r="B168" s="82" t="s">
        <v>278</v>
      </c>
      <c r="C168" s="83">
        <v>1012150799000</v>
      </c>
      <c r="D168" s="84" t="s">
        <v>279</v>
      </c>
      <c r="E168" s="199" t="s">
        <v>50</v>
      </c>
      <c r="F168" s="414">
        <v>360</v>
      </c>
      <c r="G168" s="215"/>
      <c r="H168" s="233">
        <f t="shared" si="194"/>
        <v>360</v>
      </c>
      <c r="I168" s="417"/>
      <c r="J168" s="417"/>
      <c r="K168" s="417"/>
      <c r="L168" s="417"/>
      <c r="M168" s="418"/>
      <c r="N168" s="418"/>
      <c r="O168" s="418">
        <v>360</v>
      </c>
      <c r="P168" s="210">
        <f t="shared" si="166"/>
        <v>360</v>
      </c>
      <c r="Q168" s="230">
        <f t="shared" si="189"/>
        <v>0</v>
      </c>
      <c r="R168" s="230">
        <f t="shared" si="172"/>
        <v>0</v>
      </c>
      <c r="S168" s="231"/>
      <c r="T168" s="232"/>
      <c r="U168" s="215"/>
      <c r="V168" s="215"/>
      <c r="W168" s="233">
        <f t="shared" si="173"/>
        <v>0</v>
      </c>
      <c r="X168" s="214"/>
      <c r="Y168" s="214"/>
      <c r="Z168" s="214"/>
      <c r="AA168" s="214"/>
      <c r="AB168" s="214"/>
      <c r="AC168" s="214"/>
      <c r="AD168" s="214"/>
      <c r="AE168" s="241">
        <f t="shared" si="174"/>
        <v>0</v>
      </c>
      <c r="AF168" s="242">
        <f t="shared" si="175"/>
        <v>0</v>
      </c>
      <c r="AG168" s="251">
        <f t="shared" si="176"/>
        <v>0</v>
      </c>
      <c r="AH168" s="247"/>
      <c r="AI168" s="252"/>
      <c r="AJ168" s="214"/>
      <c r="AK168" s="215"/>
      <c r="AL168" s="233">
        <f t="shared" si="177"/>
        <v>0</v>
      </c>
      <c r="AM168" s="255"/>
      <c r="AN168" s="214"/>
      <c r="AO168" s="214"/>
      <c r="AP168" s="214"/>
      <c r="AQ168" s="214"/>
      <c r="AR168" s="214"/>
      <c r="AS168" s="255"/>
      <c r="AT168" s="241">
        <f t="shared" si="178"/>
        <v>0</v>
      </c>
      <c r="AU168" s="242">
        <f t="shared" si="179"/>
        <v>0</v>
      </c>
      <c r="AV168" s="251">
        <f t="shared" si="180"/>
        <v>0</v>
      </c>
      <c r="AW168" s="247"/>
      <c r="AX168" s="247"/>
      <c r="AY168" s="252"/>
      <c r="AZ168" s="214"/>
      <c r="BA168" s="215"/>
      <c r="BB168" s="233">
        <f>AZ168+BA168</f>
        <v>0</v>
      </c>
      <c r="BC168" s="214"/>
      <c r="BD168" s="214"/>
      <c r="BE168" s="255"/>
      <c r="BF168" s="214"/>
      <c r="BG168" s="214"/>
      <c r="BH168" s="214"/>
      <c r="BI168" s="214"/>
      <c r="BJ168" s="241">
        <f t="shared" si="182"/>
        <v>0</v>
      </c>
      <c r="BK168" s="242">
        <f t="shared" si="168"/>
        <v>0</v>
      </c>
      <c r="BL168" s="251">
        <f t="shared" si="169"/>
        <v>0</v>
      </c>
      <c r="BM168" s="252"/>
      <c r="BN168" s="252"/>
      <c r="BO168" s="13"/>
      <c r="BP168" s="215"/>
      <c r="BQ168" s="233">
        <f t="shared" si="183"/>
        <v>0</v>
      </c>
      <c r="BR168" s="214"/>
      <c r="BS168" s="214"/>
      <c r="BT168" s="214"/>
      <c r="BU168" s="214"/>
      <c r="BV168" s="215"/>
      <c r="BW168" s="215"/>
      <c r="BX168" s="215"/>
      <c r="BY168" s="241">
        <f t="shared" si="184"/>
        <v>0</v>
      </c>
      <c r="BZ168" s="242">
        <f t="shared" si="188"/>
        <v>0</v>
      </c>
      <c r="CA168" s="251">
        <f t="shared" si="185"/>
        <v>0</v>
      </c>
      <c r="CB168" s="252"/>
      <c r="CC168" s="252"/>
      <c r="CD168" s="251">
        <f t="shared" si="192"/>
        <v>360</v>
      </c>
      <c r="CE168" s="251">
        <f t="shared" si="170"/>
        <v>360</v>
      </c>
      <c r="CF168" s="251">
        <f t="shared" si="186"/>
        <v>0</v>
      </c>
      <c r="CG168" s="251">
        <f t="shared" si="187"/>
        <v>0</v>
      </c>
      <c r="CH168" s="265"/>
      <c r="CI168" s="266"/>
      <c r="CJ168" s="266"/>
      <c r="CK168" s="63"/>
      <c r="CL168" s="267">
        <f t="shared" si="190"/>
        <v>1</v>
      </c>
      <c r="CM168" s="267">
        <f t="shared" si="193"/>
        <v>6.2413314840499305E-3</v>
      </c>
      <c r="CN168" s="267">
        <f t="shared" si="191"/>
        <v>6.2413314840499305E-3</v>
      </c>
    </row>
    <row r="169" spans="2:92" ht="17.25" customHeight="1">
      <c r="B169" s="85" t="s">
        <v>280</v>
      </c>
      <c r="C169" s="86">
        <v>1012150798925</v>
      </c>
      <c r="D169" s="87" t="s">
        <v>281</v>
      </c>
      <c r="E169" s="202" t="s">
        <v>50</v>
      </c>
      <c r="F169" s="415">
        <v>120</v>
      </c>
      <c r="G169" s="213"/>
      <c r="H169" s="235">
        <f t="shared" si="194"/>
        <v>120</v>
      </c>
      <c r="I169" s="419"/>
      <c r="J169" s="419"/>
      <c r="K169" s="419"/>
      <c r="L169" s="419"/>
      <c r="M169" s="420"/>
      <c r="N169" s="420"/>
      <c r="O169" s="420">
        <v>120</v>
      </c>
      <c r="P169" s="211">
        <f t="shared" si="166"/>
        <v>120</v>
      </c>
      <c r="Q169" s="234">
        <f t="shared" si="189"/>
        <v>0</v>
      </c>
      <c r="R169" s="234">
        <f t="shared" si="172"/>
        <v>0</v>
      </c>
      <c r="S169" s="231"/>
      <c r="T169" s="232"/>
      <c r="U169" s="213"/>
      <c r="V169" s="213"/>
      <c r="W169" s="235">
        <f t="shared" si="173"/>
        <v>0</v>
      </c>
      <c r="X169" s="212"/>
      <c r="Y169" s="212"/>
      <c r="Z169" s="212"/>
      <c r="AA169" s="212"/>
      <c r="AB169" s="212"/>
      <c r="AC169" s="212"/>
      <c r="AD169" s="212"/>
      <c r="AE169" s="243">
        <f t="shared" si="174"/>
        <v>0</v>
      </c>
      <c r="AF169" s="244">
        <f t="shared" si="175"/>
        <v>0</v>
      </c>
      <c r="AG169" s="253">
        <f t="shared" si="176"/>
        <v>0</v>
      </c>
      <c r="AH169" s="247"/>
      <c r="AI169" s="252"/>
      <c r="AJ169" s="212"/>
      <c r="AK169" s="213"/>
      <c r="AL169" s="235">
        <f t="shared" si="177"/>
        <v>0</v>
      </c>
      <c r="AM169" s="254"/>
      <c r="AN169" s="212"/>
      <c r="AO169" s="212"/>
      <c r="AP169" s="212"/>
      <c r="AQ169" s="212"/>
      <c r="AR169" s="212"/>
      <c r="AS169" s="254"/>
      <c r="AT169" s="243">
        <f t="shared" si="178"/>
        <v>0</v>
      </c>
      <c r="AU169" s="244">
        <f t="shared" si="179"/>
        <v>0</v>
      </c>
      <c r="AV169" s="253">
        <f t="shared" si="180"/>
        <v>0</v>
      </c>
      <c r="AW169" s="247"/>
      <c r="AX169" s="247"/>
      <c r="AY169" s="252"/>
      <c r="AZ169" s="212"/>
      <c r="BA169" s="213"/>
      <c r="BB169" s="235">
        <f>AZ169+BA169</f>
        <v>0</v>
      </c>
      <c r="BC169" s="212"/>
      <c r="BD169" s="212"/>
      <c r="BE169" s="254"/>
      <c r="BF169" s="212"/>
      <c r="BG169" s="212"/>
      <c r="BH169" s="212"/>
      <c r="BI169" s="212"/>
      <c r="BJ169" s="243">
        <f t="shared" si="182"/>
        <v>0</v>
      </c>
      <c r="BK169" s="244">
        <f t="shared" si="168"/>
        <v>0</v>
      </c>
      <c r="BL169" s="253">
        <f t="shared" si="169"/>
        <v>0</v>
      </c>
      <c r="BM169" s="252"/>
      <c r="BN169" s="252"/>
      <c r="BO169" s="205"/>
      <c r="BP169" s="213"/>
      <c r="BQ169" s="235">
        <f t="shared" si="183"/>
        <v>0</v>
      </c>
      <c r="BR169" s="212"/>
      <c r="BS169" s="212"/>
      <c r="BT169" s="212"/>
      <c r="BU169" s="212"/>
      <c r="BV169" s="213"/>
      <c r="BW169" s="213"/>
      <c r="BX169" s="213"/>
      <c r="BY169" s="243">
        <f t="shared" si="184"/>
        <v>0</v>
      </c>
      <c r="BZ169" s="244">
        <f t="shared" si="188"/>
        <v>0</v>
      </c>
      <c r="CA169" s="253">
        <f t="shared" si="185"/>
        <v>0</v>
      </c>
      <c r="CB169" s="328"/>
      <c r="CC169" s="252"/>
      <c r="CD169" s="253">
        <f t="shared" si="192"/>
        <v>120</v>
      </c>
      <c r="CE169" s="353">
        <f t="shared" si="170"/>
        <v>120</v>
      </c>
      <c r="CF169" s="253">
        <f t="shared" si="186"/>
        <v>0</v>
      </c>
      <c r="CG169" s="253">
        <f t="shared" si="187"/>
        <v>0</v>
      </c>
      <c r="CH169" s="265"/>
      <c r="CI169" s="266"/>
      <c r="CJ169" s="266"/>
      <c r="CK169" s="63"/>
      <c r="CL169" s="267">
        <f t="shared" si="190"/>
        <v>1</v>
      </c>
      <c r="CM169" s="267">
        <f t="shared" si="193"/>
        <v>2.0804438280166435E-3</v>
      </c>
      <c r="CN169" s="267">
        <f t="shared" si="191"/>
        <v>2.0804438280166435E-3</v>
      </c>
    </row>
    <row r="170" spans="2:92" ht="15.75">
      <c r="B170" s="82" t="s">
        <v>282</v>
      </c>
      <c r="C170" s="83">
        <v>1012150798926</v>
      </c>
      <c r="D170" s="84" t="s">
        <v>283</v>
      </c>
      <c r="E170" s="199" t="s">
        <v>50</v>
      </c>
      <c r="F170" s="414">
        <v>120</v>
      </c>
      <c r="G170" s="215"/>
      <c r="H170" s="233">
        <f t="shared" si="194"/>
        <v>120</v>
      </c>
      <c r="I170" s="417"/>
      <c r="J170" s="417"/>
      <c r="K170" s="417"/>
      <c r="L170" s="417"/>
      <c r="M170" s="418"/>
      <c r="N170" s="418"/>
      <c r="O170" s="418">
        <v>120</v>
      </c>
      <c r="P170" s="210">
        <f t="shared" si="166"/>
        <v>120</v>
      </c>
      <c r="Q170" s="230">
        <f t="shared" si="189"/>
        <v>0</v>
      </c>
      <c r="R170" s="230">
        <f t="shared" si="172"/>
        <v>0</v>
      </c>
      <c r="S170" s="231"/>
      <c r="T170" s="232"/>
      <c r="U170" s="215"/>
      <c r="V170" s="215"/>
      <c r="W170" s="233">
        <f t="shared" si="173"/>
        <v>0</v>
      </c>
      <c r="X170" s="214"/>
      <c r="Y170" s="214"/>
      <c r="Z170" s="214"/>
      <c r="AA170" s="214"/>
      <c r="AB170" s="214"/>
      <c r="AC170" s="214"/>
      <c r="AD170" s="214"/>
      <c r="AE170" s="241">
        <f t="shared" si="174"/>
        <v>0</v>
      </c>
      <c r="AF170" s="242">
        <f t="shared" si="175"/>
        <v>0</v>
      </c>
      <c r="AG170" s="251">
        <f t="shared" si="176"/>
        <v>0</v>
      </c>
      <c r="AH170" s="247"/>
      <c r="AI170" s="252"/>
      <c r="AJ170" s="214"/>
      <c r="AK170" s="215"/>
      <c r="AL170" s="233">
        <f t="shared" si="177"/>
        <v>0</v>
      </c>
      <c r="AM170" s="255"/>
      <c r="AN170" s="214"/>
      <c r="AO170" s="214"/>
      <c r="AP170" s="214"/>
      <c r="AQ170" s="214"/>
      <c r="AR170" s="214"/>
      <c r="AS170" s="255"/>
      <c r="AT170" s="241">
        <f t="shared" si="178"/>
        <v>0</v>
      </c>
      <c r="AU170" s="242">
        <f t="shared" si="179"/>
        <v>0</v>
      </c>
      <c r="AV170" s="251">
        <f t="shared" si="180"/>
        <v>0</v>
      </c>
      <c r="AW170" s="247"/>
      <c r="AX170" s="247"/>
      <c r="AY170" s="252"/>
      <c r="AZ170" s="214"/>
      <c r="BA170" s="215"/>
      <c r="BB170" s="233">
        <f t="shared" si="181"/>
        <v>0</v>
      </c>
      <c r="BC170" s="214"/>
      <c r="BD170" s="214"/>
      <c r="BE170" s="255"/>
      <c r="BF170" s="214"/>
      <c r="BG170" s="214"/>
      <c r="BH170" s="214"/>
      <c r="BI170" s="214"/>
      <c r="BJ170" s="241">
        <f t="shared" si="182"/>
        <v>0</v>
      </c>
      <c r="BK170" s="242">
        <f t="shared" si="168"/>
        <v>0</v>
      </c>
      <c r="BL170" s="251">
        <f t="shared" si="169"/>
        <v>0</v>
      </c>
      <c r="BM170" s="252"/>
      <c r="BN170" s="252"/>
      <c r="BO170" s="13"/>
      <c r="BP170" s="215"/>
      <c r="BQ170" s="233">
        <f t="shared" si="183"/>
        <v>0</v>
      </c>
      <c r="BR170" s="214"/>
      <c r="BS170" s="214"/>
      <c r="BT170" s="214"/>
      <c r="BU170" s="214"/>
      <c r="BV170" s="215"/>
      <c r="BW170" s="215"/>
      <c r="BX170" s="215"/>
      <c r="BY170" s="241">
        <f t="shared" si="184"/>
        <v>0</v>
      </c>
      <c r="BZ170" s="242">
        <f t="shared" si="188"/>
        <v>0</v>
      </c>
      <c r="CA170" s="251">
        <f t="shared" si="185"/>
        <v>0</v>
      </c>
      <c r="CB170" s="252"/>
      <c r="CC170" s="252"/>
      <c r="CD170" s="251">
        <f t="shared" si="192"/>
        <v>120</v>
      </c>
      <c r="CE170" s="353">
        <f t="shared" si="170"/>
        <v>120</v>
      </c>
      <c r="CF170" s="251">
        <f t="shared" si="186"/>
        <v>0</v>
      </c>
      <c r="CG170" s="251">
        <f t="shared" si="187"/>
        <v>0</v>
      </c>
      <c r="CH170" s="265"/>
      <c r="CI170" s="266"/>
      <c r="CJ170" s="266"/>
      <c r="CK170" s="63"/>
      <c r="CL170" s="267">
        <f t="shared" si="190"/>
        <v>1</v>
      </c>
      <c r="CM170" s="267">
        <f t="shared" si="193"/>
        <v>2.0804438280166435E-3</v>
      </c>
      <c r="CN170" s="267">
        <f t="shared" si="191"/>
        <v>2.0804438280166435E-3</v>
      </c>
    </row>
    <row r="171" spans="2:92" ht="15.75">
      <c r="B171" s="85" t="s">
        <v>284</v>
      </c>
      <c r="C171" s="86"/>
      <c r="D171" s="87" t="s">
        <v>285</v>
      </c>
      <c r="E171" s="202" t="s">
        <v>50</v>
      </c>
      <c r="F171" s="205"/>
      <c r="G171" s="213"/>
      <c r="H171" s="235">
        <f t="shared" si="194"/>
        <v>0</v>
      </c>
      <c r="I171" s="212"/>
      <c r="J171" s="212"/>
      <c r="K171" s="212"/>
      <c r="L171" s="212"/>
      <c r="M171" s="347"/>
      <c r="N171" s="213"/>
      <c r="O171" s="213"/>
      <c r="P171" s="211">
        <f t="shared" si="166"/>
        <v>0</v>
      </c>
      <c r="Q171" s="234">
        <f t="shared" si="189"/>
        <v>0</v>
      </c>
      <c r="R171" s="234">
        <f t="shared" si="172"/>
        <v>0</v>
      </c>
      <c r="S171" s="231"/>
      <c r="T171" s="232"/>
      <c r="U171" s="213"/>
      <c r="V171" s="213"/>
      <c r="W171" s="235">
        <f t="shared" si="173"/>
        <v>0</v>
      </c>
      <c r="X171" s="212"/>
      <c r="Y171" s="212"/>
      <c r="Z171" s="212"/>
      <c r="AA171" s="212"/>
      <c r="AB171" s="212"/>
      <c r="AC171" s="212"/>
      <c r="AD171" s="212"/>
      <c r="AE171" s="243">
        <f t="shared" si="174"/>
        <v>0</v>
      </c>
      <c r="AF171" s="244">
        <f t="shared" si="175"/>
        <v>0</v>
      </c>
      <c r="AG171" s="253">
        <f t="shared" si="176"/>
        <v>0</v>
      </c>
      <c r="AH171" s="247"/>
      <c r="AI171" s="252"/>
      <c r="AJ171" s="212"/>
      <c r="AK171" s="213"/>
      <c r="AL171" s="235">
        <f t="shared" si="177"/>
        <v>0</v>
      </c>
      <c r="AM171" s="254"/>
      <c r="AN171" s="212"/>
      <c r="AO171" s="212"/>
      <c r="AP171" s="212"/>
      <c r="AQ171" s="212"/>
      <c r="AR171" s="212"/>
      <c r="AS171" s="254"/>
      <c r="AT171" s="243">
        <f t="shared" si="178"/>
        <v>0</v>
      </c>
      <c r="AU171" s="244">
        <f t="shared" si="179"/>
        <v>0</v>
      </c>
      <c r="AV171" s="253">
        <f t="shared" si="180"/>
        <v>0</v>
      </c>
      <c r="AW171" s="247"/>
      <c r="AX171" s="247"/>
      <c r="AY171" s="252"/>
      <c r="AZ171" s="212"/>
      <c r="BA171" s="213"/>
      <c r="BB171" s="235">
        <f>AZ171+BA171</f>
        <v>0</v>
      </c>
      <c r="BC171" s="212"/>
      <c r="BD171" s="212"/>
      <c r="BE171" s="254"/>
      <c r="BF171" s="212"/>
      <c r="BG171" s="212"/>
      <c r="BH171" s="212"/>
      <c r="BI171" s="212"/>
      <c r="BJ171" s="243">
        <f t="shared" si="182"/>
        <v>0</v>
      </c>
      <c r="BK171" s="244">
        <f t="shared" si="168"/>
        <v>0</v>
      </c>
      <c r="BL171" s="253">
        <f t="shared" si="169"/>
        <v>0</v>
      </c>
      <c r="BM171" s="252"/>
      <c r="BN171" s="252"/>
      <c r="BO171" s="205"/>
      <c r="BP171" s="213"/>
      <c r="BQ171" s="235">
        <f t="shared" si="183"/>
        <v>0</v>
      </c>
      <c r="BR171" s="212"/>
      <c r="BS171" s="212"/>
      <c r="BT171" s="212"/>
      <c r="BU171" s="212"/>
      <c r="BV171" s="213"/>
      <c r="BW171" s="213"/>
      <c r="BX171" s="213"/>
      <c r="BY171" s="243">
        <f t="shared" si="184"/>
        <v>0</v>
      </c>
      <c r="BZ171" s="244">
        <f t="shared" si="188"/>
        <v>0</v>
      </c>
      <c r="CA171" s="253">
        <f t="shared" si="185"/>
        <v>0</v>
      </c>
      <c r="CB171" s="328"/>
      <c r="CC171" s="252"/>
      <c r="CD171" s="253">
        <f t="shared" si="192"/>
        <v>0</v>
      </c>
      <c r="CE171" s="353">
        <f t="shared" ref="CE171:CE176" si="195">+P171+AE171+AT171+BJ171+BY171</f>
        <v>0</v>
      </c>
      <c r="CF171" s="253">
        <f t="shared" si="186"/>
        <v>0</v>
      </c>
      <c r="CG171" s="253">
        <f t="shared" si="187"/>
        <v>0</v>
      </c>
      <c r="CH171" s="265"/>
      <c r="CI171" s="266"/>
      <c r="CJ171" s="266"/>
      <c r="CK171" s="63"/>
      <c r="CL171" s="267"/>
      <c r="CM171" s="267"/>
      <c r="CN171" s="267"/>
    </row>
    <row r="172" spans="2:92" ht="15.75">
      <c r="B172" s="82" t="s">
        <v>286</v>
      </c>
      <c r="C172" s="83"/>
      <c r="D172" s="84" t="s">
        <v>283</v>
      </c>
      <c r="E172" s="199" t="s">
        <v>91</v>
      </c>
      <c r="F172" s="13"/>
      <c r="G172" s="215"/>
      <c r="H172" s="233">
        <f t="shared" si="194"/>
        <v>0</v>
      </c>
      <c r="I172" s="214"/>
      <c r="J172" s="214"/>
      <c r="K172" s="214"/>
      <c r="L172" s="214"/>
      <c r="M172" s="215"/>
      <c r="N172" s="215"/>
      <c r="O172" s="215"/>
      <c r="P172" s="210">
        <f t="shared" si="166"/>
        <v>0</v>
      </c>
      <c r="Q172" s="230">
        <f t="shared" si="189"/>
        <v>0</v>
      </c>
      <c r="R172" s="230">
        <f t="shared" si="172"/>
        <v>0</v>
      </c>
      <c r="S172" s="231"/>
      <c r="T172" s="232"/>
      <c r="U172" s="215"/>
      <c r="V172" s="215"/>
      <c r="W172" s="233">
        <f t="shared" si="173"/>
        <v>0</v>
      </c>
      <c r="X172" s="214"/>
      <c r="Y172" s="214"/>
      <c r="Z172" s="214"/>
      <c r="AA172" s="214"/>
      <c r="AB172" s="214"/>
      <c r="AC172" s="214"/>
      <c r="AD172" s="214"/>
      <c r="AE172" s="241">
        <f t="shared" si="174"/>
        <v>0</v>
      </c>
      <c r="AF172" s="242">
        <f t="shared" si="175"/>
        <v>0</v>
      </c>
      <c r="AG172" s="251">
        <f t="shared" si="176"/>
        <v>0</v>
      </c>
      <c r="AH172" s="247"/>
      <c r="AI172" s="252"/>
      <c r="AJ172" s="214"/>
      <c r="AK172" s="215"/>
      <c r="AL172" s="233">
        <f t="shared" si="177"/>
        <v>0</v>
      </c>
      <c r="AM172" s="255"/>
      <c r="AN172" s="214"/>
      <c r="AO172" s="214"/>
      <c r="AP172" s="214"/>
      <c r="AQ172" s="214"/>
      <c r="AR172" s="214"/>
      <c r="AS172" s="255"/>
      <c r="AT172" s="241">
        <f t="shared" si="178"/>
        <v>0</v>
      </c>
      <c r="AU172" s="242">
        <f t="shared" si="179"/>
        <v>0</v>
      </c>
      <c r="AV172" s="251">
        <f t="shared" si="180"/>
        <v>0</v>
      </c>
      <c r="AW172" s="247"/>
      <c r="AX172" s="247"/>
      <c r="AY172" s="252"/>
      <c r="AZ172" s="214"/>
      <c r="BA172" s="215"/>
      <c r="BB172" s="233">
        <f t="shared" si="181"/>
        <v>0</v>
      </c>
      <c r="BC172" s="214"/>
      <c r="BD172" s="214"/>
      <c r="BE172" s="255"/>
      <c r="BF172" s="214"/>
      <c r="BG172" s="214"/>
      <c r="BH172" s="214"/>
      <c r="BI172" s="214"/>
      <c r="BJ172" s="241">
        <f t="shared" si="182"/>
        <v>0</v>
      </c>
      <c r="BK172" s="242">
        <f t="shared" si="168"/>
        <v>0</v>
      </c>
      <c r="BL172" s="251">
        <f t="shared" si="169"/>
        <v>0</v>
      </c>
      <c r="BM172" s="252"/>
      <c r="BN172" s="252"/>
      <c r="BO172" s="13"/>
      <c r="BP172" s="215"/>
      <c r="BQ172" s="233">
        <f t="shared" si="183"/>
        <v>0</v>
      </c>
      <c r="BR172" s="214"/>
      <c r="BS172" s="214"/>
      <c r="BT172" s="214"/>
      <c r="BU172" s="214"/>
      <c r="BV172" s="215"/>
      <c r="BW172" s="215"/>
      <c r="BX172" s="215"/>
      <c r="BY172" s="241">
        <f t="shared" si="184"/>
        <v>0</v>
      </c>
      <c r="BZ172" s="242">
        <f t="shared" si="188"/>
        <v>0</v>
      </c>
      <c r="CA172" s="251">
        <f t="shared" si="185"/>
        <v>0</v>
      </c>
      <c r="CB172" s="252"/>
      <c r="CC172" s="252"/>
      <c r="CD172" s="251">
        <f t="shared" si="192"/>
        <v>0</v>
      </c>
      <c r="CE172" s="251">
        <f t="shared" si="195"/>
        <v>0</v>
      </c>
      <c r="CF172" s="251">
        <f t="shared" si="186"/>
        <v>0</v>
      </c>
      <c r="CG172" s="251">
        <f t="shared" si="187"/>
        <v>0</v>
      </c>
      <c r="CH172" s="265"/>
      <c r="CI172" s="266"/>
      <c r="CJ172" s="266"/>
      <c r="CK172" s="63"/>
      <c r="CL172" s="267"/>
      <c r="CM172" s="267"/>
      <c r="CN172" s="267"/>
    </row>
    <row r="173" spans="2:92" ht="15.75">
      <c r="B173" s="85" t="s">
        <v>287</v>
      </c>
      <c r="C173" s="86"/>
      <c r="D173" s="87" t="s">
        <v>269</v>
      </c>
      <c r="E173" s="202" t="s">
        <v>91</v>
      </c>
      <c r="F173" s="205"/>
      <c r="G173" s="213"/>
      <c r="H173" s="235">
        <f t="shared" si="194"/>
        <v>0</v>
      </c>
      <c r="I173" s="212"/>
      <c r="J173" s="212"/>
      <c r="K173" s="212"/>
      <c r="L173" s="212"/>
      <c r="M173" s="213"/>
      <c r="N173" s="213"/>
      <c r="O173" s="213"/>
      <c r="P173" s="211">
        <f t="shared" si="166"/>
        <v>0</v>
      </c>
      <c r="Q173" s="234">
        <f t="shared" si="189"/>
        <v>0</v>
      </c>
      <c r="R173" s="234">
        <f t="shared" si="172"/>
        <v>0</v>
      </c>
      <c r="S173" s="231"/>
      <c r="T173" s="232"/>
      <c r="U173" s="213"/>
      <c r="V173" s="213"/>
      <c r="W173" s="235">
        <f t="shared" si="173"/>
        <v>0</v>
      </c>
      <c r="X173" s="212"/>
      <c r="Y173" s="212"/>
      <c r="Z173" s="212"/>
      <c r="AA173" s="212"/>
      <c r="AB173" s="212"/>
      <c r="AC173" s="212"/>
      <c r="AD173" s="212"/>
      <c r="AE173" s="243">
        <f t="shared" si="174"/>
        <v>0</v>
      </c>
      <c r="AF173" s="244">
        <f t="shared" si="175"/>
        <v>0</v>
      </c>
      <c r="AG173" s="253">
        <f t="shared" si="176"/>
        <v>0</v>
      </c>
      <c r="AH173" s="247"/>
      <c r="AI173" s="252"/>
      <c r="AJ173" s="212"/>
      <c r="AK173" s="213"/>
      <c r="AL173" s="235">
        <f t="shared" si="177"/>
        <v>0</v>
      </c>
      <c r="AM173" s="254"/>
      <c r="AN173" s="212"/>
      <c r="AO173" s="212"/>
      <c r="AP173" s="212"/>
      <c r="AQ173" s="212"/>
      <c r="AR173" s="212"/>
      <c r="AS173" s="254"/>
      <c r="AT173" s="243">
        <f t="shared" si="178"/>
        <v>0</v>
      </c>
      <c r="AU173" s="244">
        <f t="shared" si="179"/>
        <v>0</v>
      </c>
      <c r="AV173" s="253">
        <f t="shared" si="180"/>
        <v>0</v>
      </c>
      <c r="AW173" s="247"/>
      <c r="AX173" s="247"/>
      <c r="AY173" s="252"/>
      <c r="AZ173" s="212"/>
      <c r="BA173" s="213"/>
      <c r="BB173" s="235">
        <f t="shared" si="181"/>
        <v>0</v>
      </c>
      <c r="BC173" s="212"/>
      <c r="BD173" s="212"/>
      <c r="BE173" s="254"/>
      <c r="BF173" s="212"/>
      <c r="BG173" s="212"/>
      <c r="BH173" s="212"/>
      <c r="BI173" s="212"/>
      <c r="BJ173" s="243">
        <f t="shared" si="182"/>
        <v>0</v>
      </c>
      <c r="BK173" s="244">
        <f t="shared" si="168"/>
        <v>0</v>
      </c>
      <c r="BL173" s="253">
        <f t="shared" si="169"/>
        <v>0</v>
      </c>
      <c r="BM173" s="252"/>
      <c r="BN173" s="252"/>
      <c r="BO173" s="205"/>
      <c r="BP173" s="213"/>
      <c r="BQ173" s="235">
        <f t="shared" si="183"/>
        <v>0</v>
      </c>
      <c r="BR173" s="212"/>
      <c r="BS173" s="212"/>
      <c r="BT173" s="212"/>
      <c r="BU173" s="212"/>
      <c r="BV173" s="213"/>
      <c r="BW173" s="213"/>
      <c r="BX173" s="213"/>
      <c r="BY173" s="243">
        <f t="shared" si="184"/>
        <v>0</v>
      </c>
      <c r="BZ173" s="244">
        <f t="shared" si="188"/>
        <v>0</v>
      </c>
      <c r="CA173" s="253">
        <f t="shared" si="185"/>
        <v>0</v>
      </c>
      <c r="CB173" s="328"/>
      <c r="CC173" s="252"/>
      <c r="CD173" s="253">
        <f t="shared" si="192"/>
        <v>0</v>
      </c>
      <c r="CE173" s="253">
        <f t="shared" si="195"/>
        <v>0</v>
      </c>
      <c r="CF173" s="253">
        <f t="shared" si="186"/>
        <v>0</v>
      </c>
      <c r="CG173" s="253">
        <f t="shared" si="187"/>
        <v>0</v>
      </c>
      <c r="CH173" s="265"/>
      <c r="CI173" s="266"/>
      <c r="CJ173" s="266"/>
      <c r="CK173" s="63"/>
      <c r="CL173" s="267"/>
      <c r="CM173" s="267"/>
      <c r="CN173" s="267"/>
    </row>
    <row r="174" spans="2:92" ht="15.75">
      <c r="B174" s="82" t="s">
        <v>288</v>
      </c>
      <c r="C174" s="83"/>
      <c r="D174" s="84" t="s">
        <v>265</v>
      </c>
      <c r="E174" s="199" t="s">
        <v>91</v>
      </c>
      <c r="F174" s="200"/>
      <c r="G174" s="200"/>
      <c r="H174" s="201">
        <f t="shared" si="171"/>
        <v>0</v>
      </c>
      <c r="I174" s="200"/>
      <c r="J174" s="200"/>
      <c r="K174" s="200"/>
      <c r="L174" s="200"/>
      <c r="M174" s="200"/>
      <c r="N174" s="200"/>
      <c r="O174" s="200"/>
      <c r="P174" s="210">
        <f t="shared" si="166"/>
        <v>0</v>
      </c>
      <c r="Q174" s="230">
        <f t="shared" si="189"/>
        <v>0</v>
      </c>
      <c r="R174" s="230">
        <f t="shared" si="172"/>
        <v>0</v>
      </c>
      <c r="S174" s="231"/>
      <c r="T174" s="232"/>
      <c r="U174" s="215"/>
      <c r="V174" s="215"/>
      <c r="W174" s="233">
        <f t="shared" si="173"/>
        <v>0</v>
      </c>
      <c r="X174" s="214"/>
      <c r="Y174" s="214"/>
      <c r="Z174" s="214"/>
      <c r="AA174" s="214"/>
      <c r="AB174" s="214"/>
      <c r="AC174" s="214"/>
      <c r="AD174" s="214"/>
      <c r="AE174" s="241">
        <f t="shared" si="174"/>
        <v>0</v>
      </c>
      <c r="AF174" s="242">
        <f t="shared" si="175"/>
        <v>0</v>
      </c>
      <c r="AG174" s="251">
        <f t="shared" si="176"/>
        <v>0</v>
      </c>
      <c r="AH174" s="247"/>
      <c r="AI174" s="252"/>
      <c r="AJ174" s="214"/>
      <c r="AK174" s="215"/>
      <c r="AL174" s="233">
        <f t="shared" si="177"/>
        <v>0</v>
      </c>
      <c r="AM174" s="255"/>
      <c r="AN174" s="214"/>
      <c r="AO174" s="214"/>
      <c r="AP174" s="214"/>
      <c r="AQ174" s="214"/>
      <c r="AR174" s="214"/>
      <c r="AS174" s="255"/>
      <c r="AT174" s="241">
        <f t="shared" si="178"/>
        <v>0</v>
      </c>
      <c r="AU174" s="242">
        <f t="shared" si="179"/>
        <v>0</v>
      </c>
      <c r="AV174" s="251">
        <f t="shared" si="180"/>
        <v>0</v>
      </c>
      <c r="AW174" s="247"/>
      <c r="AX174" s="247"/>
      <c r="AY174" s="252"/>
      <c r="AZ174" s="214"/>
      <c r="BA174" s="215"/>
      <c r="BB174" s="233">
        <f t="shared" si="181"/>
        <v>0</v>
      </c>
      <c r="BC174" s="214"/>
      <c r="BD174" s="214"/>
      <c r="BE174" s="255"/>
      <c r="BF174" s="214"/>
      <c r="BG174" s="214"/>
      <c r="BH174" s="214"/>
      <c r="BI174" s="214"/>
      <c r="BJ174" s="241">
        <f t="shared" si="182"/>
        <v>0</v>
      </c>
      <c r="BK174" s="242">
        <f t="shared" si="168"/>
        <v>0</v>
      </c>
      <c r="BL174" s="251">
        <f t="shared" si="169"/>
        <v>0</v>
      </c>
      <c r="BM174" s="252"/>
      <c r="BN174" s="252"/>
      <c r="BO174" s="13"/>
      <c r="BP174" s="215"/>
      <c r="BQ174" s="233">
        <f t="shared" si="183"/>
        <v>0</v>
      </c>
      <c r="BR174" s="214"/>
      <c r="BS174" s="214"/>
      <c r="BT174" s="214"/>
      <c r="BU174" s="214"/>
      <c r="BV174" s="215"/>
      <c r="BW174" s="215"/>
      <c r="BX174" s="215"/>
      <c r="BY174" s="241">
        <f t="shared" si="184"/>
        <v>0</v>
      </c>
      <c r="BZ174" s="242">
        <f t="shared" si="188"/>
        <v>0</v>
      </c>
      <c r="CA174" s="251">
        <f t="shared" si="185"/>
        <v>0</v>
      </c>
      <c r="CB174" s="252"/>
      <c r="CC174" s="252"/>
      <c r="CD174" s="251">
        <f t="shared" si="192"/>
        <v>0</v>
      </c>
      <c r="CE174" s="251">
        <f t="shared" si="195"/>
        <v>0</v>
      </c>
      <c r="CF174" s="251">
        <f t="shared" si="186"/>
        <v>0</v>
      </c>
      <c r="CG174" s="251">
        <f t="shared" si="187"/>
        <v>0</v>
      </c>
      <c r="CH174" s="265"/>
      <c r="CI174" s="266"/>
      <c r="CJ174" s="266"/>
      <c r="CK174" s="63"/>
      <c r="CL174" s="267"/>
      <c r="CM174" s="267"/>
      <c r="CN174" s="267"/>
    </row>
    <row r="175" spans="2:92" ht="15.75" hidden="1">
      <c r="B175" s="87"/>
      <c r="C175" s="87"/>
      <c r="D175" s="87"/>
      <c r="E175" s="202"/>
      <c r="F175" s="203"/>
      <c r="G175" s="203"/>
      <c r="H175" s="204">
        <f t="shared" si="171"/>
        <v>0</v>
      </c>
      <c r="I175" s="203"/>
      <c r="J175" s="203"/>
      <c r="K175" s="203"/>
      <c r="L175" s="203"/>
      <c r="M175" s="203"/>
      <c r="N175" s="203"/>
      <c r="O175" s="203"/>
      <c r="P175" s="211">
        <f t="shared" si="166"/>
        <v>0</v>
      </c>
      <c r="Q175" s="234">
        <f t="shared" si="189"/>
        <v>0</v>
      </c>
      <c r="R175" s="234">
        <f t="shared" si="172"/>
        <v>0</v>
      </c>
      <c r="S175" s="231"/>
      <c r="T175" s="232"/>
      <c r="U175" s="213"/>
      <c r="V175" s="213"/>
      <c r="W175" s="235">
        <f t="shared" si="173"/>
        <v>0</v>
      </c>
      <c r="X175" s="212"/>
      <c r="Y175" s="212"/>
      <c r="Z175" s="213"/>
      <c r="AA175" s="212"/>
      <c r="AB175" s="212"/>
      <c r="AC175" s="212"/>
      <c r="AD175" s="213"/>
      <c r="AE175" s="243">
        <f t="shared" si="174"/>
        <v>0</v>
      </c>
      <c r="AF175" s="244">
        <f t="shared" si="175"/>
        <v>0</v>
      </c>
      <c r="AG175" s="253">
        <f t="shared" si="176"/>
        <v>0</v>
      </c>
      <c r="AH175" s="247"/>
      <c r="AI175" s="252"/>
      <c r="AJ175" s="212"/>
      <c r="AK175" s="213"/>
      <c r="AL175" s="235">
        <f t="shared" si="177"/>
        <v>0</v>
      </c>
      <c r="AM175" s="243"/>
      <c r="AN175" s="213"/>
      <c r="AO175" s="213"/>
      <c r="AP175" s="213"/>
      <c r="AQ175" s="213"/>
      <c r="AR175" s="213"/>
      <c r="AS175" s="243"/>
      <c r="AT175" s="243">
        <f t="shared" si="178"/>
        <v>0</v>
      </c>
      <c r="AU175" s="244">
        <f t="shared" si="179"/>
        <v>0</v>
      </c>
      <c r="AV175" s="253">
        <f t="shared" si="180"/>
        <v>0</v>
      </c>
      <c r="AW175" s="247"/>
      <c r="AX175" s="247"/>
      <c r="AY175" s="252"/>
      <c r="AZ175" s="212"/>
      <c r="BA175" s="213"/>
      <c r="BB175" s="235">
        <f t="shared" si="181"/>
        <v>0</v>
      </c>
      <c r="BC175" s="213"/>
      <c r="BD175" s="213"/>
      <c r="BE175" s="243"/>
      <c r="BF175" s="213"/>
      <c r="BG175" s="213"/>
      <c r="BH175" s="213"/>
      <c r="BI175" s="213"/>
      <c r="BJ175" s="243">
        <f t="shared" si="182"/>
        <v>0</v>
      </c>
      <c r="BK175" s="244">
        <f t="shared" si="168"/>
        <v>0</v>
      </c>
      <c r="BL175" s="253">
        <f t="shared" si="169"/>
        <v>0</v>
      </c>
      <c r="BM175" s="252"/>
      <c r="BN175" s="252"/>
      <c r="BO175" s="205"/>
      <c r="BP175" s="213"/>
      <c r="BQ175" s="235">
        <f t="shared" si="183"/>
        <v>0</v>
      </c>
      <c r="BR175" s="212"/>
      <c r="BS175" s="212"/>
      <c r="BT175" s="212"/>
      <c r="BU175" s="212"/>
      <c r="BV175" s="213"/>
      <c r="BW175" s="213"/>
      <c r="BX175" s="213"/>
      <c r="BY175" s="243">
        <f t="shared" si="184"/>
        <v>0</v>
      </c>
      <c r="BZ175" s="244">
        <f t="shared" si="188"/>
        <v>0</v>
      </c>
      <c r="CA175" s="253">
        <f t="shared" si="185"/>
        <v>0</v>
      </c>
      <c r="CB175" s="328"/>
      <c r="CC175" s="252"/>
      <c r="CD175" s="253">
        <f t="shared" si="192"/>
        <v>0</v>
      </c>
      <c r="CE175" s="253">
        <f t="shared" si="195"/>
        <v>0</v>
      </c>
      <c r="CF175" s="253">
        <f t="shared" si="186"/>
        <v>0</v>
      </c>
      <c r="CG175" s="253">
        <f t="shared" si="187"/>
        <v>0</v>
      </c>
      <c r="CH175" s="265"/>
      <c r="CI175" s="266"/>
      <c r="CJ175" s="266"/>
      <c r="CK175" s="63"/>
      <c r="CL175" s="267">
        <f t="shared" si="190"/>
        <v>0</v>
      </c>
      <c r="CM175" s="267">
        <f>CD175/CD$177</f>
        <v>0</v>
      </c>
      <c r="CN175" s="267">
        <f t="shared" si="191"/>
        <v>0</v>
      </c>
    </row>
    <row r="176" spans="2:92" ht="15.75" hidden="1">
      <c r="B176" s="82"/>
      <c r="C176" s="83"/>
      <c r="D176" s="84"/>
      <c r="E176" s="199"/>
      <c r="F176" s="200"/>
      <c r="G176" s="200"/>
      <c r="H176" s="201">
        <f t="shared" si="171"/>
        <v>0</v>
      </c>
      <c r="I176" s="200"/>
      <c r="J176" s="200"/>
      <c r="K176" s="200"/>
      <c r="L176" s="200"/>
      <c r="M176" s="200"/>
      <c r="N176" s="200"/>
      <c r="O176" s="200"/>
      <c r="P176" s="210">
        <f t="shared" si="166"/>
        <v>0</v>
      </c>
      <c r="Q176" s="230">
        <f t="shared" si="189"/>
        <v>0</v>
      </c>
      <c r="R176" s="230">
        <f t="shared" si="172"/>
        <v>0</v>
      </c>
      <c r="S176" s="231"/>
      <c r="T176" s="232"/>
      <c r="U176" s="215"/>
      <c r="V176" s="215"/>
      <c r="W176" s="233">
        <f t="shared" si="173"/>
        <v>0</v>
      </c>
      <c r="X176" s="214"/>
      <c r="Y176" s="214"/>
      <c r="Z176" s="215"/>
      <c r="AA176" s="214"/>
      <c r="AB176" s="214"/>
      <c r="AC176" s="214"/>
      <c r="AD176" s="215"/>
      <c r="AE176" s="241">
        <f t="shared" si="174"/>
        <v>0</v>
      </c>
      <c r="AF176" s="242">
        <f t="shared" si="175"/>
        <v>0</v>
      </c>
      <c r="AG176" s="251">
        <f t="shared" si="176"/>
        <v>0</v>
      </c>
      <c r="AH176" s="247"/>
      <c r="AI176" s="252"/>
      <c r="AJ176" s="214"/>
      <c r="AK176" s="215"/>
      <c r="AL176" s="233">
        <f t="shared" si="177"/>
        <v>0</v>
      </c>
      <c r="AM176" s="241"/>
      <c r="AN176" s="215"/>
      <c r="AO176" s="215"/>
      <c r="AP176" s="215"/>
      <c r="AQ176" s="215"/>
      <c r="AR176" s="215"/>
      <c r="AS176" s="241"/>
      <c r="AT176" s="241">
        <f t="shared" si="178"/>
        <v>0</v>
      </c>
      <c r="AU176" s="242">
        <f t="shared" si="179"/>
        <v>0</v>
      </c>
      <c r="AV176" s="251">
        <f t="shared" si="180"/>
        <v>0</v>
      </c>
      <c r="AW176" s="247"/>
      <c r="AX176" s="247"/>
      <c r="AY176" s="252"/>
      <c r="AZ176" s="214"/>
      <c r="BA176" s="215"/>
      <c r="BB176" s="233">
        <f t="shared" si="181"/>
        <v>0</v>
      </c>
      <c r="BC176" s="215"/>
      <c r="BD176" s="215"/>
      <c r="BE176" s="241"/>
      <c r="BF176" s="215"/>
      <c r="BG176" s="215"/>
      <c r="BH176" s="215"/>
      <c r="BI176" s="215"/>
      <c r="BJ176" s="241">
        <f t="shared" si="182"/>
        <v>0</v>
      </c>
      <c r="BK176" s="242">
        <f t="shared" si="168"/>
        <v>0</v>
      </c>
      <c r="BL176" s="251">
        <f t="shared" si="169"/>
        <v>0</v>
      </c>
      <c r="BM176" s="252"/>
      <c r="BN176" s="252"/>
      <c r="BO176" s="13"/>
      <c r="BP176" s="215"/>
      <c r="BQ176" s="233">
        <f t="shared" si="183"/>
        <v>0</v>
      </c>
      <c r="BR176" s="214"/>
      <c r="BS176" s="214"/>
      <c r="BT176" s="214"/>
      <c r="BU176" s="214"/>
      <c r="BV176" s="215"/>
      <c r="BW176" s="215"/>
      <c r="BX176" s="215"/>
      <c r="BY176" s="241">
        <f t="shared" si="184"/>
        <v>0</v>
      </c>
      <c r="BZ176" s="242">
        <f t="shared" si="188"/>
        <v>0</v>
      </c>
      <c r="CA176" s="251">
        <f t="shared" si="185"/>
        <v>0</v>
      </c>
      <c r="CB176" s="252"/>
      <c r="CC176" s="252"/>
      <c r="CD176" s="251">
        <f t="shared" si="192"/>
        <v>0</v>
      </c>
      <c r="CE176" s="251">
        <f t="shared" si="195"/>
        <v>0</v>
      </c>
      <c r="CF176" s="251">
        <f t="shared" si="186"/>
        <v>0</v>
      </c>
      <c r="CG176" s="251">
        <f t="shared" si="187"/>
        <v>0</v>
      </c>
      <c r="CH176" s="265"/>
      <c r="CI176" s="266"/>
      <c r="CJ176" s="266"/>
      <c r="CK176" s="63"/>
      <c r="CL176" s="267">
        <f t="shared" si="190"/>
        <v>0</v>
      </c>
      <c r="CM176" s="267">
        <f>CD176/CD$177</f>
        <v>0</v>
      </c>
      <c r="CN176" s="267">
        <f t="shared" si="191"/>
        <v>0</v>
      </c>
    </row>
    <row r="177" spans="1:196" s="168" customFormat="1" ht="15.75">
      <c r="A177" s="273"/>
      <c r="B177" s="274"/>
      <c r="C177" s="275"/>
      <c r="D177" s="276"/>
      <c r="E177" s="277"/>
      <c r="F177" s="278">
        <f>SUM(F10:F176)-F51</f>
        <v>57680</v>
      </c>
      <c r="G177" s="278">
        <f t="shared" ref="G177:R177" si="196">SUM(G10:G176)-G51</f>
        <v>0</v>
      </c>
      <c r="H177" s="278">
        <f t="shared" si="196"/>
        <v>57680</v>
      </c>
      <c r="I177" s="278">
        <f t="shared" si="196"/>
        <v>12398</v>
      </c>
      <c r="J177" s="278">
        <f t="shared" si="196"/>
        <v>11814</v>
      </c>
      <c r="K177" s="278">
        <f t="shared" si="196"/>
        <v>2980</v>
      </c>
      <c r="L177" s="278">
        <f t="shared" si="196"/>
        <v>5309</v>
      </c>
      <c r="M177" s="278">
        <f t="shared" si="196"/>
        <v>8198</v>
      </c>
      <c r="N177" s="278">
        <f t="shared" si="196"/>
        <v>7781</v>
      </c>
      <c r="O177" s="278">
        <f t="shared" si="196"/>
        <v>7988</v>
      </c>
      <c r="P177" s="278">
        <f t="shared" si="196"/>
        <v>56468</v>
      </c>
      <c r="Q177" s="278">
        <f t="shared" si="196"/>
        <v>-1526</v>
      </c>
      <c r="R177" s="278">
        <f t="shared" si="196"/>
        <v>314</v>
      </c>
      <c r="S177" s="301"/>
      <c r="T177" s="232"/>
      <c r="U177" s="302">
        <f>SUM(U10:U176)-U51</f>
        <v>0</v>
      </c>
      <c r="V177" s="302">
        <f t="shared" ref="V177:AG177" si="197">SUM(V10:V176)-V51</f>
        <v>0</v>
      </c>
      <c r="W177" s="302">
        <f t="shared" si="197"/>
        <v>0</v>
      </c>
      <c r="X177" s="302">
        <f>SUM(X10:X176)-X49</f>
        <v>0</v>
      </c>
      <c r="Y177" s="302">
        <f>SUM(Y10:Y176)-Y49</f>
        <v>0</v>
      </c>
      <c r="Z177" s="302">
        <f>SUM(Z10:Z176)-Z49-Z53</f>
        <v>0</v>
      </c>
      <c r="AA177" s="302">
        <f>SUM(AA10:AA176)-AA49-AA53</f>
        <v>0</v>
      </c>
      <c r="AB177" s="302">
        <f t="shared" ref="AB177:AE177" si="198">SUM(AB10:AB176)-AB49-AB53</f>
        <v>0</v>
      </c>
      <c r="AC177" s="302">
        <f t="shared" si="198"/>
        <v>0</v>
      </c>
      <c r="AD177" s="302">
        <f t="shared" si="198"/>
        <v>0</v>
      </c>
      <c r="AE177" s="302">
        <f t="shared" si="198"/>
        <v>0</v>
      </c>
      <c r="AF177" s="302">
        <f t="shared" si="197"/>
        <v>0</v>
      </c>
      <c r="AG177" s="302">
        <f t="shared" si="197"/>
        <v>0</v>
      </c>
      <c r="AH177" s="247"/>
      <c r="AI177" s="309"/>
      <c r="AJ177" s="302">
        <f>SUM(AJ10:AJ176)-AJ51</f>
        <v>0</v>
      </c>
      <c r="AK177" s="302">
        <f t="shared" ref="AK177:AV177" si="199">SUM(AK10:AK176)-AK51</f>
        <v>0</v>
      </c>
      <c r="AL177" s="302">
        <f t="shared" si="199"/>
        <v>0</v>
      </c>
      <c r="AM177" s="302">
        <f>SUM(AM10:AM176)-AM49</f>
        <v>0</v>
      </c>
      <c r="AN177" s="302">
        <f t="shared" ref="AN177:AR177" si="200">SUM(AN10:AN176)-AN49</f>
        <v>0</v>
      </c>
      <c r="AO177" s="302">
        <f t="shared" si="200"/>
        <v>0</v>
      </c>
      <c r="AP177" s="302">
        <f t="shared" si="200"/>
        <v>0</v>
      </c>
      <c r="AQ177" s="302">
        <f t="shared" si="200"/>
        <v>0</v>
      </c>
      <c r="AR177" s="302">
        <f t="shared" si="200"/>
        <v>0</v>
      </c>
      <c r="AS177" s="302">
        <f>SUM(AS10:AS176)-AS49-AS53</f>
        <v>0</v>
      </c>
      <c r="AT177" s="302">
        <f>SUM(AT10:AT176)-AT49-AT53</f>
        <v>0</v>
      </c>
      <c r="AU177" s="302">
        <f t="shared" si="199"/>
        <v>0</v>
      </c>
      <c r="AV177" s="302">
        <f t="shared" si="199"/>
        <v>0</v>
      </c>
      <c r="AW177" s="247"/>
      <c r="AX177" s="247"/>
      <c r="AY177" s="309"/>
      <c r="AZ177" s="302">
        <f>SUM(AZ10:AZ176)-AZ51</f>
        <v>0</v>
      </c>
      <c r="BA177" s="302">
        <f t="shared" ref="BA177" si="201">SUM(BA10:BA176)</f>
        <v>0</v>
      </c>
      <c r="BB177" s="302">
        <f>SUM(BB10:BB176)-BB51</f>
        <v>0</v>
      </c>
      <c r="BC177" s="302">
        <f>SUM(BC10:BC176)-BC49</f>
        <v>0</v>
      </c>
      <c r="BD177" s="302">
        <f t="shared" ref="BD177:BL177" si="202">SUM(BD10:BD176)-BD49</f>
        <v>0</v>
      </c>
      <c r="BE177" s="302">
        <f t="shared" si="202"/>
        <v>0</v>
      </c>
      <c r="BF177" s="302">
        <f t="shared" si="202"/>
        <v>0</v>
      </c>
      <c r="BG177" s="302">
        <f t="shared" si="202"/>
        <v>0</v>
      </c>
      <c r="BH177" s="302">
        <f t="shared" si="202"/>
        <v>0</v>
      </c>
      <c r="BI177" s="302">
        <f t="shared" si="202"/>
        <v>0</v>
      </c>
      <c r="BJ177" s="302">
        <f t="shared" si="202"/>
        <v>0</v>
      </c>
      <c r="BK177" s="302">
        <f t="shared" si="202"/>
        <v>0</v>
      </c>
      <c r="BL177" s="302">
        <f t="shared" si="202"/>
        <v>0</v>
      </c>
      <c r="BM177" s="309"/>
      <c r="BN177" s="309"/>
      <c r="BO177" s="302">
        <f t="shared" ref="BO177:CJ177" si="203">SUM(BO10:BO176)</f>
        <v>0</v>
      </c>
      <c r="BP177" s="302">
        <f t="shared" si="203"/>
        <v>0</v>
      </c>
      <c r="BQ177" s="302">
        <f t="shared" si="203"/>
        <v>0</v>
      </c>
      <c r="BR177" s="302">
        <f>SUM(BR10:BR176)-BR49</f>
        <v>0</v>
      </c>
      <c r="BS177" s="302">
        <f t="shared" ref="BS177:BY177" si="204">SUM(BS10:BS176)-BS49</f>
        <v>0</v>
      </c>
      <c r="BT177" s="302">
        <f t="shared" si="204"/>
        <v>0</v>
      </c>
      <c r="BU177" s="302">
        <f t="shared" si="204"/>
        <v>0</v>
      </c>
      <c r="BV177" s="302">
        <f>SUM(BV10:BV176)-BV49</f>
        <v>0</v>
      </c>
      <c r="BW177" s="302">
        <f t="shared" si="204"/>
        <v>0</v>
      </c>
      <c r="BX177" s="302">
        <f t="shared" si="204"/>
        <v>0</v>
      </c>
      <c r="BY177" s="302">
        <f t="shared" si="204"/>
        <v>0</v>
      </c>
      <c r="BZ177" s="302">
        <f t="shared" si="203"/>
        <v>0</v>
      </c>
      <c r="CA177" s="302">
        <f t="shared" si="203"/>
        <v>0</v>
      </c>
      <c r="CB177" s="302"/>
      <c r="CC177" s="302"/>
      <c r="CD177" s="302">
        <f>SUM(CD10:CD176)-CD51-CD54</f>
        <v>57680</v>
      </c>
      <c r="CE177" s="302">
        <f>SUM(CE10:CE176)-CE51-CE54</f>
        <v>56468</v>
      </c>
      <c r="CF177" s="302">
        <f>SUM(CF10:CF176)-CF51-CF54</f>
        <v>-1526</v>
      </c>
      <c r="CG177" s="302">
        <f t="shared" si="203"/>
        <v>314</v>
      </c>
      <c r="CH177" s="302">
        <f t="shared" si="203"/>
        <v>0</v>
      </c>
      <c r="CI177" s="302">
        <f t="shared" si="203"/>
        <v>0</v>
      </c>
      <c r="CJ177" s="302">
        <f t="shared" si="203"/>
        <v>0</v>
      </c>
      <c r="CK177" s="309"/>
      <c r="CL177" s="316">
        <f>SUM(CL10:CL176)</f>
        <v>24.450534824515941</v>
      </c>
      <c r="CM177" s="316">
        <f>SUM(CM10:CM176)</f>
        <v>0.99999999999999978</v>
      </c>
      <c r="CN177" s="316">
        <f>SUM(CN10:CN176)</f>
        <v>0.83375225100902728</v>
      </c>
      <c r="CO177" s="322" t="s">
        <v>289</v>
      </c>
      <c r="CP177" s="273"/>
      <c r="CQ177" s="273"/>
      <c r="CR177" s="273"/>
      <c r="CS177" s="355"/>
      <c r="CT177" s="273"/>
      <c r="CU177" s="273"/>
      <c r="CV177" s="273"/>
      <c r="CW177" s="273"/>
      <c r="CX177" s="273"/>
      <c r="CY177" s="273"/>
      <c r="CZ177" s="273"/>
      <c r="DA177" s="273"/>
      <c r="DB177" s="273"/>
      <c r="DC177" s="273"/>
      <c r="DD177" s="273"/>
      <c r="DE177" s="273"/>
      <c r="DF177" s="273"/>
      <c r="DG177" s="273"/>
      <c r="DH177" s="273"/>
      <c r="DI177" s="273"/>
      <c r="DJ177" s="273"/>
      <c r="DK177" s="273"/>
      <c r="DL177" s="273"/>
      <c r="DM177" s="273"/>
      <c r="DN177" s="273"/>
      <c r="DO177" s="273"/>
      <c r="DP177" s="273"/>
      <c r="DQ177" s="273"/>
      <c r="DR177" s="273"/>
      <c r="DS177" s="273"/>
      <c r="DT177" s="273"/>
      <c r="DU177" s="273"/>
      <c r="DV177" s="273"/>
      <c r="DW177" s="273"/>
      <c r="DX177" s="273"/>
      <c r="DY177" s="273"/>
      <c r="DZ177" s="273"/>
      <c r="EA177" s="273"/>
      <c r="EB177" s="273"/>
      <c r="EC177" s="273"/>
      <c r="ED177" s="273"/>
      <c r="EE177" s="273"/>
      <c r="EF177" s="273"/>
      <c r="EG177" s="273"/>
      <c r="EH177" s="273"/>
      <c r="EI177" s="273"/>
      <c r="EJ177" s="273"/>
      <c r="EK177" s="273"/>
      <c r="EL177" s="273"/>
      <c r="EM177" s="273"/>
      <c r="EN177" s="273"/>
      <c r="EO177" s="273"/>
      <c r="EP177" s="273"/>
      <c r="EQ177" s="273"/>
      <c r="ER177" s="273"/>
      <c r="ES177" s="273"/>
      <c r="ET177" s="273"/>
      <c r="EU177" s="273"/>
      <c r="EV177" s="273"/>
      <c r="EW177" s="273"/>
      <c r="EX177" s="273"/>
      <c r="EY177" s="273"/>
      <c r="EZ177" s="273"/>
      <c r="FA177" s="273"/>
      <c r="FB177" s="273"/>
      <c r="FC177" s="273"/>
      <c r="FD177" s="273"/>
      <c r="FE177" s="273"/>
      <c r="FF177" s="273"/>
      <c r="FG177" s="273"/>
      <c r="FH177" s="273"/>
      <c r="FI177" s="273"/>
      <c r="FJ177" s="273"/>
      <c r="FK177" s="273"/>
      <c r="FL177" s="273"/>
      <c r="FM177" s="273"/>
      <c r="FN177" s="273"/>
      <c r="FO177" s="273"/>
      <c r="FP177" s="273"/>
      <c r="FQ177" s="273"/>
      <c r="FR177" s="273"/>
      <c r="FS177" s="273"/>
      <c r="FT177" s="273"/>
      <c r="FU177" s="273"/>
      <c r="FV177" s="273"/>
      <c r="FW177" s="273"/>
      <c r="FX177" s="273"/>
      <c r="FY177" s="273"/>
      <c r="FZ177" s="273"/>
      <c r="GA177" s="273"/>
      <c r="GB177" s="273"/>
      <c r="GC177" s="273"/>
      <c r="GD177" s="273"/>
      <c r="GE177" s="273"/>
      <c r="GF177" s="273"/>
      <c r="GG177" s="273"/>
      <c r="GH177" s="273"/>
      <c r="GI177" s="273"/>
      <c r="GJ177" s="273"/>
      <c r="GK177" s="273"/>
      <c r="GL177" s="273"/>
      <c r="GM177" s="273"/>
      <c r="GN177" s="273"/>
    </row>
    <row r="178" spans="1:196" s="169" customFormat="1" ht="16.5" thickBot="1">
      <c r="B178" s="279"/>
      <c r="C178" s="280"/>
      <c r="D178" s="374" t="s">
        <v>290</v>
      </c>
      <c r="E178" s="374"/>
      <c r="F178" s="281"/>
      <c r="G178" s="281"/>
      <c r="H178" s="281"/>
      <c r="I178" s="296"/>
      <c r="J178" s="297"/>
      <c r="K178" s="297"/>
      <c r="L178" s="297"/>
      <c r="M178" s="297"/>
      <c r="N178" s="297"/>
      <c r="O178" s="297"/>
      <c r="P178" s="296">
        <f>SUM(I178:O178)</f>
        <v>0</v>
      </c>
      <c r="Q178" s="281"/>
      <c r="R178" s="281"/>
      <c r="S178" s="301"/>
      <c r="T178" s="232"/>
      <c r="U178" s="247"/>
      <c r="V178" s="247"/>
      <c r="W178" s="247"/>
      <c r="X178" s="303"/>
      <c r="Y178" s="303"/>
      <c r="Z178" s="303"/>
      <c r="AA178" s="303"/>
      <c r="AB178" s="303"/>
      <c r="AC178" s="303"/>
      <c r="AD178" s="303"/>
      <c r="AE178" s="307">
        <f>SUM(X178:AD178)</f>
        <v>0</v>
      </c>
      <c r="AF178" s="247"/>
      <c r="AG178" s="247"/>
      <c r="AH178" s="247"/>
      <c r="AI178" s="232"/>
      <c r="AJ178" s="232"/>
      <c r="AK178" s="247"/>
      <c r="AL178" s="247"/>
      <c r="AM178" s="303"/>
      <c r="AN178" s="303"/>
      <c r="AO178" s="303"/>
      <c r="AP178" s="303"/>
      <c r="AQ178" s="303"/>
      <c r="AR178" s="303"/>
      <c r="AS178" s="303"/>
      <c r="AT178" s="303">
        <f>SUM(AM178:AS178)</f>
        <v>0</v>
      </c>
      <c r="AU178" s="247"/>
      <c r="AV178" s="247"/>
      <c r="AW178" s="247"/>
      <c r="AX178" s="247"/>
      <c r="AZ178" s="247"/>
      <c r="BA178" s="247"/>
      <c r="BB178" s="247"/>
      <c r="BC178" s="257"/>
      <c r="BD178" s="257"/>
      <c r="BE178" s="257"/>
      <c r="BF178" s="257"/>
      <c r="BG178" s="257"/>
      <c r="BH178" s="257"/>
      <c r="BI178" s="257"/>
      <c r="BJ178" s="303">
        <f>SUM(BC178:BI178)</f>
        <v>0</v>
      </c>
      <c r="BK178" s="303"/>
      <c r="BL178" s="247"/>
      <c r="BO178" s="247"/>
      <c r="BP178" s="247"/>
      <c r="BQ178" s="247"/>
      <c r="BR178" s="303"/>
      <c r="BS178" s="303"/>
      <c r="BT178" s="303"/>
      <c r="BU178" s="303"/>
      <c r="BV178" s="303"/>
      <c r="BW178" s="303"/>
      <c r="BX178" s="303"/>
      <c r="BY178" s="303">
        <f>SUM(BR178:BX178)</f>
        <v>0</v>
      </c>
      <c r="BZ178" s="247"/>
      <c r="CA178" s="247"/>
      <c r="CB178" s="247"/>
      <c r="CC178" s="314"/>
      <c r="CD178" s="315">
        <f>IFERROR(CE177/CD177," ")</f>
        <v>0.97898751733703193</v>
      </c>
      <c r="CE178" s="317">
        <f>SUM(P178,AE178,AT178,BJ178,BY178,)</f>
        <v>0</v>
      </c>
      <c r="CF178" s="375" t="s">
        <v>291</v>
      </c>
      <c r="CG178" s="375"/>
      <c r="CH178" s="318"/>
      <c r="CI178" s="318"/>
      <c r="CJ178" s="318"/>
      <c r="CL178" s="319"/>
      <c r="CM178" s="323"/>
      <c r="CN178" s="323"/>
      <c r="CO178" s="324"/>
    </row>
    <row r="179" spans="1:196" ht="15.75">
      <c r="B179" s="1" t="s">
        <v>292</v>
      </c>
      <c r="C179" s="189"/>
      <c r="D179" s="376" t="s">
        <v>293</v>
      </c>
      <c r="E179" s="376"/>
      <c r="F179" s="282">
        <v>10700</v>
      </c>
      <c r="G179" s="283"/>
      <c r="H179" s="283"/>
      <c r="I179" s="298" t="str">
        <f t="shared" ref="I179:O179" si="205">IFERROR((I177/($F$179*I178))," ")</f>
        <v xml:space="preserve"> </v>
      </c>
      <c r="J179" s="298" t="str">
        <f t="shared" si="205"/>
        <v xml:space="preserve"> </v>
      </c>
      <c r="K179" s="298" t="str">
        <f t="shared" si="205"/>
        <v xml:space="preserve"> </v>
      </c>
      <c r="L179" s="298" t="str">
        <f t="shared" si="205"/>
        <v xml:space="preserve"> </v>
      </c>
      <c r="M179" s="298" t="str">
        <f t="shared" si="205"/>
        <v xml:space="preserve"> </v>
      </c>
      <c r="N179" s="298" t="str">
        <f t="shared" si="205"/>
        <v xml:space="preserve"> </v>
      </c>
      <c r="O179" s="298" t="str">
        <f t="shared" si="205"/>
        <v xml:space="preserve"> </v>
      </c>
      <c r="P179" s="298" t="str">
        <f>IFERROR((P177/(F179*P178))," ")</f>
        <v xml:space="preserve"> </v>
      </c>
      <c r="Q179" s="304">
        <f>IFERROR(P177/H177," ")</f>
        <v>0.97898751733703193</v>
      </c>
      <c r="R179" s="305" t="s">
        <v>294</v>
      </c>
      <c r="S179" s="301"/>
      <c r="T179" s="232"/>
      <c r="U179" s="376" t="s">
        <v>293</v>
      </c>
      <c r="V179" s="376"/>
      <c r="W179" s="282">
        <v>10600</v>
      </c>
      <c r="X179" s="298" t="str">
        <f t="shared" ref="X179:AD179" si="206">IFERROR((X177/($W$179*X178))," ")</f>
        <v xml:space="preserve"> </v>
      </c>
      <c r="Y179" s="298" t="str">
        <f t="shared" si="206"/>
        <v xml:space="preserve"> </v>
      </c>
      <c r="Z179" s="298" t="str">
        <f t="shared" si="206"/>
        <v xml:space="preserve"> </v>
      </c>
      <c r="AA179" s="298" t="str">
        <f t="shared" si="206"/>
        <v xml:space="preserve"> </v>
      </c>
      <c r="AB179" s="298" t="str">
        <f t="shared" si="206"/>
        <v xml:space="preserve"> </v>
      </c>
      <c r="AC179" s="298" t="str">
        <f t="shared" si="206"/>
        <v xml:space="preserve"> </v>
      </c>
      <c r="AD179" s="298" t="str">
        <f t="shared" si="206"/>
        <v xml:space="preserve"> </v>
      </c>
      <c r="AE179" s="298" t="str">
        <f>IFERROR((AE177/(U179*AE178))," ")</f>
        <v xml:space="preserve"> </v>
      </c>
      <c r="AF179" s="304">
        <f>IFERROR(AE177/(W177-2800)," ")</f>
        <v>0</v>
      </c>
      <c r="AG179" s="310" t="s">
        <v>294</v>
      </c>
      <c r="AH179" s="310"/>
      <c r="AI179" s="232"/>
      <c r="AJ179" s="376" t="s">
        <v>293</v>
      </c>
      <c r="AK179" s="376"/>
      <c r="AL179" s="282">
        <v>10600</v>
      </c>
      <c r="AM179" s="298" t="str">
        <f t="shared" ref="AM179:AS179" si="207">IFERROR((AM177/($AL$179*AM178))," ")</f>
        <v xml:space="preserve"> </v>
      </c>
      <c r="AN179" s="298" t="str">
        <f t="shared" si="207"/>
        <v xml:space="preserve"> </v>
      </c>
      <c r="AO179" s="298" t="str">
        <f t="shared" si="207"/>
        <v xml:space="preserve"> </v>
      </c>
      <c r="AP179" s="298" t="str">
        <f t="shared" si="207"/>
        <v xml:space="preserve"> </v>
      </c>
      <c r="AQ179" s="298" t="str">
        <f t="shared" si="207"/>
        <v xml:space="preserve"> </v>
      </c>
      <c r="AR179" s="298" t="str">
        <f t="shared" si="207"/>
        <v xml:space="preserve"> </v>
      </c>
      <c r="AS179" s="298" t="str">
        <f t="shared" si="207"/>
        <v xml:space="preserve"> </v>
      </c>
      <c r="AT179" s="298" t="str">
        <f>IFERROR((AT177/(AJ179*AT178))," ")</f>
        <v xml:space="preserve"> </v>
      </c>
      <c r="AU179" s="304" t="str">
        <f>IFERROR(AT177/AL177," ")</f>
        <v xml:space="preserve"> </v>
      </c>
      <c r="AV179" s="310" t="s">
        <v>294</v>
      </c>
      <c r="AW179" s="310"/>
      <c r="AX179" s="247"/>
      <c r="AY179" s="169"/>
      <c r="AZ179" s="376" t="s">
        <v>293</v>
      </c>
      <c r="BA179" s="376"/>
      <c r="BB179" s="282">
        <v>10600</v>
      </c>
      <c r="BC179" s="298" t="str">
        <f>IFERROR((BC177/($BB$179*BC178))," ")</f>
        <v xml:space="preserve"> </v>
      </c>
      <c r="BD179" s="298" t="str">
        <f>IFERROR((BD177/($BB$179*BD178))," ")</f>
        <v xml:space="preserve"> </v>
      </c>
      <c r="BE179" s="298" t="str">
        <f>IFERROR((BE177/($BB$179*BE178))," ")</f>
        <v xml:space="preserve"> </v>
      </c>
      <c r="BF179" s="298" t="str">
        <f>IFERROR((BF177/($BB$179*BF178))," ")</f>
        <v xml:space="preserve"> </v>
      </c>
      <c r="BG179" s="313"/>
      <c r="BH179" s="298" t="str">
        <f>IFERROR((BH177/($BB$179*BH178))," ")</f>
        <v xml:space="preserve"> </v>
      </c>
      <c r="BI179" s="298" t="str">
        <f>IFERROR((BI177/($F$179*BI178))," ")</f>
        <v xml:space="preserve"> </v>
      </c>
      <c r="BJ179" s="298" t="str">
        <f>IFERROR((BJ177/(AZ179*BJ178))," ")</f>
        <v xml:space="preserve"> </v>
      </c>
      <c r="BK179" s="304" t="str">
        <f>IFERROR(BJ177/BB177," ")</f>
        <v xml:space="preserve"> </v>
      </c>
      <c r="BL179" s="310" t="s">
        <v>294</v>
      </c>
      <c r="BO179" s="3"/>
      <c r="BP179" s="3"/>
      <c r="BQ179" s="3"/>
      <c r="BR179" s="298" t="str">
        <f t="shared" ref="BR179:BX179" si="208">IFERROR((BR177/($F$179*BR178))," ")</f>
        <v xml:space="preserve"> </v>
      </c>
      <c r="BS179" s="298" t="str">
        <f t="shared" si="208"/>
        <v xml:space="preserve"> </v>
      </c>
      <c r="BT179" s="298" t="str">
        <f t="shared" si="208"/>
        <v xml:space="preserve"> </v>
      </c>
      <c r="BU179" s="298" t="str">
        <f t="shared" si="208"/>
        <v xml:space="preserve"> </v>
      </c>
      <c r="BV179" s="298" t="str">
        <f t="shared" si="208"/>
        <v xml:space="preserve"> </v>
      </c>
      <c r="BW179" s="298" t="str">
        <f t="shared" si="208"/>
        <v xml:space="preserve"> </v>
      </c>
      <c r="BX179" s="298" t="str">
        <f t="shared" si="208"/>
        <v xml:space="preserve"> </v>
      </c>
      <c r="BY179" s="298" t="str">
        <f>IFERROR((BY177/(BO179*BY178))," ")</f>
        <v xml:space="preserve"> </v>
      </c>
      <c r="BZ179" s="304" t="str">
        <f>IFERROR(BY177/BQ177," ")</f>
        <v xml:space="preserve"> </v>
      </c>
      <c r="CA179" s="310" t="s">
        <v>294</v>
      </c>
      <c r="CB179" s="310"/>
      <c r="CC179" s="314"/>
      <c r="CD179" s="315" t="str">
        <f>IFERROR((CE177/($F$179*CE178))," ")</f>
        <v xml:space="preserve"> </v>
      </c>
      <c r="CE179" s="62"/>
      <c r="CF179" s="320"/>
      <c r="CG179" s="3"/>
      <c r="CH179" s="3"/>
      <c r="CI179" s="3"/>
      <c r="CJ179" s="3"/>
    </row>
    <row r="180" spans="1:196">
      <c r="B180" s="284" t="s">
        <v>295</v>
      </c>
      <c r="C180" s="285"/>
      <c r="D180" s="284"/>
      <c r="E180" s="284"/>
      <c r="F180" s="286">
        <f>SUM(F181:F182)</f>
        <v>30360</v>
      </c>
      <c r="G180" s="286">
        <f t="shared" ref="G180:AZ180" si="209">SUM(G181:G182)</f>
        <v>0</v>
      </c>
      <c r="H180" s="286">
        <f t="shared" si="209"/>
        <v>30360</v>
      </c>
      <c r="I180" s="286">
        <f t="shared" ref="I180:R180" si="210">SUM(I181:I182)</f>
        <v>7154</v>
      </c>
      <c r="J180" s="286">
        <f t="shared" si="210"/>
        <v>4840</v>
      </c>
      <c r="K180" s="286">
        <f t="shared" si="210"/>
        <v>1660</v>
      </c>
      <c r="L180" s="286">
        <f t="shared" si="210"/>
        <v>2473</v>
      </c>
      <c r="M180" s="286">
        <f t="shared" si="210"/>
        <v>4914</v>
      </c>
      <c r="N180" s="286">
        <f t="shared" si="210"/>
        <v>4139</v>
      </c>
      <c r="O180" s="286">
        <f t="shared" si="210"/>
        <v>3779</v>
      </c>
      <c r="P180" s="286">
        <f t="shared" si="210"/>
        <v>28959</v>
      </c>
      <c r="Q180" s="286">
        <f t="shared" si="210"/>
        <v>-1491</v>
      </c>
      <c r="R180" s="286">
        <f t="shared" si="210"/>
        <v>90</v>
      </c>
      <c r="S180" s="301"/>
      <c r="T180" s="232"/>
      <c r="U180" s="286">
        <f t="shared" si="209"/>
        <v>0</v>
      </c>
      <c r="V180" s="286">
        <f t="shared" si="209"/>
        <v>0</v>
      </c>
      <c r="W180" s="286">
        <f t="shared" si="209"/>
        <v>0</v>
      </c>
      <c r="X180" s="286">
        <f t="shared" ref="X180:AG180" si="211">SUM(X181:X182)</f>
        <v>0</v>
      </c>
      <c r="Y180" s="286">
        <f t="shared" ref="Y180:AE180" si="212">SUM(Y181:Y182)</f>
        <v>0</v>
      </c>
      <c r="Z180" s="286">
        <f t="shared" si="212"/>
        <v>0</v>
      </c>
      <c r="AA180" s="286">
        <f t="shared" si="212"/>
        <v>0</v>
      </c>
      <c r="AB180" s="286">
        <f t="shared" si="212"/>
        <v>0</v>
      </c>
      <c r="AC180" s="286">
        <f t="shared" si="212"/>
        <v>0</v>
      </c>
      <c r="AD180" s="286">
        <f t="shared" si="212"/>
        <v>0</v>
      </c>
      <c r="AE180" s="286">
        <f t="shared" si="212"/>
        <v>0</v>
      </c>
      <c r="AF180" s="286">
        <f t="shared" ref="AF180" si="213">SUM(AF181:AF182)</f>
        <v>0</v>
      </c>
      <c r="AG180" s="286">
        <f t="shared" si="211"/>
        <v>0</v>
      </c>
      <c r="AH180" s="311">
        <f>SUM(AH181:AH187)</f>
        <v>0</v>
      </c>
      <c r="AI180" s="232"/>
      <c r="AJ180" s="286">
        <f t="shared" si="209"/>
        <v>0</v>
      </c>
      <c r="AK180" s="286">
        <f t="shared" si="209"/>
        <v>0</v>
      </c>
      <c r="AL180" s="286">
        <f t="shared" si="209"/>
        <v>0</v>
      </c>
      <c r="AM180" s="286">
        <f t="shared" si="209"/>
        <v>0</v>
      </c>
      <c r="AN180" s="286">
        <f t="shared" si="209"/>
        <v>0</v>
      </c>
      <c r="AO180" s="286">
        <f t="shared" si="209"/>
        <v>0</v>
      </c>
      <c r="AP180" s="286">
        <f t="shared" ref="AP180:AV180" si="214">SUM(AP181:AP182)</f>
        <v>0</v>
      </c>
      <c r="AQ180" s="286">
        <f t="shared" si="214"/>
        <v>0</v>
      </c>
      <c r="AR180" s="286">
        <f t="shared" si="214"/>
        <v>0</v>
      </c>
      <c r="AS180" s="286">
        <f t="shared" si="214"/>
        <v>0</v>
      </c>
      <c r="AT180" s="286">
        <f t="shared" ref="AT180" si="215">SUM(AT181:AT182)</f>
        <v>0</v>
      </c>
      <c r="AU180" s="286">
        <f t="shared" si="214"/>
        <v>0</v>
      </c>
      <c r="AV180" s="286">
        <f t="shared" si="214"/>
        <v>0</v>
      </c>
      <c r="AW180" s="311">
        <f>SUM(AW181:AW187)</f>
        <v>0</v>
      </c>
      <c r="AX180" s="247"/>
      <c r="AY180" s="169"/>
      <c r="AZ180" s="286">
        <f t="shared" si="209"/>
        <v>0</v>
      </c>
      <c r="BA180" s="286">
        <f t="shared" ref="BA180:BC180" si="216">SUM(BA181:BA182)</f>
        <v>0</v>
      </c>
      <c r="BB180" s="286">
        <f t="shared" si="216"/>
        <v>0</v>
      </c>
      <c r="BC180" s="286">
        <f t="shared" si="216"/>
        <v>0</v>
      </c>
      <c r="BD180" s="286">
        <f t="shared" ref="BD180:BL180" si="217">SUM(BD181:BD182)</f>
        <v>0</v>
      </c>
      <c r="BE180" s="286">
        <f t="shared" si="217"/>
        <v>0</v>
      </c>
      <c r="BF180" s="286">
        <f t="shared" si="217"/>
        <v>0</v>
      </c>
      <c r="BG180" s="286">
        <f t="shared" si="217"/>
        <v>0</v>
      </c>
      <c r="BH180" s="286">
        <f t="shared" si="217"/>
        <v>0</v>
      </c>
      <c r="BI180" s="286">
        <f t="shared" si="217"/>
        <v>0</v>
      </c>
      <c r="BJ180" s="286">
        <f t="shared" si="217"/>
        <v>0</v>
      </c>
      <c r="BK180" s="286">
        <f t="shared" si="217"/>
        <v>0</v>
      </c>
      <c r="BL180" s="286">
        <f t="shared" si="217"/>
        <v>0</v>
      </c>
      <c r="BM180" s="311">
        <f>SUM(BM181:BM187)</f>
        <v>0</v>
      </c>
      <c r="BN180" s="311"/>
      <c r="BO180" s="286">
        <f t="shared" ref="BO180:CA180" si="218">SUM(BO181:BO182)</f>
        <v>0</v>
      </c>
      <c r="BP180" s="286">
        <f t="shared" si="218"/>
        <v>0</v>
      </c>
      <c r="BQ180" s="286">
        <f t="shared" si="218"/>
        <v>0</v>
      </c>
      <c r="BR180" s="286">
        <f t="shared" si="218"/>
        <v>0</v>
      </c>
      <c r="BS180" s="286">
        <f t="shared" ref="BS180:BY180" si="219">SUM(BS181:BS182)</f>
        <v>0</v>
      </c>
      <c r="BT180" s="286">
        <f t="shared" si="219"/>
        <v>0</v>
      </c>
      <c r="BU180" s="286">
        <f t="shared" si="219"/>
        <v>0</v>
      </c>
      <c r="BV180" s="286">
        <f t="shared" si="219"/>
        <v>0</v>
      </c>
      <c r="BW180" s="286">
        <f t="shared" si="219"/>
        <v>0</v>
      </c>
      <c r="BX180" s="286">
        <f t="shared" si="219"/>
        <v>0</v>
      </c>
      <c r="BY180" s="286">
        <f t="shared" si="219"/>
        <v>0</v>
      </c>
      <c r="BZ180" s="286">
        <f t="shared" ref="BZ180" si="220">SUM(BZ181:BZ182)</f>
        <v>0</v>
      </c>
      <c r="CA180" s="286">
        <f t="shared" si="218"/>
        <v>0</v>
      </c>
      <c r="CB180" s="311">
        <f>SUM(CB181:CB187)</f>
        <v>0</v>
      </c>
      <c r="CC180" s="314"/>
      <c r="CD180" s="286">
        <f t="shared" ref="CD180:CF180" si="221">SUM(CD181:CD182)</f>
        <v>30360</v>
      </c>
      <c r="CE180" s="286">
        <f t="shared" ref="CE180:CJ180" si="222">SUM(CE181:CE182)</f>
        <v>28959</v>
      </c>
      <c r="CF180" s="286">
        <f t="shared" si="221"/>
        <v>-1491</v>
      </c>
      <c r="CG180" s="286">
        <f t="shared" ref="CG180" si="223">SUM(CG181:CG182)</f>
        <v>90</v>
      </c>
      <c r="CH180" s="286">
        <f t="shared" si="222"/>
        <v>0</v>
      </c>
      <c r="CI180" s="286">
        <f t="shared" si="222"/>
        <v>0</v>
      </c>
      <c r="CJ180" s="286">
        <f t="shared" si="222"/>
        <v>0</v>
      </c>
      <c r="CK180" s="63"/>
    </row>
    <row r="181" spans="1:196">
      <c r="B181" s="287" t="s">
        <v>296</v>
      </c>
      <c r="C181" s="288"/>
      <c r="D181" s="287"/>
      <c r="E181" s="287"/>
      <c r="F181" s="289">
        <f>SUM(F$10:F$40)</f>
        <v>11600</v>
      </c>
      <c r="G181" s="289">
        <f t="shared" ref="G181:BZ181" si="224">SUM(G$10:G$40)</f>
        <v>0</v>
      </c>
      <c r="H181" s="289">
        <f t="shared" si="224"/>
        <v>11600</v>
      </c>
      <c r="I181" s="289">
        <f t="shared" si="224"/>
        <v>3114</v>
      </c>
      <c r="J181" s="289">
        <f t="shared" si="224"/>
        <v>3011</v>
      </c>
      <c r="K181" s="289">
        <f t="shared" si="224"/>
        <v>1660</v>
      </c>
      <c r="L181" s="289">
        <f t="shared" si="224"/>
        <v>2473</v>
      </c>
      <c r="M181" s="289">
        <f t="shared" si="224"/>
        <v>1216</v>
      </c>
      <c r="N181" s="289">
        <f t="shared" si="224"/>
        <v>0</v>
      </c>
      <c r="O181" s="289">
        <f t="shared" si="224"/>
        <v>0</v>
      </c>
      <c r="P181" s="289">
        <f t="shared" si="224"/>
        <v>11474</v>
      </c>
      <c r="Q181" s="289">
        <f t="shared" si="224"/>
        <v>-161</v>
      </c>
      <c r="R181" s="289">
        <f t="shared" si="224"/>
        <v>35</v>
      </c>
      <c r="S181" s="301"/>
      <c r="T181" s="232"/>
      <c r="U181" s="289">
        <f t="shared" si="224"/>
        <v>0</v>
      </c>
      <c r="V181" s="289">
        <f t="shared" si="224"/>
        <v>0</v>
      </c>
      <c r="W181" s="289">
        <f t="shared" si="224"/>
        <v>0</v>
      </c>
      <c r="X181" s="289">
        <f t="shared" si="224"/>
        <v>0</v>
      </c>
      <c r="Y181" s="289">
        <f t="shared" si="224"/>
        <v>0</v>
      </c>
      <c r="Z181" s="289">
        <f t="shared" si="224"/>
        <v>0</v>
      </c>
      <c r="AA181" s="289">
        <f t="shared" si="224"/>
        <v>0</v>
      </c>
      <c r="AB181" s="289">
        <f t="shared" si="224"/>
        <v>0</v>
      </c>
      <c r="AC181" s="289">
        <f t="shared" si="224"/>
        <v>0</v>
      </c>
      <c r="AD181" s="289">
        <f t="shared" si="224"/>
        <v>0</v>
      </c>
      <c r="AE181" s="289">
        <f t="shared" si="224"/>
        <v>0</v>
      </c>
      <c r="AF181" s="289">
        <f t="shared" si="224"/>
        <v>0</v>
      </c>
      <c r="AG181" s="289">
        <f t="shared" si="224"/>
        <v>0</v>
      </c>
      <c r="AH181" s="232">
        <f>+AE181+S181</f>
        <v>0</v>
      </c>
      <c r="AI181" s="232"/>
      <c r="AJ181" s="289">
        <f t="shared" si="224"/>
        <v>0</v>
      </c>
      <c r="AK181" s="289">
        <f t="shared" si="224"/>
        <v>0</v>
      </c>
      <c r="AL181" s="289">
        <f t="shared" si="224"/>
        <v>0</v>
      </c>
      <c r="AM181" s="289">
        <f t="shared" si="224"/>
        <v>0</v>
      </c>
      <c r="AN181" s="289">
        <f t="shared" si="224"/>
        <v>0</v>
      </c>
      <c r="AO181" s="289">
        <f t="shared" si="224"/>
        <v>0</v>
      </c>
      <c r="AP181" s="289">
        <f t="shared" si="224"/>
        <v>0</v>
      </c>
      <c r="AQ181" s="289">
        <f t="shared" si="224"/>
        <v>0</v>
      </c>
      <c r="AR181" s="289">
        <f t="shared" si="224"/>
        <v>0</v>
      </c>
      <c r="AS181" s="289">
        <f t="shared" si="224"/>
        <v>0</v>
      </c>
      <c r="AT181" s="289">
        <f t="shared" si="224"/>
        <v>0</v>
      </c>
      <c r="AU181" s="289">
        <f t="shared" si="224"/>
        <v>0</v>
      </c>
      <c r="AV181" s="289">
        <f t="shared" si="224"/>
        <v>0</v>
      </c>
      <c r="AW181" s="232">
        <f>+AT181+AH181</f>
        <v>0</v>
      </c>
      <c r="AX181" s="247"/>
      <c r="AY181" s="169"/>
      <c r="AZ181" s="289">
        <f t="shared" si="224"/>
        <v>0</v>
      </c>
      <c r="BA181" s="289">
        <f t="shared" si="224"/>
        <v>0</v>
      </c>
      <c r="BB181" s="289">
        <f t="shared" si="224"/>
        <v>0</v>
      </c>
      <c r="BC181" s="289">
        <f t="shared" si="224"/>
        <v>0</v>
      </c>
      <c r="BD181" s="289">
        <f t="shared" si="224"/>
        <v>0</v>
      </c>
      <c r="BE181" s="289">
        <f t="shared" si="224"/>
        <v>0</v>
      </c>
      <c r="BF181" s="289">
        <f t="shared" si="224"/>
        <v>0</v>
      </c>
      <c r="BG181" s="289">
        <f t="shared" si="224"/>
        <v>0</v>
      </c>
      <c r="BH181" s="289">
        <f t="shared" si="224"/>
        <v>0</v>
      </c>
      <c r="BI181" s="289">
        <f t="shared" si="224"/>
        <v>0</v>
      </c>
      <c r="BJ181" s="289">
        <f t="shared" si="224"/>
        <v>0</v>
      </c>
      <c r="BK181" s="289">
        <f t="shared" si="224"/>
        <v>0</v>
      </c>
      <c r="BL181" s="289">
        <f t="shared" si="224"/>
        <v>0</v>
      </c>
      <c r="BM181" s="232">
        <f>+BJ181+AW181</f>
        <v>0</v>
      </c>
      <c r="BN181" s="232">
        <f>+BK182+1200</f>
        <v>1200</v>
      </c>
      <c r="BO181" s="289">
        <f t="shared" si="224"/>
        <v>0</v>
      </c>
      <c r="BP181" s="289">
        <f t="shared" si="224"/>
        <v>0</v>
      </c>
      <c r="BQ181" s="289">
        <f t="shared" si="224"/>
        <v>0</v>
      </c>
      <c r="BR181" s="289">
        <f t="shared" si="224"/>
        <v>0</v>
      </c>
      <c r="BS181" s="289">
        <f t="shared" si="224"/>
        <v>0</v>
      </c>
      <c r="BT181" s="289">
        <f t="shared" si="224"/>
        <v>0</v>
      </c>
      <c r="BU181" s="289">
        <f t="shared" si="224"/>
        <v>0</v>
      </c>
      <c r="BV181" s="289">
        <f t="shared" si="224"/>
        <v>0</v>
      </c>
      <c r="BW181" s="289">
        <f t="shared" si="224"/>
        <v>0</v>
      </c>
      <c r="BX181" s="289">
        <f t="shared" si="224"/>
        <v>0</v>
      </c>
      <c r="BY181" s="289">
        <f t="shared" si="224"/>
        <v>0</v>
      </c>
      <c r="BZ181" s="289">
        <f t="shared" si="224"/>
        <v>0</v>
      </c>
      <c r="CA181" s="289">
        <f t="shared" ref="CA181" si="225">SUM(CA$10:CA$40)</f>
        <v>0</v>
      </c>
      <c r="CB181" s="232">
        <f>+BY181+BM181</f>
        <v>0</v>
      </c>
      <c r="CC181" s="314"/>
      <c r="CD181" s="289">
        <f t="shared" ref="CD181:CJ181" si="226">SUM(CD$10:CD$40)</f>
        <v>11600</v>
      </c>
      <c r="CE181" s="289">
        <f t="shared" si="226"/>
        <v>11474</v>
      </c>
      <c r="CF181" s="289">
        <f t="shared" si="226"/>
        <v>-161</v>
      </c>
      <c r="CG181" s="289">
        <f t="shared" si="226"/>
        <v>35</v>
      </c>
      <c r="CH181" s="295">
        <f t="shared" si="226"/>
        <v>0</v>
      </c>
      <c r="CI181" s="295">
        <f t="shared" si="226"/>
        <v>0</v>
      </c>
      <c r="CJ181" s="295">
        <f t="shared" si="226"/>
        <v>0</v>
      </c>
      <c r="CK181" s="63"/>
      <c r="CL181" s="306"/>
    </row>
    <row r="182" spans="1:196">
      <c r="B182" s="287" t="s">
        <v>297</v>
      </c>
      <c r="C182" s="288"/>
      <c r="D182" s="287"/>
      <c r="E182" s="287"/>
      <c r="F182" s="289">
        <f>SUM(F$42:F$63)</f>
        <v>18760</v>
      </c>
      <c r="G182" s="289">
        <f t="shared" ref="G182:R182" si="227">SUM(G$42:G$63)</f>
        <v>0</v>
      </c>
      <c r="H182" s="289">
        <f t="shared" si="227"/>
        <v>18760</v>
      </c>
      <c r="I182" s="289">
        <f t="shared" si="227"/>
        <v>4040</v>
      </c>
      <c r="J182" s="289">
        <f t="shared" si="227"/>
        <v>1829</v>
      </c>
      <c r="K182" s="289">
        <f t="shared" si="227"/>
        <v>0</v>
      </c>
      <c r="L182" s="289">
        <f t="shared" si="227"/>
        <v>0</v>
      </c>
      <c r="M182" s="289">
        <f t="shared" si="227"/>
        <v>3698</v>
      </c>
      <c r="N182" s="289">
        <f t="shared" si="227"/>
        <v>4139</v>
      </c>
      <c r="O182" s="289">
        <f t="shared" si="227"/>
        <v>3779</v>
      </c>
      <c r="P182" s="289">
        <f t="shared" si="227"/>
        <v>17485</v>
      </c>
      <c r="Q182" s="289">
        <f t="shared" si="227"/>
        <v>-1330</v>
      </c>
      <c r="R182" s="289">
        <f t="shared" si="227"/>
        <v>55</v>
      </c>
      <c r="S182" s="301"/>
      <c r="T182" s="232"/>
      <c r="U182" s="289">
        <f>SUM(U$42:U$59)</f>
        <v>0</v>
      </c>
      <c r="V182" s="289">
        <f t="shared" ref="V182" si="228">SUM(V$42:V$49)</f>
        <v>0</v>
      </c>
      <c r="W182" s="289">
        <f>SUM(W$42:W$59)</f>
        <v>0</v>
      </c>
      <c r="X182" s="289">
        <f>SUM(X$42:X$59)-X53</f>
        <v>0</v>
      </c>
      <c r="Y182" s="289">
        <f t="shared" ref="Y182" si="229">SUM(Y$42:Y$59)</f>
        <v>0</v>
      </c>
      <c r="Z182" s="289">
        <f>SUM(Z$42:Z$59)-Z49</f>
        <v>0</v>
      </c>
      <c r="AA182" s="289">
        <f t="shared" ref="AA182:AG182" si="230">SUM(AA$42:AA$59)-AA49</f>
        <v>0</v>
      </c>
      <c r="AB182" s="289">
        <f t="shared" si="230"/>
        <v>0</v>
      </c>
      <c r="AC182" s="289">
        <f t="shared" si="230"/>
        <v>0</v>
      </c>
      <c r="AD182" s="289">
        <f t="shared" si="230"/>
        <v>0</v>
      </c>
      <c r="AE182" s="289">
        <f t="shared" si="230"/>
        <v>0</v>
      </c>
      <c r="AF182" s="289">
        <f>SUM(AF$42:AF$59)</f>
        <v>0</v>
      </c>
      <c r="AG182" s="289">
        <f t="shared" si="230"/>
        <v>0</v>
      </c>
      <c r="AH182" s="232">
        <f>+AE182+S182</f>
        <v>0</v>
      </c>
      <c r="AI182" s="232"/>
      <c r="AJ182" s="289">
        <f>SUM(AJ$42:AJ$63)-AJ51</f>
        <v>0</v>
      </c>
      <c r="AK182" s="289">
        <f t="shared" ref="AK182:AL182" si="231">SUM(AK$42:AK$63)</f>
        <v>0</v>
      </c>
      <c r="AL182" s="289">
        <f t="shared" si="231"/>
        <v>0</v>
      </c>
      <c r="AM182" s="289">
        <f>SUM(AM$42:AM$58)-AM49</f>
        <v>0</v>
      </c>
      <c r="AN182" s="289">
        <f>SUM(AN$42:AN$58)-AN49</f>
        <v>0</v>
      </c>
      <c r="AO182" s="289">
        <f>SUM(AO$42:AO$63)-AO49</f>
        <v>0</v>
      </c>
      <c r="AP182" s="289">
        <f t="shared" ref="AP182:AR182" si="232">SUM(AP$42:AP$63)-AP49</f>
        <v>0</v>
      </c>
      <c r="AQ182" s="289">
        <f t="shared" si="232"/>
        <v>0</v>
      </c>
      <c r="AR182" s="289">
        <f t="shared" si="232"/>
        <v>0</v>
      </c>
      <c r="AS182" s="289">
        <f>SUM(AS$42:AS$63)-AS49-AS53</f>
        <v>0</v>
      </c>
      <c r="AT182" s="289">
        <f>SUM(AT$42:AT$63)-AT49-AT53</f>
        <v>0</v>
      </c>
      <c r="AU182" s="289">
        <f>SUM(AU$42:AU$63)</f>
        <v>0</v>
      </c>
      <c r="AV182" s="289">
        <f t="shared" ref="AV182" si="233">SUM(AV$42:AV$63)</f>
        <v>0</v>
      </c>
      <c r="AW182" s="232">
        <f>+AT182+AH182</f>
        <v>0</v>
      </c>
      <c r="AX182" s="247"/>
      <c r="AY182" s="169"/>
      <c r="AZ182" s="289">
        <f>SUM(AZ$42:AZ$59)</f>
        <v>0</v>
      </c>
      <c r="BA182" s="289">
        <f t="shared" ref="BA182:BB182" si="234">SUM(BA$42:BA$59)</f>
        <v>0</v>
      </c>
      <c r="BB182" s="289">
        <f t="shared" si="234"/>
        <v>0</v>
      </c>
      <c r="BC182" s="289">
        <f>SUM(BC$42:BC$59)-BC49</f>
        <v>0</v>
      </c>
      <c r="BD182" s="289">
        <f t="shared" ref="BD182:BL182" si="235">SUM(BD$42:BD$59)-BD49</f>
        <v>0</v>
      </c>
      <c r="BE182" s="289">
        <f t="shared" si="235"/>
        <v>0</v>
      </c>
      <c r="BF182" s="289">
        <f t="shared" si="235"/>
        <v>0</v>
      </c>
      <c r="BG182" s="289">
        <f t="shared" si="235"/>
        <v>0</v>
      </c>
      <c r="BH182" s="289">
        <f t="shared" si="235"/>
        <v>0</v>
      </c>
      <c r="BI182" s="289">
        <f t="shared" si="235"/>
        <v>0</v>
      </c>
      <c r="BJ182" s="289">
        <f t="shared" si="235"/>
        <v>0</v>
      </c>
      <c r="BK182" s="289">
        <f t="shared" si="235"/>
        <v>0</v>
      </c>
      <c r="BL182" s="289">
        <f t="shared" si="235"/>
        <v>0</v>
      </c>
      <c r="BM182" s="232">
        <f>+BJ182+AW182</f>
        <v>0</v>
      </c>
      <c r="BN182" s="232"/>
      <c r="BO182" s="289">
        <f>SUM(BO$42:BO$59)</f>
        <v>0</v>
      </c>
      <c r="BP182" s="289">
        <f t="shared" ref="BP182" si="236">SUM(BP$42:BP$49)</f>
        <v>0</v>
      </c>
      <c r="BQ182" s="289">
        <f>SUM(BQ$42:BQ$58)</f>
        <v>0</v>
      </c>
      <c r="BR182" s="289">
        <f>SUM(BR$42:BR$54)-BR49</f>
        <v>0</v>
      </c>
      <c r="BS182" s="289">
        <f t="shared" ref="BS182:BY182" si="237">SUM(BS$42:BS$54)-BS49</f>
        <v>0</v>
      </c>
      <c r="BT182" s="289">
        <f t="shared" si="237"/>
        <v>0</v>
      </c>
      <c r="BU182" s="289">
        <f t="shared" si="237"/>
        <v>0</v>
      </c>
      <c r="BV182" s="289">
        <f>SUM(BV$42:BV$54)-BV49</f>
        <v>0</v>
      </c>
      <c r="BW182" s="289">
        <f t="shared" si="237"/>
        <v>0</v>
      </c>
      <c r="BX182" s="289">
        <f t="shared" si="237"/>
        <v>0</v>
      </c>
      <c r="BY182" s="289">
        <f t="shared" si="237"/>
        <v>0</v>
      </c>
      <c r="BZ182" s="289">
        <f>SUM(BZ$42:BZ$59)</f>
        <v>0</v>
      </c>
      <c r="CA182" s="289">
        <f t="shared" ref="CA182" si="238">SUM(CA$42:CA$54)</f>
        <v>0</v>
      </c>
      <c r="CB182" s="232">
        <f>+BY182+BM182</f>
        <v>0</v>
      </c>
      <c r="CC182" s="314"/>
      <c r="CD182" s="289">
        <f>SUM(CD$42:CD$63)</f>
        <v>18760</v>
      </c>
      <c r="CE182" s="289">
        <f>SUM(CE$42:CE$63)-CE51-CE54</f>
        <v>17485</v>
      </c>
      <c r="CF182" s="289">
        <f t="shared" ref="CF182:CG182" si="239">SUM(CF$42:CF$63)</f>
        <v>-1330</v>
      </c>
      <c r="CG182" s="289">
        <f t="shared" si="239"/>
        <v>55</v>
      </c>
      <c r="CH182" s="295">
        <f>SUM(CH$42:CH$62)</f>
        <v>0</v>
      </c>
      <c r="CI182" s="295">
        <f>SUM(CI$42:CI$62)</f>
        <v>0</v>
      </c>
      <c r="CJ182" s="295">
        <f>SUM(CJ$42:CJ$62)</f>
        <v>0</v>
      </c>
      <c r="CK182" s="63"/>
      <c r="CL182" s="306"/>
    </row>
    <row r="183" spans="1:196">
      <c r="B183" s="284" t="s">
        <v>298</v>
      </c>
      <c r="C183" s="285"/>
      <c r="D183" s="284"/>
      <c r="E183" s="284"/>
      <c r="F183" s="286">
        <f>SUM(F184:F184)</f>
        <v>8360</v>
      </c>
      <c r="G183" s="286">
        <f t="shared" ref="G183:BZ183" si="240">SUM(G184:G184)</f>
        <v>0</v>
      </c>
      <c r="H183" s="286">
        <f t="shared" si="240"/>
        <v>8360</v>
      </c>
      <c r="I183" s="286">
        <f t="shared" si="240"/>
        <v>0</v>
      </c>
      <c r="J183" s="286">
        <f t="shared" si="240"/>
        <v>0</v>
      </c>
      <c r="K183" s="286">
        <f t="shared" si="240"/>
        <v>0</v>
      </c>
      <c r="L183" s="286">
        <f t="shared" si="240"/>
        <v>1880</v>
      </c>
      <c r="M183" s="286">
        <f t="shared" si="240"/>
        <v>698</v>
      </c>
      <c r="N183" s="286">
        <f t="shared" si="240"/>
        <v>3642</v>
      </c>
      <c r="O183" s="286">
        <f t="shared" si="240"/>
        <v>2160</v>
      </c>
      <c r="P183" s="286">
        <f t="shared" si="240"/>
        <v>8380</v>
      </c>
      <c r="Q183" s="286">
        <f t="shared" si="240"/>
        <v>0</v>
      </c>
      <c r="R183" s="286">
        <f t="shared" si="240"/>
        <v>20</v>
      </c>
      <c r="S183" s="301"/>
      <c r="T183" s="232"/>
      <c r="U183" s="286">
        <f t="shared" si="240"/>
        <v>0</v>
      </c>
      <c r="V183" s="286">
        <f t="shared" si="240"/>
        <v>0</v>
      </c>
      <c r="W183" s="286">
        <f t="shared" si="240"/>
        <v>0</v>
      </c>
      <c r="X183" s="286">
        <f t="shared" si="240"/>
        <v>0</v>
      </c>
      <c r="Y183" s="286">
        <f t="shared" si="240"/>
        <v>0</v>
      </c>
      <c r="Z183" s="286">
        <f t="shared" si="240"/>
        <v>0</v>
      </c>
      <c r="AA183" s="286">
        <f t="shared" si="240"/>
        <v>0</v>
      </c>
      <c r="AB183" s="286">
        <f t="shared" si="240"/>
        <v>0</v>
      </c>
      <c r="AC183" s="286">
        <f t="shared" si="240"/>
        <v>0</v>
      </c>
      <c r="AD183" s="286">
        <f t="shared" si="240"/>
        <v>0</v>
      </c>
      <c r="AE183" s="286">
        <f t="shared" si="240"/>
        <v>0</v>
      </c>
      <c r="AF183" s="286">
        <f t="shared" si="240"/>
        <v>0</v>
      </c>
      <c r="AG183" s="286">
        <f t="shared" si="240"/>
        <v>0</v>
      </c>
      <c r="AH183" s="232"/>
      <c r="AI183" s="232"/>
      <c r="AJ183" s="286">
        <f t="shared" si="240"/>
        <v>0</v>
      </c>
      <c r="AK183" s="286">
        <f t="shared" si="240"/>
        <v>0</v>
      </c>
      <c r="AL183" s="286">
        <f t="shared" si="240"/>
        <v>0</v>
      </c>
      <c r="AM183" s="286">
        <f t="shared" si="240"/>
        <v>0</v>
      </c>
      <c r="AN183" s="286">
        <f t="shared" si="240"/>
        <v>0</v>
      </c>
      <c r="AO183" s="286">
        <f t="shared" si="240"/>
        <v>0</v>
      </c>
      <c r="AP183" s="286">
        <f t="shared" si="240"/>
        <v>0</v>
      </c>
      <c r="AQ183" s="286">
        <f t="shared" si="240"/>
        <v>0</v>
      </c>
      <c r="AR183" s="286">
        <f t="shared" si="240"/>
        <v>0</v>
      </c>
      <c r="AS183" s="286">
        <f t="shared" si="240"/>
        <v>0</v>
      </c>
      <c r="AT183" s="286">
        <f t="shared" si="240"/>
        <v>0</v>
      </c>
      <c r="AU183" s="286">
        <f t="shared" si="240"/>
        <v>0</v>
      </c>
      <c r="AV183" s="286">
        <f t="shared" si="240"/>
        <v>0</v>
      </c>
      <c r="AW183" s="232"/>
      <c r="AX183" s="247"/>
      <c r="AY183" s="169"/>
      <c r="AZ183" s="286">
        <f t="shared" si="240"/>
        <v>0</v>
      </c>
      <c r="BA183" s="286">
        <f t="shared" si="240"/>
        <v>0</v>
      </c>
      <c r="BB183" s="286">
        <f t="shared" si="240"/>
        <v>0</v>
      </c>
      <c r="BC183" s="286">
        <f t="shared" si="240"/>
        <v>0</v>
      </c>
      <c r="BD183" s="286">
        <f t="shared" si="240"/>
        <v>0</v>
      </c>
      <c r="BE183" s="286">
        <f t="shared" si="240"/>
        <v>0</v>
      </c>
      <c r="BF183" s="286">
        <f t="shared" si="240"/>
        <v>0</v>
      </c>
      <c r="BG183" s="286">
        <f t="shared" si="240"/>
        <v>0</v>
      </c>
      <c r="BH183" s="286">
        <f t="shared" si="240"/>
        <v>0</v>
      </c>
      <c r="BI183" s="286">
        <f t="shared" si="240"/>
        <v>0</v>
      </c>
      <c r="BJ183" s="286">
        <f t="shared" si="240"/>
        <v>0</v>
      </c>
      <c r="BK183" s="286">
        <f t="shared" si="240"/>
        <v>0</v>
      </c>
      <c r="BL183" s="286">
        <f t="shared" si="240"/>
        <v>0</v>
      </c>
      <c r="BM183" s="232"/>
      <c r="BN183" s="232"/>
      <c r="BO183" s="286">
        <f t="shared" si="240"/>
        <v>0</v>
      </c>
      <c r="BP183" s="286">
        <f t="shared" si="240"/>
        <v>0</v>
      </c>
      <c r="BQ183" s="286">
        <f t="shared" si="240"/>
        <v>0</v>
      </c>
      <c r="BR183" s="286">
        <f t="shared" si="240"/>
        <v>0</v>
      </c>
      <c r="BS183" s="286">
        <f t="shared" si="240"/>
        <v>0</v>
      </c>
      <c r="BT183" s="286">
        <f t="shared" si="240"/>
        <v>0</v>
      </c>
      <c r="BU183" s="286">
        <f t="shared" si="240"/>
        <v>0</v>
      </c>
      <c r="BV183" s="286">
        <f t="shared" si="240"/>
        <v>0</v>
      </c>
      <c r="BW183" s="286">
        <f t="shared" si="240"/>
        <v>0</v>
      </c>
      <c r="BX183" s="286">
        <f t="shared" si="240"/>
        <v>0</v>
      </c>
      <c r="BY183" s="286">
        <f t="shared" si="240"/>
        <v>0</v>
      </c>
      <c r="BZ183" s="286">
        <f t="shared" si="240"/>
        <v>0</v>
      </c>
      <c r="CA183" s="286">
        <f t="shared" ref="CA183" si="241">SUM(CA184:CA184)</f>
        <v>0</v>
      </c>
      <c r="CB183" s="232"/>
      <c r="CC183" s="314"/>
      <c r="CD183" s="286">
        <f t="shared" ref="CD183:CJ183" si="242">SUM(CD184:CD184)</f>
        <v>8360</v>
      </c>
      <c r="CE183" s="286">
        <f t="shared" si="242"/>
        <v>8380</v>
      </c>
      <c r="CF183" s="286">
        <f t="shared" si="242"/>
        <v>0</v>
      </c>
      <c r="CG183" s="286">
        <f t="shared" si="242"/>
        <v>20</v>
      </c>
      <c r="CH183" s="293">
        <f t="shared" si="242"/>
        <v>0</v>
      </c>
      <c r="CI183" s="293">
        <f t="shared" si="242"/>
        <v>0</v>
      </c>
      <c r="CJ183" s="293">
        <f t="shared" si="242"/>
        <v>0</v>
      </c>
      <c r="CK183" s="63"/>
      <c r="CL183" s="306"/>
    </row>
    <row r="184" spans="1:196">
      <c r="B184" s="287" t="s">
        <v>299</v>
      </c>
      <c r="C184" s="288"/>
      <c r="D184" s="287"/>
      <c r="E184" s="287"/>
      <c r="F184" s="289">
        <f>SUM(F$65:F$118)</f>
        <v>8360</v>
      </c>
      <c r="G184" s="289">
        <f t="shared" ref="G184:BZ184" si="243">SUM(G$65:G$118)</f>
        <v>0</v>
      </c>
      <c r="H184" s="289">
        <f t="shared" si="243"/>
        <v>8360</v>
      </c>
      <c r="I184" s="289">
        <f t="shared" si="243"/>
        <v>0</v>
      </c>
      <c r="J184" s="289">
        <f t="shared" si="243"/>
        <v>0</v>
      </c>
      <c r="K184" s="289">
        <f t="shared" si="243"/>
        <v>0</v>
      </c>
      <c r="L184" s="289">
        <f t="shared" si="243"/>
        <v>1880</v>
      </c>
      <c r="M184" s="289">
        <f t="shared" si="243"/>
        <v>698</v>
      </c>
      <c r="N184" s="289">
        <f t="shared" si="243"/>
        <v>3642</v>
      </c>
      <c r="O184" s="289">
        <f t="shared" si="243"/>
        <v>2160</v>
      </c>
      <c r="P184" s="289">
        <f t="shared" si="243"/>
        <v>8380</v>
      </c>
      <c r="Q184" s="289">
        <f t="shared" si="243"/>
        <v>0</v>
      </c>
      <c r="R184" s="289">
        <f t="shared" si="243"/>
        <v>20</v>
      </c>
      <c r="S184" s="301"/>
      <c r="T184" s="232"/>
      <c r="U184" s="289">
        <f t="shared" si="243"/>
        <v>0</v>
      </c>
      <c r="V184" s="289">
        <f t="shared" si="243"/>
        <v>0</v>
      </c>
      <c r="W184" s="289">
        <f t="shared" si="243"/>
        <v>0</v>
      </c>
      <c r="X184" s="289">
        <f t="shared" si="243"/>
        <v>0</v>
      </c>
      <c r="Y184" s="289">
        <f t="shared" si="243"/>
        <v>0</v>
      </c>
      <c r="Z184" s="289">
        <f t="shared" si="243"/>
        <v>0</v>
      </c>
      <c r="AA184" s="289">
        <f t="shared" si="243"/>
        <v>0</v>
      </c>
      <c r="AB184" s="289">
        <f t="shared" si="243"/>
        <v>0</v>
      </c>
      <c r="AC184" s="289">
        <f t="shared" si="243"/>
        <v>0</v>
      </c>
      <c r="AD184" s="289">
        <f t="shared" si="243"/>
        <v>0</v>
      </c>
      <c r="AE184" s="289">
        <f t="shared" si="243"/>
        <v>0</v>
      </c>
      <c r="AF184" s="289">
        <f t="shared" si="243"/>
        <v>0</v>
      </c>
      <c r="AG184" s="289">
        <f t="shared" si="243"/>
        <v>0</v>
      </c>
      <c r="AH184" s="232">
        <f>+AE184+S184</f>
        <v>0</v>
      </c>
      <c r="AI184" s="232"/>
      <c r="AJ184" s="289">
        <f t="shared" si="243"/>
        <v>0</v>
      </c>
      <c r="AK184" s="289">
        <f t="shared" si="243"/>
        <v>0</v>
      </c>
      <c r="AL184" s="289">
        <f t="shared" si="243"/>
        <v>0</v>
      </c>
      <c r="AM184" s="289">
        <f t="shared" si="243"/>
        <v>0</v>
      </c>
      <c r="AN184" s="289">
        <f t="shared" si="243"/>
        <v>0</v>
      </c>
      <c r="AO184" s="289">
        <f t="shared" si="243"/>
        <v>0</v>
      </c>
      <c r="AP184" s="289">
        <f t="shared" si="243"/>
        <v>0</v>
      </c>
      <c r="AQ184" s="289">
        <f t="shared" si="243"/>
        <v>0</v>
      </c>
      <c r="AR184" s="289">
        <f t="shared" si="243"/>
        <v>0</v>
      </c>
      <c r="AS184" s="289">
        <f t="shared" si="243"/>
        <v>0</v>
      </c>
      <c r="AT184" s="289">
        <f t="shared" si="243"/>
        <v>0</v>
      </c>
      <c r="AU184" s="289">
        <f t="shared" si="243"/>
        <v>0</v>
      </c>
      <c r="AV184" s="289">
        <f t="shared" si="243"/>
        <v>0</v>
      </c>
      <c r="AW184" s="232">
        <f>+AT184+AH184</f>
        <v>0</v>
      </c>
      <c r="AX184" s="247"/>
      <c r="AY184" s="169"/>
      <c r="AZ184" s="289">
        <f t="shared" si="243"/>
        <v>0</v>
      </c>
      <c r="BA184" s="289">
        <f t="shared" si="243"/>
        <v>0</v>
      </c>
      <c r="BB184" s="289">
        <f t="shared" si="243"/>
        <v>0</v>
      </c>
      <c r="BC184" s="289">
        <f t="shared" si="243"/>
        <v>0</v>
      </c>
      <c r="BD184" s="289">
        <f t="shared" si="243"/>
        <v>0</v>
      </c>
      <c r="BE184" s="289">
        <f t="shared" si="243"/>
        <v>0</v>
      </c>
      <c r="BF184" s="289">
        <f t="shared" si="243"/>
        <v>0</v>
      </c>
      <c r="BG184" s="289">
        <f t="shared" si="243"/>
        <v>0</v>
      </c>
      <c r="BH184" s="289">
        <f t="shared" si="243"/>
        <v>0</v>
      </c>
      <c r="BI184" s="289">
        <f t="shared" si="243"/>
        <v>0</v>
      </c>
      <c r="BJ184" s="289">
        <f t="shared" si="243"/>
        <v>0</v>
      </c>
      <c r="BK184" s="289">
        <f t="shared" si="243"/>
        <v>0</v>
      </c>
      <c r="BL184" s="289">
        <f t="shared" si="243"/>
        <v>0</v>
      </c>
      <c r="BM184" s="232">
        <f>+BJ184+AW184</f>
        <v>0</v>
      </c>
      <c r="BN184" s="232"/>
      <c r="BO184" s="289">
        <f t="shared" si="243"/>
        <v>0</v>
      </c>
      <c r="BP184" s="289">
        <f t="shared" si="243"/>
        <v>0</v>
      </c>
      <c r="BQ184" s="289">
        <f t="shared" si="243"/>
        <v>0</v>
      </c>
      <c r="BR184" s="289">
        <f t="shared" si="243"/>
        <v>0</v>
      </c>
      <c r="BS184" s="289">
        <f t="shared" si="243"/>
        <v>0</v>
      </c>
      <c r="BT184" s="289">
        <f t="shared" si="243"/>
        <v>0</v>
      </c>
      <c r="BU184" s="289">
        <f t="shared" si="243"/>
        <v>0</v>
      </c>
      <c r="BV184" s="289">
        <f t="shared" si="243"/>
        <v>0</v>
      </c>
      <c r="BW184" s="289">
        <f t="shared" si="243"/>
        <v>0</v>
      </c>
      <c r="BX184" s="289">
        <f t="shared" si="243"/>
        <v>0</v>
      </c>
      <c r="BY184" s="289">
        <f t="shared" si="243"/>
        <v>0</v>
      </c>
      <c r="BZ184" s="289">
        <f t="shared" si="243"/>
        <v>0</v>
      </c>
      <c r="CA184" s="289">
        <f t="shared" ref="CA184" si="244">SUM(CA$65:CA$118)</f>
        <v>0</v>
      </c>
      <c r="CB184" s="232">
        <f>+BY184+BM184</f>
        <v>0</v>
      </c>
      <c r="CC184" s="314"/>
      <c r="CD184" s="289">
        <f t="shared" ref="CD184:CG184" si="245">SUM(CD$65:CD$118)</f>
        <v>8360</v>
      </c>
      <c r="CE184" s="289">
        <f t="shared" si="245"/>
        <v>8380</v>
      </c>
      <c r="CF184" s="289">
        <f t="shared" si="245"/>
        <v>0</v>
      </c>
      <c r="CG184" s="289">
        <f t="shared" si="245"/>
        <v>20</v>
      </c>
      <c r="CH184" s="295">
        <f>SUM(CH$65:CH$117)</f>
        <v>0</v>
      </c>
      <c r="CI184" s="295">
        <f>SUM(CI$65:CI$117)</f>
        <v>0</v>
      </c>
      <c r="CJ184" s="295">
        <f>SUM(CJ$65:CJ$117)</f>
        <v>0</v>
      </c>
      <c r="CK184" s="63"/>
      <c r="CL184" s="306"/>
    </row>
    <row r="185" spans="1:196">
      <c r="B185" s="284" t="s">
        <v>300</v>
      </c>
      <c r="C185" s="285"/>
      <c r="D185" s="284"/>
      <c r="E185" s="284"/>
      <c r="F185" s="286">
        <f>SUM(F186:F187)</f>
        <v>18960</v>
      </c>
      <c r="G185" s="286">
        <f t="shared" ref="G185:AZ185" si="246">SUM(G186:G187)</f>
        <v>0</v>
      </c>
      <c r="H185" s="286">
        <f t="shared" si="246"/>
        <v>18960</v>
      </c>
      <c r="I185" s="286">
        <f t="shared" ref="I185:R185" si="247">SUM(I186:I187)</f>
        <v>5244</v>
      </c>
      <c r="J185" s="286">
        <f t="shared" si="247"/>
        <v>6974</v>
      </c>
      <c r="K185" s="286">
        <f t="shared" si="247"/>
        <v>1320</v>
      </c>
      <c r="L185" s="286">
        <f t="shared" si="247"/>
        <v>956</v>
      </c>
      <c r="M185" s="286">
        <f t="shared" si="247"/>
        <v>2586</v>
      </c>
      <c r="N185" s="286">
        <f t="shared" si="247"/>
        <v>0</v>
      </c>
      <c r="O185" s="286">
        <f t="shared" si="247"/>
        <v>2049</v>
      </c>
      <c r="P185" s="286">
        <f t="shared" si="247"/>
        <v>19129</v>
      </c>
      <c r="Q185" s="286">
        <f t="shared" si="247"/>
        <v>-35</v>
      </c>
      <c r="R185" s="286">
        <f t="shared" si="247"/>
        <v>204</v>
      </c>
      <c r="S185" s="301"/>
      <c r="T185" s="232"/>
      <c r="U185" s="286">
        <f t="shared" si="246"/>
        <v>0</v>
      </c>
      <c r="V185" s="286">
        <f t="shared" si="246"/>
        <v>0</v>
      </c>
      <c r="W185" s="286">
        <f t="shared" si="246"/>
        <v>0</v>
      </c>
      <c r="X185" s="286">
        <f t="shared" ref="X185:AG185" si="248">SUM(X186:X187)</f>
        <v>0</v>
      </c>
      <c r="Y185" s="286">
        <f t="shared" ref="Y185:AE185" si="249">SUM(Y186:Y187)</f>
        <v>0</v>
      </c>
      <c r="Z185" s="286">
        <f t="shared" si="249"/>
        <v>0</v>
      </c>
      <c r="AA185" s="286">
        <f t="shared" si="249"/>
        <v>0</v>
      </c>
      <c r="AB185" s="286">
        <f t="shared" si="249"/>
        <v>0</v>
      </c>
      <c r="AC185" s="286">
        <f t="shared" si="249"/>
        <v>0</v>
      </c>
      <c r="AD185" s="286">
        <f t="shared" si="249"/>
        <v>0</v>
      </c>
      <c r="AE185" s="286">
        <f t="shared" si="249"/>
        <v>0</v>
      </c>
      <c r="AF185" s="286">
        <f t="shared" ref="AF185" si="250">SUM(AF186:AF187)</f>
        <v>0</v>
      </c>
      <c r="AG185" s="286">
        <f t="shared" si="248"/>
        <v>0</v>
      </c>
      <c r="AH185" s="232"/>
      <c r="AI185" s="232"/>
      <c r="AJ185" s="286">
        <f t="shared" si="246"/>
        <v>0</v>
      </c>
      <c r="AK185" s="286">
        <f t="shared" si="246"/>
        <v>0</v>
      </c>
      <c r="AL185" s="286">
        <f t="shared" si="246"/>
        <v>0</v>
      </c>
      <c r="AM185" s="286">
        <f t="shared" si="246"/>
        <v>0</v>
      </c>
      <c r="AN185" s="286">
        <f t="shared" si="246"/>
        <v>0</v>
      </c>
      <c r="AO185" s="286">
        <f t="shared" si="246"/>
        <v>0</v>
      </c>
      <c r="AP185" s="286">
        <f t="shared" ref="AP185:AV185" si="251">SUM(AP186:AP187)</f>
        <v>0</v>
      </c>
      <c r="AQ185" s="286">
        <f t="shared" si="251"/>
        <v>0</v>
      </c>
      <c r="AR185" s="286">
        <f t="shared" si="251"/>
        <v>0</v>
      </c>
      <c r="AS185" s="286">
        <f t="shared" si="251"/>
        <v>0</v>
      </c>
      <c r="AT185" s="286">
        <f t="shared" ref="AT185" si="252">SUM(AT186:AT187)</f>
        <v>0</v>
      </c>
      <c r="AU185" s="286">
        <f t="shared" si="251"/>
        <v>0</v>
      </c>
      <c r="AV185" s="286">
        <f t="shared" si="251"/>
        <v>0</v>
      </c>
      <c r="AW185" s="232"/>
      <c r="AX185" s="247"/>
      <c r="AY185" s="169"/>
      <c r="AZ185" s="286">
        <f t="shared" si="246"/>
        <v>0</v>
      </c>
      <c r="BA185" s="286">
        <f t="shared" ref="BA185:BC185" si="253">SUM(BA186:BA187)</f>
        <v>0</v>
      </c>
      <c r="BB185" s="286">
        <f t="shared" si="253"/>
        <v>0</v>
      </c>
      <c r="BC185" s="286">
        <f t="shared" si="253"/>
        <v>0</v>
      </c>
      <c r="BD185" s="286">
        <f t="shared" ref="BD185:BL185" si="254">SUM(BD186:BD187)</f>
        <v>0</v>
      </c>
      <c r="BE185" s="286">
        <f t="shared" si="254"/>
        <v>0</v>
      </c>
      <c r="BF185" s="286">
        <f t="shared" si="254"/>
        <v>0</v>
      </c>
      <c r="BG185" s="286">
        <f t="shared" si="254"/>
        <v>0</v>
      </c>
      <c r="BH185" s="286">
        <f t="shared" si="254"/>
        <v>0</v>
      </c>
      <c r="BI185" s="286">
        <f t="shared" si="254"/>
        <v>0</v>
      </c>
      <c r="BJ185" s="286">
        <f t="shared" si="254"/>
        <v>0</v>
      </c>
      <c r="BK185" s="286">
        <f t="shared" si="254"/>
        <v>0</v>
      </c>
      <c r="BL185" s="286">
        <f t="shared" si="254"/>
        <v>0</v>
      </c>
      <c r="BM185" s="232"/>
      <c r="BN185" s="232"/>
      <c r="BO185" s="286">
        <f t="shared" ref="BO185:BP185" si="255">SUM(BO186:BO187)</f>
        <v>0</v>
      </c>
      <c r="BP185" s="286">
        <f t="shared" si="255"/>
        <v>0</v>
      </c>
      <c r="BQ185" s="286">
        <f t="shared" ref="BQ185:CA185" si="256">SUM(BQ186:BQ187)</f>
        <v>0</v>
      </c>
      <c r="BR185" s="286">
        <f t="shared" si="256"/>
        <v>0</v>
      </c>
      <c r="BS185" s="286">
        <f t="shared" ref="BS185:BY185" si="257">SUM(BS186:BS187)</f>
        <v>0</v>
      </c>
      <c r="BT185" s="286">
        <f t="shared" si="257"/>
        <v>0</v>
      </c>
      <c r="BU185" s="286">
        <f t="shared" si="257"/>
        <v>0</v>
      </c>
      <c r="BV185" s="286">
        <f t="shared" si="257"/>
        <v>0</v>
      </c>
      <c r="BW185" s="286">
        <f t="shared" si="257"/>
        <v>0</v>
      </c>
      <c r="BX185" s="286">
        <f t="shared" si="257"/>
        <v>0</v>
      </c>
      <c r="BY185" s="286">
        <f t="shared" si="257"/>
        <v>0</v>
      </c>
      <c r="BZ185" s="286">
        <f t="shared" ref="BZ185" si="258">SUM(BZ186:BZ187)</f>
        <v>0</v>
      </c>
      <c r="CA185" s="286">
        <f t="shared" si="256"/>
        <v>0</v>
      </c>
      <c r="CB185" s="232"/>
      <c r="CC185" s="314"/>
      <c r="CD185" s="286">
        <f t="shared" ref="CD185:CF185" si="259">SUM(CD186:CD187)</f>
        <v>18960</v>
      </c>
      <c r="CE185" s="286">
        <f t="shared" ref="CE185:CJ185" si="260">SUM(CE186:CE187)</f>
        <v>19129</v>
      </c>
      <c r="CF185" s="286">
        <f t="shared" si="259"/>
        <v>-35</v>
      </c>
      <c r="CG185" s="286">
        <f t="shared" ref="CG185" si="261">SUM(CG186:CG187)</f>
        <v>204</v>
      </c>
      <c r="CH185" s="293">
        <f t="shared" si="260"/>
        <v>0</v>
      </c>
      <c r="CI185" s="293">
        <f t="shared" si="260"/>
        <v>0</v>
      </c>
      <c r="CJ185" s="293">
        <f t="shared" si="260"/>
        <v>0</v>
      </c>
      <c r="CK185" s="63"/>
    </row>
    <row r="186" spans="1:196">
      <c r="B186" s="287" t="s">
        <v>301</v>
      </c>
      <c r="C186" s="288"/>
      <c r="D186" s="287"/>
      <c r="E186" s="287"/>
      <c r="F186" s="289">
        <f>SUM(F120:F154)</f>
        <v>13920</v>
      </c>
      <c r="G186" s="289">
        <f t="shared" ref="G186:AZ186" si="262">SUM(G120:G154)</f>
        <v>0</v>
      </c>
      <c r="H186" s="289">
        <f t="shared" si="262"/>
        <v>13920</v>
      </c>
      <c r="I186" s="289">
        <f t="shared" ref="I186:R186" si="263">SUM(I120:I154)</f>
        <v>4885</v>
      </c>
      <c r="J186" s="289">
        <f t="shared" si="263"/>
        <v>6974</v>
      </c>
      <c r="K186" s="289">
        <f t="shared" si="263"/>
        <v>1320</v>
      </c>
      <c r="L186" s="289">
        <f t="shared" si="263"/>
        <v>796</v>
      </c>
      <c r="M186" s="289">
        <f t="shared" si="263"/>
        <v>0</v>
      </c>
      <c r="N186" s="289">
        <f t="shared" si="263"/>
        <v>0</v>
      </c>
      <c r="O186" s="289">
        <f t="shared" si="263"/>
        <v>0</v>
      </c>
      <c r="P186" s="289">
        <f t="shared" si="263"/>
        <v>13975</v>
      </c>
      <c r="Q186" s="289">
        <f t="shared" si="263"/>
        <v>-8</v>
      </c>
      <c r="R186" s="289">
        <f t="shared" si="263"/>
        <v>63</v>
      </c>
      <c r="S186" s="301"/>
      <c r="T186" s="232"/>
      <c r="U186" s="289">
        <f t="shared" si="262"/>
        <v>0</v>
      </c>
      <c r="V186" s="289">
        <f t="shared" si="262"/>
        <v>0</v>
      </c>
      <c r="W186" s="289">
        <f t="shared" si="262"/>
        <v>0</v>
      </c>
      <c r="X186" s="289">
        <f t="shared" ref="X186:AG186" si="264">SUM(X120:X154)</f>
        <v>0</v>
      </c>
      <c r="Y186" s="289">
        <f t="shared" ref="Y186:AE186" si="265">SUM(Y120:Y154)</f>
        <v>0</v>
      </c>
      <c r="Z186" s="289">
        <f t="shared" si="265"/>
        <v>0</v>
      </c>
      <c r="AA186" s="289">
        <f t="shared" si="265"/>
        <v>0</v>
      </c>
      <c r="AB186" s="289">
        <f t="shared" si="265"/>
        <v>0</v>
      </c>
      <c r="AC186" s="289">
        <f t="shared" si="265"/>
        <v>0</v>
      </c>
      <c r="AD186" s="289">
        <f t="shared" si="265"/>
        <v>0</v>
      </c>
      <c r="AE186" s="289">
        <f t="shared" si="265"/>
        <v>0</v>
      </c>
      <c r="AF186" s="289">
        <f t="shared" ref="AF186" si="266">SUM(AF120:AF154)</f>
        <v>0</v>
      </c>
      <c r="AG186" s="289">
        <f t="shared" si="264"/>
        <v>0</v>
      </c>
      <c r="AH186" s="232">
        <f>+AE186+S186</f>
        <v>0</v>
      </c>
      <c r="AI186" s="232"/>
      <c r="AJ186" s="289">
        <f t="shared" si="262"/>
        <v>0</v>
      </c>
      <c r="AK186" s="289">
        <f t="shared" si="262"/>
        <v>0</v>
      </c>
      <c r="AL186" s="289">
        <f t="shared" si="262"/>
        <v>0</v>
      </c>
      <c r="AM186" s="289">
        <f t="shared" si="262"/>
        <v>0</v>
      </c>
      <c r="AN186" s="289">
        <f t="shared" si="262"/>
        <v>0</v>
      </c>
      <c r="AO186" s="289">
        <f t="shared" si="262"/>
        <v>0</v>
      </c>
      <c r="AP186" s="289">
        <f t="shared" ref="AP186:AV186" si="267">SUM(AP120:AP154)</f>
        <v>0</v>
      </c>
      <c r="AQ186" s="289">
        <f t="shared" si="267"/>
        <v>0</v>
      </c>
      <c r="AR186" s="289">
        <f t="shared" si="267"/>
        <v>0</v>
      </c>
      <c r="AS186" s="289">
        <f t="shared" si="267"/>
        <v>0</v>
      </c>
      <c r="AT186" s="289">
        <f t="shared" ref="AT186" si="268">SUM(AT120:AT154)</f>
        <v>0</v>
      </c>
      <c r="AU186" s="289">
        <f t="shared" si="267"/>
        <v>0</v>
      </c>
      <c r="AV186" s="289">
        <f t="shared" si="267"/>
        <v>0</v>
      </c>
      <c r="AW186" s="232">
        <f t="shared" ref="AW186:AW187" si="269">+AT186+AH186</f>
        <v>0</v>
      </c>
      <c r="AX186" s="247"/>
      <c r="AY186" s="169"/>
      <c r="AZ186" s="289">
        <f t="shared" si="262"/>
        <v>0</v>
      </c>
      <c r="BA186" s="289">
        <f t="shared" ref="BA186:BC186" si="270">SUM(BA120:BA154)</f>
        <v>0</v>
      </c>
      <c r="BB186" s="289">
        <f t="shared" si="270"/>
        <v>0</v>
      </c>
      <c r="BC186" s="289">
        <f t="shared" si="270"/>
        <v>0</v>
      </c>
      <c r="BD186" s="289">
        <f t="shared" ref="BD186:BL186" si="271">SUM(BD120:BD154)</f>
        <v>0</v>
      </c>
      <c r="BE186" s="289">
        <f t="shared" si="271"/>
        <v>0</v>
      </c>
      <c r="BF186" s="289">
        <f t="shared" si="271"/>
        <v>0</v>
      </c>
      <c r="BG186" s="289">
        <f t="shared" si="271"/>
        <v>0</v>
      </c>
      <c r="BH186" s="289">
        <f t="shared" si="271"/>
        <v>0</v>
      </c>
      <c r="BI186" s="289">
        <f t="shared" si="271"/>
        <v>0</v>
      </c>
      <c r="BJ186" s="289">
        <f t="shared" si="271"/>
        <v>0</v>
      </c>
      <c r="BK186" s="289">
        <f t="shared" si="271"/>
        <v>0</v>
      </c>
      <c r="BL186" s="289">
        <f t="shared" si="271"/>
        <v>0</v>
      </c>
      <c r="BM186" s="232">
        <f>+BJ186+AW186</f>
        <v>0</v>
      </c>
      <c r="BN186" s="232">
        <f>+BK186+BK187</f>
        <v>0</v>
      </c>
      <c r="BO186" s="289">
        <f t="shared" ref="BO186:BP186" si="272">SUM(BO120:BO154)</f>
        <v>0</v>
      </c>
      <c r="BP186" s="289">
        <f t="shared" si="272"/>
        <v>0</v>
      </c>
      <c r="BQ186" s="289">
        <f t="shared" ref="BQ186:CA186" si="273">SUM(BQ120:BQ154)</f>
        <v>0</v>
      </c>
      <c r="BR186" s="289">
        <f t="shared" si="273"/>
        <v>0</v>
      </c>
      <c r="BS186" s="289">
        <f t="shared" ref="BS186:BY186" si="274">SUM(BS120:BS154)</f>
        <v>0</v>
      </c>
      <c r="BT186" s="289">
        <f t="shared" si="274"/>
        <v>0</v>
      </c>
      <c r="BU186" s="289">
        <f t="shared" si="274"/>
        <v>0</v>
      </c>
      <c r="BV186" s="289">
        <f t="shared" si="274"/>
        <v>0</v>
      </c>
      <c r="BW186" s="289">
        <f t="shared" si="274"/>
        <v>0</v>
      </c>
      <c r="BX186" s="289">
        <f t="shared" si="274"/>
        <v>0</v>
      </c>
      <c r="BY186" s="289">
        <f t="shared" si="274"/>
        <v>0</v>
      </c>
      <c r="BZ186" s="289">
        <f t="shared" ref="BZ186" si="275">SUM(BZ120:BZ154)</f>
        <v>0</v>
      </c>
      <c r="CA186" s="289">
        <f t="shared" si="273"/>
        <v>0</v>
      </c>
      <c r="CB186" s="232">
        <f t="shared" ref="CB186:CB187" si="276">+BY186+BM186</f>
        <v>0</v>
      </c>
      <c r="CC186" s="314"/>
      <c r="CD186" s="289">
        <f t="shared" ref="CD186:CF186" si="277">SUM(CD120:CD154)</f>
        <v>13920</v>
      </c>
      <c r="CE186" s="289">
        <f t="shared" ref="CE186" si="278">SUM(CE120:CE154)</f>
        <v>13975</v>
      </c>
      <c r="CF186" s="289">
        <f t="shared" si="277"/>
        <v>-8</v>
      </c>
      <c r="CG186" s="289">
        <f t="shared" ref="CG186" si="279">SUM(CG120:CG154)</f>
        <v>63</v>
      </c>
      <c r="CH186" s="295">
        <f>SUM(CH120,CH122,CH146:CH154)</f>
        <v>0</v>
      </c>
      <c r="CI186" s="295">
        <f>SUM(CI120,CI122,CI146:CI154)</f>
        <v>0</v>
      </c>
      <c r="CJ186" s="295">
        <f>SUM(CJ120,CJ122,CJ146:CJ154)</f>
        <v>0</v>
      </c>
      <c r="CK186" s="63"/>
    </row>
    <row r="187" spans="1:196">
      <c r="B187" s="287" t="s">
        <v>302</v>
      </c>
      <c r="C187" s="288"/>
      <c r="D187" s="287"/>
      <c r="E187" s="287"/>
      <c r="F187" s="289">
        <f>SUM(F$156:F$176)</f>
        <v>5040</v>
      </c>
      <c r="G187" s="289">
        <f t="shared" ref="G187:BZ187" si="280">SUM(G$156:G$176)</f>
        <v>0</v>
      </c>
      <c r="H187" s="289">
        <f t="shared" si="280"/>
        <v>5040</v>
      </c>
      <c r="I187" s="289">
        <f t="shared" si="280"/>
        <v>359</v>
      </c>
      <c r="J187" s="289">
        <f t="shared" si="280"/>
        <v>0</v>
      </c>
      <c r="K187" s="289">
        <f t="shared" si="280"/>
        <v>0</v>
      </c>
      <c r="L187" s="289">
        <f t="shared" si="280"/>
        <v>160</v>
      </c>
      <c r="M187" s="289">
        <f t="shared" si="280"/>
        <v>2586</v>
      </c>
      <c r="N187" s="289">
        <f t="shared" si="280"/>
        <v>0</v>
      </c>
      <c r="O187" s="289">
        <f t="shared" si="280"/>
        <v>2049</v>
      </c>
      <c r="P187" s="289">
        <f t="shared" si="280"/>
        <v>5154</v>
      </c>
      <c r="Q187" s="289">
        <f t="shared" si="280"/>
        <v>-27</v>
      </c>
      <c r="R187" s="289">
        <f t="shared" si="280"/>
        <v>141</v>
      </c>
      <c r="S187" s="301"/>
      <c r="T187" s="232"/>
      <c r="U187" s="289">
        <f t="shared" si="280"/>
        <v>0</v>
      </c>
      <c r="V187" s="289">
        <f t="shared" si="280"/>
        <v>0</v>
      </c>
      <c r="W187" s="289">
        <f t="shared" si="280"/>
        <v>0</v>
      </c>
      <c r="X187" s="289">
        <f t="shared" si="280"/>
        <v>0</v>
      </c>
      <c r="Y187" s="289">
        <f t="shared" si="280"/>
        <v>0</v>
      </c>
      <c r="Z187" s="289">
        <f t="shared" si="280"/>
        <v>0</v>
      </c>
      <c r="AA187" s="289">
        <f t="shared" si="280"/>
        <v>0</v>
      </c>
      <c r="AB187" s="289">
        <f t="shared" si="280"/>
        <v>0</v>
      </c>
      <c r="AC187" s="289">
        <f t="shared" si="280"/>
        <v>0</v>
      </c>
      <c r="AD187" s="289">
        <f t="shared" si="280"/>
        <v>0</v>
      </c>
      <c r="AE187" s="289">
        <f t="shared" si="280"/>
        <v>0</v>
      </c>
      <c r="AF187" s="289">
        <f t="shared" si="280"/>
        <v>0</v>
      </c>
      <c r="AG187" s="289">
        <f t="shared" si="280"/>
        <v>0</v>
      </c>
      <c r="AH187" s="232">
        <f>+AE187+S187</f>
        <v>0</v>
      </c>
      <c r="AI187" s="232"/>
      <c r="AJ187" s="289">
        <f t="shared" si="280"/>
        <v>0</v>
      </c>
      <c r="AK187" s="289">
        <f t="shared" si="280"/>
        <v>0</v>
      </c>
      <c r="AL187" s="289">
        <f t="shared" si="280"/>
        <v>0</v>
      </c>
      <c r="AM187" s="289">
        <f t="shared" si="280"/>
        <v>0</v>
      </c>
      <c r="AN187" s="289">
        <f t="shared" si="280"/>
        <v>0</v>
      </c>
      <c r="AO187" s="289">
        <f t="shared" si="280"/>
        <v>0</v>
      </c>
      <c r="AP187" s="289">
        <f t="shared" si="280"/>
        <v>0</v>
      </c>
      <c r="AQ187" s="289">
        <f t="shared" si="280"/>
        <v>0</v>
      </c>
      <c r="AR187" s="289">
        <f t="shared" si="280"/>
        <v>0</v>
      </c>
      <c r="AS187" s="289">
        <f t="shared" si="280"/>
        <v>0</v>
      </c>
      <c r="AT187" s="289">
        <f t="shared" si="280"/>
        <v>0</v>
      </c>
      <c r="AU187" s="289">
        <f t="shared" si="280"/>
        <v>0</v>
      </c>
      <c r="AV187" s="289">
        <f t="shared" si="280"/>
        <v>0</v>
      </c>
      <c r="AW187" s="232">
        <f t="shared" si="269"/>
        <v>0</v>
      </c>
      <c r="AX187" s="247"/>
      <c r="AY187" s="169"/>
      <c r="AZ187" s="289">
        <f t="shared" si="280"/>
        <v>0</v>
      </c>
      <c r="BA187" s="289">
        <f t="shared" si="280"/>
        <v>0</v>
      </c>
      <c r="BB187" s="289">
        <f t="shared" si="280"/>
        <v>0</v>
      </c>
      <c r="BC187" s="289">
        <f t="shared" si="280"/>
        <v>0</v>
      </c>
      <c r="BD187" s="289">
        <f t="shared" si="280"/>
        <v>0</v>
      </c>
      <c r="BE187" s="289">
        <f t="shared" si="280"/>
        <v>0</v>
      </c>
      <c r="BF187" s="289">
        <f t="shared" si="280"/>
        <v>0</v>
      </c>
      <c r="BG187" s="289">
        <f t="shared" si="280"/>
        <v>0</v>
      </c>
      <c r="BH187" s="289">
        <f t="shared" si="280"/>
        <v>0</v>
      </c>
      <c r="BI187" s="289">
        <f t="shared" si="280"/>
        <v>0</v>
      </c>
      <c r="BJ187" s="289">
        <f t="shared" si="280"/>
        <v>0</v>
      </c>
      <c r="BK187" s="289">
        <f t="shared" si="280"/>
        <v>0</v>
      </c>
      <c r="BL187" s="289">
        <f t="shared" si="280"/>
        <v>0</v>
      </c>
      <c r="BM187" s="232">
        <f>+BJ187+AW187</f>
        <v>0</v>
      </c>
      <c r="BN187" s="232"/>
      <c r="BO187" s="289">
        <f t="shared" si="280"/>
        <v>0</v>
      </c>
      <c r="BP187" s="289">
        <f t="shared" si="280"/>
        <v>0</v>
      </c>
      <c r="BQ187" s="289">
        <f t="shared" si="280"/>
        <v>0</v>
      </c>
      <c r="BR187" s="289">
        <f t="shared" si="280"/>
        <v>0</v>
      </c>
      <c r="BS187" s="289">
        <f t="shared" si="280"/>
        <v>0</v>
      </c>
      <c r="BT187" s="289">
        <f t="shared" si="280"/>
        <v>0</v>
      </c>
      <c r="BU187" s="289">
        <f t="shared" si="280"/>
        <v>0</v>
      </c>
      <c r="BV187" s="289">
        <f t="shared" si="280"/>
        <v>0</v>
      </c>
      <c r="BW187" s="289">
        <f t="shared" si="280"/>
        <v>0</v>
      </c>
      <c r="BX187" s="289">
        <f t="shared" si="280"/>
        <v>0</v>
      </c>
      <c r="BY187" s="289">
        <f t="shared" si="280"/>
        <v>0</v>
      </c>
      <c r="BZ187" s="289">
        <f t="shared" si="280"/>
        <v>0</v>
      </c>
      <c r="CA187" s="289">
        <f t="shared" ref="CA187" si="281">SUM(CA$156:CA$176)</f>
        <v>0</v>
      </c>
      <c r="CB187" s="232">
        <f t="shared" si="276"/>
        <v>0</v>
      </c>
      <c r="CC187" s="314"/>
      <c r="CD187" s="289">
        <f t="shared" ref="CD187:CJ187" si="282">SUM(CD$156:CD$176)</f>
        <v>5040</v>
      </c>
      <c r="CE187" s="289">
        <f t="shared" si="282"/>
        <v>5154</v>
      </c>
      <c r="CF187" s="289">
        <f t="shared" si="282"/>
        <v>-27</v>
      </c>
      <c r="CG187" s="289">
        <f t="shared" si="282"/>
        <v>141</v>
      </c>
      <c r="CH187" s="295">
        <f t="shared" si="282"/>
        <v>0</v>
      </c>
      <c r="CI187" s="295">
        <f t="shared" si="282"/>
        <v>0</v>
      </c>
      <c r="CJ187" s="295">
        <f t="shared" si="282"/>
        <v>0</v>
      </c>
      <c r="CK187" s="63"/>
      <c r="CL187" s="306"/>
    </row>
    <row r="188" spans="1:196">
      <c r="B188" s="6" t="s">
        <v>303</v>
      </c>
      <c r="C188" s="290"/>
      <c r="D188" s="6"/>
      <c r="E188" s="6"/>
      <c r="F188" s="291">
        <f>SUM(F180,F183,F185)</f>
        <v>57680</v>
      </c>
      <c r="G188" s="291">
        <f t="shared" ref="G188:AZ188" si="283">SUM(G180,G183,G185)</f>
        <v>0</v>
      </c>
      <c r="H188" s="291">
        <f t="shared" si="283"/>
        <v>57680</v>
      </c>
      <c r="I188" s="291">
        <f t="shared" ref="I188:R188" si="284">SUM(I180,I183,I185)</f>
        <v>12398</v>
      </c>
      <c r="J188" s="291">
        <f t="shared" si="284"/>
        <v>11814</v>
      </c>
      <c r="K188" s="291">
        <f t="shared" si="284"/>
        <v>2980</v>
      </c>
      <c r="L188" s="291">
        <f t="shared" si="284"/>
        <v>5309</v>
      </c>
      <c r="M188" s="291">
        <f t="shared" si="284"/>
        <v>8198</v>
      </c>
      <c r="N188" s="291">
        <f t="shared" si="284"/>
        <v>7781</v>
      </c>
      <c r="O188" s="291">
        <f t="shared" si="284"/>
        <v>7988</v>
      </c>
      <c r="P188" s="291">
        <f t="shared" si="284"/>
        <v>56468</v>
      </c>
      <c r="Q188" s="291">
        <f t="shared" si="284"/>
        <v>-1526</v>
      </c>
      <c r="R188" s="291">
        <f t="shared" si="284"/>
        <v>314</v>
      </c>
      <c r="S188" s="301"/>
      <c r="T188" s="232"/>
      <c r="U188" s="291">
        <f t="shared" si="283"/>
        <v>0</v>
      </c>
      <c r="V188" s="291">
        <f t="shared" si="283"/>
        <v>0</v>
      </c>
      <c r="W188" s="291">
        <f t="shared" si="283"/>
        <v>0</v>
      </c>
      <c r="X188" s="291">
        <f t="shared" ref="X188:AG188" si="285">SUM(X180,X183,X185)</f>
        <v>0</v>
      </c>
      <c r="Y188" s="291">
        <f t="shared" ref="Y188:AE188" si="286">SUM(Y180,Y183,Y185)</f>
        <v>0</v>
      </c>
      <c r="Z188" s="291">
        <f t="shared" si="286"/>
        <v>0</v>
      </c>
      <c r="AA188" s="291">
        <f t="shared" si="286"/>
        <v>0</v>
      </c>
      <c r="AB188" s="291">
        <f t="shared" si="286"/>
        <v>0</v>
      </c>
      <c r="AC188" s="291">
        <f t="shared" si="286"/>
        <v>0</v>
      </c>
      <c r="AD188" s="291">
        <f t="shared" si="286"/>
        <v>0</v>
      </c>
      <c r="AE188" s="291">
        <f t="shared" si="286"/>
        <v>0</v>
      </c>
      <c r="AF188" s="291">
        <f t="shared" ref="AF188" si="287">SUM(AF180,AF183,AF185)</f>
        <v>0</v>
      </c>
      <c r="AG188" s="291">
        <f t="shared" si="285"/>
        <v>0</v>
      </c>
      <c r="AH188" s="232"/>
      <c r="AI188" s="232"/>
      <c r="AJ188" s="291">
        <f t="shared" si="283"/>
        <v>0</v>
      </c>
      <c r="AK188" s="291">
        <f t="shared" si="283"/>
        <v>0</v>
      </c>
      <c r="AL188" s="291">
        <f t="shared" si="283"/>
        <v>0</v>
      </c>
      <c r="AM188" s="291">
        <f t="shared" si="283"/>
        <v>0</v>
      </c>
      <c r="AN188" s="291">
        <f t="shared" si="283"/>
        <v>0</v>
      </c>
      <c r="AO188" s="291">
        <f t="shared" si="283"/>
        <v>0</v>
      </c>
      <c r="AP188" s="291">
        <f t="shared" ref="AP188:AV188" si="288">SUM(AP180,AP183,AP185)</f>
        <v>0</v>
      </c>
      <c r="AQ188" s="291">
        <f t="shared" si="288"/>
        <v>0</v>
      </c>
      <c r="AR188" s="291">
        <f t="shared" si="288"/>
        <v>0</v>
      </c>
      <c r="AS188" s="291">
        <f t="shared" si="288"/>
        <v>0</v>
      </c>
      <c r="AT188" s="291">
        <f t="shared" ref="AT188" si="289">SUM(AT180,AT183,AT185)</f>
        <v>0</v>
      </c>
      <c r="AU188" s="291">
        <f t="shared" si="288"/>
        <v>0</v>
      </c>
      <c r="AV188" s="291">
        <f t="shared" si="288"/>
        <v>0</v>
      </c>
      <c r="AW188" s="232"/>
      <c r="AX188" s="247"/>
      <c r="AY188" s="169"/>
      <c r="AZ188" s="291">
        <f t="shared" si="283"/>
        <v>0</v>
      </c>
      <c r="BA188" s="291">
        <f t="shared" ref="BA188:BC188" si="290">SUM(BA180,BA183,BA185)</f>
        <v>0</v>
      </c>
      <c r="BB188" s="291">
        <f t="shared" si="290"/>
        <v>0</v>
      </c>
      <c r="BC188" s="291">
        <f t="shared" si="290"/>
        <v>0</v>
      </c>
      <c r="BD188" s="291">
        <f t="shared" ref="BD188:BL188" si="291">SUM(BD180,BD183,BD185)</f>
        <v>0</v>
      </c>
      <c r="BE188" s="291">
        <f t="shared" si="291"/>
        <v>0</v>
      </c>
      <c r="BF188" s="291">
        <f t="shared" si="291"/>
        <v>0</v>
      </c>
      <c r="BG188" s="291">
        <f t="shared" si="291"/>
        <v>0</v>
      </c>
      <c r="BH188" s="291">
        <f t="shared" si="291"/>
        <v>0</v>
      </c>
      <c r="BI188" s="291">
        <f t="shared" si="291"/>
        <v>0</v>
      </c>
      <c r="BJ188" s="291">
        <f t="shared" si="291"/>
        <v>0</v>
      </c>
      <c r="BK188" s="291">
        <f t="shared" si="291"/>
        <v>0</v>
      </c>
      <c r="BL188" s="291">
        <f t="shared" si="291"/>
        <v>0</v>
      </c>
      <c r="BM188" s="232"/>
      <c r="BN188" s="232"/>
      <c r="BO188" s="291">
        <f t="shared" ref="BO188:CA188" si="292">SUM(BO180,BO183,BO185)</f>
        <v>0</v>
      </c>
      <c r="BP188" s="291">
        <f t="shared" si="292"/>
        <v>0</v>
      </c>
      <c r="BQ188" s="291">
        <f t="shared" si="292"/>
        <v>0</v>
      </c>
      <c r="BR188" s="291">
        <f t="shared" si="292"/>
        <v>0</v>
      </c>
      <c r="BS188" s="291">
        <f t="shared" ref="BS188:BY188" si="293">SUM(BS180,BS183,BS185)</f>
        <v>0</v>
      </c>
      <c r="BT188" s="291">
        <f t="shared" si="293"/>
        <v>0</v>
      </c>
      <c r="BU188" s="291">
        <f t="shared" si="293"/>
        <v>0</v>
      </c>
      <c r="BV188" s="291">
        <f t="shared" si="293"/>
        <v>0</v>
      </c>
      <c r="BW188" s="291">
        <f t="shared" si="293"/>
        <v>0</v>
      </c>
      <c r="BX188" s="291">
        <f t="shared" si="293"/>
        <v>0</v>
      </c>
      <c r="BY188" s="291">
        <f t="shared" si="293"/>
        <v>0</v>
      </c>
      <c r="BZ188" s="291">
        <f t="shared" ref="BZ188" si="294">SUM(BZ180,BZ183,BZ185)</f>
        <v>0</v>
      </c>
      <c r="CA188" s="291">
        <f t="shared" si="292"/>
        <v>0</v>
      </c>
      <c r="CB188" s="232"/>
      <c r="CC188" s="314"/>
      <c r="CD188" s="291">
        <f t="shared" ref="CD188:CF188" si="295">SUM(CD180,CD183,CD185)</f>
        <v>57680</v>
      </c>
      <c r="CE188" s="291">
        <f t="shared" ref="CE188:CJ188" si="296">SUM(CE180,CE183,CE185)</f>
        <v>56468</v>
      </c>
      <c r="CF188" s="291">
        <f t="shared" si="295"/>
        <v>-1526</v>
      </c>
      <c r="CG188" s="291">
        <f t="shared" ref="CG188" si="297">SUM(CG180,CG183,CG185)</f>
        <v>314</v>
      </c>
      <c r="CH188" s="321">
        <f t="shared" si="296"/>
        <v>0</v>
      </c>
      <c r="CI188" s="321">
        <f t="shared" si="296"/>
        <v>0</v>
      </c>
      <c r="CJ188" s="321">
        <f t="shared" si="296"/>
        <v>0</v>
      </c>
      <c r="CK188" s="63"/>
    </row>
    <row r="189" spans="1:196" ht="15.75" thickBot="1">
      <c r="D189" s="370"/>
      <c r="E189" s="3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01"/>
      <c r="T189" s="232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>
        <f>+AG188-AG177</f>
        <v>0</v>
      </c>
      <c r="AH189" s="232"/>
      <c r="AI189" s="232"/>
      <c r="AJ189" s="308"/>
      <c r="AK189" s="3"/>
      <c r="AL189" s="3"/>
      <c r="AM189" s="299"/>
      <c r="AN189" s="299"/>
      <c r="AO189" s="299"/>
      <c r="AP189" s="299"/>
      <c r="AQ189" s="299"/>
      <c r="AR189" s="299"/>
      <c r="AS189" s="299"/>
      <c r="AT189" s="299"/>
      <c r="AU189" s="308"/>
      <c r="AV189" s="308"/>
      <c r="AW189" s="232">
        <f>+AW191-AW180</f>
        <v>0</v>
      </c>
      <c r="AX189" s="247"/>
      <c r="AZ189" s="3"/>
      <c r="BA189" s="3"/>
      <c r="BB189" s="3"/>
      <c r="BC189" s="299"/>
      <c r="BD189" s="299"/>
      <c r="BE189" s="299"/>
      <c r="BF189" s="299"/>
      <c r="BG189" s="299"/>
      <c r="BH189" s="299"/>
      <c r="BI189" s="299"/>
      <c r="BJ189" s="299"/>
      <c r="BK189" s="299"/>
      <c r="BL189" s="299"/>
      <c r="BM189" s="232"/>
      <c r="BN189" s="232">
        <f>2300+1400</f>
        <v>3700</v>
      </c>
      <c r="BO189" s="3">
        <f>+BO188-BO198</f>
        <v>0</v>
      </c>
      <c r="BP189" s="3"/>
      <c r="BQ189" s="3"/>
      <c r="BR189" s="299"/>
      <c r="BS189" s="299"/>
      <c r="BT189" s="299"/>
      <c r="BU189" s="299"/>
      <c r="BV189" s="299"/>
      <c r="BW189" s="299"/>
      <c r="BX189" s="299"/>
      <c r="BY189" s="299"/>
      <c r="BZ189" s="3"/>
      <c r="CA189" s="3"/>
      <c r="CB189" s="232"/>
      <c r="CC189" s="314"/>
      <c r="CD189" s="3"/>
      <c r="CE189" s="3"/>
      <c r="CF189" s="3"/>
      <c r="CG189" s="3"/>
      <c r="CH189" s="3"/>
      <c r="CI189" s="3"/>
      <c r="CJ189" s="3"/>
    </row>
    <row r="190" spans="1:196">
      <c r="B190" s="1" t="s">
        <v>304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01"/>
      <c r="T190" s="232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232"/>
      <c r="AI190" s="232"/>
      <c r="AJ190" s="308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08"/>
      <c r="AV190" s="308"/>
      <c r="AW190" s="232"/>
      <c r="AX190" s="247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32"/>
      <c r="BN190" s="232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232"/>
      <c r="CC190" s="314"/>
      <c r="CD190" s="3"/>
      <c r="CE190" s="3"/>
      <c r="CF190" s="3"/>
      <c r="CG190" s="3"/>
      <c r="CH190" s="3"/>
      <c r="CI190" s="3"/>
      <c r="CJ190" s="3"/>
    </row>
    <row r="191" spans="1:196">
      <c r="B191" s="2"/>
      <c r="C191" s="292"/>
      <c r="D191" s="2"/>
      <c r="E191" s="2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301"/>
      <c r="T191" s="232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11">
        <f>SUM(AH192:AH198)</f>
        <v>0</v>
      </c>
      <c r="AI191" s="232"/>
      <c r="AJ191" s="300"/>
      <c r="AK191" s="300"/>
      <c r="AL191" s="300"/>
      <c r="AM191" s="300"/>
      <c r="AN191" s="300"/>
      <c r="AO191" s="300"/>
      <c r="AP191" s="300"/>
      <c r="AQ191" s="300"/>
      <c r="AR191" s="300"/>
      <c r="AS191" s="300"/>
      <c r="AT191" s="300"/>
      <c r="AU191" s="300"/>
      <c r="AV191" s="300"/>
      <c r="AW191" s="311">
        <f>SUM(AW193:AW198)</f>
        <v>0</v>
      </c>
      <c r="AX191" s="247"/>
      <c r="AZ191" s="300"/>
      <c r="BA191" s="300"/>
      <c r="BB191" s="300"/>
      <c r="BC191" s="300"/>
      <c r="BD191" s="300"/>
      <c r="BE191" s="300"/>
      <c r="BF191" s="300"/>
      <c r="BG191" s="300"/>
      <c r="BH191" s="300"/>
      <c r="BI191" s="300"/>
      <c r="BJ191" s="300"/>
      <c r="BK191" s="300"/>
      <c r="BL191" s="300"/>
      <c r="BM191" s="311">
        <f>SUM(BM192:BM198)</f>
        <v>0</v>
      </c>
      <c r="BN191" s="311"/>
      <c r="BO191" s="300"/>
      <c r="BP191" s="300"/>
      <c r="BQ191" s="300"/>
      <c r="BR191" s="300"/>
      <c r="BS191" s="300"/>
      <c r="BT191" s="300"/>
      <c r="BU191" s="300"/>
      <c r="BV191" s="300"/>
      <c r="BW191" s="300"/>
      <c r="BX191" s="300"/>
      <c r="BY191" s="300"/>
      <c r="BZ191" s="300"/>
      <c r="CA191" s="300"/>
      <c r="CB191" s="311">
        <f>SUM(CB192:CB198)</f>
        <v>0</v>
      </c>
      <c r="CC191" s="314"/>
      <c r="CD191" s="300"/>
      <c r="CE191" s="300"/>
      <c r="CF191" s="300"/>
      <c r="CG191" s="300"/>
      <c r="CH191" s="300"/>
      <c r="CI191" s="300"/>
      <c r="CJ191" s="300"/>
      <c r="CK191" s="63"/>
    </row>
    <row r="192" spans="1:196">
      <c r="B192" s="4"/>
      <c r="C192" s="294"/>
      <c r="D192" s="4"/>
      <c r="E192" s="4"/>
      <c r="F192" s="295">
        <f>SUMIF($E$10:$E$176,"6MM P",F$10:F$176)</f>
        <v>0</v>
      </c>
      <c r="G192" s="295">
        <f t="shared" ref="G192:R192" si="298">SUMIF($E$10:$E$176,"6MM P",G$10:G$176)</f>
        <v>0</v>
      </c>
      <c r="H192" s="295">
        <f t="shared" si="298"/>
        <v>0</v>
      </c>
      <c r="I192" s="295">
        <f t="shared" si="298"/>
        <v>0</v>
      </c>
      <c r="J192" s="295">
        <f t="shared" si="298"/>
        <v>0</v>
      </c>
      <c r="K192" s="295">
        <f t="shared" si="298"/>
        <v>0</v>
      </c>
      <c r="L192" s="295">
        <f t="shared" si="298"/>
        <v>0</v>
      </c>
      <c r="M192" s="295">
        <f t="shared" si="298"/>
        <v>0</v>
      </c>
      <c r="N192" s="295">
        <f t="shared" si="298"/>
        <v>0</v>
      </c>
      <c r="O192" s="295">
        <f t="shared" si="298"/>
        <v>0</v>
      </c>
      <c r="P192" s="295">
        <f t="shared" si="298"/>
        <v>0</v>
      </c>
      <c r="Q192" s="295">
        <f t="shared" si="298"/>
        <v>0</v>
      </c>
      <c r="R192" s="295">
        <f t="shared" si="298"/>
        <v>0</v>
      </c>
      <c r="S192" s="301"/>
      <c r="T192" s="232"/>
      <c r="U192" s="295">
        <f>SUMIF($E$10:$E$176,"6MM P",U$10:U$176)</f>
        <v>0</v>
      </c>
      <c r="V192" s="295">
        <f t="shared" ref="V192:AG192" si="299">SUMIF($E$10:$E$176,"6MM P",V$10:V$176)</f>
        <v>0</v>
      </c>
      <c r="W192" s="295">
        <f t="shared" si="299"/>
        <v>0</v>
      </c>
      <c r="X192" s="295">
        <f t="shared" si="299"/>
        <v>0</v>
      </c>
      <c r="Y192" s="295">
        <f t="shared" si="299"/>
        <v>0</v>
      </c>
      <c r="Z192" s="295">
        <f t="shared" si="299"/>
        <v>0</v>
      </c>
      <c r="AA192" s="295">
        <f t="shared" si="299"/>
        <v>0</v>
      </c>
      <c r="AB192" s="295">
        <f t="shared" si="299"/>
        <v>0</v>
      </c>
      <c r="AC192" s="295">
        <f t="shared" si="299"/>
        <v>0</v>
      </c>
      <c r="AD192" s="295">
        <f t="shared" si="299"/>
        <v>0</v>
      </c>
      <c r="AE192" s="295">
        <f t="shared" si="299"/>
        <v>0</v>
      </c>
      <c r="AF192" s="295">
        <f>SUMIF($E$10:$E$176,"6MM P",AF$10:AF$176)</f>
        <v>0</v>
      </c>
      <c r="AG192" s="295">
        <f t="shared" si="299"/>
        <v>0</v>
      </c>
      <c r="AH192" s="232">
        <f t="shared" ref="AH192:AH197" si="300">+AE192+S192</f>
        <v>0</v>
      </c>
      <c r="AI192" s="232"/>
      <c r="AJ192" s="295">
        <f>SUMIF($E$10:$E$176,"6MM P",AJ$10:AJ$176)</f>
        <v>0</v>
      </c>
      <c r="AK192" s="295">
        <f t="shared" ref="AK192:AV192" si="301">SUMIF($E$10:$E$176,"6MM P",AK$10:AK$176)</f>
        <v>0</v>
      </c>
      <c r="AL192" s="295">
        <f t="shared" si="301"/>
        <v>0</v>
      </c>
      <c r="AM192" s="295">
        <f t="shared" si="301"/>
        <v>0</v>
      </c>
      <c r="AN192" s="295">
        <f t="shared" si="301"/>
        <v>0</v>
      </c>
      <c r="AO192" s="295">
        <f t="shared" si="301"/>
        <v>0</v>
      </c>
      <c r="AP192" s="295">
        <f t="shared" si="301"/>
        <v>0</v>
      </c>
      <c r="AQ192" s="295">
        <f t="shared" si="301"/>
        <v>0</v>
      </c>
      <c r="AR192" s="295">
        <f t="shared" si="301"/>
        <v>0</v>
      </c>
      <c r="AS192" s="295">
        <f t="shared" si="301"/>
        <v>0</v>
      </c>
      <c r="AT192" s="295">
        <f t="shared" si="301"/>
        <v>0</v>
      </c>
      <c r="AU192" s="295">
        <f t="shared" si="301"/>
        <v>0</v>
      </c>
      <c r="AV192" s="295">
        <f t="shared" si="301"/>
        <v>0</v>
      </c>
      <c r="AX192" s="247"/>
      <c r="AZ192" s="295">
        <f t="shared" ref="AZ192:BL192" si="302">SUMIF($E$10:$E$176,"6MM P",AZ$10:AZ$176)</f>
        <v>0</v>
      </c>
      <c r="BA192" s="295">
        <f t="shared" si="302"/>
        <v>0</v>
      </c>
      <c r="BB192" s="295">
        <f t="shared" si="302"/>
        <v>0</v>
      </c>
      <c r="BC192" s="295">
        <f t="shared" si="302"/>
        <v>0</v>
      </c>
      <c r="BD192" s="295">
        <f t="shared" si="302"/>
        <v>0</v>
      </c>
      <c r="BE192" s="295">
        <f t="shared" si="302"/>
        <v>0</v>
      </c>
      <c r="BF192" s="295">
        <f t="shared" si="302"/>
        <v>0</v>
      </c>
      <c r="BG192" s="295">
        <f t="shared" si="302"/>
        <v>0</v>
      </c>
      <c r="BH192" s="295">
        <f t="shared" si="302"/>
        <v>0</v>
      </c>
      <c r="BI192" s="295">
        <f t="shared" si="302"/>
        <v>0</v>
      </c>
      <c r="BJ192" s="295">
        <f t="shared" si="302"/>
        <v>0</v>
      </c>
      <c r="BK192" s="295">
        <f t="shared" si="302"/>
        <v>0</v>
      </c>
      <c r="BL192" s="295">
        <f t="shared" si="302"/>
        <v>0</v>
      </c>
      <c r="BM192" s="232">
        <f t="shared" ref="BM192:BM197" si="303">+BJ192+AW192</f>
        <v>0</v>
      </c>
      <c r="BN192" s="232"/>
      <c r="BO192" s="295">
        <f t="shared" ref="BO192:CA192" si="304">SUMIF($E$10:$E$176,"6MM P",BO$10:BO$176)</f>
        <v>0</v>
      </c>
      <c r="BP192" s="295">
        <f t="shared" si="304"/>
        <v>0</v>
      </c>
      <c r="BQ192" s="295">
        <f t="shared" si="304"/>
        <v>0</v>
      </c>
      <c r="BR192" s="295">
        <f t="shared" si="304"/>
        <v>0</v>
      </c>
      <c r="BS192" s="295">
        <f t="shared" si="304"/>
        <v>0</v>
      </c>
      <c r="BT192" s="295">
        <f t="shared" si="304"/>
        <v>0</v>
      </c>
      <c r="BU192" s="295">
        <f t="shared" si="304"/>
        <v>0</v>
      </c>
      <c r="BV192" s="295">
        <f t="shared" si="304"/>
        <v>0</v>
      </c>
      <c r="BW192" s="295">
        <f t="shared" si="304"/>
        <v>0</v>
      </c>
      <c r="BX192" s="295">
        <f t="shared" si="304"/>
        <v>0</v>
      </c>
      <c r="BY192" s="295">
        <f t="shared" si="304"/>
        <v>0</v>
      </c>
      <c r="BZ192" s="295">
        <f t="shared" si="304"/>
        <v>0</v>
      </c>
      <c r="CA192" s="295">
        <f t="shared" si="304"/>
        <v>0</v>
      </c>
      <c r="CB192" s="232">
        <f t="shared" ref="CB192:CB197" si="305">+BY192+BM192</f>
        <v>0</v>
      </c>
      <c r="CC192" s="314"/>
      <c r="CD192" s="295">
        <f t="shared" ref="CD192" si="306">SUMIF($E$10:$E$176,"6MM P",CD$10:CD$176)</f>
        <v>0</v>
      </c>
      <c r="CE192" s="295">
        <f>SUMIF($E$10:$E$176,"6MM P",CD$10:CD$176)</f>
        <v>0</v>
      </c>
      <c r="CF192" s="295">
        <f t="shared" ref="CF192" si="307">SUMIF($E$10:$E$176,"6MM P",CF$10:CF$176)</f>
        <v>0</v>
      </c>
      <c r="CG192" s="295">
        <f>SUMIF($E$10:$E$176,"6MM P",CG$10:CG$176)</f>
        <v>0</v>
      </c>
      <c r="CH192" s="295">
        <f>SUMIF($E$10:$E$176,"MASH",CH$10:CH$176)</f>
        <v>0</v>
      </c>
      <c r="CI192" s="295">
        <f>SUMIF($E$10:$E$176,"MASH",CI$10:CI$176)</f>
        <v>0</v>
      </c>
      <c r="CJ192" s="295">
        <f>SUMIF($E$10:$E$176,"MASH",CJ$10:CJ$176)</f>
        <v>0</v>
      </c>
      <c r="CK192" s="63"/>
    </row>
    <row r="193" spans="1:96">
      <c r="B193" s="4" t="s">
        <v>305</v>
      </c>
      <c r="C193" s="294"/>
      <c r="D193" s="4"/>
      <c r="E193" s="4"/>
      <c r="F193" s="295">
        <f t="shared" ref="F193:R193" si="308">SUMIF($E$10:$E$176,"2.5",F$10:F$176)</f>
        <v>1120</v>
      </c>
      <c r="G193" s="295">
        <f t="shared" si="308"/>
        <v>0</v>
      </c>
      <c r="H193" s="295">
        <f t="shared" si="308"/>
        <v>1120</v>
      </c>
      <c r="I193" s="295">
        <f t="shared" si="308"/>
        <v>0</v>
      </c>
      <c r="J193" s="295">
        <f t="shared" si="308"/>
        <v>0</v>
      </c>
      <c r="K193" s="295">
        <f t="shared" si="308"/>
        <v>0</v>
      </c>
      <c r="L193" s="295">
        <f t="shared" si="308"/>
        <v>0</v>
      </c>
      <c r="M193" s="295">
        <f t="shared" si="308"/>
        <v>0</v>
      </c>
      <c r="N193" s="295">
        <f t="shared" si="308"/>
        <v>119</v>
      </c>
      <c r="O193" s="295">
        <f t="shared" si="308"/>
        <v>0</v>
      </c>
      <c r="P193" s="295">
        <f t="shared" si="308"/>
        <v>119</v>
      </c>
      <c r="Q193" s="295">
        <f t="shared" si="308"/>
        <v>-1001</v>
      </c>
      <c r="R193" s="295">
        <f t="shared" si="308"/>
        <v>0</v>
      </c>
      <c r="S193" s="301"/>
      <c r="T193" s="232"/>
      <c r="U193" s="295">
        <f t="shared" ref="U193:AG193" si="309">SUMIF($E$10:$E$176,"2.5",U$10:U$176)</f>
        <v>0</v>
      </c>
      <c r="V193" s="295">
        <f t="shared" si="309"/>
        <v>0</v>
      </c>
      <c r="W193" s="295">
        <f t="shared" si="309"/>
        <v>0</v>
      </c>
      <c r="X193" s="295">
        <f t="shared" si="309"/>
        <v>0</v>
      </c>
      <c r="Y193" s="295">
        <f t="shared" si="309"/>
        <v>0</v>
      </c>
      <c r="Z193" s="295">
        <f t="shared" si="309"/>
        <v>0</v>
      </c>
      <c r="AA193" s="295">
        <f t="shared" si="309"/>
        <v>0</v>
      </c>
      <c r="AB193" s="295">
        <f t="shared" si="309"/>
        <v>0</v>
      </c>
      <c r="AC193" s="295">
        <f t="shared" si="309"/>
        <v>0</v>
      </c>
      <c r="AD193" s="295">
        <f t="shared" si="309"/>
        <v>0</v>
      </c>
      <c r="AE193" s="295">
        <f t="shared" si="309"/>
        <v>0</v>
      </c>
      <c r="AF193" s="295">
        <f t="shared" si="309"/>
        <v>0</v>
      </c>
      <c r="AG193" s="295">
        <f t="shared" si="309"/>
        <v>0</v>
      </c>
      <c r="AH193" s="232">
        <f t="shared" si="300"/>
        <v>0</v>
      </c>
      <c r="AI193" s="232"/>
      <c r="AJ193" s="295">
        <f t="shared" ref="AJ193:AV193" si="310">SUMIF($E$10:$E$176,"2.5",AJ$10:AJ$176)</f>
        <v>0</v>
      </c>
      <c r="AK193" s="295">
        <f t="shared" si="310"/>
        <v>0</v>
      </c>
      <c r="AL193" s="295">
        <f t="shared" si="310"/>
        <v>0</v>
      </c>
      <c r="AM193" s="295">
        <f t="shared" si="310"/>
        <v>0</v>
      </c>
      <c r="AN193" s="295">
        <f t="shared" si="310"/>
        <v>0</v>
      </c>
      <c r="AO193" s="295">
        <f t="shared" si="310"/>
        <v>0</v>
      </c>
      <c r="AP193" s="295">
        <f t="shared" si="310"/>
        <v>0</v>
      </c>
      <c r="AQ193" s="295">
        <f t="shared" si="310"/>
        <v>0</v>
      </c>
      <c r="AR193" s="295">
        <f t="shared" si="310"/>
        <v>0</v>
      </c>
      <c r="AS193" s="295">
        <f t="shared" si="310"/>
        <v>0</v>
      </c>
      <c r="AT193" s="295">
        <f t="shared" si="310"/>
        <v>0</v>
      </c>
      <c r="AU193" s="295">
        <f t="shared" si="310"/>
        <v>0</v>
      </c>
      <c r="AV193" s="295">
        <f t="shared" si="310"/>
        <v>0</v>
      </c>
      <c r="AW193" s="232">
        <f t="shared" ref="AW193:AW197" si="311">+AT193+AH193</f>
        <v>0</v>
      </c>
      <c r="AX193" s="247"/>
      <c r="AZ193" s="295">
        <f t="shared" ref="AZ193:BL193" si="312">SUMIF($E$10:$E$176,"2.5",AZ$10:AZ$176)</f>
        <v>0</v>
      </c>
      <c r="BA193" s="295">
        <f t="shared" si="312"/>
        <v>0</v>
      </c>
      <c r="BB193" s="295">
        <f t="shared" si="312"/>
        <v>0</v>
      </c>
      <c r="BC193" s="295">
        <f t="shared" si="312"/>
        <v>0</v>
      </c>
      <c r="BD193" s="295">
        <f t="shared" si="312"/>
        <v>0</v>
      </c>
      <c r="BE193" s="295">
        <f t="shared" si="312"/>
        <v>0</v>
      </c>
      <c r="BF193" s="295">
        <f t="shared" si="312"/>
        <v>0</v>
      </c>
      <c r="BG193" s="295">
        <f t="shared" si="312"/>
        <v>0</v>
      </c>
      <c r="BH193" s="295">
        <f t="shared" si="312"/>
        <v>0</v>
      </c>
      <c r="BI193" s="295">
        <f t="shared" si="312"/>
        <v>0</v>
      </c>
      <c r="BJ193" s="295">
        <f t="shared" si="312"/>
        <v>0</v>
      </c>
      <c r="BK193" s="295">
        <f t="shared" si="312"/>
        <v>0</v>
      </c>
      <c r="BL193" s="295">
        <f t="shared" si="312"/>
        <v>0</v>
      </c>
      <c r="BM193" s="232">
        <f t="shared" si="303"/>
        <v>0</v>
      </c>
      <c r="BN193" s="232"/>
      <c r="BO193" s="295">
        <f t="shared" ref="BO193:CA193" si="313">SUMIF($E$10:$E$176,"2.5",BO$10:BO$176)</f>
        <v>0</v>
      </c>
      <c r="BP193" s="295">
        <f t="shared" si="313"/>
        <v>0</v>
      </c>
      <c r="BQ193" s="295">
        <f t="shared" si="313"/>
        <v>0</v>
      </c>
      <c r="BR193" s="295">
        <f t="shared" si="313"/>
        <v>0</v>
      </c>
      <c r="BS193" s="295">
        <f t="shared" si="313"/>
        <v>0</v>
      </c>
      <c r="BT193" s="295">
        <f t="shared" si="313"/>
        <v>0</v>
      </c>
      <c r="BU193" s="295">
        <f t="shared" si="313"/>
        <v>0</v>
      </c>
      <c r="BV193" s="295">
        <f t="shared" si="313"/>
        <v>0</v>
      </c>
      <c r="BW193" s="295">
        <f t="shared" si="313"/>
        <v>0</v>
      </c>
      <c r="BX193" s="295">
        <f t="shared" si="313"/>
        <v>0</v>
      </c>
      <c r="BY193" s="295">
        <f t="shared" si="313"/>
        <v>0</v>
      </c>
      <c r="BZ193" s="295">
        <f t="shared" si="313"/>
        <v>0</v>
      </c>
      <c r="CA193" s="295">
        <f t="shared" si="313"/>
        <v>0</v>
      </c>
      <c r="CB193" s="232">
        <f t="shared" si="305"/>
        <v>0</v>
      </c>
      <c r="CC193" s="314"/>
      <c r="CD193" s="295">
        <f t="shared" ref="CD193:CF193" si="314">SUMIF($E$10:$E$176,"2.5",CD$10:CD$176)</f>
        <v>1120</v>
      </c>
      <c r="CE193" s="295">
        <f t="shared" si="314"/>
        <v>119</v>
      </c>
      <c r="CF193" s="295">
        <f t="shared" si="314"/>
        <v>-1001</v>
      </c>
      <c r="CG193" s="295">
        <f>SUMIF($E$10:$E$176,"2.5",CG$10:CG$176)</f>
        <v>0</v>
      </c>
      <c r="CH193" s="295">
        <f>SUMIF($E$10:$E$176,"2.5",CH$10:CH$176)</f>
        <v>0</v>
      </c>
      <c r="CI193" s="295">
        <f>SUMIF($E$10:$E$176,"2.5",CI$10:CI$176)</f>
        <v>0</v>
      </c>
      <c r="CJ193" s="295">
        <f>SUMIF($E$10:$E$176,"2.5",CJ$10:CJ$176)</f>
        <v>0</v>
      </c>
      <c r="CK193" s="63"/>
      <c r="CR193" s="331" t="s">
        <v>306</v>
      </c>
    </row>
    <row r="194" spans="1:96">
      <c r="B194" s="4" t="s">
        <v>307</v>
      </c>
      <c r="C194" s="294"/>
      <c r="D194" s="4"/>
      <c r="E194" s="4"/>
      <c r="F194" s="295">
        <f>SUMIF($E$10:$E$176,"3MM C",F$10:F$176)</f>
        <v>7040</v>
      </c>
      <c r="G194" s="295">
        <f t="shared" ref="G194:R194" si="315">SUMIF($E$10:$E$176,"3MM C",G$10:G$176)</f>
        <v>0</v>
      </c>
      <c r="H194" s="295">
        <f t="shared" si="315"/>
        <v>7040</v>
      </c>
      <c r="I194" s="295">
        <f t="shared" si="315"/>
        <v>0</v>
      </c>
      <c r="J194" s="295">
        <f t="shared" si="315"/>
        <v>0</v>
      </c>
      <c r="K194" s="295">
        <f t="shared" si="315"/>
        <v>0</v>
      </c>
      <c r="L194" s="295">
        <f t="shared" si="315"/>
        <v>1880</v>
      </c>
      <c r="M194" s="295">
        <f t="shared" si="315"/>
        <v>1609</v>
      </c>
      <c r="N194" s="295">
        <f t="shared" si="315"/>
        <v>2600</v>
      </c>
      <c r="O194" s="295">
        <f t="shared" si="315"/>
        <v>939</v>
      </c>
      <c r="P194" s="295">
        <f t="shared" si="315"/>
        <v>7028</v>
      </c>
      <c r="Q194" s="295">
        <f t="shared" si="315"/>
        <v>-30</v>
      </c>
      <c r="R194" s="295">
        <f t="shared" si="315"/>
        <v>18</v>
      </c>
      <c r="S194" s="301"/>
      <c r="T194" s="232"/>
      <c r="U194" s="295">
        <f>SUMIF($E$10:$E$176,"3MM C",U$10:U$176)</f>
        <v>0</v>
      </c>
      <c r="V194" s="295">
        <f t="shared" ref="V194:AG194" si="316">SUMIF($E$10:$E$176,"3MM C",V$10:V$176)</f>
        <v>0</v>
      </c>
      <c r="W194" s="295">
        <f t="shared" si="316"/>
        <v>0</v>
      </c>
      <c r="X194" s="295">
        <f t="shared" si="316"/>
        <v>0</v>
      </c>
      <c r="Y194" s="295">
        <f t="shared" si="316"/>
        <v>0</v>
      </c>
      <c r="Z194" s="295">
        <f t="shared" si="316"/>
        <v>0</v>
      </c>
      <c r="AA194" s="295">
        <f t="shared" si="316"/>
        <v>0</v>
      </c>
      <c r="AB194" s="295">
        <f t="shared" si="316"/>
        <v>0</v>
      </c>
      <c r="AC194" s="295">
        <f t="shared" si="316"/>
        <v>0</v>
      </c>
      <c r="AD194" s="295">
        <f t="shared" si="316"/>
        <v>0</v>
      </c>
      <c r="AE194" s="295">
        <f t="shared" si="316"/>
        <v>0</v>
      </c>
      <c r="AF194" s="295">
        <f>SUMIF($E$10:$E$176,"3MM C",AF$10:AF$176)</f>
        <v>0</v>
      </c>
      <c r="AG194" s="295">
        <f t="shared" si="316"/>
        <v>0</v>
      </c>
      <c r="AH194" s="232">
        <f t="shared" si="300"/>
        <v>0</v>
      </c>
      <c r="AI194" s="232"/>
      <c r="AJ194" s="295">
        <f>SUMIF($E$10:$E$176,"3MM C",AJ$10:AJ$176)</f>
        <v>0</v>
      </c>
      <c r="AK194" s="295">
        <f t="shared" ref="AK194:AV194" si="317">SUMIF($E$10:$E$176,"3MM C",AK$10:AK$176)</f>
        <v>0</v>
      </c>
      <c r="AL194" s="295">
        <f t="shared" si="317"/>
        <v>0</v>
      </c>
      <c r="AM194" s="295">
        <f t="shared" si="317"/>
        <v>0</v>
      </c>
      <c r="AN194" s="295">
        <f t="shared" si="317"/>
        <v>0</v>
      </c>
      <c r="AO194" s="295">
        <f t="shared" si="317"/>
        <v>0</v>
      </c>
      <c r="AP194" s="295">
        <f t="shared" si="317"/>
        <v>0</v>
      </c>
      <c r="AQ194" s="295">
        <f t="shared" si="317"/>
        <v>0</v>
      </c>
      <c r="AR194" s="295">
        <f t="shared" si="317"/>
        <v>0</v>
      </c>
      <c r="AS194" s="295">
        <f t="shared" si="317"/>
        <v>0</v>
      </c>
      <c r="AT194" s="295">
        <f t="shared" si="317"/>
        <v>0</v>
      </c>
      <c r="AU194" s="295">
        <f t="shared" si="317"/>
        <v>0</v>
      </c>
      <c r="AV194" s="295">
        <f t="shared" si="317"/>
        <v>0</v>
      </c>
      <c r="AW194" s="232">
        <f t="shared" si="311"/>
        <v>0</v>
      </c>
      <c r="AX194" s="247"/>
      <c r="AZ194" s="295">
        <f t="shared" ref="AZ194:BB194" si="318">SUMIF($E$10:$E$176,"3MM C",AZ$10:AZ$176)</f>
        <v>0</v>
      </c>
      <c r="BA194" s="295">
        <f t="shared" si="318"/>
        <v>0</v>
      </c>
      <c r="BB194" s="295">
        <f t="shared" si="318"/>
        <v>0</v>
      </c>
      <c r="BC194" s="295">
        <f>SUMIF($E$10:$E$176,"3MM C",BC$10:BC$176)</f>
        <v>0</v>
      </c>
      <c r="BD194" s="295">
        <f t="shared" ref="BD194:BL194" si="319">SUMIF($E$10:$E$176,"3MM C",BD$10:BD$176)</f>
        <v>0</v>
      </c>
      <c r="BE194" s="295">
        <f t="shared" si="319"/>
        <v>0</v>
      </c>
      <c r="BF194" s="295">
        <f t="shared" si="319"/>
        <v>0</v>
      </c>
      <c r="BG194" s="295">
        <f t="shared" si="319"/>
        <v>0</v>
      </c>
      <c r="BH194" s="295">
        <f t="shared" si="319"/>
        <v>0</v>
      </c>
      <c r="BI194" s="295">
        <f t="shared" si="319"/>
        <v>0</v>
      </c>
      <c r="BJ194" s="295">
        <f t="shared" si="319"/>
        <v>0</v>
      </c>
      <c r="BK194" s="295">
        <f t="shared" si="319"/>
        <v>0</v>
      </c>
      <c r="BL194" s="295">
        <f t="shared" si="319"/>
        <v>0</v>
      </c>
      <c r="BM194" s="232">
        <f t="shared" si="303"/>
        <v>0</v>
      </c>
      <c r="BN194" s="232"/>
      <c r="BO194" s="295">
        <f>SUMIF($E$10:$E$176,"3MM P",BO$10:BO$176)</f>
        <v>0</v>
      </c>
      <c r="BP194" s="295">
        <f t="shared" ref="BP194:CA194" si="320">SUMIF($E$10:$E$176,"3MM C",BP$10:BP$176)</f>
        <v>0</v>
      </c>
      <c r="BQ194" s="295">
        <f t="shared" si="320"/>
        <v>0</v>
      </c>
      <c r="BR194" s="295">
        <f t="shared" si="320"/>
        <v>0</v>
      </c>
      <c r="BS194" s="295">
        <f t="shared" si="320"/>
        <v>0</v>
      </c>
      <c r="BT194" s="295">
        <f t="shared" si="320"/>
        <v>0</v>
      </c>
      <c r="BU194" s="295">
        <f t="shared" si="320"/>
        <v>0</v>
      </c>
      <c r="BV194" s="295">
        <f t="shared" si="320"/>
        <v>0</v>
      </c>
      <c r="BW194" s="295">
        <f t="shared" si="320"/>
        <v>0</v>
      </c>
      <c r="BX194" s="295">
        <f t="shared" si="320"/>
        <v>0</v>
      </c>
      <c r="BY194" s="295">
        <f t="shared" si="320"/>
        <v>0</v>
      </c>
      <c r="BZ194" s="295">
        <f t="shared" si="320"/>
        <v>0</v>
      </c>
      <c r="CA194" s="295">
        <f t="shared" si="320"/>
        <v>0</v>
      </c>
      <c r="CB194" s="232">
        <f t="shared" si="305"/>
        <v>0</v>
      </c>
      <c r="CC194" s="314"/>
      <c r="CD194" s="295">
        <f t="shared" ref="CD194:CF194" si="321">SUMIF($E$10:$E$176,"3MM C",CD$10:CD$176)</f>
        <v>7040</v>
      </c>
      <c r="CE194" s="295">
        <f t="shared" si="321"/>
        <v>7028</v>
      </c>
      <c r="CF194" s="295">
        <f t="shared" si="321"/>
        <v>-30</v>
      </c>
      <c r="CG194" s="295">
        <f>SUMIF($E$10:$E$176,"3MM P",CG$10:CG$176)</f>
        <v>57</v>
      </c>
      <c r="CH194" s="295">
        <f>SUMIF($E$10:$E$176,"3MM P",CH$10:CH$176)</f>
        <v>0</v>
      </c>
      <c r="CI194" s="295">
        <f>SUMIF($E$10:$E$176,"3MM P",CI$10:CI$176)</f>
        <v>0</v>
      </c>
      <c r="CJ194" s="295">
        <f>SUMIF($E$10:$E$176,"3MM P",CJ$10:CJ$176)</f>
        <v>0</v>
      </c>
      <c r="CK194" s="63"/>
    </row>
    <row r="195" spans="1:96">
      <c r="B195" s="4" t="s">
        <v>308</v>
      </c>
      <c r="C195" s="294"/>
      <c r="D195" s="4"/>
      <c r="E195" s="4"/>
      <c r="F195" s="295">
        <f>SUMIF($E$10:$E$176,"3MM P",F$10:F$176)</f>
        <v>20880</v>
      </c>
      <c r="G195" s="295">
        <f t="shared" ref="G195:R195" si="322">SUMIF($E$10:$E$176,"3MM P",G$10:G$176)</f>
        <v>0</v>
      </c>
      <c r="H195" s="295">
        <f t="shared" si="322"/>
        <v>20880</v>
      </c>
      <c r="I195" s="295">
        <f t="shared" si="322"/>
        <v>4040</v>
      </c>
      <c r="J195" s="295">
        <f t="shared" si="322"/>
        <v>1829</v>
      </c>
      <c r="K195" s="295">
        <f t="shared" si="322"/>
        <v>0</v>
      </c>
      <c r="L195" s="295">
        <f t="shared" si="322"/>
        <v>640</v>
      </c>
      <c r="M195" s="295">
        <f t="shared" si="322"/>
        <v>4003</v>
      </c>
      <c r="N195" s="295">
        <f t="shared" si="322"/>
        <v>5062</v>
      </c>
      <c r="O195" s="295">
        <f t="shared" si="322"/>
        <v>5000</v>
      </c>
      <c r="P195" s="295">
        <f t="shared" si="322"/>
        <v>20574</v>
      </c>
      <c r="Q195" s="295">
        <f t="shared" si="322"/>
        <v>-363</v>
      </c>
      <c r="R195" s="295">
        <f t="shared" si="322"/>
        <v>57</v>
      </c>
      <c r="S195" s="301"/>
      <c r="T195" s="232"/>
      <c r="U195" s="295">
        <f>SUMIF($E$10:$E$176,"3MM P",U$10:U$176)</f>
        <v>0</v>
      </c>
      <c r="V195" s="295">
        <f t="shared" ref="V195:AG195" si="323">SUMIF($E$10:$E$176,"3MM P",V$10:V$176)</f>
        <v>0</v>
      </c>
      <c r="W195" s="295">
        <f t="shared" si="323"/>
        <v>0</v>
      </c>
      <c r="X195" s="295">
        <f>SUMIF($E$10:$E$176,"3MM P",X$10:X$176)-X53</f>
        <v>0</v>
      </c>
      <c r="Y195" s="295">
        <f t="shared" ref="Y195:AD195" si="324">SUMIF($E$10:$E$176,"3MM P",Y$10:Y$176)+Y51-Y49</f>
        <v>0</v>
      </c>
      <c r="Z195" s="295">
        <f t="shared" si="324"/>
        <v>0</v>
      </c>
      <c r="AA195" s="295">
        <f t="shared" si="324"/>
        <v>0</v>
      </c>
      <c r="AB195" s="295">
        <f t="shared" si="324"/>
        <v>0</v>
      </c>
      <c r="AC195" s="295">
        <f t="shared" si="324"/>
        <v>0</v>
      </c>
      <c r="AD195" s="295">
        <f t="shared" si="324"/>
        <v>0</v>
      </c>
      <c r="AE195" s="295">
        <f>SUMIF($E$10:$E$176,"3MM P",AE$10:AE$176)+AE51-AE49-AE53</f>
        <v>0</v>
      </c>
      <c r="AF195" s="295">
        <f>SUMIF($E$10:$E$176,"3MM P",AF$10:AF$176)</f>
        <v>0</v>
      </c>
      <c r="AG195" s="295">
        <f t="shared" si="323"/>
        <v>0</v>
      </c>
      <c r="AH195" s="232">
        <f t="shared" si="300"/>
        <v>0</v>
      </c>
      <c r="AI195" s="232"/>
      <c r="AJ195" s="295">
        <f>SUMIF($E$10:$E$176,"3MM P",AJ$10:AJ$176)</f>
        <v>0</v>
      </c>
      <c r="AK195" s="295">
        <f t="shared" ref="AK195:AL195" si="325">SUMIF($E$10:$E$176,"3MM P",AK$10:AK$176)</f>
        <v>0</v>
      </c>
      <c r="AL195" s="295">
        <f t="shared" si="325"/>
        <v>0</v>
      </c>
      <c r="AM195" s="295">
        <f t="shared" ref="AM195" si="326">SUMIF($E$10:$E$176,"3MM P",AM$10:AM$176)-AM49+AM51</f>
        <v>0</v>
      </c>
      <c r="AN195" s="295">
        <f>SUMIF($E$10:$E$176,"3MM P",AN$10:AN$176)-AN49+AN51</f>
        <v>0</v>
      </c>
      <c r="AO195" s="295">
        <f t="shared" ref="AO195" si="327">SUMIF($E$10:$E$176,"3MM P",AO$10:AO$176)-AO49+AO51</f>
        <v>0</v>
      </c>
      <c r="AP195" s="295">
        <f t="shared" ref="AP195:AR195" si="328">SUMIF($E$10:$E$176,"3MM P",AP$10:AP$176)-AP49+AP51</f>
        <v>0</v>
      </c>
      <c r="AQ195" s="295">
        <f t="shared" si="328"/>
        <v>0</v>
      </c>
      <c r="AR195" s="295">
        <f t="shared" si="328"/>
        <v>0</v>
      </c>
      <c r="AS195" s="295">
        <f>SUMIF($E$10:$E$176,"3MM P",AS$10:AS$176)-AS49+AS51-AS53</f>
        <v>0</v>
      </c>
      <c r="AT195" s="295">
        <f>SUMIF($E$10:$E$176,"3MM P",AT$10:AT$176)-AT49+AT51-AT53</f>
        <v>0</v>
      </c>
      <c r="AU195" s="295">
        <f t="shared" ref="AU195:AV195" si="329">SUMIF($E$10:$E$176,"3MM P",AU$10:AU$176)</f>
        <v>0</v>
      </c>
      <c r="AV195" s="295">
        <f t="shared" si="329"/>
        <v>0</v>
      </c>
      <c r="AW195" s="232">
        <f t="shared" si="311"/>
        <v>0</v>
      </c>
      <c r="AX195" s="247"/>
      <c r="AZ195" s="295">
        <f>SUMIF($E$10:$E$176,"3MM P",AZ$10:AZ$176)</f>
        <v>0</v>
      </c>
      <c r="BA195" s="295">
        <f>SUMIF($E$10:$E$176,"3MM P",BA$10:BA$176)</f>
        <v>0</v>
      </c>
      <c r="BB195" s="295">
        <f>SUMIF($E$10:$E$176,"3MM P",BB$10:BB$176)</f>
        <v>0</v>
      </c>
      <c r="BC195" s="295">
        <f>SUMIF($E$10:$E$176,"3MM P",BC$10:BC$176)-BC49+BC51</f>
        <v>0</v>
      </c>
      <c r="BD195" s="295">
        <f t="shared" ref="BD195:BL195" si="330">SUMIF($E$10:$E$176,"3MM P",BD$10:BD$176)-BD49+BD51</f>
        <v>0</v>
      </c>
      <c r="BE195" s="295">
        <f t="shared" si="330"/>
        <v>0</v>
      </c>
      <c r="BF195" s="295">
        <f t="shared" si="330"/>
        <v>0</v>
      </c>
      <c r="BG195" s="295">
        <f t="shared" si="330"/>
        <v>0</v>
      </c>
      <c r="BH195" s="295">
        <f t="shared" si="330"/>
        <v>0</v>
      </c>
      <c r="BI195" s="295">
        <f t="shared" si="330"/>
        <v>0</v>
      </c>
      <c r="BJ195" s="295">
        <f t="shared" si="330"/>
        <v>0</v>
      </c>
      <c r="BK195" s="295">
        <f t="shared" si="330"/>
        <v>0</v>
      </c>
      <c r="BL195" s="295">
        <f t="shared" si="330"/>
        <v>0</v>
      </c>
      <c r="BM195" s="232">
        <f t="shared" si="303"/>
        <v>0</v>
      </c>
      <c r="BN195" s="232"/>
      <c r="BO195" s="295">
        <f>SUMIF($E$10:$E$176,"3MM C",BO$10:BO$176)</f>
        <v>0</v>
      </c>
      <c r="BP195" s="295">
        <f>SUMIF($E$10:$E$176,"3MM P",BP$10:BP$176)</f>
        <v>0</v>
      </c>
      <c r="BQ195" s="295">
        <f>SUMIF($E$10:$E$176,"3MM P",BQ$10:BQ$176)</f>
        <v>0</v>
      </c>
      <c r="BR195" s="295">
        <f>SUMIF($E$10:$E$176,"3MM P",BR$10:BR$176)-BR49</f>
        <v>0</v>
      </c>
      <c r="BS195" s="295">
        <f>SUMIF($E$10:$E$176,"3MM P",BS$10:BS$176)-BS49+BS51</f>
        <v>0</v>
      </c>
      <c r="BT195" s="295">
        <f t="shared" ref="BT195:BX195" si="331">SUMIF($E$10:$E$176,"3MM P",BT$10:BT$176)-BT49</f>
        <v>0</v>
      </c>
      <c r="BU195" s="295">
        <f t="shared" si="331"/>
        <v>0</v>
      </c>
      <c r="BV195" s="295">
        <f>SUMIF($E$10:$E$176,"3MM P",BV$10:BV$176)-BV49</f>
        <v>0</v>
      </c>
      <c r="BW195" s="295">
        <f t="shared" si="331"/>
        <v>0</v>
      </c>
      <c r="BX195" s="295">
        <f t="shared" si="331"/>
        <v>0</v>
      </c>
      <c r="BY195" s="295">
        <f>SUMIF($E$10:$E$176,"3MM P",BY$10:BY$176)-BY49+BY51</f>
        <v>0</v>
      </c>
      <c r="BZ195" s="295">
        <f>SUMIF($E$10:$E$176,"3MM P",BZ$10:BZ$176)</f>
        <v>0</v>
      </c>
      <c r="CA195" s="295">
        <f>SUMIF($E$10:$E$176,"3MM P",CA$10:CA$176)</f>
        <v>0</v>
      </c>
      <c r="CB195" s="232">
        <f t="shared" si="305"/>
        <v>0</v>
      </c>
      <c r="CC195" s="314"/>
      <c r="CD195" s="295">
        <f>SUMIF($E$10:$E$176,"3MM P",CD$10:CD$176)</f>
        <v>20880</v>
      </c>
      <c r="CE195" s="295">
        <f>SUMIF($E$10:$E$176,"3MM P",CE$10:CE$176)-CE54</f>
        <v>20574</v>
      </c>
      <c r="CF195" s="295">
        <f>SUMIF($E$10:$E$176,"3MM P",CF$10:CF$176)-CF54</f>
        <v>-363</v>
      </c>
      <c r="CG195" s="295">
        <f>SUMIF($E$10:$E$176,"3MM C",CG$10:CG$176)</f>
        <v>18</v>
      </c>
      <c r="CH195" s="295">
        <f>SUMIF($E$10:$E$176,"3MM C",CH$10:CH$176)</f>
        <v>0</v>
      </c>
      <c r="CI195" s="295">
        <f>SUMIF($E$10:$E$176,"3MM C",CI$10:CI$176)</f>
        <v>0</v>
      </c>
      <c r="CJ195" s="295">
        <f>SUMIF($E$10:$E$176,"3MM C",CJ$10:CJ$176)</f>
        <v>0</v>
      </c>
      <c r="CK195" s="63"/>
    </row>
    <row r="196" spans="1:96">
      <c r="B196" s="4" t="s">
        <v>309</v>
      </c>
      <c r="C196" s="294"/>
      <c r="D196" s="4"/>
      <c r="E196" s="4"/>
      <c r="F196" s="295">
        <f>SUMIF($E$10:$E$176,"4MM C",F$10:F$176)</f>
        <v>4800</v>
      </c>
      <c r="G196" s="295">
        <f t="shared" ref="G196:R196" si="332">SUMIF($E$10:$E$176,"4MM C",G$10:G$176)</f>
        <v>0</v>
      </c>
      <c r="H196" s="295">
        <f t="shared" si="332"/>
        <v>4800</v>
      </c>
      <c r="I196" s="295">
        <f t="shared" si="332"/>
        <v>440</v>
      </c>
      <c r="J196" s="295">
        <f t="shared" si="332"/>
        <v>3574</v>
      </c>
      <c r="K196" s="295">
        <f t="shared" si="332"/>
        <v>0</v>
      </c>
      <c r="L196" s="295">
        <f t="shared" si="332"/>
        <v>796</v>
      </c>
      <c r="M196" s="295">
        <f t="shared" si="332"/>
        <v>0</v>
      </c>
      <c r="N196" s="295">
        <f t="shared" si="332"/>
        <v>0</v>
      </c>
      <c r="O196" s="295">
        <f t="shared" si="332"/>
        <v>0</v>
      </c>
      <c r="P196" s="295">
        <f t="shared" si="332"/>
        <v>4810</v>
      </c>
      <c r="Q196" s="295">
        <f t="shared" si="332"/>
        <v>-8</v>
      </c>
      <c r="R196" s="295">
        <f t="shared" si="332"/>
        <v>18</v>
      </c>
      <c r="S196" s="301"/>
      <c r="T196" s="232"/>
      <c r="U196" s="295">
        <f>SUMIF($E$10:$E$176,"4MM C",U$10:U$176)</f>
        <v>0</v>
      </c>
      <c r="V196" s="295">
        <f t="shared" ref="V196:AG196" si="333">SUMIF($E$10:$E$176,"4MM C",V$10:V$176)</f>
        <v>0</v>
      </c>
      <c r="W196" s="295">
        <f t="shared" si="333"/>
        <v>0</v>
      </c>
      <c r="X196" s="295">
        <f t="shared" si="333"/>
        <v>0</v>
      </c>
      <c r="Y196" s="295">
        <f t="shared" si="333"/>
        <v>0</v>
      </c>
      <c r="Z196" s="295">
        <f t="shared" si="333"/>
        <v>0</v>
      </c>
      <c r="AA196" s="295">
        <f t="shared" si="333"/>
        <v>0</v>
      </c>
      <c r="AB196" s="295">
        <f t="shared" si="333"/>
        <v>0</v>
      </c>
      <c r="AC196" s="295">
        <f t="shared" si="333"/>
        <v>0</v>
      </c>
      <c r="AD196" s="295">
        <f t="shared" si="333"/>
        <v>0</v>
      </c>
      <c r="AE196" s="295">
        <f t="shared" si="333"/>
        <v>0</v>
      </c>
      <c r="AF196" s="295">
        <f>SUMIF($E$10:$E$176,"4MM C",AF$10:AF$176)</f>
        <v>0</v>
      </c>
      <c r="AG196" s="295">
        <f t="shared" si="333"/>
        <v>0</v>
      </c>
      <c r="AH196" s="232">
        <f t="shared" si="300"/>
        <v>0</v>
      </c>
      <c r="AI196" s="232"/>
      <c r="AJ196" s="295">
        <f>SUMIF($E$10:$E$176,"4MM C",AJ$10:AJ$176)</f>
        <v>0</v>
      </c>
      <c r="AK196" s="295">
        <f t="shared" ref="AK196:AV196" si="334">SUMIF($E$10:$E$176,"4MM C",AK$10:AK$176)</f>
        <v>0</v>
      </c>
      <c r="AL196" s="295">
        <f t="shared" si="334"/>
        <v>0</v>
      </c>
      <c r="AM196" s="295">
        <f t="shared" si="334"/>
        <v>0</v>
      </c>
      <c r="AN196" s="295">
        <f t="shared" si="334"/>
        <v>0</v>
      </c>
      <c r="AO196" s="295">
        <f t="shared" si="334"/>
        <v>0</v>
      </c>
      <c r="AP196" s="295">
        <f t="shared" si="334"/>
        <v>0</v>
      </c>
      <c r="AQ196" s="295">
        <f t="shared" si="334"/>
        <v>0</v>
      </c>
      <c r="AR196" s="295">
        <f t="shared" si="334"/>
        <v>0</v>
      </c>
      <c r="AS196" s="295">
        <f t="shared" si="334"/>
        <v>0</v>
      </c>
      <c r="AT196" s="295">
        <f t="shared" si="334"/>
        <v>0</v>
      </c>
      <c r="AU196" s="295">
        <f t="shared" si="334"/>
        <v>0</v>
      </c>
      <c r="AV196" s="295">
        <f t="shared" si="334"/>
        <v>0</v>
      </c>
      <c r="AW196" s="232">
        <f t="shared" si="311"/>
        <v>0</v>
      </c>
      <c r="AX196" s="247"/>
      <c r="AZ196" s="295">
        <f t="shared" ref="AZ196:BL196" si="335">SUMIF($E$10:$E$176,"4MM C",AZ$10:AZ$176)</f>
        <v>0</v>
      </c>
      <c r="BA196" s="295">
        <f t="shared" si="335"/>
        <v>0</v>
      </c>
      <c r="BB196" s="295">
        <f t="shared" si="335"/>
        <v>0</v>
      </c>
      <c r="BC196" s="295">
        <f t="shared" si="335"/>
        <v>0</v>
      </c>
      <c r="BD196" s="295">
        <f t="shared" si="335"/>
        <v>0</v>
      </c>
      <c r="BE196" s="295">
        <f t="shared" si="335"/>
        <v>0</v>
      </c>
      <c r="BF196" s="295">
        <f t="shared" si="335"/>
        <v>0</v>
      </c>
      <c r="BG196" s="295">
        <f t="shared" si="335"/>
        <v>0</v>
      </c>
      <c r="BH196" s="295">
        <f t="shared" si="335"/>
        <v>0</v>
      </c>
      <c r="BI196" s="295">
        <f t="shared" si="335"/>
        <v>0</v>
      </c>
      <c r="BJ196" s="295">
        <f t="shared" si="335"/>
        <v>0</v>
      </c>
      <c r="BK196" s="295">
        <f t="shared" si="335"/>
        <v>0</v>
      </c>
      <c r="BL196" s="295">
        <f t="shared" si="335"/>
        <v>0</v>
      </c>
      <c r="BM196" s="232">
        <f t="shared" si="303"/>
        <v>0</v>
      </c>
      <c r="BN196" s="232"/>
      <c r="BO196" s="295">
        <f>SUMIF($E$10:$E$176,"4MM P",BO$10:BO$176)</f>
        <v>0</v>
      </c>
      <c r="BP196" s="295">
        <f t="shared" ref="BP196:CA196" si="336">SUMIF($E$10:$E$176,"4MM C",BP$10:BP$176)</f>
        <v>0</v>
      </c>
      <c r="BQ196" s="295">
        <f t="shared" si="336"/>
        <v>0</v>
      </c>
      <c r="BR196" s="295">
        <f t="shared" si="336"/>
        <v>0</v>
      </c>
      <c r="BS196" s="295">
        <f t="shared" si="336"/>
        <v>0</v>
      </c>
      <c r="BT196" s="295">
        <f t="shared" si="336"/>
        <v>0</v>
      </c>
      <c r="BU196" s="295">
        <f t="shared" si="336"/>
        <v>0</v>
      </c>
      <c r="BV196" s="295">
        <f t="shared" si="336"/>
        <v>0</v>
      </c>
      <c r="BW196" s="295">
        <f t="shared" si="336"/>
        <v>0</v>
      </c>
      <c r="BX196" s="295">
        <f t="shared" si="336"/>
        <v>0</v>
      </c>
      <c r="BY196" s="295">
        <f t="shared" si="336"/>
        <v>0</v>
      </c>
      <c r="BZ196" s="295">
        <f t="shared" si="336"/>
        <v>0</v>
      </c>
      <c r="CA196" s="295">
        <f t="shared" si="336"/>
        <v>0</v>
      </c>
      <c r="CB196" s="232">
        <f t="shared" si="305"/>
        <v>0</v>
      </c>
      <c r="CC196" s="314"/>
      <c r="CD196" s="295">
        <f t="shared" ref="CD196:CF196" si="337">SUMIF($E$10:$E$176,"4MM C",CD$10:CD$176)</f>
        <v>4800</v>
      </c>
      <c r="CE196" s="295">
        <f t="shared" si="337"/>
        <v>4810</v>
      </c>
      <c r="CF196" s="295">
        <f t="shared" si="337"/>
        <v>-8</v>
      </c>
      <c r="CG196" s="295">
        <f t="shared" ref="CG196:CJ196" si="338">SUMIF($E$10:$E$176,"4MM P",CG$10:CG$176)</f>
        <v>221</v>
      </c>
      <c r="CH196" s="295">
        <f t="shared" si="338"/>
        <v>0</v>
      </c>
      <c r="CI196" s="295">
        <f t="shared" si="338"/>
        <v>0</v>
      </c>
      <c r="CJ196" s="295">
        <f t="shared" si="338"/>
        <v>0</v>
      </c>
      <c r="CK196" s="63"/>
    </row>
    <row r="197" spans="1:96">
      <c r="B197" s="4" t="s">
        <v>310</v>
      </c>
      <c r="C197" s="294"/>
      <c r="D197" s="4"/>
      <c r="E197" s="4"/>
      <c r="F197" s="295">
        <f>SUMIF($E$10:$E$176,"4MM P",F$10:F$176)</f>
        <v>23840</v>
      </c>
      <c r="G197" s="295">
        <f t="shared" ref="G197:R197" si="339">SUMIF($E$10:$E$176,"4MM P",G$10:G$176)</f>
        <v>0</v>
      </c>
      <c r="H197" s="295">
        <f t="shared" si="339"/>
        <v>23840</v>
      </c>
      <c r="I197" s="295">
        <f t="shared" si="339"/>
        <v>7918</v>
      </c>
      <c r="J197" s="295">
        <f t="shared" si="339"/>
        <v>6411</v>
      </c>
      <c r="K197" s="295">
        <f t="shared" si="339"/>
        <v>2980</v>
      </c>
      <c r="L197" s="295">
        <f t="shared" si="339"/>
        <v>1993</v>
      </c>
      <c r="M197" s="295">
        <f t="shared" si="339"/>
        <v>2586</v>
      </c>
      <c r="N197" s="295">
        <f t="shared" si="339"/>
        <v>0</v>
      </c>
      <c r="O197" s="295">
        <f t="shared" si="339"/>
        <v>2049</v>
      </c>
      <c r="P197" s="295">
        <f t="shared" si="339"/>
        <v>23937</v>
      </c>
      <c r="Q197" s="295">
        <f t="shared" si="339"/>
        <v>-124</v>
      </c>
      <c r="R197" s="295">
        <f t="shared" si="339"/>
        <v>221</v>
      </c>
      <c r="S197" s="301"/>
      <c r="T197" s="232"/>
      <c r="U197" s="295">
        <f>SUMIF($E$10:$E$176,"4MM P",U$10:U$176)</f>
        <v>0</v>
      </c>
      <c r="V197" s="295">
        <f t="shared" ref="V197:AG197" si="340">SUMIF($E$10:$E$176,"4MM P",V$10:V$176)</f>
        <v>0</v>
      </c>
      <c r="W197" s="295">
        <f t="shared" si="340"/>
        <v>0</v>
      </c>
      <c r="X197" s="295">
        <f t="shared" si="340"/>
        <v>0</v>
      </c>
      <c r="Y197" s="295">
        <f t="shared" si="340"/>
        <v>0</v>
      </c>
      <c r="Z197" s="295">
        <f t="shared" si="340"/>
        <v>0</v>
      </c>
      <c r="AA197" s="295">
        <f t="shared" si="340"/>
        <v>0</v>
      </c>
      <c r="AB197" s="295">
        <f t="shared" si="340"/>
        <v>0</v>
      </c>
      <c r="AC197" s="295">
        <f t="shared" si="340"/>
        <v>0</v>
      </c>
      <c r="AD197" s="295">
        <f t="shared" si="340"/>
        <v>0</v>
      </c>
      <c r="AE197" s="295">
        <f t="shared" si="340"/>
        <v>0</v>
      </c>
      <c r="AF197" s="295">
        <f>SUMIF($E$10:$E$176,"4MM P",AF$10:AF$176)</f>
        <v>0</v>
      </c>
      <c r="AG197" s="295">
        <f t="shared" si="340"/>
        <v>0</v>
      </c>
      <c r="AH197" s="232">
        <f t="shared" si="300"/>
        <v>0</v>
      </c>
      <c r="AI197" s="232"/>
      <c r="AJ197" s="295">
        <f>SUMIF($E$10:$E$176,"4MM P",AJ$10:AJ$176)</f>
        <v>0</v>
      </c>
      <c r="AK197" s="295">
        <f t="shared" ref="AK197:AV197" si="341">SUMIF($E$10:$E$176,"4MM P",AK$10:AK$176)</f>
        <v>0</v>
      </c>
      <c r="AL197" s="295">
        <f t="shared" si="341"/>
        <v>0</v>
      </c>
      <c r="AM197" s="295">
        <f t="shared" si="341"/>
        <v>0</v>
      </c>
      <c r="AN197" s="295">
        <f t="shared" si="341"/>
        <v>0</v>
      </c>
      <c r="AO197" s="295">
        <f t="shared" si="341"/>
        <v>0</v>
      </c>
      <c r="AP197" s="295">
        <f t="shared" si="341"/>
        <v>0</v>
      </c>
      <c r="AQ197" s="295">
        <f t="shared" si="341"/>
        <v>0</v>
      </c>
      <c r="AR197" s="295">
        <f t="shared" si="341"/>
        <v>0</v>
      </c>
      <c r="AS197" s="295">
        <f t="shared" si="341"/>
        <v>0</v>
      </c>
      <c r="AT197" s="295">
        <f t="shared" si="341"/>
        <v>0</v>
      </c>
      <c r="AU197" s="295">
        <f t="shared" si="341"/>
        <v>0</v>
      </c>
      <c r="AV197" s="295">
        <f t="shared" si="341"/>
        <v>0</v>
      </c>
      <c r="AW197" s="232">
        <f t="shared" si="311"/>
        <v>0</v>
      </c>
      <c r="AX197" s="247"/>
      <c r="AZ197" s="295">
        <f t="shared" ref="AZ197:BL197" si="342">SUMIF($E$10:$E$176,"4MM P",AZ$10:AZ$176)</f>
        <v>0</v>
      </c>
      <c r="BA197" s="295">
        <f t="shared" si="342"/>
        <v>0</v>
      </c>
      <c r="BB197" s="295">
        <f t="shared" si="342"/>
        <v>0</v>
      </c>
      <c r="BC197" s="295">
        <f t="shared" si="342"/>
        <v>0</v>
      </c>
      <c r="BD197" s="295">
        <f t="shared" si="342"/>
        <v>0</v>
      </c>
      <c r="BE197" s="295">
        <f t="shared" si="342"/>
        <v>0</v>
      </c>
      <c r="BF197" s="295">
        <f t="shared" si="342"/>
        <v>0</v>
      </c>
      <c r="BG197" s="295">
        <f t="shared" si="342"/>
        <v>0</v>
      </c>
      <c r="BH197" s="295">
        <f t="shared" si="342"/>
        <v>0</v>
      </c>
      <c r="BI197" s="295">
        <f t="shared" si="342"/>
        <v>0</v>
      </c>
      <c r="BJ197" s="295">
        <f t="shared" si="342"/>
        <v>0</v>
      </c>
      <c r="BK197" s="295">
        <f t="shared" si="342"/>
        <v>0</v>
      </c>
      <c r="BL197" s="295">
        <f t="shared" si="342"/>
        <v>0</v>
      </c>
      <c r="BM197" s="232">
        <f t="shared" si="303"/>
        <v>0</v>
      </c>
      <c r="BN197" s="232"/>
      <c r="BO197" s="295">
        <f>SUMIF($E$10:$E$176,"4MM C",BO$10:BO$176)</f>
        <v>0</v>
      </c>
      <c r="BP197" s="295">
        <f t="shared" ref="BP197:CA197" si="343">SUMIF($E$10:$E$176,"4MM P",BP$10:BP$176)</f>
        <v>0</v>
      </c>
      <c r="BQ197" s="295">
        <f t="shared" si="343"/>
        <v>0</v>
      </c>
      <c r="BR197" s="295">
        <f t="shared" si="343"/>
        <v>0</v>
      </c>
      <c r="BS197" s="295">
        <f t="shared" si="343"/>
        <v>0</v>
      </c>
      <c r="BT197" s="295">
        <f t="shared" si="343"/>
        <v>0</v>
      </c>
      <c r="BU197" s="295">
        <f t="shared" si="343"/>
        <v>0</v>
      </c>
      <c r="BV197" s="295">
        <f t="shared" si="343"/>
        <v>0</v>
      </c>
      <c r="BW197" s="295">
        <f t="shared" si="343"/>
        <v>0</v>
      </c>
      <c r="BX197" s="295">
        <f t="shared" si="343"/>
        <v>0</v>
      </c>
      <c r="BY197" s="295">
        <f t="shared" si="343"/>
        <v>0</v>
      </c>
      <c r="BZ197" s="295">
        <f t="shared" si="343"/>
        <v>0</v>
      </c>
      <c r="CA197" s="295">
        <f t="shared" si="343"/>
        <v>0</v>
      </c>
      <c r="CB197" s="232">
        <f t="shared" si="305"/>
        <v>0</v>
      </c>
      <c r="CC197" s="314"/>
      <c r="CD197" s="295">
        <f t="shared" ref="CD197:CF197" si="344">SUMIF($E$10:$E$176,"4MM P",CD$10:CD$176)</f>
        <v>23840</v>
      </c>
      <c r="CE197" s="295">
        <f t="shared" si="344"/>
        <v>23937</v>
      </c>
      <c r="CF197" s="295">
        <f t="shared" si="344"/>
        <v>-124</v>
      </c>
      <c r="CG197" s="295">
        <f>SUMIF($E$10:$E$176,"4MM C",CG$10:CG$176)</f>
        <v>18</v>
      </c>
      <c r="CH197" s="295">
        <f>SUMIF($E$10:$E$176,"4MM C",CH$10:CH$176)</f>
        <v>0</v>
      </c>
      <c r="CI197" s="295">
        <f>SUMIF($E$10:$E$176,"4MM C",CI$10:CI$176)</f>
        <v>0</v>
      </c>
      <c r="CJ197" s="295">
        <f>SUMIF($E$10:$E$176,"4MM C",CJ$10:CJ$176)</f>
        <v>0</v>
      </c>
      <c r="CK197" s="63"/>
    </row>
    <row r="198" spans="1:96">
      <c r="A198" s="325"/>
      <c r="B198" s="6" t="s">
        <v>303</v>
      </c>
      <c r="C198" s="290"/>
      <c r="D198" s="6"/>
      <c r="E198" s="6"/>
      <c r="F198" s="291">
        <f>SUM(F192:F197)</f>
        <v>57680</v>
      </c>
      <c r="G198" s="291">
        <f t="shared" ref="G198:R198" si="345">SUM(G192:G197)</f>
        <v>0</v>
      </c>
      <c r="H198" s="291">
        <f t="shared" si="345"/>
        <v>57680</v>
      </c>
      <c r="I198" s="291">
        <f t="shared" ref="I198:R198" si="346">SUM(I192:I197)</f>
        <v>12398</v>
      </c>
      <c r="J198" s="291">
        <f t="shared" si="346"/>
        <v>11814</v>
      </c>
      <c r="K198" s="291">
        <f t="shared" si="346"/>
        <v>2980</v>
      </c>
      <c r="L198" s="291">
        <f t="shared" si="346"/>
        <v>5309</v>
      </c>
      <c r="M198" s="291">
        <f t="shared" si="346"/>
        <v>8198</v>
      </c>
      <c r="N198" s="291">
        <f t="shared" si="346"/>
        <v>7781</v>
      </c>
      <c r="O198" s="291">
        <f t="shared" si="346"/>
        <v>7988</v>
      </c>
      <c r="P198" s="291">
        <f t="shared" si="346"/>
        <v>56468</v>
      </c>
      <c r="Q198" s="291">
        <f t="shared" si="346"/>
        <v>-1526</v>
      </c>
      <c r="R198" s="291">
        <f t="shared" si="346"/>
        <v>314</v>
      </c>
      <c r="S198" s="301"/>
      <c r="T198" s="232"/>
      <c r="U198" s="291">
        <f t="shared" ref="U198:W198" si="347">SUM(U192:U197)</f>
        <v>0</v>
      </c>
      <c r="V198" s="291">
        <f t="shared" si="347"/>
        <v>0</v>
      </c>
      <c r="W198" s="291">
        <f t="shared" si="347"/>
        <v>0</v>
      </c>
      <c r="X198" s="291">
        <f t="shared" ref="X198:AG198" si="348">SUM(X192:X197)</f>
        <v>0</v>
      </c>
      <c r="Y198" s="291">
        <f t="shared" ref="Y198:AE198" si="349">SUM(Y192:Y197)</f>
        <v>0</v>
      </c>
      <c r="Z198" s="291">
        <f t="shared" si="349"/>
        <v>0</v>
      </c>
      <c r="AA198" s="291">
        <f t="shared" si="349"/>
        <v>0</v>
      </c>
      <c r="AB198" s="291">
        <f t="shared" si="349"/>
        <v>0</v>
      </c>
      <c r="AC198" s="291">
        <f t="shared" si="349"/>
        <v>0</v>
      </c>
      <c r="AD198" s="291">
        <f t="shared" si="349"/>
        <v>0</v>
      </c>
      <c r="AE198" s="291">
        <f t="shared" si="349"/>
        <v>0</v>
      </c>
      <c r="AF198" s="291">
        <f t="shared" ref="AF198" si="350">SUM(AF192:AF197)</f>
        <v>0</v>
      </c>
      <c r="AG198" s="291">
        <f t="shared" si="348"/>
        <v>0</v>
      </c>
      <c r="AH198" s="314"/>
      <c r="AI198" s="232"/>
      <c r="AJ198" s="291">
        <f t="shared" ref="AJ198:AO198" si="351">SUM(AJ192:AJ197)</f>
        <v>0</v>
      </c>
      <c r="AK198" s="291">
        <f t="shared" si="351"/>
        <v>0</v>
      </c>
      <c r="AL198" s="291">
        <f t="shared" si="351"/>
        <v>0</v>
      </c>
      <c r="AM198" s="291">
        <f t="shared" si="351"/>
        <v>0</v>
      </c>
      <c r="AN198" s="291">
        <f t="shared" si="351"/>
        <v>0</v>
      </c>
      <c r="AO198" s="291">
        <f t="shared" si="351"/>
        <v>0</v>
      </c>
      <c r="AP198" s="291">
        <f t="shared" ref="AP198:AV198" si="352">SUM(AP192:AP197)</f>
        <v>0</v>
      </c>
      <c r="AQ198" s="291">
        <f t="shared" si="352"/>
        <v>0</v>
      </c>
      <c r="AR198" s="291">
        <f t="shared" si="352"/>
        <v>0</v>
      </c>
      <c r="AS198" s="291">
        <f t="shared" si="352"/>
        <v>0</v>
      </c>
      <c r="AT198" s="291">
        <f t="shared" ref="AT198" si="353">SUM(AT192:AT197)</f>
        <v>0</v>
      </c>
      <c r="AU198" s="291">
        <f t="shared" si="352"/>
        <v>0</v>
      </c>
      <c r="AV198" s="291">
        <f t="shared" si="352"/>
        <v>0</v>
      </c>
      <c r="AW198" s="314"/>
      <c r="AX198" s="247"/>
      <c r="AZ198" s="291">
        <f t="shared" ref="AZ198:BC198" si="354">SUM(AZ192:AZ197)</f>
        <v>0</v>
      </c>
      <c r="BA198" s="291">
        <f t="shared" si="354"/>
        <v>0</v>
      </c>
      <c r="BB198" s="291">
        <f t="shared" si="354"/>
        <v>0</v>
      </c>
      <c r="BC198" s="291">
        <f t="shared" si="354"/>
        <v>0</v>
      </c>
      <c r="BD198" s="291">
        <f t="shared" ref="BD198:BL198" si="355">SUM(BD192:BD197)</f>
        <v>0</v>
      </c>
      <c r="BE198" s="291">
        <f t="shared" si="355"/>
        <v>0</v>
      </c>
      <c r="BF198" s="291">
        <f t="shared" si="355"/>
        <v>0</v>
      </c>
      <c r="BG198" s="291">
        <f t="shared" si="355"/>
        <v>0</v>
      </c>
      <c r="BH198" s="291">
        <f t="shared" si="355"/>
        <v>0</v>
      </c>
      <c r="BI198" s="291">
        <f t="shared" si="355"/>
        <v>0</v>
      </c>
      <c r="BJ198" s="291">
        <f t="shared" si="355"/>
        <v>0</v>
      </c>
      <c r="BK198" s="291">
        <f t="shared" si="355"/>
        <v>0</v>
      </c>
      <c r="BL198" s="291">
        <f t="shared" si="355"/>
        <v>0</v>
      </c>
      <c r="BO198" s="291">
        <f t="shared" ref="BO198:CA198" si="356">SUM(BO192:BO197)</f>
        <v>0</v>
      </c>
      <c r="BP198" s="291">
        <f t="shared" si="356"/>
        <v>0</v>
      </c>
      <c r="BQ198" s="291">
        <f t="shared" si="356"/>
        <v>0</v>
      </c>
      <c r="BR198" s="291">
        <f t="shared" si="356"/>
        <v>0</v>
      </c>
      <c r="BS198" s="291">
        <f t="shared" ref="BS198:BY198" si="357">SUM(BS192:BS197)</f>
        <v>0</v>
      </c>
      <c r="BT198" s="291">
        <f t="shared" si="357"/>
        <v>0</v>
      </c>
      <c r="BU198" s="291">
        <f t="shared" si="357"/>
        <v>0</v>
      </c>
      <c r="BV198" s="291">
        <f t="shared" si="357"/>
        <v>0</v>
      </c>
      <c r="BW198" s="291">
        <f t="shared" si="357"/>
        <v>0</v>
      </c>
      <c r="BX198" s="291">
        <f t="shared" si="357"/>
        <v>0</v>
      </c>
      <c r="BY198" s="291">
        <f t="shared" si="357"/>
        <v>0</v>
      </c>
      <c r="BZ198" s="291">
        <f t="shared" ref="BZ198" si="358">SUM(BZ192:BZ197)</f>
        <v>0</v>
      </c>
      <c r="CA198" s="291">
        <f t="shared" si="356"/>
        <v>0</v>
      </c>
      <c r="CC198" s="314"/>
      <c r="CD198" s="291">
        <f t="shared" ref="CD198" si="359">SUM(CD192:CD197)</f>
        <v>57680</v>
      </c>
      <c r="CE198" s="291">
        <f>SUM(CE193:CE197)</f>
        <v>56468</v>
      </c>
      <c r="CF198" s="291">
        <f t="shared" ref="CF198" si="360">SUM(CF192:CF197)</f>
        <v>-1526</v>
      </c>
      <c r="CG198" s="291">
        <f t="shared" ref="CG198:CJ198" si="361">SUM(CG192:CG197)</f>
        <v>314</v>
      </c>
      <c r="CH198" s="326">
        <f t="shared" si="361"/>
        <v>0</v>
      </c>
      <c r="CI198" s="326">
        <f t="shared" si="361"/>
        <v>0</v>
      </c>
      <c r="CJ198" s="326">
        <f t="shared" si="361"/>
        <v>0</v>
      </c>
      <c r="CK198" s="63"/>
    </row>
    <row r="199" spans="1:96">
      <c r="E199"/>
      <c r="M199" s="63"/>
      <c r="N199" s="63"/>
      <c r="O199" s="63"/>
      <c r="S199" s="301"/>
      <c r="U199" s="63"/>
      <c r="AC199"/>
      <c r="AE199" s="63"/>
      <c r="AH199" s="174"/>
      <c r="AI199" s="232"/>
      <c r="AN199" s="63">
        <f>+AN188-AN198</f>
        <v>0</v>
      </c>
      <c r="AQ199" s="63">
        <f>+AQ198-AQ188</f>
        <v>0</v>
      </c>
      <c r="AW199" s="174"/>
      <c r="AX199" s="247"/>
    </row>
    <row r="200" spans="1:96">
      <c r="E200"/>
      <c r="M200" s="63"/>
      <c r="S200" s="301"/>
      <c r="AC200"/>
      <c r="AE200" s="63">
        <f>+AE198-AE188</f>
        <v>0</v>
      </c>
      <c r="AI200" s="232"/>
      <c r="AX200" s="247"/>
    </row>
    <row r="201" spans="1:96">
      <c r="E201"/>
      <c r="S201" s="301"/>
      <c r="AC201"/>
    </row>
    <row r="202" spans="1:96">
      <c r="S202" s="301"/>
    </row>
  </sheetData>
  <mergeCells count="17">
    <mergeCell ref="BY2:BZ2"/>
    <mergeCell ref="BY3:BZ3"/>
    <mergeCell ref="BY4:BZ4"/>
    <mergeCell ref="I6:O6"/>
    <mergeCell ref="X6:AD6"/>
    <mergeCell ref="AM6:AS6"/>
    <mergeCell ref="AT6:AV6"/>
    <mergeCell ref="BC6:BI6"/>
    <mergeCell ref="BR6:BX6"/>
    <mergeCell ref="D189:E189"/>
    <mergeCell ref="CD6:CJ6"/>
    <mergeCell ref="D178:E178"/>
    <mergeCell ref="CF178:CG178"/>
    <mergeCell ref="D179:E179"/>
    <mergeCell ref="U179:V179"/>
    <mergeCell ref="AJ179:AK179"/>
    <mergeCell ref="AZ179:BA179"/>
  </mergeCells>
  <pageMargins left="0.70763888888888904" right="0.70763888888888904" top="0.74791666666666701" bottom="0.74791666666666701" header="0.31388888888888899" footer="0.31388888888888899"/>
  <pageSetup scale="2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Q99"/>
  <sheetViews>
    <sheetView showGridLines="0" zoomScale="85" zoomScaleNormal="85" workbookViewId="0">
      <pane xSplit="2" ySplit="6" topLeftCell="F7" activePane="bottomRight" state="frozen"/>
      <selection pane="topRight"/>
      <selection pane="bottomLeft"/>
      <selection pane="bottomRight" activeCell="F20" sqref="F20"/>
    </sheetView>
  </sheetViews>
  <sheetFormatPr defaultColWidth="9" defaultRowHeight="15"/>
  <cols>
    <col min="1" max="1" width="1.140625" customWidth="1"/>
    <col min="2" max="2" width="29.42578125" style="97" customWidth="1"/>
    <col min="3" max="3" width="44.5703125" style="97" customWidth="1"/>
    <col min="4" max="4" width="5.5703125" customWidth="1"/>
    <col min="5" max="5" width="15.28515625" customWidth="1"/>
    <col min="6" max="6" width="62" style="97" customWidth="1"/>
    <col min="7" max="7" width="5.5703125" customWidth="1"/>
    <col min="8" max="8" width="15.28515625" customWidth="1"/>
    <col min="9" max="9" width="57.42578125" style="97" customWidth="1"/>
    <col min="10" max="10" width="5.5703125" customWidth="1"/>
    <col min="11" max="11" width="15.28515625" customWidth="1"/>
    <col min="12" max="12" width="44.5703125" style="97" customWidth="1"/>
    <col min="13" max="13" width="5.5703125" customWidth="1"/>
    <col min="14" max="14" width="15.28515625" customWidth="1"/>
    <col min="15" max="15" width="44.5703125" style="97" customWidth="1"/>
    <col min="16" max="16" width="5.5703125" customWidth="1"/>
    <col min="17" max="17" width="15.28515625" customWidth="1"/>
  </cols>
  <sheetData>
    <row r="1" spans="2:17" ht="5.25" customHeight="1"/>
    <row r="2" spans="2:17" ht="23.25" customHeight="1">
      <c r="B2" s="98" t="s">
        <v>340</v>
      </c>
      <c r="C2" s="99"/>
      <c r="F2" s="99"/>
      <c r="I2" s="99"/>
      <c r="L2" s="99"/>
      <c r="O2" s="99"/>
    </row>
    <row r="3" spans="2:17" ht="20.25" customHeight="1">
      <c r="B3" s="387"/>
      <c r="C3" s="387"/>
      <c r="F3" s="100"/>
      <c r="I3" s="100"/>
      <c r="L3" s="100"/>
      <c r="O3" s="100"/>
    </row>
    <row r="4" spans="2:17" ht="22.5" customHeight="1">
      <c r="B4" s="101"/>
      <c r="C4" s="100"/>
      <c r="F4" s="100"/>
      <c r="I4" s="100"/>
      <c r="L4" s="100"/>
      <c r="O4" s="100"/>
    </row>
    <row r="5" spans="2:17" s="93" customFormat="1" ht="21" customHeight="1">
      <c r="B5" s="101" t="s">
        <v>341</v>
      </c>
      <c r="C5" s="383" t="s">
        <v>342</v>
      </c>
      <c r="D5" s="384"/>
      <c r="E5" s="384"/>
      <c r="F5" s="383" t="s">
        <v>343</v>
      </c>
      <c r="G5" s="384"/>
      <c r="H5" s="384"/>
      <c r="I5" s="383" t="s">
        <v>344</v>
      </c>
      <c r="J5" s="384"/>
      <c r="K5" s="384"/>
      <c r="L5" s="383" t="s">
        <v>345</v>
      </c>
      <c r="M5" s="384"/>
      <c r="N5" s="384"/>
      <c r="O5" s="383" t="s">
        <v>346</v>
      </c>
      <c r="P5" s="384"/>
      <c r="Q5" s="384"/>
    </row>
    <row r="6" spans="2:17" s="94" customFormat="1" ht="28.5" customHeight="1">
      <c r="B6" s="102" t="s">
        <v>347</v>
      </c>
      <c r="C6" s="103" t="s">
        <v>348</v>
      </c>
      <c r="D6" s="103" t="s">
        <v>349</v>
      </c>
      <c r="E6" s="103" t="s">
        <v>350</v>
      </c>
      <c r="F6" s="103" t="s">
        <v>348</v>
      </c>
      <c r="G6" s="103" t="s">
        <v>349</v>
      </c>
      <c r="H6" s="103" t="s">
        <v>350</v>
      </c>
      <c r="I6" s="103" t="s">
        <v>348</v>
      </c>
      <c r="J6" s="103" t="s">
        <v>349</v>
      </c>
      <c r="K6" s="103" t="s">
        <v>350</v>
      </c>
      <c r="L6" s="103" t="s">
        <v>348</v>
      </c>
      <c r="M6" s="103" t="s">
        <v>349</v>
      </c>
      <c r="N6" s="103" t="s">
        <v>350</v>
      </c>
      <c r="O6" s="103" t="s">
        <v>348</v>
      </c>
      <c r="P6" s="103" t="s">
        <v>349</v>
      </c>
      <c r="Q6" s="103" t="s">
        <v>350</v>
      </c>
    </row>
    <row r="7" spans="2:17" ht="18" customHeight="1">
      <c r="B7" s="104" t="s">
        <v>351</v>
      </c>
      <c r="C7" s="105"/>
      <c r="D7" s="385"/>
      <c r="E7" s="386"/>
      <c r="F7" s="385"/>
      <c r="G7" s="386"/>
      <c r="H7" s="385"/>
      <c r="I7" s="386"/>
      <c r="J7" s="385"/>
      <c r="K7" s="386"/>
      <c r="L7" s="385"/>
      <c r="M7" s="386"/>
      <c r="N7" s="385"/>
      <c r="O7" s="386"/>
      <c r="P7" s="385"/>
      <c r="Q7" s="386"/>
    </row>
    <row r="8" spans="2:17" ht="18.75">
      <c r="B8" s="106" t="s">
        <v>352</v>
      </c>
      <c r="C8" s="107"/>
      <c r="D8" s="108"/>
      <c r="E8" s="108"/>
      <c r="F8" s="107"/>
      <c r="G8" s="108"/>
      <c r="H8" s="108"/>
      <c r="I8" s="107"/>
      <c r="J8" s="108"/>
      <c r="K8" s="108"/>
      <c r="L8" s="107"/>
      <c r="M8" s="108"/>
      <c r="N8" s="108"/>
      <c r="O8" s="107"/>
      <c r="P8" s="108"/>
      <c r="Q8" s="108"/>
    </row>
    <row r="9" spans="2:17" ht="18.75">
      <c r="B9" s="109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</row>
    <row r="10" spans="2:17" ht="15" customHeight="1"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</row>
    <row r="11" spans="2:17" ht="15" hidden="1" customHeight="1">
      <c r="B11" s="109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</row>
    <row r="12" spans="2:17" ht="18.75" hidden="1" customHeight="1">
      <c r="B12" s="110"/>
      <c r="C12" s="111"/>
      <c r="D12" s="108"/>
      <c r="E12" s="108"/>
      <c r="F12" s="111"/>
      <c r="G12" s="108"/>
      <c r="H12" s="108"/>
      <c r="I12" s="111"/>
      <c r="J12" s="108"/>
      <c r="K12" s="108"/>
      <c r="L12" s="111"/>
      <c r="M12" s="108"/>
      <c r="N12" s="108"/>
      <c r="O12" s="111"/>
      <c r="P12" s="108"/>
      <c r="Q12" s="108"/>
    </row>
    <row r="13" spans="2:17" ht="13.5" hidden="1" customHeight="1">
      <c r="B13" s="112"/>
      <c r="C13" s="111"/>
      <c r="D13" s="108"/>
      <c r="E13" s="108"/>
      <c r="F13" s="111"/>
      <c r="G13" s="108"/>
      <c r="H13" s="108"/>
      <c r="I13" s="111"/>
      <c r="J13" s="108"/>
      <c r="K13" s="108"/>
      <c r="L13" s="111"/>
      <c r="M13" s="108"/>
      <c r="N13" s="108"/>
      <c r="O13" s="111"/>
      <c r="P13" s="108"/>
      <c r="Q13" s="108"/>
    </row>
    <row r="14" spans="2:17" ht="16.5" customHeight="1">
      <c r="B14" s="113" t="s">
        <v>353</v>
      </c>
      <c r="C14" s="114"/>
      <c r="D14" s="114"/>
      <c r="E14" s="115"/>
      <c r="F14" s="114"/>
      <c r="G14" s="114"/>
      <c r="H14" s="115"/>
      <c r="I14" s="114"/>
      <c r="J14" s="114"/>
      <c r="K14" s="115"/>
      <c r="L14" s="114"/>
      <c r="M14" s="114"/>
      <c r="N14" s="115"/>
      <c r="O14" s="114"/>
      <c r="P14" s="114"/>
      <c r="Q14" s="115"/>
    </row>
    <row r="15" spans="2:17" ht="32.25" customHeight="1">
      <c r="B15" s="106" t="s">
        <v>354</v>
      </c>
      <c r="C15" s="116" t="s">
        <v>355</v>
      </c>
      <c r="D15" s="117">
        <v>2</v>
      </c>
      <c r="E15" s="118">
        <v>1287</v>
      </c>
      <c r="F15" s="107"/>
      <c r="G15" s="119"/>
      <c r="H15" s="120"/>
      <c r="I15" s="116"/>
      <c r="J15" s="117"/>
      <c r="K15" s="144"/>
      <c r="L15" s="116"/>
      <c r="M15" s="117"/>
      <c r="N15" s="144"/>
      <c r="O15" s="116"/>
      <c r="P15" s="117"/>
      <c r="Q15" s="118"/>
    </row>
    <row r="16" spans="2:17" ht="30.75" customHeight="1">
      <c r="B16" s="109"/>
      <c r="C16" s="116" t="s">
        <v>356</v>
      </c>
      <c r="D16" s="119">
        <v>3</v>
      </c>
      <c r="E16" s="118">
        <v>1881</v>
      </c>
      <c r="F16" s="116"/>
      <c r="G16" s="119"/>
      <c r="H16" s="120"/>
      <c r="I16" s="116"/>
      <c r="J16" s="119"/>
      <c r="K16" s="144"/>
      <c r="L16" s="116"/>
      <c r="M16" s="119"/>
      <c r="N16" s="144"/>
      <c r="O16" s="116"/>
      <c r="P16" s="119"/>
      <c r="Q16" s="118"/>
    </row>
    <row r="17" spans="2:17" ht="18.75">
      <c r="B17" s="109"/>
      <c r="C17" s="121" t="s">
        <v>357</v>
      </c>
      <c r="D17" s="119">
        <v>3</v>
      </c>
      <c r="E17" s="118">
        <v>1793</v>
      </c>
      <c r="F17" s="116"/>
      <c r="G17" s="119"/>
      <c r="H17" s="120"/>
      <c r="I17" s="116"/>
      <c r="J17" s="119"/>
      <c r="K17" s="144"/>
      <c r="L17" s="116"/>
      <c r="M17" s="119"/>
      <c r="N17" s="144"/>
      <c r="O17" s="121"/>
      <c r="P17" s="119"/>
      <c r="Q17" s="118"/>
    </row>
    <row r="18" spans="2:17" ht="18.75">
      <c r="B18" s="109"/>
      <c r="C18" s="116" t="s">
        <v>358</v>
      </c>
      <c r="D18" s="119">
        <v>2</v>
      </c>
      <c r="E18" s="118">
        <v>1318</v>
      </c>
      <c r="F18" s="116"/>
      <c r="G18" s="119"/>
      <c r="H18" s="120"/>
      <c r="I18" s="116"/>
      <c r="J18" s="119"/>
      <c r="K18" s="144"/>
      <c r="L18" s="116"/>
      <c r="M18" s="119"/>
      <c r="N18" s="144"/>
      <c r="O18" s="116"/>
      <c r="P18" s="119"/>
      <c r="Q18" s="118"/>
    </row>
    <row r="19" spans="2:17" ht="29.25" customHeight="1">
      <c r="B19" s="109"/>
      <c r="C19" s="121" t="s">
        <v>359</v>
      </c>
      <c r="D19" s="108">
        <v>6</v>
      </c>
      <c r="E19" s="122">
        <v>3623</v>
      </c>
      <c r="F19" s="116"/>
      <c r="G19" s="119"/>
      <c r="H19" s="120"/>
      <c r="I19" s="121"/>
      <c r="J19" s="119"/>
      <c r="K19" s="144"/>
      <c r="L19" s="121"/>
      <c r="M19" s="119"/>
      <c r="N19" s="144"/>
      <c r="O19" s="121"/>
      <c r="P19" s="108"/>
      <c r="Q19" s="122"/>
    </row>
    <row r="20" spans="2:17" ht="15.75" customHeight="1">
      <c r="B20" s="109"/>
      <c r="C20" s="121"/>
      <c r="D20" s="108"/>
      <c r="E20" s="108"/>
      <c r="F20" s="121"/>
      <c r="G20" s="119"/>
      <c r="H20" s="120"/>
      <c r="I20" s="121"/>
      <c r="J20" s="119"/>
      <c r="K20" s="144"/>
      <c r="L20" s="121"/>
      <c r="M20" s="119"/>
      <c r="N20" s="144"/>
      <c r="O20" s="121"/>
      <c r="P20" s="108"/>
      <c r="Q20" s="108"/>
    </row>
    <row r="21" spans="2:17" ht="18.75">
      <c r="B21" s="109"/>
      <c r="C21" s="121"/>
      <c r="D21" s="108"/>
      <c r="E21" s="108"/>
      <c r="F21" s="116"/>
      <c r="G21" s="119"/>
      <c r="H21" s="123"/>
      <c r="I21" s="108"/>
      <c r="J21" s="119"/>
      <c r="K21" s="144"/>
      <c r="L21" s="108"/>
      <c r="M21" s="119"/>
      <c r="N21" s="144"/>
      <c r="O21" s="121"/>
      <c r="P21" s="108"/>
      <c r="Q21" s="108"/>
    </row>
    <row r="22" spans="2:17" ht="18.75">
      <c r="B22" s="109"/>
      <c r="C22" s="121"/>
      <c r="D22" s="108"/>
      <c r="E22" s="108"/>
      <c r="F22" s="116"/>
      <c r="G22" s="119"/>
      <c r="H22" s="123"/>
      <c r="I22" s="108"/>
      <c r="J22" s="119"/>
      <c r="K22" s="144"/>
      <c r="L22" s="108"/>
      <c r="M22" s="119"/>
      <c r="N22" s="144"/>
      <c r="O22" s="121"/>
      <c r="P22" s="108"/>
      <c r="Q22" s="108"/>
    </row>
    <row r="23" spans="2:17" ht="15.75" customHeight="1">
      <c r="B23" s="109"/>
      <c r="C23" s="121"/>
      <c r="D23" s="108"/>
      <c r="E23" s="108"/>
      <c r="F23" s="108"/>
      <c r="G23" s="108"/>
      <c r="H23" s="122"/>
      <c r="I23" s="108"/>
      <c r="J23" s="119"/>
      <c r="K23" s="144"/>
      <c r="L23" s="108"/>
      <c r="M23" s="119"/>
      <c r="N23" s="144"/>
      <c r="O23" s="121"/>
      <c r="P23" s="108"/>
      <c r="Q23" s="108"/>
    </row>
    <row r="24" spans="2:17" ht="15.75" customHeight="1">
      <c r="B24" s="109"/>
      <c r="C24" s="121"/>
      <c r="D24" s="108"/>
      <c r="E24" s="108"/>
      <c r="F24" s="108"/>
      <c r="G24" s="108"/>
      <c r="H24" s="108"/>
      <c r="I24" s="108"/>
      <c r="J24" s="119"/>
      <c r="K24" s="144"/>
      <c r="L24" s="108"/>
      <c r="M24" s="119"/>
      <c r="N24" s="144"/>
      <c r="O24" s="121"/>
      <c r="P24" s="108"/>
      <c r="Q24" s="108"/>
    </row>
    <row r="25" spans="2:17" ht="15.75" customHeight="1">
      <c r="B25" s="109"/>
      <c r="C25" s="121"/>
      <c r="D25" s="108"/>
      <c r="E25" s="108"/>
      <c r="F25" s="108"/>
      <c r="G25" s="108"/>
      <c r="H25" s="108"/>
      <c r="I25" s="108"/>
      <c r="J25" s="119"/>
      <c r="K25" s="144"/>
      <c r="L25" s="108"/>
      <c r="M25" s="119"/>
      <c r="N25" s="144"/>
      <c r="O25" s="121"/>
      <c r="P25" s="108"/>
      <c r="Q25" s="108"/>
    </row>
    <row r="26" spans="2:17">
      <c r="B26" s="124" t="s">
        <v>353</v>
      </c>
      <c r="C26" s="114"/>
      <c r="D26" s="114"/>
      <c r="E26" s="114"/>
      <c r="F26" s="114"/>
      <c r="G26" s="114"/>
      <c r="H26" s="114"/>
      <c r="I26" s="114"/>
      <c r="J26" s="114"/>
      <c r="K26" s="142"/>
      <c r="L26" s="114"/>
      <c r="M26" s="114"/>
      <c r="N26" s="142"/>
      <c r="O26" s="114"/>
      <c r="P26" s="114"/>
      <c r="Q26" s="114"/>
    </row>
    <row r="27" spans="2:17" ht="18.75">
      <c r="B27" s="125" t="s">
        <v>360</v>
      </c>
      <c r="C27" s="108"/>
      <c r="D27" s="108"/>
      <c r="E27" s="108"/>
      <c r="F27" s="108"/>
      <c r="G27" s="108"/>
      <c r="H27" s="108"/>
      <c r="I27" s="128"/>
      <c r="J27" s="145"/>
      <c r="K27" s="108"/>
      <c r="L27" s="128"/>
      <c r="M27" s="145"/>
      <c r="N27" s="108"/>
      <c r="O27" s="108"/>
      <c r="P27" s="108"/>
      <c r="Q27" s="108"/>
    </row>
    <row r="28" spans="2:17" ht="16.5" customHeight="1">
      <c r="B28" s="109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2:17" ht="15" customHeight="1">
      <c r="B29" s="110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</row>
    <row r="30" spans="2:17" ht="15" customHeight="1">
      <c r="B30" s="126" t="s">
        <v>353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</row>
    <row r="31" spans="2:17" ht="20.25" customHeight="1">
      <c r="B31" s="104" t="s">
        <v>361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</row>
    <row r="32" spans="2:17" ht="18.75">
      <c r="B32" s="109" t="s">
        <v>362</v>
      </c>
      <c r="C32" s="128"/>
      <c r="D32" s="128"/>
      <c r="E32" s="128"/>
      <c r="F32" s="128"/>
      <c r="G32" s="128"/>
      <c r="H32" s="128"/>
      <c r="I32" s="116"/>
      <c r="J32" s="128"/>
      <c r="K32" s="128"/>
      <c r="L32" s="116"/>
      <c r="M32" s="128"/>
      <c r="N32" s="128"/>
      <c r="O32" s="128"/>
      <c r="P32" s="128"/>
      <c r="Q32" s="128"/>
    </row>
    <row r="33" spans="2:17" ht="18.75">
      <c r="B33" s="109"/>
      <c r="C33" s="128"/>
      <c r="D33" s="108"/>
      <c r="E33" s="108"/>
      <c r="F33" s="128"/>
      <c r="G33" s="108"/>
      <c r="H33" s="108"/>
      <c r="I33" s="116"/>
      <c r="J33" s="108"/>
      <c r="K33" s="108"/>
      <c r="L33" s="116"/>
      <c r="M33" s="108"/>
      <c r="N33" s="108"/>
      <c r="O33" s="128"/>
      <c r="P33" s="108"/>
      <c r="Q33" s="108"/>
    </row>
    <row r="34" spans="2:17" ht="18.75">
      <c r="B34" s="109"/>
      <c r="C34" s="128"/>
      <c r="D34" s="108"/>
      <c r="E34" s="108"/>
      <c r="F34" s="128"/>
      <c r="G34" s="108"/>
      <c r="H34" s="108"/>
      <c r="I34" s="116"/>
      <c r="J34" s="108"/>
      <c r="K34" s="108"/>
      <c r="L34" s="116"/>
      <c r="M34" s="108"/>
      <c r="N34" s="108"/>
      <c r="O34" s="128"/>
      <c r="P34" s="108"/>
      <c r="Q34" s="108"/>
    </row>
    <row r="35" spans="2:17" ht="15" customHeight="1">
      <c r="B35" s="109"/>
      <c r="C35" s="108"/>
      <c r="D35" s="108"/>
      <c r="E35" s="108"/>
      <c r="F35" s="108"/>
      <c r="G35" s="108"/>
      <c r="H35" s="108"/>
      <c r="I35" s="121"/>
      <c r="J35" s="108"/>
      <c r="K35" s="108"/>
      <c r="L35" s="121"/>
      <c r="M35" s="108"/>
      <c r="N35" s="108"/>
      <c r="O35" s="108"/>
      <c r="P35" s="108"/>
      <c r="Q35" s="108"/>
    </row>
    <row r="36" spans="2:17" ht="15" customHeight="1">
      <c r="B36" s="109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</row>
    <row r="37" spans="2:17" ht="15" customHeight="1">
      <c r="B37" s="126" t="s">
        <v>353</v>
      </c>
      <c r="C37" s="114"/>
      <c r="D37" s="129"/>
      <c r="E37" s="114"/>
      <c r="F37" s="114"/>
      <c r="G37" s="129"/>
      <c r="H37" s="114"/>
      <c r="I37" s="114"/>
      <c r="J37" s="129"/>
      <c r="K37" s="114"/>
      <c r="L37" s="114"/>
      <c r="M37" s="129"/>
      <c r="N37" s="114"/>
      <c r="O37" s="114"/>
      <c r="P37" s="129"/>
      <c r="Q37" s="114"/>
    </row>
    <row r="38" spans="2:17" ht="18.75">
      <c r="B38" s="109" t="s">
        <v>363</v>
      </c>
      <c r="C38" s="108"/>
      <c r="D38" s="108"/>
      <c r="E38" s="108"/>
      <c r="F38" s="128"/>
      <c r="G38" s="128"/>
      <c r="H38" s="128"/>
      <c r="I38" s="108"/>
      <c r="J38" s="108"/>
      <c r="K38" s="108"/>
      <c r="L38" s="108"/>
      <c r="M38" s="108"/>
      <c r="N38" s="108"/>
      <c r="O38" s="108"/>
      <c r="P38" s="108"/>
      <c r="Q38" s="108"/>
    </row>
    <row r="39" spans="2:17" ht="18.75">
      <c r="B39" s="109"/>
      <c r="C39" s="128"/>
      <c r="D39" s="130"/>
      <c r="E39" s="130"/>
      <c r="F39" s="128"/>
      <c r="G39" s="131"/>
      <c r="H39" s="108"/>
      <c r="I39" s="128"/>
      <c r="J39" s="130"/>
      <c r="K39" s="130"/>
      <c r="L39" s="128"/>
      <c r="M39" s="130"/>
      <c r="N39" s="130"/>
      <c r="O39" s="128"/>
      <c r="P39" s="130"/>
      <c r="Q39" s="130"/>
    </row>
    <row r="40" spans="2:17" ht="15" customHeight="1">
      <c r="B40" s="109"/>
      <c r="C40" s="128"/>
      <c r="D40" s="108"/>
      <c r="E40" s="108"/>
      <c r="F40" s="108"/>
      <c r="G40" s="108"/>
      <c r="H40" s="108"/>
      <c r="I40" s="128"/>
      <c r="J40" s="108"/>
      <c r="K40" s="108"/>
      <c r="L40" s="128"/>
      <c r="M40" s="108"/>
      <c r="N40" s="108"/>
      <c r="O40" s="128"/>
      <c r="P40" s="108"/>
      <c r="Q40" s="108"/>
    </row>
    <row r="41" spans="2:17" ht="15" customHeight="1">
      <c r="B41" s="109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</row>
    <row r="42" spans="2:17" ht="15" customHeight="1">
      <c r="B42" s="132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</row>
    <row r="43" spans="2:17" ht="18.75">
      <c r="B43" s="133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</row>
    <row r="44" spans="2:17">
      <c r="B44" s="126" t="s">
        <v>353</v>
      </c>
      <c r="C44" s="114"/>
      <c r="D44" s="129"/>
      <c r="E44" s="114"/>
      <c r="F44" s="114"/>
      <c r="G44" s="129"/>
      <c r="H44" s="114"/>
      <c r="I44" s="114"/>
      <c r="J44" s="129"/>
      <c r="K44" s="114"/>
      <c r="L44" s="114"/>
      <c r="M44" s="129"/>
      <c r="N44" s="114"/>
      <c r="O44" s="114"/>
      <c r="P44" s="129"/>
      <c r="Q44" s="114"/>
    </row>
    <row r="45" spans="2:17" ht="17.25" customHeight="1">
      <c r="B45" s="104" t="s">
        <v>364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</row>
    <row r="46" spans="2:17" ht="18.75">
      <c r="B46" s="134" t="s">
        <v>365</v>
      </c>
      <c r="C46" s="128"/>
      <c r="D46" s="135"/>
      <c r="E46" s="136"/>
      <c r="F46" s="128"/>
      <c r="G46" s="108"/>
      <c r="H46" s="108"/>
      <c r="I46" s="128"/>
      <c r="J46" s="108"/>
      <c r="K46" s="108"/>
      <c r="L46" s="128"/>
      <c r="M46" s="108"/>
      <c r="N46" s="108"/>
      <c r="O46" s="128"/>
      <c r="P46" s="135"/>
      <c r="Q46" s="136"/>
    </row>
    <row r="47" spans="2:17" ht="15" customHeight="1">
      <c r="B47" s="132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</row>
    <row r="48" spans="2:17" ht="15" customHeight="1">
      <c r="B48" s="132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</row>
    <row r="49" spans="2:17" ht="15" customHeight="1">
      <c r="B49" s="132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</row>
    <row r="50" spans="2:17" ht="15" customHeight="1">
      <c r="B50" s="126" t="s">
        <v>353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</row>
    <row r="51" spans="2:17">
      <c r="B51" s="377" t="s">
        <v>364</v>
      </c>
      <c r="C51" s="107"/>
      <c r="D51" s="108"/>
      <c r="E51" s="137"/>
      <c r="F51" s="107"/>
      <c r="G51" s="108"/>
      <c r="H51" s="108"/>
      <c r="I51" s="107"/>
      <c r="J51" s="136"/>
      <c r="K51" s="146"/>
      <c r="L51" s="107"/>
      <c r="M51" s="136"/>
      <c r="N51" s="146"/>
      <c r="O51" s="107"/>
      <c r="P51" s="108"/>
      <c r="Q51" s="137"/>
    </row>
    <row r="52" spans="2:17" ht="18.75" customHeight="1">
      <c r="B52" s="378"/>
      <c r="C52" s="108"/>
      <c r="D52" s="108"/>
      <c r="E52" s="108"/>
      <c r="F52" s="121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</row>
    <row r="53" spans="2:17" ht="18.75">
      <c r="B53" s="132"/>
      <c r="C53" s="108"/>
      <c r="D53" s="108"/>
      <c r="E53" s="108"/>
      <c r="F53" s="121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</row>
    <row r="54" spans="2:17" ht="18.75">
      <c r="B54" s="132"/>
      <c r="C54" s="138"/>
      <c r="D54" s="108"/>
      <c r="E54" s="108"/>
      <c r="F54" s="138"/>
      <c r="G54" s="108"/>
      <c r="H54" s="108"/>
      <c r="I54" s="138"/>
      <c r="J54" s="108"/>
      <c r="K54" s="108"/>
      <c r="L54" s="138"/>
      <c r="M54" s="108"/>
      <c r="N54" s="108"/>
      <c r="O54" s="138"/>
      <c r="P54" s="108"/>
      <c r="Q54" s="108"/>
    </row>
    <row r="55" spans="2:17" ht="18.75">
      <c r="B55" s="139"/>
      <c r="C55" s="140"/>
      <c r="D55" s="121"/>
      <c r="E55" s="108"/>
      <c r="F55" s="141"/>
      <c r="G55" s="121"/>
      <c r="H55" s="108"/>
      <c r="I55" s="138"/>
      <c r="J55" s="108"/>
      <c r="K55" s="119"/>
      <c r="L55" s="138"/>
      <c r="M55" s="108"/>
      <c r="N55" s="119"/>
      <c r="O55" s="140"/>
      <c r="P55" s="121"/>
      <c r="Q55" s="108"/>
    </row>
    <row r="56" spans="2:17">
      <c r="B56" s="126" t="s">
        <v>353</v>
      </c>
      <c r="C56" s="142"/>
      <c r="D56" s="108"/>
      <c r="E56" s="108"/>
      <c r="F56" s="142"/>
      <c r="G56" s="108"/>
      <c r="H56" s="108"/>
      <c r="I56" s="114"/>
      <c r="J56" s="108"/>
      <c r="K56" s="108"/>
      <c r="L56" s="114"/>
      <c r="M56" s="108"/>
      <c r="N56" s="108"/>
      <c r="O56" s="142"/>
      <c r="P56" s="108"/>
      <c r="Q56" s="108"/>
    </row>
    <row r="57" spans="2:17" ht="18.75">
      <c r="B57" s="143" t="s">
        <v>366</v>
      </c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</row>
    <row r="58" spans="2:17" ht="18.75">
      <c r="B58" s="132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</row>
    <row r="59" spans="2:17" ht="18.75">
      <c r="B59" s="132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</row>
    <row r="60" spans="2:17" ht="18.75">
      <c r="B60" s="132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</row>
    <row r="61" spans="2:17">
      <c r="B61" s="126" t="s">
        <v>353</v>
      </c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</row>
    <row r="62" spans="2:17" ht="18.75">
      <c r="B62" s="134" t="s">
        <v>367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</row>
    <row r="63" spans="2:17" ht="15" customHeight="1">
      <c r="B63" s="110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</row>
    <row r="64" spans="2:17" ht="15" customHeight="1">
      <c r="B64" s="110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</row>
    <row r="65" spans="2:17" ht="15" customHeight="1">
      <c r="B65" s="110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</row>
    <row r="66" spans="2:17" ht="15" customHeight="1">
      <c r="B66" s="126" t="s">
        <v>353</v>
      </c>
      <c r="C66" s="114"/>
      <c r="D66" s="129"/>
      <c r="E66" s="114"/>
      <c r="F66" s="114"/>
      <c r="G66" s="129"/>
      <c r="H66" s="114"/>
      <c r="I66" s="114"/>
      <c r="J66" s="129"/>
      <c r="K66" s="114"/>
      <c r="L66" s="114"/>
      <c r="M66" s="129"/>
      <c r="N66" s="114"/>
      <c r="O66" s="114"/>
      <c r="P66" s="129"/>
      <c r="Q66" s="114"/>
    </row>
    <row r="67" spans="2:17" ht="20.25" customHeight="1">
      <c r="B67" s="104" t="s">
        <v>368</v>
      </c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</row>
    <row r="68" spans="2:17" ht="15" customHeight="1">
      <c r="B68" s="147" t="s">
        <v>369</v>
      </c>
      <c r="C68" s="128"/>
      <c r="D68" s="108"/>
      <c r="E68" s="108"/>
      <c r="F68" s="108"/>
      <c r="G68" s="108"/>
      <c r="H68" s="108"/>
      <c r="I68" s="128"/>
      <c r="J68" s="379"/>
      <c r="K68" s="381"/>
      <c r="L68" s="128"/>
      <c r="M68" s="379"/>
      <c r="N68" s="381"/>
      <c r="O68" s="128"/>
      <c r="P68" s="108"/>
      <c r="Q68" s="108"/>
    </row>
    <row r="69" spans="2:17" ht="39.75" customHeight="1">
      <c r="B69" s="110"/>
      <c r="C69" s="128"/>
      <c r="D69" s="135"/>
      <c r="E69" s="136"/>
      <c r="F69" s="108"/>
      <c r="G69" s="108"/>
      <c r="H69" s="108"/>
      <c r="I69" s="128"/>
      <c r="J69" s="380"/>
      <c r="K69" s="382"/>
      <c r="L69" s="128"/>
      <c r="M69" s="380"/>
      <c r="N69" s="382"/>
      <c r="O69" s="128"/>
      <c r="P69" s="135"/>
      <c r="Q69" s="136"/>
    </row>
    <row r="70" spans="2:17" ht="21">
      <c r="B70" s="148" t="s">
        <v>370</v>
      </c>
      <c r="C70" s="128"/>
      <c r="D70" s="108"/>
      <c r="E70" s="108"/>
      <c r="F70" s="108"/>
      <c r="G70" s="108"/>
      <c r="H70" s="108"/>
      <c r="I70" s="128"/>
      <c r="J70" s="108"/>
      <c r="K70" s="108"/>
      <c r="L70" s="128"/>
      <c r="M70" s="108"/>
      <c r="N70" s="108"/>
      <c r="O70" s="128"/>
      <c r="P70" s="108"/>
      <c r="Q70" s="108"/>
    </row>
    <row r="71" spans="2:17">
      <c r="B71" s="124" t="s">
        <v>353</v>
      </c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</row>
    <row r="72" spans="2:17" ht="15" customHeight="1">
      <c r="B72" s="110" t="s">
        <v>371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</row>
    <row r="73" spans="2:17" ht="15" customHeight="1">
      <c r="B73" s="110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</row>
    <row r="74" spans="2:17" ht="15" customHeight="1">
      <c r="B74" s="110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</row>
    <row r="75" spans="2:17" ht="15" hidden="1" customHeight="1">
      <c r="B75" s="110"/>
      <c r="C75" s="149"/>
      <c r="D75" s="81"/>
      <c r="E75" s="81"/>
      <c r="F75" s="149"/>
      <c r="G75" s="81"/>
      <c r="H75" s="81"/>
      <c r="I75" s="149"/>
      <c r="J75" s="81"/>
      <c r="K75" s="81"/>
      <c r="L75" s="149"/>
      <c r="M75" s="81"/>
      <c r="N75" s="81"/>
      <c r="O75" s="149"/>
      <c r="P75" s="81"/>
      <c r="Q75" s="81"/>
    </row>
    <row r="76" spans="2:17" ht="15" hidden="1" customHeight="1">
      <c r="B76" s="110"/>
      <c r="C76" s="150"/>
      <c r="D76" s="81"/>
      <c r="E76" s="81"/>
      <c r="F76" s="150"/>
      <c r="G76" s="81"/>
      <c r="H76" s="81"/>
      <c r="I76" s="150"/>
      <c r="J76" s="81"/>
      <c r="K76" s="81"/>
      <c r="L76" s="150"/>
      <c r="M76" s="81"/>
      <c r="N76" s="81"/>
      <c r="O76" s="150"/>
      <c r="P76" s="81"/>
      <c r="Q76" s="81"/>
    </row>
    <row r="77" spans="2:17" ht="15" hidden="1" customHeight="1">
      <c r="B77" s="110"/>
      <c r="C77" s="150"/>
      <c r="D77" s="81"/>
      <c r="E77" s="81"/>
      <c r="F77" s="150"/>
      <c r="G77" s="81"/>
      <c r="H77" s="81"/>
      <c r="I77" s="150"/>
      <c r="J77" s="81"/>
      <c r="K77" s="81"/>
      <c r="L77" s="150"/>
      <c r="M77" s="81"/>
      <c r="N77" s="81"/>
      <c r="O77" s="150"/>
      <c r="P77" s="81"/>
      <c r="Q77" s="81"/>
    </row>
    <row r="78" spans="2:17" ht="15.75" hidden="1" customHeight="1">
      <c r="B78" s="112"/>
      <c r="C78" s="150"/>
      <c r="D78" s="81"/>
      <c r="E78" s="81"/>
      <c r="F78" s="150"/>
      <c r="G78" s="81"/>
      <c r="H78" s="81"/>
      <c r="I78" s="150"/>
      <c r="J78" s="81"/>
      <c r="K78" s="81"/>
      <c r="L78" s="150"/>
      <c r="M78" s="81"/>
      <c r="N78" s="81"/>
      <c r="O78" s="150"/>
      <c r="P78" s="81"/>
      <c r="Q78" s="81"/>
    </row>
    <row r="79" spans="2:17">
      <c r="B79" s="126" t="s">
        <v>353</v>
      </c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</row>
    <row r="80" spans="2:17" ht="21" hidden="1" customHeight="1">
      <c r="B80" s="152" t="s">
        <v>372</v>
      </c>
      <c r="C80" s="153"/>
      <c r="D80" s="81"/>
      <c r="E80" s="81"/>
      <c r="F80" s="153"/>
      <c r="G80" s="81"/>
      <c r="H80" s="81"/>
      <c r="I80" s="153"/>
      <c r="J80" s="81"/>
      <c r="K80" s="81"/>
      <c r="L80" s="153"/>
      <c r="M80" s="81"/>
      <c r="N80" s="81"/>
      <c r="O80" s="153"/>
      <c r="P80" s="81"/>
      <c r="Q80" s="81"/>
    </row>
    <row r="81" spans="2:17" s="95" customFormat="1" ht="19.5" hidden="1" customHeight="1">
      <c r="B81" s="154" t="s">
        <v>347</v>
      </c>
      <c r="C81" s="155"/>
      <c r="D81" s="156"/>
      <c r="E81" s="156"/>
      <c r="F81" s="155"/>
      <c r="G81" s="156"/>
      <c r="H81" s="156"/>
      <c r="I81" s="155"/>
      <c r="J81" s="156"/>
      <c r="K81" s="156"/>
      <c r="L81" s="155"/>
      <c r="M81" s="156"/>
      <c r="N81" s="156"/>
      <c r="O81" s="155"/>
      <c r="P81" s="156"/>
      <c r="Q81" s="156"/>
    </row>
    <row r="82" spans="2:17" s="95" customFormat="1" ht="15.75" hidden="1" customHeight="1">
      <c r="B82" s="157" t="s">
        <v>351</v>
      </c>
      <c r="C82" s="155"/>
      <c r="D82" s="156"/>
      <c r="E82" s="156"/>
      <c r="F82" s="155"/>
      <c r="G82" s="156"/>
      <c r="H82" s="156"/>
      <c r="I82" s="155"/>
      <c r="J82" s="156"/>
      <c r="K82" s="156"/>
      <c r="L82" s="155"/>
      <c r="M82" s="156"/>
      <c r="N82" s="156"/>
      <c r="O82" s="155"/>
      <c r="P82" s="156"/>
      <c r="Q82" s="156"/>
    </row>
    <row r="83" spans="2:17" s="96" customFormat="1" ht="19.5" hidden="1" customHeight="1">
      <c r="B83" s="158" t="s">
        <v>352</v>
      </c>
      <c r="C83" s="158"/>
      <c r="D83" s="159"/>
      <c r="E83" s="159"/>
      <c r="F83" s="158"/>
      <c r="G83" s="159"/>
      <c r="H83" s="159"/>
      <c r="I83" s="158"/>
      <c r="J83" s="159"/>
      <c r="K83" s="159"/>
      <c r="L83" s="158"/>
      <c r="M83" s="159"/>
      <c r="N83" s="159"/>
      <c r="O83" s="158"/>
      <c r="P83" s="159"/>
      <c r="Q83" s="159"/>
    </row>
    <row r="84" spans="2:17" s="96" customFormat="1" ht="19.5" hidden="1" customHeight="1">
      <c r="B84" s="158" t="s">
        <v>354</v>
      </c>
      <c r="C84" s="158"/>
      <c r="D84" s="159"/>
      <c r="E84" s="159"/>
      <c r="F84" s="158"/>
      <c r="G84" s="159"/>
      <c r="H84" s="159"/>
      <c r="I84" s="158"/>
      <c r="J84" s="159"/>
      <c r="K84" s="159"/>
      <c r="L84" s="158"/>
      <c r="M84" s="159"/>
      <c r="N84" s="159"/>
      <c r="O84" s="158"/>
      <c r="P84" s="159"/>
      <c r="Q84" s="159"/>
    </row>
    <row r="85" spans="2:17" s="96" customFormat="1" ht="19.5" hidden="1" customHeight="1">
      <c r="B85" s="158" t="s">
        <v>360</v>
      </c>
      <c r="C85" s="158"/>
      <c r="D85" s="159"/>
      <c r="E85" s="159"/>
      <c r="F85" s="158"/>
      <c r="G85" s="159"/>
      <c r="H85" s="159"/>
      <c r="I85" s="158"/>
      <c r="J85" s="159"/>
      <c r="K85" s="159"/>
      <c r="L85" s="158"/>
      <c r="M85" s="159"/>
      <c r="N85" s="159"/>
      <c r="O85" s="158"/>
      <c r="P85" s="159"/>
      <c r="Q85" s="159"/>
    </row>
    <row r="86" spans="2:17" s="96" customFormat="1" ht="15" hidden="1" customHeight="1">
      <c r="B86" s="160" t="s">
        <v>373</v>
      </c>
      <c r="C86" s="158"/>
      <c r="D86" s="159"/>
      <c r="E86" s="159"/>
      <c r="F86" s="158"/>
      <c r="G86" s="159"/>
      <c r="H86" s="159"/>
      <c r="I86" s="158"/>
      <c r="J86" s="159"/>
      <c r="K86" s="159"/>
      <c r="L86" s="158"/>
      <c r="M86" s="159"/>
      <c r="N86" s="159"/>
      <c r="O86" s="158"/>
      <c r="P86" s="159"/>
      <c r="Q86" s="159"/>
    </row>
    <row r="87" spans="2:17" s="96" customFormat="1" ht="19.5" hidden="1" customHeight="1">
      <c r="B87" s="158" t="s">
        <v>374</v>
      </c>
      <c r="C87" s="158"/>
      <c r="D87" s="159"/>
      <c r="E87" s="159"/>
      <c r="F87" s="158"/>
      <c r="G87" s="159"/>
      <c r="H87" s="159"/>
      <c r="I87" s="158"/>
      <c r="J87" s="159"/>
      <c r="K87" s="159"/>
      <c r="L87" s="158"/>
      <c r="M87" s="159"/>
      <c r="N87" s="159"/>
      <c r="O87" s="158"/>
      <c r="P87" s="159"/>
      <c r="Q87" s="159"/>
    </row>
    <row r="88" spans="2:17" s="96" customFormat="1" ht="19.5" hidden="1" customHeight="1">
      <c r="B88" s="160" t="s">
        <v>375</v>
      </c>
      <c r="C88" s="158"/>
      <c r="D88" s="159"/>
      <c r="E88" s="159"/>
      <c r="F88" s="158"/>
      <c r="G88" s="159"/>
      <c r="H88" s="159"/>
      <c r="I88" s="158"/>
      <c r="J88" s="159"/>
      <c r="K88" s="159"/>
      <c r="L88" s="158"/>
      <c r="M88" s="159"/>
      <c r="N88" s="159"/>
      <c r="O88" s="158"/>
      <c r="P88" s="159"/>
      <c r="Q88" s="159"/>
    </row>
    <row r="89" spans="2:17" s="96" customFormat="1" ht="19.5" hidden="1" customHeight="1">
      <c r="B89" s="158" t="s">
        <v>376</v>
      </c>
      <c r="C89" s="158"/>
      <c r="D89" s="159"/>
      <c r="E89" s="159"/>
      <c r="F89" s="158"/>
      <c r="G89" s="159"/>
      <c r="H89" s="159"/>
      <c r="I89" s="158"/>
      <c r="J89" s="159"/>
      <c r="K89" s="159"/>
      <c r="L89" s="158"/>
      <c r="M89" s="159"/>
      <c r="N89" s="159"/>
      <c r="O89" s="158"/>
      <c r="P89" s="159"/>
      <c r="Q89" s="159"/>
    </row>
    <row r="90" spans="2:17" s="96" customFormat="1" ht="19.5" hidden="1" customHeight="1">
      <c r="B90" s="158" t="s">
        <v>377</v>
      </c>
      <c r="C90" s="158"/>
      <c r="D90" s="159"/>
      <c r="E90" s="159"/>
      <c r="F90" s="158"/>
      <c r="G90" s="159"/>
      <c r="H90" s="159"/>
      <c r="I90" s="158"/>
      <c r="J90" s="159"/>
      <c r="K90" s="159"/>
      <c r="L90" s="158"/>
      <c r="M90" s="159"/>
      <c r="N90" s="159"/>
      <c r="O90" s="158"/>
      <c r="P90" s="159"/>
      <c r="Q90" s="159"/>
    </row>
    <row r="91" spans="2:17" s="96" customFormat="1" ht="19.5" hidden="1" customHeight="1">
      <c r="B91" s="158" t="s">
        <v>367</v>
      </c>
      <c r="C91" s="158"/>
      <c r="D91" s="159"/>
      <c r="E91" s="159"/>
      <c r="F91" s="158"/>
      <c r="G91" s="159"/>
      <c r="H91" s="159"/>
      <c r="I91" s="158"/>
      <c r="J91" s="159"/>
      <c r="K91" s="159"/>
      <c r="L91" s="158"/>
      <c r="M91" s="159"/>
      <c r="N91" s="159"/>
      <c r="O91" s="158"/>
      <c r="P91" s="159"/>
      <c r="Q91" s="159"/>
    </row>
    <row r="92" spans="2:17" s="96" customFormat="1" ht="19.5" hidden="1" customHeight="1">
      <c r="B92" s="160" t="s">
        <v>378</v>
      </c>
      <c r="C92" s="158"/>
      <c r="D92" s="159"/>
      <c r="E92" s="159"/>
      <c r="F92" s="158"/>
      <c r="G92" s="159"/>
      <c r="H92" s="159"/>
      <c r="I92" s="158"/>
      <c r="J92" s="159"/>
      <c r="K92" s="159"/>
      <c r="L92" s="158"/>
      <c r="M92" s="159"/>
      <c r="N92" s="159"/>
      <c r="O92" s="158"/>
      <c r="P92" s="159"/>
      <c r="Q92" s="159"/>
    </row>
    <row r="93" spans="2:17" s="96" customFormat="1" ht="15" hidden="1" customHeight="1">
      <c r="B93" s="158" t="s">
        <v>364</v>
      </c>
      <c r="C93" s="158"/>
      <c r="D93" s="159"/>
      <c r="E93" s="159"/>
      <c r="F93" s="158"/>
      <c r="G93" s="159"/>
      <c r="H93" s="159"/>
      <c r="I93" s="158"/>
      <c r="J93" s="159"/>
      <c r="K93" s="159"/>
      <c r="L93" s="158"/>
      <c r="M93" s="159"/>
      <c r="N93" s="159"/>
      <c r="O93" s="158"/>
      <c r="P93" s="159"/>
      <c r="Q93" s="159"/>
    </row>
    <row r="94" spans="2:17" s="96" customFormat="1" ht="15" hidden="1" customHeight="1">
      <c r="B94" s="161" t="s">
        <v>379</v>
      </c>
      <c r="C94" s="161"/>
      <c r="D94" s="159"/>
      <c r="E94" s="159"/>
      <c r="F94" s="161"/>
      <c r="G94" s="159"/>
      <c r="H94" s="159"/>
      <c r="I94" s="161"/>
      <c r="J94" s="159"/>
      <c r="K94" s="159"/>
      <c r="L94" s="161"/>
      <c r="M94" s="159"/>
      <c r="N94" s="159"/>
      <c r="O94" s="161"/>
      <c r="P94" s="159"/>
      <c r="Q94" s="159"/>
    </row>
    <row r="95" spans="2:17" ht="15" hidden="1" customHeight="1"/>
    <row r="96" spans="2:17" s="8" customFormat="1">
      <c r="B96" s="162"/>
      <c r="C96" s="162"/>
      <c r="D96" s="163">
        <f>+SUM(D8:D79)</f>
        <v>16</v>
      </c>
      <c r="E96" s="163">
        <f>+SUM(E8:E79)</f>
        <v>9902</v>
      </c>
      <c r="F96" s="162"/>
      <c r="G96" s="163">
        <f>+SUM(G8:G79)</f>
        <v>0</v>
      </c>
      <c r="H96" s="163">
        <f>+SUM(H8:H79)</f>
        <v>0</v>
      </c>
      <c r="I96" s="162"/>
      <c r="J96" s="163">
        <f>+SUM(J8:J79)</f>
        <v>0</v>
      </c>
      <c r="K96" s="163">
        <f>+SUM(K8:K79)</f>
        <v>0</v>
      </c>
      <c r="L96" s="162"/>
      <c r="M96" s="163">
        <f>+SUM(M8:M79)</f>
        <v>0</v>
      </c>
      <c r="N96" s="163">
        <f>+SUM(N8:N79)</f>
        <v>0</v>
      </c>
      <c r="O96" s="162"/>
      <c r="P96" s="163">
        <f>+SUM(P8:P79)</f>
        <v>0</v>
      </c>
      <c r="Q96" s="163">
        <f>+SUM(Q8:Q79)</f>
        <v>0</v>
      </c>
    </row>
    <row r="97" spans="3:17" ht="18.75">
      <c r="C97" s="164" t="s">
        <v>380</v>
      </c>
      <c r="D97" s="165"/>
      <c r="E97" s="165"/>
      <c r="F97" s="164" t="s">
        <v>380</v>
      </c>
      <c r="G97" s="165"/>
      <c r="H97" s="165">
        <v>1155</v>
      </c>
      <c r="I97" s="164" t="s">
        <v>380</v>
      </c>
      <c r="J97" s="165"/>
      <c r="K97" s="165"/>
      <c r="L97" s="164" t="s">
        <v>380</v>
      </c>
      <c r="M97" s="165"/>
      <c r="N97" s="165"/>
      <c r="O97" s="164" t="s">
        <v>380</v>
      </c>
      <c r="P97" s="165"/>
      <c r="Q97" s="165"/>
    </row>
    <row r="98" spans="3:17" ht="21">
      <c r="C98" s="166" t="s">
        <v>381</v>
      </c>
      <c r="E98" s="167"/>
      <c r="F98" s="166" t="s">
        <v>382</v>
      </c>
      <c r="H98" s="167"/>
      <c r="I98" s="166" t="s">
        <v>381</v>
      </c>
      <c r="K98" s="167"/>
      <c r="L98" s="166" t="s">
        <v>381</v>
      </c>
      <c r="N98" s="167"/>
      <c r="O98" s="166" t="s">
        <v>381</v>
      </c>
      <c r="Q98" s="167"/>
    </row>
    <row r="99" spans="3:17" ht="21">
      <c r="C99" s="166" t="s">
        <v>383</v>
      </c>
      <c r="D99" s="167">
        <f>+SUM(D96:D98)</f>
        <v>16</v>
      </c>
      <c r="E99" s="167">
        <f>+SUM(E96:E98)</f>
        <v>9902</v>
      </c>
      <c r="F99" s="166" t="s">
        <v>383</v>
      </c>
      <c r="G99" s="167">
        <f>+SUM(G96:G98)</f>
        <v>0</v>
      </c>
      <c r="H99" s="167">
        <f>+SUM(H96:H98)</f>
        <v>1155</v>
      </c>
      <c r="I99" s="166" t="s">
        <v>383</v>
      </c>
      <c r="J99" s="167">
        <f>+SUM(J96:J98)</f>
        <v>0</v>
      </c>
      <c r="K99" s="167">
        <f>+SUM(K96:K98)</f>
        <v>0</v>
      </c>
      <c r="L99" s="166" t="s">
        <v>383</v>
      </c>
      <c r="M99" s="167">
        <f>+SUM(M96:M98)</f>
        <v>0</v>
      </c>
      <c r="N99" s="167">
        <f>+SUM(N96:N98)</f>
        <v>0</v>
      </c>
      <c r="O99" s="166" t="s">
        <v>383</v>
      </c>
      <c r="P99" s="167">
        <f>+SUM(P96:P98)</f>
        <v>0</v>
      </c>
      <c r="Q99" s="167">
        <f>+SUM(Q96:Q98)</f>
        <v>0</v>
      </c>
    </row>
  </sheetData>
  <mergeCells count="18">
    <mergeCell ref="B3:C3"/>
    <mergeCell ref="C5:E5"/>
    <mergeCell ref="F5:H5"/>
    <mergeCell ref="I5:K5"/>
    <mergeCell ref="L5:N5"/>
    <mergeCell ref="O5:Q5"/>
    <mergeCell ref="D7:E7"/>
    <mergeCell ref="F7:G7"/>
    <mergeCell ref="H7:I7"/>
    <mergeCell ref="J7:K7"/>
    <mergeCell ref="L7:M7"/>
    <mergeCell ref="N7:O7"/>
    <mergeCell ref="P7:Q7"/>
    <mergeCell ref="B51:B52"/>
    <mergeCell ref="J68:J69"/>
    <mergeCell ref="K68:K69"/>
    <mergeCell ref="M68:M69"/>
    <mergeCell ref="N68:N69"/>
  </mergeCells>
  <pageMargins left="0.69861111111111096" right="0.69861111111111096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M177"/>
  <sheetViews>
    <sheetView workbookViewId="0">
      <pane xSplit="3" ySplit="8" topLeftCell="K98" activePane="bottomRight" state="frozen"/>
      <selection pane="topRight"/>
      <selection pane="bottomLeft"/>
      <selection pane="bottomRight" activeCell="L118" sqref="L118"/>
    </sheetView>
  </sheetViews>
  <sheetFormatPr defaultColWidth="9" defaultRowHeight="15"/>
  <cols>
    <col min="1" max="1" width="22.42578125" customWidth="1"/>
    <col min="2" max="2" width="14.140625" customWidth="1"/>
    <col min="3" max="3" width="23.5703125" customWidth="1"/>
    <col min="4" max="10" width="11.5703125" customWidth="1"/>
    <col min="11" max="11" width="17.5703125" customWidth="1"/>
    <col min="12" max="12" width="15.42578125" customWidth="1"/>
    <col min="13" max="13" width="11.42578125" customWidth="1"/>
  </cols>
  <sheetData>
    <row r="2" spans="1:12">
      <c r="B2" s="8" t="s">
        <v>384</v>
      </c>
    </row>
    <row r="3" spans="1:12">
      <c r="B3" s="8" t="s">
        <v>385</v>
      </c>
    </row>
    <row r="4" spans="1:12">
      <c r="B4" t="s">
        <v>386</v>
      </c>
    </row>
    <row r="5" spans="1:12">
      <c r="B5" t="s">
        <v>387</v>
      </c>
    </row>
    <row r="6" spans="1:12" ht="6" customHeight="1"/>
    <row r="7" spans="1:12" ht="13.5" customHeight="1">
      <c r="A7" s="388" t="s">
        <v>388</v>
      </c>
      <c r="B7" s="75"/>
      <c r="C7" s="75"/>
      <c r="D7" s="76" t="s">
        <v>389</v>
      </c>
      <c r="E7" s="76" t="s">
        <v>390</v>
      </c>
      <c r="F7" s="76" t="s">
        <v>391</v>
      </c>
      <c r="G7" s="76" t="s">
        <v>392</v>
      </c>
      <c r="H7" s="76" t="s">
        <v>393</v>
      </c>
      <c r="I7" s="76" t="s">
        <v>394</v>
      </c>
      <c r="J7" s="76" t="s">
        <v>395</v>
      </c>
      <c r="K7" s="390" t="s">
        <v>396</v>
      </c>
      <c r="L7" s="388" t="s">
        <v>397</v>
      </c>
    </row>
    <row r="8" spans="1:12" ht="14.25" customHeight="1">
      <c r="A8" s="389"/>
      <c r="B8" s="77"/>
      <c r="C8" s="77"/>
      <c r="D8" s="78">
        <v>44599</v>
      </c>
      <c r="E8" s="78">
        <f t="shared" ref="E8:J8" si="0">+D8+1</f>
        <v>44600</v>
      </c>
      <c r="F8" s="78">
        <f t="shared" si="0"/>
        <v>44601</v>
      </c>
      <c r="G8" s="78">
        <f t="shared" si="0"/>
        <v>44602</v>
      </c>
      <c r="H8" s="78">
        <f t="shared" si="0"/>
        <v>44603</v>
      </c>
      <c r="I8" s="78">
        <f t="shared" si="0"/>
        <v>44604</v>
      </c>
      <c r="J8" s="78">
        <f t="shared" si="0"/>
        <v>44605</v>
      </c>
      <c r="K8" s="391"/>
      <c r="L8" s="389"/>
    </row>
    <row r="9" spans="1:12" ht="18.75">
      <c r="A9" s="79" t="s">
        <v>39</v>
      </c>
      <c r="B9" s="80"/>
      <c r="C9" s="80"/>
      <c r="D9" s="81"/>
      <c r="E9" s="81"/>
      <c r="F9" s="81"/>
      <c r="G9" s="81"/>
      <c r="H9" s="81"/>
      <c r="I9" s="81"/>
      <c r="J9" s="81"/>
      <c r="K9" s="81">
        <f>SUM(D9:J9)</f>
        <v>0</v>
      </c>
      <c r="L9" s="89"/>
    </row>
    <row r="10" spans="1:12" ht="15.75">
      <c r="A10" s="82" t="s">
        <v>40</v>
      </c>
      <c r="B10" s="83">
        <v>1012150756003</v>
      </c>
      <c r="C10" s="84" t="s">
        <v>41</v>
      </c>
      <c r="D10" s="81"/>
      <c r="E10" s="81"/>
      <c r="F10" s="81"/>
      <c r="G10" s="81"/>
      <c r="H10" s="81"/>
      <c r="I10" s="81"/>
      <c r="J10" s="81"/>
      <c r="K10" s="81">
        <f t="shared" ref="K10:K84" si="1">SUM(D10:J10)</f>
        <v>0</v>
      </c>
      <c r="L10" s="89"/>
    </row>
    <row r="11" spans="1:12" ht="15.75">
      <c r="A11" s="85" t="s">
        <v>42</v>
      </c>
      <c r="B11" s="86">
        <v>1012150756006</v>
      </c>
      <c r="C11" s="87" t="s">
        <v>43</v>
      </c>
      <c r="D11" s="81"/>
      <c r="E11" s="81"/>
      <c r="F11" s="81"/>
      <c r="G11" s="81"/>
      <c r="H11" s="81"/>
      <c r="I11" s="81"/>
      <c r="J11" s="81"/>
      <c r="K11" s="81">
        <f t="shared" si="1"/>
        <v>0</v>
      </c>
      <c r="L11" s="89"/>
    </row>
    <row r="12" spans="1:12" ht="15.75">
      <c r="A12" s="82" t="s">
        <v>45</v>
      </c>
      <c r="B12" s="83">
        <v>1012150756008</v>
      </c>
      <c r="C12" s="84" t="s">
        <v>46</v>
      </c>
      <c r="D12" s="81"/>
      <c r="E12" s="81"/>
      <c r="F12" s="81"/>
      <c r="G12" s="81"/>
      <c r="H12" s="81"/>
      <c r="I12" s="81"/>
      <c r="J12" s="81"/>
      <c r="K12" s="81">
        <f t="shared" si="1"/>
        <v>0</v>
      </c>
      <c r="L12" s="89"/>
    </row>
    <row r="13" spans="1:12" ht="15.75">
      <c r="A13" s="85" t="s">
        <v>48</v>
      </c>
      <c r="B13" s="86">
        <v>1012150756011</v>
      </c>
      <c r="C13" s="87" t="s">
        <v>49</v>
      </c>
      <c r="D13" s="81"/>
      <c r="E13" s="81"/>
      <c r="F13" s="81"/>
      <c r="G13" s="81"/>
      <c r="H13" s="81"/>
      <c r="I13" s="81"/>
      <c r="J13" s="81"/>
      <c r="K13" s="81">
        <f t="shared" si="1"/>
        <v>0</v>
      </c>
      <c r="L13" s="89"/>
    </row>
    <row r="14" spans="1:12" ht="15.75">
      <c r="A14" s="82" t="s">
        <v>51</v>
      </c>
      <c r="B14" s="83">
        <v>1012150756013</v>
      </c>
      <c r="C14" s="84" t="s">
        <v>52</v>
      </c>
      <c r="D14" s="81"/>
      <c r="E14" s="81"/>
      <c r="F14" s="81"/>
      <c r="G14" s="81"/>
      <c r="H14" s="81"/>
      <c r="I14" s="81"/>
      <c r="J14" s="81"/>
      <c r="K14" s="81">
        <f t="shared" si="1"/>
        <v>0</v>
      </c>
      <c r="L14" s="89"/>
    </row>
    <row r="15" spans="1:12" ht="15.75">
      <c r="A15" s="85" t="s">
        <v>53</v>
      </c>
      <c r="B15" s="86">
        <v>1012150756326</v>
      </c>
      <c r="C15" s="87" t="s">
        <v>54</v>
      </c>
      <c r="D15" s="81"/>
      <c r="E15" s="81"/>
      <c r="F15" s="81"/>
      <c r="G15" s="81"/>
      <c r="H15" s="81"/>
      <c r="I15" s="81"/>
      <c r="J15" s="81"/>
      <c r="K15" s="81">
        <f t="shared" si="1"/>
        <v>0</v>
      </c>
      <c r="L15" s="89"/>
    </row>
    <row r="16" spans="1:12" ht="15.75">
      <c r="A16" s="82" t="s">
        <v>55</v>
      </c>
      <c r="B16" s="83">
        <v>1012150705400</v>
      </c>
      <c r="C16" s="84" t="s">
        <v>56</v>
      </c>
      <c r="D16" s="81"/>
      <c r="E16" s="81"/>
      <c r="F16" s="81"/>
      <c r="G16" s="81"/>
      <c r="H16" s="81"/>
      <c r="I16" s="81"/>
      <c r="J16" s="81"/>
      <c r="K16" s="81">
        <f t="shared" si="1"/>
        <v>0</v>
      </c>
      <c r="L16" s="89"/>
    </row>
    <row r="17" spans="1:12" ht="15.75">
      <c r="A17" s="85" t="s">
        <v>57</v>
      </c>
      <c r="B17" s="86">
        <v>1012150737093</v>
      </c>
      <c r="C17" s="87" t="s">
        <v>58</v>
      </c>
      <c r="D17" s="81"/>
      <c r="E17" s="81"/>
      <c r="F17" s="81"/>
      <c r="G17" s="81"/>
      <c r="H17" s="81"/>
      <c r="I17" s="81"/>
      <c r="J17" s="81"/>
      <c r="K17" s="81">
        <f t="shared" si="1"/>
        <v>0</v>
      </c>
      <c r="L17" s="89"/>
    </row>
    <row r="18" spans="1:12" ht="15.75">
      <c r="A18" s="82" t="s">
        <v>398</v>
      </c>
      <c r="B18" s="83">
        <v>1012150737094</v>
      </c>
      <c r="C18" s="84" t="s">
        <v>399</v>
      </c>
      <c r="D18" s="81"/>
      <c r="E18" s="81"/>
      <c r="F18" s="81"/>
      <c r="G18" s="81"/>
      <c r="H18" s="81"/>
      <c r="I18" s="81"/>
      <c r="J18" s="81"/>
      <c r="K18" s="81">
        <f t="shared" si="1"/>
        <v>0</v>
      </c>
      <c r="L18" s="89"/>
    </row>
    <row r="19" spans="1:12" ht="15.75">
      <c r="A19" s="85" t="s">
        <v>61</v>
      </c>
      <c r="B19" s="86">
        <v>1012150764007</v>
      </c>
      <c r="C19" s="87" t="s">
        <v>62</v>
      </c>
      <c r="D19" s="81"/>
      <c r="E19" s="81"/>
      <c r="F19" s="81"/>
      <c r="G19" s="81"/>
      <c r="H19" s="81"/>
      <c r="I19" s="81"/>
      <c r="J19" s="81"/>
      <c r="K19" s="81">
        <f t="shared" si="1"/>
        <v>0</v>
      </c>
      <c r="L19" s="89"/>
    </row>
    <row r="20" spans="1:12" ht="15.75">
      <c r="A20" s="82" t="s">
        <v>63</v>
      </c>
      <c r="B20" s="83">
        <v>1012150764008</v>
      </c>
      <c r="C20" s="84" t="s">
        <v>64</v>
      </c>
      <c r="D20" s="81"/>
      <c r="E20" s="81"/>
      <c r="F20" s="81"/>
      <c r="G20" s="81"/>
      <c r="H20" s="81"/>
      <c r="I20" s="81"/>
      <c r="J20" s="81"/>
      <c r="K20" s="81">
        <f t="shared" si="1"/>
        <v>0</v>
      </c>
      <c r="L20" s="89"/>
    </row>
    <row r="21" spans="1:12" ht="15.75">
      <c r="A21" s="85" t="s">
        <v>65</v>
      </c>
      <c r="B21" s="86">
        <v>1012150764009</v>
      </c>
      <c r="C21" s="87" t="s">
        <v>66</v>
      </c>
      <c r="D21" s="81"/>
      <c r="E21" s="81"/>
      <c r="F21" s="81"/>
      <c r="G21" s="81"/>
      <c r="H21" s="81"/>
      <c r="I21" s="81"/>
      <c r="J21" s="81"/>
      <c r="K21" s="81">
        <f t="shared" si="1"/>
        <v>0</v>
      </c>
      <c r="L21" s="89"/>
    </row>
    <row r="22" spans="1:12" ht="15.75">
      <c r="A22" s="82" t="s">
        <v>67</v>
      </c>
      <c r="B22" s="83">
        <v>1012150764010</v>
      </c>
      <c r="C22" s="84" t="s">
        <v>68</v>
      </c>
      <c r="D22" s="81"/>
      <c r="E22" s="81"/>
      <c r="F22" s="81"/>
      <c r="G22" s="81"/>
      <c r="H22" s="81"/>
      <c r="I22" s="81"/>
      <c r="J22" s="81"/>
      <c r="K22" s="81">
        <f t="shared" si="1"/>
        <v>0</v>
      </c>
      <c r="L22" s="89"/>
    </row>
    <row r="23" spans="1:12" ht="15.75">
      <c r="A23" s="85" t="s">
        <v>69</v>
      </c>
      <c r="B23" s="86">
        <v>1012150764011</v>
      </c>
      <c r="C23" s="87" t="s">
        <v>70</v>
      </c>
      <c r="D23" s="81"/>
      <c r="E23" s="81"/>
      <c r="F23" s="81"/>
      <c r="G23" s="81"/>
      <c r="H23" s="81"/>
      <c r="I23" s="81"/>
      <c r="J23" s="81"/>
      <c r="K23" s="81">
        <f t="shared" si="1"/>
        <v>0</v>
      </c>
      <c r="L23" s="89"/>
    </row>
    <row r="24" spans="1:12" ht="15.75">
      <c r="A24" s="82" t="s">
        <v>71</v>
      </c>
      <c r="B24" s="83">
        <v>1012150756017</v>
      </c>
      <c r="C24" s="84" t="s">
        <v>72</v>
      </c>
      <c r="D24" s="81"/>
      <c r="E24" s="81"/>
      <c r="F24" s="81"/>
      <c r="G24" s="81"/>
      <c r="H24" s="81"/>
      <c r="I24" s="81"/>
      <c r="J24" s="81"/>
      <c r="K24" s="81">
        <f t="shared" si="1"/>
        <v>0</v>
      </c>
      <c r="L24" s="89"/>
    </row>
    <row r="25" spans="1:12" ht="15.75">
      <c r="A25" s="85" t="s">
        <v>73</v>
      </c>
      <c r="B25" s="86">
        <v>1012150756021</v>
      </c>
      <c r="C25" s="87" t="s">
        <v>74</v>
      </c>
      <c r="D25" s="81"/>
      <c r="E25" s="81"/>
      <c r="F25" s="81"/>
      <c r="G25" s="81"/>
      <c r="H25" s="81"/>
      <c r="I25" s="81"/>
      <c r="J25" s="81"/>
      <c r="K25" s="81">
        <f t="shared" si="1"/>
        <v>0</v>
      </c>
      <c r="L25" s="89">
        <v>630</v>
      </c>
    </row>
    <row r="26" spans="1:12" ht="15.75">
      <c r="A26" s="82" t="s">
        <v>75</v>
      </c>
      <c r="B26" s="83">
        <v>1012150756022</v>
      </c>
      <c r="C26" s="84" t="s">
        <v>76</v>
      </c>
      <c r="D26" s="81"/>
      <c r="E26" s="81"/>
      <c r="F26" s="81"/>
      <c r="G26" s="81"/>
      <c r="H26" s="81"/>
      <c r="I26" s="81"/>
      <c r="J26" s="81"/>
      <c r="K26" s="81">
        <f t="shared" si="1"/>
        <v>0</v>
      </c>
      <c r="L26" s="89">
        <v>1670</v>
      </c>
    </row>
    <row r="27" spans="1:12" ht="15.75">
      <c r="A27" s="85" t="s">
        <v>77</v>
      </c>
      <c r="B27" s="86">
        <v>1012150756024</v>
      </c>
      <c r="C27" s="87" t="s">
        <v>78</v>
      </c>
      <c r="D27" s="81"/>
      <c r="E27" s="81"/>
      <c r="F27" s="81">
        <v>11</v>
      </c>
      <c r="G27" s="81"/>
      <c r="H27" s="81">
        <v>142</v>
      </c>
      <c r="I27" s="81">
        <v>100</v>
      </c>
      <c r="J27" s="81"/>
      <c r="K27" s="81">
        <f t="shared" si="1"/>
        <v>253</v>
      </c>
      <c r="L27" s="89">
        <v>489</v>
      </c>
    </row>
    <row r="28" spans="1:12" ht="15.75">
      <c r="A28" s="82" t="s">
        <v>79</v>
      </c>
      <c r="B28" s="83">
        <v>1012150756026</v>
      </c>
      <c r="C28" s="84" t="s">
        <v>80</v>
      </c>
      <c r="D28" s="81"/>
      <c r="E28" s="81"/>
      <c r="F28" s="81"/>
      <c r="G28" s="81"/>
      <c r="H28" s="81"/>
      <c r="I28" s="81"/>
      <c r="J28" s="81"/>
      <c r="K28" s="81">
        <f t="shared" si="1"/>
        <v>0</v>
      </c>
      <c r="L28" s="89"/>
    </row>
    <row r="29" spans="1:12" ht="15.75">
      <c r="A29" s="85" t="s">
        <v>81</v>
      </c>
      <c r="B29" s="86">
        <v>1012150756027</v>
      </c>
      <c r="C29" s="87" t="s">
        <v>82</v>
      </c>
      <c r="D29" s="81"/>
      <c r="E29" s="81"/>
      <c r="F29" s="81"/>
      <c r="G29" s="81"/>
      <c r="H29" s="81"/>
      <c r="I29" s="81"/>
      <c r="J29" s="81"/>
      <c r="K29" s="81">
        <f t="shared" si="1"/>
        <v>0</v>
      </c>
      <c r="L29" s="89"/>
    </row>
    <row r="30" spans="1:12" ht="15.75">
      <c r="A30" s="82" t="s">
        <v>83</v>
      </c>
      <c r="B30" s="83">
        <v>1012150728181</v>
      </c>
      <c r="C30" s="84" t="s">
        <v>84</v>
      </c>
      <c r="D30" s="81"/>
      <c r="E30" s="81"/>
      <c r="F30" s="81"/>
      <c r="G30" s="81"/>
      <c r="H30" s="81"/>
      <c r="I30" s="81"/>
      <c r="J30" s="81"/>
      <c r="K30" s="81">
        <f t="shared" si="1"/>
        <v>0</v>
      </c>
      <c r="L30" s="89"/>
    </row>
    <row r="31" spans="1:12" ht="15.75">
      <c r="A31" s="85" t="s">
        <v>85</v>
      </c>
      <c r="B31" s="86">
        <v>1012150728960</v>
      </c>
      <c r="C31" s="87" t="s">
        <v>86</v>
      </c>
      <c r="D31" s="81">
        <v>200</v>
      </c>
      <c r="E31" s="81"/>
      <c r="F31" s="81"/>
      <c r="G31" s="81"/>
      <c r="H31" s="81">
        <v>150</v>
      </c>
      <c r="I31" s="81"/>
      <c r="J31" s="81"/>
      <c r="K31" s="81">
        <f t="shared" si="1"/>
        <v>350</v>
      </c>
      <c r="L31" s="89">
        <v>1318</v>
      </c>
    </row>
    <row r="32" spans="1:12" ht="15.75">
      <c r="A32" s="82" t="s">
        <v>87</v>
      </c>
      <c r="B32" s="83">
        <v>1012150728560</v>
      </c>
      <c r="C32" s="84" t="s">
        <v>88</v>
      </c>
      <c r="D32" s="81"/>
      <c r="E32" s="81"/>
      <c r="F32" s="81"/>
      <c r="G32" s="81"/>
      <c r="H32" s="81"/>
      <c r="I32" s="81"/>
      <c r="J32" s="81"/>
      <c r="K32" s="81">
        <f t="shared" si="1"/>
        <v>0</v>
      </c>
      <c r="L32" s="89"/>
    </row>
    <row r="33" spans="1:12" ht="15.75">
      <c r="A33" s="85" t="s">
        <v>400</v>
      </c>
      <c r="B33" s="86">
        <v>1012150756018</v>
      </c>
      <c r="C33" s="87" t="s">
        <v>401</v>
      </c>
      <c r="D33" s="81"/>
      <c r="E33" s="81"/>
      <c r="F33" s="81"/>
      <c r="G33" s="81"/>
      <c r="H33" s="81"/>
      <c r="I33" s="81"/>
      <c r="J33" s="81"/>
      <c r="K33" s="81">
        <f t="shared" si="1"/>
        <v>0</v>
      </c>
      <c r="L33" s="89"/>
    </row>
    <row r="34" spans="1:12" ht="15.75">
      <c r="A34" s="82" t="s">
        <v>92</v>
      </c>
      <c r="B34" s="83">
        <v>1012160456013</v>
      </c>
      <c r="C34" s="84" t="s">
        <v>93</v>
      </c>
      <c r="D34" s="81"/>
      <c r="E34" s="81"/>
      <c r="F34" s="81"/>
      <c r="G34" s="81"/>
      <c r="H34" s="81"/>
      <c r="I34" s="81"/>
      <c r="J34" s="81"/>
      <c r="K34" s="81">
        <f t="shared" si="1"/>
        <v>0</v>
      </c>
      <c r="L34" s="89"/>
    </row>
    <row r="35" spans="1:12" ht="15.75">
      <c r="A35" s="85" t="s">
        <v>94</v>
      </c>
      <c r="B35" s="86">
        <v>1012160456034</v>
      </c>
      <c r="C35" s="87" t="s">
        <v>95</v>
      </c>
      <c r="D35" s="81">
        <v>260</v>
      </c>
      <c r="E35" s="81">
        <v>234</v>
      </c>
      <c r="F35" s="81">
        <v>176</v>
      </c>
      <c r="G35" s="81">
        <v>84</v>
      </c>
      <c r="H35" s="81">
        <v>168</v>
      </c>
      <c r="I35" s="81">
        <v>250</v>
      </c>
      <c r="J35" s="81"/>
      <c r="K35" s="81">
        <f t="shared" si="1"/>
        <v>1172</v>
      </c>
      <c r="L35" s="89"/>
    </row>
    <row r="36" spans="1:12" ht="15.75" hidden="1">
      <c r="A36" s="82"/>
      <c r="B36" s="83"/>
      <c r="C36" s="84"/>
      <c r="D36" s="81"/>
      <c r="E36" s="81"/>
      <c r="F36" s="81"/>
      <c r="G36" s="81"/>
      <c r="H36" s="81"/>
      <c r="I36" s="81"/>
      <c r="J36" s="81"/>
      <c r="K36" s="81">
        <f t="shared" si="1"/>
        <v>0</v>
      </c>
      <c r="L36" s="89"/>
    </row>
    <row r="37" spans="1:12" ht="15.75" hidden="1">
      <c r="A37" s="85"/>
      <c r="B37" s="86"/>
      <c r="C37" s="87"/>
      <c r="D37" s="81"/>
      <c r="E37" s="81"/>
      <c r="F37" s="81"/>
      <c r="G37" s="81"/>
      <c r="H37" s="81"/>
      <c r="I37" s="81"/>
      <c r="J37" s="81"/>
      <c r="K37" s="81">
        <f t="shared" si="1"/>
        <v>0</v>
      </c>
      <c r="L37" s="89"/>
    </row>
    <row r="38" spans="1:12" ht="15.75" hidden="1">
      <c r="A38" s="82"/>
      <c r="B38" s="83"/>
      <c r="C38" s="84"/>
      <c r="D38" s="81"/>
      <c r="E38" s="81"/>
      <c r="F38" s="81"/>
      <c r="G38" s="81"/>
      <c r="H38" s="81"/>
      <c r="I38" s="81"/>
      <c r="J38" s="81"/>
      <c r="K38" s="81">
        <f t="shared" si="1"/>
        <v>0</v>
      </c>
      <c r="L38" s="89"/>
    </row>
    <row r="39" spans="1:12" ht="15.75" hidden="1">
      <c r="A39" s="85"/>
      <c r="B39" s="86"/>
      <c r="C39" s="87"/>
      <c r="D39" s="81"/>
      <c r="E39" s="81"/>
      <c r="F39" s="81"/>
      <c r="G39" s="81"/>
      <c r="H39" s="81"/>
      <c r="I39" s="81"/>
      <c r="J39" s="81"/>
      <c r="K39" s="81">
        <f t="shared" si="1"/>
        <v>0</v>
      </c>
      <c r="L39" s="89"/>
    </row>
    <row r="40" spans="1:12" ht="15.75" hidden="1">
      <c r="A40" s="82"/>
      <c r="B40" s="83"/>
      <c r="C40" s="84"/>
      <c r="D40" s="81"/>
      <c r="E40" s="81"/>
      <c r="F40" s="81"/>
      <c r="G40" s="81"/>
      <c r="H40" s="81"/>
      <c r="I40" s="81"/>
      <c r="J40" s="81"/>
      <c r="K40" s="81">
        <f t="shared" si="1"/>
        <v>0</v>
      </c>
      <c r="L40" s="89"/>
    </row>
    <row r="41" spans="1:12" ht="23.25" customHeight="1">
      <c r="A41" s="79" t="s">
        <v>96</v>
      </c>
      <c r="B41" s="80"/>
      <c r="C41" s="80"/>
      <c r="D41" s="81"/>
      <c r="E41" s="81"/>
      <c r="F41" s="81"/>
      <c r="G41" s="81"/>
      <c r="H41" s="81"/>
      <c r="I41" s="81"/>
      <c r="J41" s="81"/>
      <c r="K41" s="81">
        <f t="shared" si="1"/>
        <v>0</v>
      </c>
      <c r="L41" s="89"/>
    </row>
    <row r="42" spans="1:12" ht="15.75">
      <c r="A42" s="82" t="s">
        <v>97</v>
      </c>
      <c r="B42" s="83">
        <v>1012160456169</v>
      </c>
      <c r="C42" s="84" t="s">
        <v>98</v>
      </c>
      <c r="D42" s="81">
        <v>604</v>
      </c>
      <c r="E42" s="81">
        <v>446</v>
      </c>
      <c r="F42" s="81">
        <v>300</v>
      </c>
      <c r="G42" s="81">
        <v>812</v>
      </c>
      <c r="H42" s="81">
        <v>402</v>
      </c>
      <c r="I42" s="81">
        <v>480</v>
      </c>
      <c r="J42" s="81"/>
      <c r="K42" s="81">
        <f t="shared" si="1"/>
        <v>3044</v>
      </c>
      <c r="L42" s="89">
        <v>2247</v>
      </c>
    </row>
    <row r="43" spans="1:12" ht="15.75">
      <c r="A43" s="85" t="s">
        <v>100</v>
      </c>
      <c r="B43" s="86">
        <v>1012160456182</v>
      </c>
      <c r="C43" s="87" t="s">
        <v>101</v>
      </c>
      <c r="D43" s="81">
        <v>1268</v>
      </c>
      <c r="E43" s="81">
        <v>1299</v>
      </c>
      <c r="F43" s="81">
        <v>952</v>
      </c>
      <c r="G43" s="81">
        <v>1810</v>
      </c>
      <c r="H43" s="81">
        <v>946</v>
      </c>
      <c r="I43" s="81">
        <v>1770</v>
      </c>
      <c r="J43" s="81"/>
      <c r="K43" s="81">
        <f t="shared" si="1"/>
        <v>8045</v>
      </c>
      <c r="L43" s="89">
        <v>4811</v>
      </c>
    </row>
    <row r="44" spans="1:12" ht="15.75">
      <c r="A44" s="82" t="s">
        <v>103</v>
      </c>
      <c r="B44" s="83">
        <v>1012160456171</v>
      </c>
      <c r="C44" s="84" t="s">
        <v>104</v>
      </c>
      <c r="D44" s="81">
        <v>800</v>
      </c>
      <c r="E44" s="81">
        <v>650</v>
      </c>
      <c r="F44" s="81">
        <v>227</v>
      </c>
      <c r="G44" s="81">
        <v>660</v>
      </c>
      <c r="H44" s="81">
        <v>250</v>
      </c>
      <c r="I44" s="81"/>
      <c r="J44" s="81"/>
      <c r="K44" s="81">
        <f t="shared" si="1"/>
        <v>2587</v>
      </c>
      <c r="L44" s="89">
        <v>1585</v>
      </c>
    </row>
    <row r="45" spans="1:12" ht="15.75">
      <c r="A45" s="85" t="s">
        <v>106</v>
      </c>
      <c r="B45" s="86">
        <v>1012160456190</v>
      </c>
      <c r="C45" s="87" t="s">
        <v>107</v>
      </c>
      <c r="D45" s="81">
        <v>50</v>
      </c>
      <c r="E45" s="81">
        <v>300</v>
      </c>
      <c r="F45" s="81">
        <v>226</v>
      </c>
      <c r="G45" s="81">
        <v>150</v>
      </c>
      <c r="H45" s="81"/>
      <c r="I45" s="81">
        <v>200</v>
      </c>
      <c r="J45" s="81"/>
      <c r="K45" s="81">
        <f t="shared" si="1"/>
        <v>926</v>
      </c>
      <c r="L45" s="89">
        <v>4189</v>
      </c>
    </row>
    <row r="46" spans="1:12" ht="15.75">
      <c r="A46" s="82" t="s">
        <v>108</v>
      </c>
      <c r="B46" s="83">
        <v>1012160454691</v>
      </c>
      <c r="C46" s="84" t="s">
        <v>109</v>
      </c>
      <c r="D46" s="81">
        <v>836</v>
      </c>
      <c r="E46" s="81">
        <v>433</v>
      </c>
      <c r="F46" s="81">
        <v>126</v>
      </c>
      <c r="G46" s="81"/>
      <c r="H46" s="81">
        <v>310</v>
      </c>
      <c r="I46" s="81">
        <v>1028</v>
      </c>
      <c r="J46" s="81"/>
      <c r="K46" s="81">
        <f t="shared" si="1"/>
        <v>2733</v>
      </c>
      <c r="L46" s="89">
        <v>2071</v>
      </c>
    </row>
    <row r="47" spans="1:12" ht="15.75">
      <c r="A47" s="85" t="s">
        <v>402</v>
      </c>
      <c r="B47" s="86">
        <v>1012160456176</v>
      </c>
      <c r="C47" s="87" t="s">
        <v>403</v>
      </c>
      <c r="D47" s="81"/>
      <c r="E47" s="81"/>
      <c r="F47" s="81"/>
      <c r="G47" s="81">
        <v>140</v>
      </c>
      <c r="H47" s="81"/>
      <c r="I47" s="81">
        <v>50</v>
      </c>
      <c r="J47" s="81"/>
      <c r="K47" s="81">
        <f t="shared" si="1"/>
        <v>190</v>
      </c>
      <c r="L47" s="89">
        <v>100</v>
      </c>
    </row>
    <row r="48" spans="1:12" ht="15.75">
      <c r="A48" s="82" t="s">
        <v>404</v>
      </c>
      <c r="B48" s="83">
        <v>1012160456155</v>
      </c>
      <c r="C48" s="84" t="s">
        <v>405</v>
      </c>
      <c r="D48" s="81"/>
      <c r="E48" s="81"/>
      <c r="F48" s="81"/>
      <c r="G48" s="81"/>
      <c r="H48" s="81"/>
      <c r="I48" s="81"/>
      <c r="J48" s="81"/>
      <c r="K48" s="81">
        <f t="shared" si="1"/>
        <v>0</v>
      </c>
      <c r="L48" s="89"/>
    </row>
    <row r="49" spans="1:12" ht="15.75">
      <c r="A49" s="85" t="s">
        <v>406</v>
      </c>
      <c r="B49" s="86">
        <v>1012154706525</v>
      </c>
      <c r="C49" s="87" t="s">
        <v>407</v>
      </c>
      <c r="D49" s="81"/>
      <c r="E49" s="81"/>
      <c r="F49" s="81"/>
      <c r="G49" s="81"/>
      <c r="H49" s="81"/>
      <c r="I49" s="81"/>
      <c r="J49" s="81"/>
      <c r="K49" s="81">
        <f t="shared" si="1"/>
        <v>0</v>
      </c>
      <c r="L49" s="89"/>
    </row>
    <row r="50" spans="1:12" ht="15.75">
      <c r="A50" s="82" t="s">
        <v>115</v>
      </c>
      <c r="B50" s="83">
        <v>1012154706524</v>
      </c>
      <c r="C50" s="84" t="s">
        <v>116</v>
      </c>
      <c r="D50" s="81"/>
      <c r="E50" s="81"/>
      <c r="F50" s="81"/>
      <c r="G50" s="81"/>
      <c r="H50" s="81"/>
      <c r="I50" s="81"/>
      <c r="J50" s="81"/>
      <c r="K50" s="81">
        <f t="shared" si="1"/>
        <v>0</v>
      </c>
      <c r="L50" s="89"/>
    </row>
    <row r="51" spans="1:12" ht="15.75">
      <c r="A51" s="85" t="s">
        <v>117</v>
      </c>
      <c r="B51" s="86">
        <v>1012154706523</v>
      </c>
      <c r="C51" s="87" t="s">
        <v>118</v>
      </c>
      <c r="D51" s="81"/>
      <c r="E51" s="81"/>
      <c r="F51" s="81"/>
      <c r="G51" s="81"/>
      <c r="H51" s="81"/>
      <c r="I51" s="81"/>
      <c r="J51" s="81"/>
      <c r="K51" s="81">
        <f t="shared" si="1"/>
        <v>0</v>
      </c>
      <c r="L51" s="89"/>
    </row>
    <row r="52" spans="1:12" ht="15.75">
      <c r="A52" s="82"/>
      <c r="B52" s="83"/>
      <c r="C52" s="84"/>
      <c r="D52" s="81"/>
      <c r="E52" s="81"/>
      <c r="F52" s="81"/>
      <c r="G52" s="81"/>
      <c r="H52" s="81"/>
      <c r="I52" s="81"/>
      <c r="J52" s="81"/>
      <c r="K52" s="81">
        <f t="shared" si="1"/>
        <v>0</v>
      </c>
      <c r="L52" s="89"/>
    </row>
    <row r="53" spans="1:12" ht="15.75" hidden="1">
      <c r="A53" s="85"/>
      <c r="B53" s="86"/>
      <c r="C53" s="87"/>
      <c r="D53" s="81"/>
      <c r="E53" s="81"/>
      <c r="F53" s="81"/>
      <c r="G53" s="81"/>
      <c r="H53" s="81"/>
      <c r="I53" s="81"/>
      <c r="J53" s="81"/>
      <c r="K53" s="81">
        <f t="shared" si="1"/>
        <v>0</v>
      </c>
      <c r="L53" s="89"/>
    </row>
    <row r="54" spans="1:12" ht="15.75" hidden="1">
      <c r="A54" s="82"/>
      <c r="B54" s="83"/>
      <c r="C54" s="84"/>
      <c r="D54" s="81"/>
      <c r="E54" s="81"/>
      <c r="F54" s="81"/>
      <c r="G54" s="81"/>
      <c r="H54" s="81"/>
      <c r="I54" s="81"/>
      <c r="J54" s="81"/>
      <c r="K54" s="81">
        <f t="shared" si="1"/>
        <v>0</v>
      </c>
      <c r="L54" s="89"/>
    </row>
    <row r="55" spans="1:12" ht="15.75" hidden="1">
      <c r="A55" s="85"/>
      <c r="B55" s="86"/>
      <c r="C55" s="87"/>
      <c r="D55" s="81"/>
      <c r="E55" s="81"/>
      <c r="F55" s="81"/>
      <c r="G55" s="81"/>
      <c r="H55" s="81"/>
      <c r="I55" s="81"/>
      <c r="J55" s="81"/>
      <c r="K55" s="81">
        <f t="shared" si="1"/>
        <v>0</v>
      </c>
      <c r="L55" s="89"/>
    </row>
    <row r="56" spans="1:12" ht="15.75" hidden="1">
      <c r="A56" s="82"/>
      <c r="B56" s="83"/>
      <c r="C56" s="84"/>
      <c r="D56" s="81"/>
      <c r="E56" s="81"/>
      <c r="F56" s="81"/>
      <c r="G56" s="81"/>
      <c r="H56" s="81"/>
      <c r="I56" s="81"/>
      <c r="J56" s="81"/>
      <c r="K56" s="81">
        <f t="shared" si="1"/>
        <v>0</v>
      </c>
      <c r="L56" s="89"/>
    </row>
    <row r="57" spans="1:12" ht="15.75" hidden="1">
      <c r="A57" s="85"/>
      <c r="B57" s="86"/>
      <c r="C57" s="87"/>
      <c r="D57" s="81"/>
      <c r="E57" s="81"/>
      <c r="F57" s="81"/>
      <c r="G57" s="81"/>
      <c r="H57" s="81"/>
      <c r="I57" s="81"/>
      <c r="J57" s="81"/>
      <c r="K57" s="81">
        <f t="shared" si="1"/>
        <v>0</v>
      </c>
      <c r="L57" s="89"/>
    </row>
    <row r="58" spans="1:12" ht="15.75" hidden="1">
      <c r="A58" s="82"/>
      <c r="B58" s="83"/>
      <c r="C58" s="84"/>
      <c r="D58" s="81"/>
      <c r="E58" s="81"/>
      <c r="F58" s="81"/>
      <c r="G58" s="81"/>
      <c r="H58" s="81"/>
      <c r="I58" s="81"/>
      <c r="J58" s="81"/>
      <c r="K58" s="81">
        <f t="shared" si="1"/>
        <v>0</v>
      </c>
      <c r="L58" s="89"/>
    </row>
    <row r="59" spans="1:12" ht="18.75">
      <c r="A59" s="79" t="s">
        <v>119</v>
      </c>
      <c r="B59" s="80"/>
      <c r="C59" s="80"/>
      <c r="D59" s="81"/>
      <c r="E59" s="81"/>
      <c r="F59" s="81"/>
      <c r="G59" s="81"/>
      <c r="H59" s="81"/>
      <c r="I59" s="81"/>
      <c r="J59" s="81"/>
      <c r="K59" s="81">
        <f t="shared" si="1"/>
        <v>0</v>
      </c>
      <c r="L59" s="89"/>
    </row>
    <row r="60" spans="1:12" ht="15.75">
      <c r="A60" s="82" t="s">
        <v>120</v>
      </c>
      <c r="B60" s="83">
        <v>1012160456102</v>
      </c>
      <c r="C60" s="84" t="s">
        <v>121</v>
      </c>
      <c r="D60" s="81">
        <v>600</v>
      </c>
      <c r="E60" s="81">
        <v>1550</v>
      </c>
      <c r="F60" s="81">
        <f>171+279</f>
        <v>450</v>
      </c>
      <c r="G60" s="81">
        <v>600</v>
      </c>
      <c r="H60" s="81">
        <v>259</v>
      </c>
      <c r="I60" s="81">
        <v>900</v>
      </c>
      <c r="J60" s="81"/>
      <c r="K60" s="81">
        <f t="shared" si="1"/>
        <v>4359</v>
      </c>
      <c r="L60" s="89">
        <v>5134</v>
      </c>
    </row>
    <row r="61" spans="1:12" ht="15.75">
      <c r="A61" s="85" t="s">
        <v>120</v>
      </c>
      <c r="B61" s="86">
        <v>1012160456102</v>
      </c>
      <c r="C61" s="87" t="s">
        <v>122</v>
      </c>
      <c r="D61" s="81"/>
      <c r="E61" s="81"/>
      <c r="F61" s="81"/>
      <c r="G61" s="81"/>
      <c r="H61" s="81"/>
      <c r="I61" s="81"/>
      <c r="J61" s="81"/>
      <c r="K61" s="81">
        <f t="shared" si="1"/>
        <v>0</v>
      </c>
      <c r="L61" s="89"/>
    </row>
    <row r="62" spans="1:12" ht="15.75">
      <c r="A62" s="82" t="s">
        <v>120</v>
      </c>
      <c r="B62" s="83">
        <v>1012160456102</v>
      </c>
      <c r="C62" s="84" t="s">
        <v>123</v>
      </c>
      <c r="D62" s="81"/>
      <c r="E62" s="81"/>
      <c r="F62" s="81">
        <f>1228+268</f>
        <v>1496</v>
      </c>
      <c r="G62" s="81"/>
      <c r="H62" s="81"/>
      <c r="I62" s="81"/>
      <c r="J62" s="81"/>
      <c r="K62" s="81">
        <f t="shared" si="1"/>
        <v>1496</v>
      </c>
      <c r="L62" s="89">
        <v>972</v>
      </c>
    </row>
    <row r="63" spans="1:12" ht="15.75">
      <c r="A63" s="85" t="s">
        <v>120</v>
      </c>
      <c r="B63" s="86">
        <v>1012160456102</v>
      </c>
      <c r="C63" s="87" t="s">
        <v>124</v>
      </c>
      <c r="D63" s="81">
        <v>422</v>
      </c>
      <c r="E63" s="81"/>
      <c r="F63" s="81">
        <v>104</v>
      </c>
      <c r="G63" s="81">
        <v>1350</v>
      </c>
      <c r="H63" s="81">
        <v>550</v>
      </c>
      <c r="I63" s="81">
        <v>500</v>
      </c>
      <c r="J63" s="81"/>
      <c r="K63" s="81">
        <f t="shared" si="1"/>
        <v>2926</v>
      </c>
      <c r="L63" s="89">
        <v>3051</v>
      </c>
    </row>
    <row r="64" spans="1:12" ht="15.75">
      <c r="A64" s="82" t="s">
        <v>120</v>
      </c>
      <c r="B64" s="83">
        <v>1012160456102</v>
      </c>
      <c r="C64" s="88" t="s">
        <v>125</v>
      </c>
      <c r="D64" s="81">
        <v>36</v>
      </c>
      <c r="E64" s="81">
        <f>192+252</f>
        <v>444</v>
      </c>
      <c r="F64" s="81">
        <v>548</v>
      </c>
      <c r="G64" s="81">
        <v>506</v>
      </c>
      <c r="H64" s="81">
        <v>768</v>
      </c>
      <c r="I64" s="81">
        <v>590</v>
      </c>
      <c r="J64" s="81"/>
      <c r="K64" s="81">
        <f t="shared" si="1"/>
        <v>2892</v>
      </c>
      <c r="L64" s="89">
        <v>1859</v>
      </c>
    </row>
    <row r="65" spans="1:12">
      <c r="A65" s="87" t="s">
        <v>120</v>
      </c>
      <c r="B65" s="86">
        <v>1012160456102</v>
      </c>
      <c r="C65" s="87" t="s">
        <v>126</v>
      </c>
      <c r="D65" s="81"/>
      <c r="E65" s="81"/>
      <c r="F65" s="81"/>
      <c r="G65" s="81"/>
      <c r="H65" s="81"/>
      <c r="I65" s="81"/>
      <c r="J65" s="81"/>
      <c r="K65" s="81">
        <f t="shared" si="1"/>
        <v>0</v>
      </c>
      <c r="L65" s="89"/>
    </row>
    <row r="66" spans="1:12" ht="15.75">
      <c r="A66" s="82" t="s">
        <v>127</v>
      </c>
      <c r="B66" s="83">
        <v>1012160456104</v>
      </c>
      <c r="C66" s="84" t="s">
        <v>128</v>
      </c>
      <c r="D66" s="81"/>
      <c r="E66" s="81"/>
      <c r="F66" s="81">
        <v>140</v>
      </c>
      <c r="G66" s="81"/>
      <c r="H66" s="81"/>
      <c r="I66" s="81"/>
      <c r="J66" s="81"/>
      <c r="K66" s="81">
        <f t="shared" si="1"/>
        <v>140</v>
      </c>
      <c r="L66" s="89">
        <v>590</v>
      </c>
    </row>
    <row r="67" spans="1:12" ht="15.75">
      <c r="A67" s="85" t="s">
        <v>127</v>
      </c>
      <c r="B67" s="86">
        <v>1012160456104</v>
      </c>
      <c r="C67" s="87" t="s">
        <v>129</v>
      </c>
      <c r="D67" s="81">
        <v>559</v>
      </c>
      <c r="E67" s="81"/>
      <c r="F67" s="81">
        <v>662</v>
      </c>
      <c r="G67" s="81">
        <v>882</v>
      </c>
      <c r="H67" s="81"/>
      <c r="I67" s="81"/>
      <c r="J67" s="81"/>
      <c r="K67" s="81">
        <f t="shared" si="1"/>
        <v>2103</v>
      </c>
      <c r="L67" s="89">
        <f>2060+2016+84</f>
        <v>4160</v>
      </c>
    </row>
    <row r="68" spans="1:12" ht="15.75">
      <c r="A68" s="82" t="s">
        <v>127</v>
      </c>
      <c r="B68" s="83">
        <v>1012160456104</v>
      </c>
      <c r="C68" s="84" t="s">
        <v>130</v>
      </c>
      <c r="D68" s="81">
        <v>595</v>
      </c>
      <c r="E68" s="81">
        <v>1236</v>
      </c>
      <c r="F68" s="81"/>
      <c r="G68" s="81">
        <v>553</v>
      </c>
      <c r="H68" s="81">
        <v>782</v>
      </c>
      <c r="I68" s="81">
        <v>450</v>
      </c>
      <c r="J68" s="81"/>
      <c r="K68" s="81">
        <f t="shared" si="1"/>
        <v>3616</v>
      </c>
      <c r="L68" s="89">
        <f>2661+3672+42</f>
        <v>6375</v>
      </c>
    </row>
    <row r="69" spans="1:12" ht="15.75">
      <c r="A69" s="82" t="s">
        <v>131</v>
      </c>
      <c r="B69" s="83">
        <v>1012160456105</v>
      </c>
      <c r="C69" s="84" t="s">
        <v>408</v>
      </c>
      <c r="D69" s="81"/>
      <c r="E69" s="81"/>
      <c r="F69" s="81">
        <v>360</v>
      </c>
      <c r="G69" s="81"/>
      <c r="H69" s="81"/>
      <c r="I69" s="81"/>
      <c r="J69" s="81"/>
      <c r="K69" s="81">
        <f t="shared" si="1"/>
        <v>360</v>
      </c>
      <c r="L69" s="89">
        <v>1021</v>
      </c>
    </row>
    <row r="70" spans="1:12" ht="15.75">
      <c r="A70" s="85" t="s">
        <v>131</v>
      </c>
      <c r="B70" s="86">
        <v>1012160456105</v>
      </c>
      <c r="C70" s="87" t="s">
        <v>409</v>
      </c>
      <c r="D70" s="81"/>
      <c r="E70" s="81"/>
      <c r="F70" s="81"/>
      <c r="G70" s="81"/>
      <c r="H70" s="81"/>
      <c r="I70" s="81"/>
      <c r="J70" s="81"/>
      <c r="K70" s="81">
        <f t="shared" si="1"/>
        <v>0</v>
      </c>
      <c r="L70" s="89"/>
    </row>
    <row r="71" spans="1:12">
      <c r="A71" s="84" t="s">
        <v>131</v>
      </c>
      <c r="B71" s="83">
        <v>1012160456105</v>
      </c>
      <c r="C71" s="84" t="s">
        <v>410</v>
      </c>
      <c r="D71" s="81"/>
      <c r="E71" s="81"/>
      <c r="F71" s="81"/>
      <c r="G71" s="81"/>
      <c r="H71" s="81"/>
      <c r="I71" s="81">
        <v>750</v>
      </c>
      <c r="J71" s="81"/>
      <c r="K71" s="81">
        <f t="shared" si="1"/>
        <v>750</v>
      </c>
      <c r="L71" s="89">
        <v>2556</v>
      </c>
    </row>
    <row r="72" spans="1:12">
      <c r="A72" s="87" t="s">
        <v>131</v>
      </c>
      <c r="B72" s="86">
        <v>1012160456105</v>
      </c>
      <c r="C72" s="87" t="s">
        <v>411</v>
      </c>
      <c r="D72" s="81">
        <v>1778</v>
      </c>
      <c r="E72" s="81">
        <v>600</v>
      </c>
      <c r="F72" s="81">
        <v>650</v>
      </c>
      <c r="G72" s="81">
        <v>150</v>
      </c>
      <c r="H72" s="81">
        <v>100</v>
      </c>
      <c r="I72" s="81">
        <v>500</v>
      </c>
      <c r="J72" s="81"/>
      <c r="K72" s="81">
        <f t="shared" si="1"/>
        <v>3778</v>
      </c>
      <c r="L72" s="89">
        <v>4154</v>
      </c>
    </row>
    <row r="73" spans="1:12">
      <c r="A73" s="84" t="s">
        <v>412</v>
      </c>
      <c r="B73" s="83">
        <v>1012160456107</v>
      </c>
      <c r="C73" s="84" t="s">
        <v>413</v>
      </c>
      <c r="D73" s="81"/>
      <c r="E73" s="81"/>
      <c r="F73" s="81"/>
      <c r="G73" s="81"/>
      <c r="H73" s="81">
        <v>894</v>
      </c>
      <c r="I73" s="81">
        <v>650</v>
      </c>
      <c r="J73" s="81"/>
      <c r="K73" s="81">
        <f t="shared" si="1"/>
        <v>1544</v>
      </c>
      <c r="L73" s="89">
        <f>147+1350+5001</f>
        <v>6498</v>
      </c>
    </row>
    <row r="74" spans="1:12">
      <c r="A74" s="87" t="s">
        <v>328</v>
      </c>
      <c r="B74" s="86">
        <v>1012160456107</v>
      </c>
      <c r="C74" s="87" t="s">
        <v>414</v>
      </c>
      <c r="D74" s="81"/>
      <c r="E74" s="81"/>
      <c r="F74" s="81"/>
      <c r="G74" s="81"/>
      <c r="H74" s="81"/>
      <c r="I74" s="81"/>
      <c r="J74" s="81"/>
      <c r="K74" s="81">
        <f t="shared" si="1"/>
        <v>0</v>
      </c>
      <c r="L74" s="89">
        <v>646</v>
      </c>
    </row>
    <row r="75" spans="1:12">
      <c r="A75" s="84" t="s">
        <v>139</v>
      </c>
      <c r="B75" s="83">
        <v>1012160456106</v>
      </c>
      <c r="C75" s="84" t="s">
        <v>140</v>
      </c>
      <c r="D75" s="81"/>
      <c r="E75" s="81"/>
      <c r="F75" s="81"/>
      <c r="G75" s="81"/>
      <c r="H75" s="81"/>
      <c r="I75" s="81"/>
      <c r="J75" s="81"/>
      <c r="K75" s="81">
        <f t="shared" si="1"/>
        <v>0</v>
      </c>
      <c r="L75" s="89"/>
    </row>
    <row r="76" spans="1:12">
      <c r="A76" s="87" t="s">
        <v>139</v>
      </c>
      <c r="B76" s="86">
        <v>1012160456106</v>
      </c>
      <c r="C76" s="87" t="s">
        <v>141</v>
      </c>
      <c r="D76" s="81">
        <v>459</v>
      </c>
      <c r="E76" s="81"/>
      <c r="F76" s="81"/>
      <c r="G76" s="81">
        <v>475</v>
      </c>
      <c r="H76" s="81">
        <v>2013</v>
      </c>
      <c r="I76" s="81">
        <v>58</v>
      </c>
      <c r="J76" s="81"/>
      <c r="K76" s="81">
        <f t="shared" si="1"/>
        <v>3005</v>
      </c>
      <c r="L76" s="89"/>
    </row>
    <row r="77" spans="1:12" ht="15.75">
      <c r="A77" s="82" t="s">
        <v>139</v>
      </c>
      <c r="B77" s="83">
        <v>1012160456106</v>
      </c>
      <c r="C77" s="84" t="s">
        <v>142</v>
      </c>
      <c r="D77" s="81">
        <v>732</v>
      </c>
      <c r="E77" s="81">
        <v>700</v>
      </c>
      <c r="F77" s="81"/>
      <c r="G77" s="81"/>
      <c r="H77" s="81"/>
      <c r="I77" s="81">
        <v>1267</v>
      </c>
      <c r="J77" s="81"/>
      <c r="K77" s="81">
        <f t="shared" si="1"/>
        <v>2699</v>
      </c>
      <c r="L77" s="89">
        <v>5508</v>
      </c>
    </row>
    <row r="78" spans="1:12" ht="15.75">
      <c r="A78" s="85" t="s">
        <v>143</v>
      </c>
      <c r="B78" s="86">
        <v>1012160456126</v>
      </c>
      <c r="C78" s="87" t="s">
        <v>144</v>
      </c>
      <c r="D78" s="81"/>
      <c r="E78" s="81"/>
      <c r="F78" s="81"/>
      <c r="G78" s="81"/>
      <c r="H78" s="81"/>
      <c r="I78" s="81"/>
      <c r="J78" s="81"/>
      <c r="K78" s="81">
        <f t="shared" si="1"/>
        <v>0</v>
      </c>
      <c r="L78" s="89"/>
    </row>
    <row r="79" spans="1:12" ht="15.75">
      <c r="A79" s="82" t="s">
        <v>143</v>
      </c>
      <c r="B79" s="83">
        <v>1012160456126</v>
      </c>
      <c r="C79" s="84" t="s">
        <v>145</v>
      </c>
      <c r="D79" s="81"/>
      <c r="E79" s="81"/>
      <c r="F79" s="81"/>
      <c r="G79" s="81"/>
      <c r="H79" s="81"/>
      <c r="I79" s="81"/>
      <c r="J79" s="81"/>
      <c r="K79" s="81">
        <f t="shared" si="1"/>
        <v>0</v>
      </c>
      <c r="L79" s="89"/>
    </row>
    <row r="80" spans="1:12" ht="15.75">
      <c r="A80" s="85" t="s">
        <v>146</v>
      </c>
      <c r="B80" s="86">
        <v>1012160456128</v>
      </c>
      <c r="C80" s="87" t="s">
        <v>147</v>
      </c>
      <c r="D80" s="81"/>
      <c r="E80" s="81"/>
      <c r="F80" s="81"/>
      <c r="G80" s="81"/>
      <c r="H80" s="81"/>
      <c r="I80" s="81"/>
      <c r="J80" s="81"/>
      <c r="K80" s="81">
        <f t="shared" si="1"/>
        <v>0</v>
      </c>
      <c r="L80" s="89"/>
    </row>
    <row r="81" spans="1:13" ht="15.75">
      <c r="A81" s="82" t="s">
        <v>146</v>
      </c>
      <c r="B81" s="83">
        <v>1012160456128</v>
      </c>
      <c r="C81" s="84" t="s">
        <v>148</v>
      </c>
      <c r="D81" s="81"/>
      <c r="E81" s="81"/>
      <c r="F81" s="81"/>
      <c r="G81" s="81"/>
      <c r="H81" s="81"/>
      <c r="I81" s="81"/>
      <c r="J81" s="81"/>
      <c r="K81" s="81">
        <f t="shared" si="1"/>
        <v>0</v>
      </c>
      <c r="L81" s="89"/>
    </row>
    <row r="82" spans="1:13" ht="15.75">
      <c r="A82" s="85" t="s">
        <v>149</v>
      </c>
      <c r="B82" s="86">
        <v>1012160456053</v>
      </c>
      <c r="C82" s="87" t="s">
        <v>150</v>
      </c>
      <c r="D82" s="81"/>
      <c r="E82" s="81"/>
      <c r="F82" s="81"/>
      <c r="G82" s="81"/>
      <c r="H82" s="81"/>
      <c r="I82" s="81"/>
      <c r="J82" s="81"/>
      <c r="K82" s="81">
        <f t="shared" si="1"/>
        <v>0</v>
      </c>
      <c r="L82" s="89"/>
    </row>
    <row r="83" spans="1:13" ht="15.75">
      <c r="A83" s="82" t="s">
        <v>149</v>
      </c>
      <c r="B83" s="83">
        <v>1012160456053</v>
      </c>
      <c r="C83" s="84" t="s">
        <v>151</v>
      </c>
      <c r="D83" s="81"/>
      <c r="E83" s="81"/>
      <c r="F83" s="81"/>
      <c r="G83" s="81"/>
      <c r="H83" s="81"/>
      <c r="I83" s="81"/>
      <c r="J83" s="81"/>
      <c r="K83" s="81">
        <f t="shared" si="1"/>
        <v>0</v>
      </c>
      <c r="L83" s="89"/>
    </row>
    <row r="84" spans="1:13" ht="15.75">
      <c r="A84" s="85" t="s">
        <v>152</v>
      </c>
      <c r="B84" s="86">
        <v>1012160456055</v>
      </c>
      <c r="C84" s="87" t="s">
        <v>153</v>
      </c>
      <c r="D84" s="81"/>
      <c r="E84" s="81"/>
      <c r="F84" s="81"/>
      <c r="G84" s="81"/>
      <c r="H84" s="81"/>
      <c r="I84" s="81"/>
      <c r="J84" s="81"/>
      <c r="K84" s="81">
        <f t="shared" si="1"/>
        <v>0</v>
      </c>
      <c r="L84" s="89"/>
    </row>
    <row r="85" spans="1:13" ht="15.75">
      <c r="A85" s="82" t="s">
        <v>154</v>
      </c>
      <c r="B85" s="83">
        <v>1012160456057</v>
      </c>
      <c r="C85" s="84" t="s">
        <v>155</v>
      </c>
      <c r="D85" s="81"/>
      <c r="E85" s="81"/>
      <c r="F85" s="81"/>
      <c r="G85" s="81"/>
      <c r="H85" s="81"/>
      <c r="I85" s="81"/>
      <c r="J85" s="81"/>
      <c r="K85" s="81">
        <f t="shared" ref="K85:K136" si="2">SUM(D85:J85)</f>
        <v>0</v>
      </c>
      <c r="L85" s="89"/>
    </row>
    <row r="86" spans="1:13" ht="15.75">
      <c r="A86" s="85" t="s">
        <v>156</v>
      </c>
      <c r="B86" s="86">
        <v>1012160456065</v>
      </c>
      <c r="C86" s="87" t="s">
        <v>157</v>
      </c>
      <c r="D86" s="81"/>
      <c r="E86" s="81">
        <v>176</v>
      </c>
      <c r="F86" s="81"/>
      <c r="G86" s="81"/>
      <c r="H86" s="81"/>
      <c r="I86" s="81"/>
      <c r="J86" s="81"/>
      <c r="K86" s="81">
        <f t="shared" si="2"/>
        <v>176</v>
      </c>
      <c r="L86" s="89"/>
    </row>
    <row r="87" spans="1:13" ht="15.75">
      <c r="A87" s="82" t="s">
        <v>158</v>
      </c>
      <c r="B87" s="83">
        <v>1012160456067</v>
      </c>
      <c r="C87" s="84" t="s">
        <v>159</v>
      </c>
      <c r="D87" s="81"/>
      <c r="E87" s="81"/>
      <c r="F87" s="81"/>
      <c r="G87" s="81"/>
      <c r="H87" s="81"/>
      <c r="I87" s="81"/>
      <c r="J87" s="81"/>
      <c r="K87" s="81">
        <f t="shared" si="2"/>
        <v>0</v>
      </c>
      <c r="L87" s="89"/>
    </row>
    <row r="88" spans="1:13" ht="15.75">
      <c r="A88" s="85" t="s">
        <v>160</v>
      </c>
      <c r="B88" s="86">
        <v>1012160456059</v>
      </c>
      <c r="C88" s="87" t="s">
        <v>161</v>
      </c>
      <c r="D88" s="81"/>
      <c r="E88" s="81"/>
      <c r="F88" s="81"/>
      <c r="G88" s="81"/>
      <c r="H88" s="81"/>
      <c r="I88" s="81"/>
      <c r="J88" s="81"/>
      <c r="K88" s="81">
        <f t="shared" si="2"/>
        <v>0</v>
      </c>
      <c r="L88" s="89">
        <v>585</v>
      </c>
    </row>
    <row r="89" spans="1:13" ht="15.75">
      <c r="A89" s="82" t="s">
        <v>162</v>
      </c>
      <c r="B89" s="83">
        <v>1012160463203</v>
      </c>
      <c r="C89" s="84" t="s">
        <v>163</v>
      </c>
      <c r="D89" s="81"/>
      <c r="E89" s="81"/>
      <c r="F89" s="81"/>
      <c r="G89" s="81"/>
      <c r="H89" s="81"/>
      <c r="I89" s="81"/>
      <c r="J89" s="81"/>
      <c r="K89" s="81">
        <f t="shared" si="2"/>
        <v>0</v>
      </c>
      <c r="L89" s="89"/>
    </row>
    <row r="90" spans="1:13" ht="15.75">
      <c r="A90" s="85" t="s">
        <v>162</v>
      </c>
      <c r="B90" s="86">
        <v>1012160463203</v>
      </c>
      <c r="C90" s="87" t="s">
        <v>164</v>
      </c>
      <c r="D90" s="81"/>
      <c r="E90" s="81"/>
      <c r="F90" s="81"/>
      <c r="G90" s="81"/>
      <c r="H90" s="81"/>
      <c r="I90" s="81"/>
      <c r="J90" s="81"/>
      <c r="K90" s="81">
        <f t="shared" si="2"/>
        <v>0</v>
      </c>
      <c r="L90" s="89">
        <v>960</v>
      </c>
    </row>
    <row r="91" spans="1:13" ht="15.75">
      <c r="A91" s="82" t="s">
        <v>165</v>
      </c>
      <c r="B91" s="83">
        <v>1012160456061</v>
      </c>
      <c r="C91" s="84" t="s">
        <v>166</v>
      </c>
      <c r="D91" s="81"/>
      <c r="E91" s="81"/>
      <c r="F91" s="81"/>
      <c r="G91" s="81"/>
      <c r="H91" s="81"/>
      <c r="I91" s="81"/>
      <c r="J91" s="81"/>
      <c r="K91" s="81">
        <f t="shared" si="2"/>
        <v>0</v>
      </c>
      <c r="L91" s="89">
        <v>357</v>
      </c>
    </row>
    <row r="92" spans="1:13" ht="15.75">
      <c r="A92" s="85" t="s">
        <v>167</v>
      </c>
      <c r="B92" s="86">
        <v>1012160456183</v>
      </c>
      <c r="C92" s="87" t="s">
        <v>168</v>
      </c>
      <c r="D92" s="81"/>
      <c r="E92" s="81"/>
      <c r="F92" s="81"/>
      <c r="G92" s="81"/>
      <c r="H92" s="81"/>
      <c r="I92" s="81"/>
      <c r="J92" s="81"/>
      <c r="K92" s="81">
        <f t="shared" si="2"/>
        <v>0</v>
      </c>
      <c r="L92" s="89"/>
    </row>
    <row r="93" spans="1:13" ht="15.75">
      <c r="A93" s="82" t="s">
        <v>169</v>
      </c>
      <c r="B93" s="83">
        <v>1012150720395</v>
      </c>
      <c r="C93" s="84" t="s">
        <v>170</v>
      </c>
      <c r="D93" s="81"/>
      <c r="E93" s="81"/>
      <c r="F93" s="81"/>
      <c r="G93" s="81"/>
      <c r="H93" s="81">
        <v>7</v>
      </c>
      <c r="I93" s="81"/>
      <c r="J93" s="81"/>
      <c r="K93" s="81">
        <f t="shared" si="2"/>
        <v>7</v>
      </c>
      <c r="L93" s="89">
        <v>30</v>
      </c>
      <c r="M93" t="s">
        <v>415</v>
      </c>
    </row>
    <row r="94" spans="1:13" ht="15.75">
      <c r="A94" s="85" t="s">
        <v>171</v>
      </c>
      <c r="B94" s="86">
        <v>1012160420302</v>
      </c>
      <c r="C94" s="87" t="s">
        <v>172</v>
      </c>
      <c r="D94" s="81"/>
      <c r="E94" s="81"/>
      <c r="F94" s="81"/>
      <c r="G94" s="81"/>
      <c r="H94" s="81"/>
      <c r="I94" s="81"/>
      <c r="J94" s="81"/>
      <c r="K94" s="81">
        <f t="shared" si="2"/>
        <v>0</v>
      </c>
      <c r="L94" s="89"/>
      <c r="M94" t="s">
        <v>415</v>
      </c>
    </row>
    <row r="95" spans="1:13" ht="15.75">
      <c r="A95" s="82" t="s">
        <v>173</v>
      </c>
      <c r="B95" s="83">
        <v>1012160420403</v>
      </c>
      <c r="C95" s="84" t="s">
        <v>174</v>
      </c>
      <c r="D95" s="81"/>
      <c r="E95" s="81"/>
      <c r="F95" s="81"/>
      <c r="G95" s="81"/>
      <c r="H95" s="81"/>
      <c r="I95" s="81"/>
      <c r="J95" s="81"/>
      <c r="K95" s="81">
        <f t="shared" si="2"/>
        <v>0</v>
      </c>
      <c r="L95" s="89"/>
      <c r="M95" t="s">
        <v>415</v>
      </c>
    </row>
    <row r="96" spans="1:13" ht="15.75">
      <c r="A96" s="85" t="s">
        <v>175</v>
      </c>
      <c r="B96" s="86">
        <v>1012160420406</v>
      </c>
      <c r="C96" s="87" t="s">
        <v>176</v>
      </c>
      <c r="D96" s="81"/>
      <c r="E96" s="81">
        <v>15</v>
      </c>
      <c r="F96" s="81"/>
      <c r="G96" s="81"/>
      <c r="H96" s="81">
        <v>30</v>
      </c>
      <c r="I96" s="81"/>
      <c r="J96" s="81"/>
      <c r="K96" s="81">
        <f t="shared" si="2"/>
        <v>45</v>
      </c>
      <c r="L96" s="89">
        <v>30</v>
      </c>
      <c r="M96" t="s">
        <v>415</v>
      </c>
    </row>
    <row r="97" spans="1:13" ht="15.75">
      <c r="A97" s="82" t="s">
        <v>177</v>
      </c>
      <c r="B97" s="83">
        <v>1012160420411</v>
      </c>
      <c r="C97" s="84" t="s">
        <v>178</v>
      </c>
      <c r="D97" s="81"/>
      <c r="E97" s="81"/>
      <c r="F97" s="81"/>
      <c r="G97" s="81"/>
      <c r="H97" s="81"/>
      <c r="I97" s="81"/>
      <c r="J97" s="81"/>
      <c r="K97" s="81">
        <f t="shared" si="2"/>
        <v>0</v>
      </c>
      <c r="L97" s="89"/>
      <c r="M97" t="s">
        <v>415</v>
      </c>
    </row>
    <row r="98" spans="1:13" ht="15.75">
      <c r="A98" s="85" t="s">
        <v>179</v>
      </c>
      <c r="B98" s="86">
        <v>1012160420414</v>
      </c>
      <c r="C98" s="87" t="s">
        <v>180</v>
      </c>
      <c r="D98" s="81"/>
      <c r="E98" s="81"/>
      <c r="F98" s="81"/>
      <c r="G98" s="81"/>
      <c r="H98" s="81"/>
      <c r="I98" s="81"/>
      <c r="J98" s="81"/>
      <c r="K98" s="81">
        <f t="shared" si="2"/>
        <v>0</v>
      </c>
      <c r="L98" s="89"/>
      <c r="M98" t="s">
        <v>415</v>
      </c>
    </row>
    <row r="99" spans="1:13" ht="15.75">
      <c r="A99" s="82" t="s">
        <v>181</v>
      </c>
      <c r="B99" s="83">
        <v>101216040003</v>
      </c>
      <c r="C99" s="84" t="s">
        <v>182</v>
      </c>
      <c r="D99" s="81"/>
      <c r="E99" s="81">
        <v>28</v>
      </c>
      <c r="F99" s="81">
        <v>28</v>
      </c>
      <c r="G99" s="81"/>
      <c r="H99" s="81">
        <v>7</v>
      </c>
      <c r="I99" s="81"/>
      <c r="J99" s="81"/>
      <c r="K99" s="81">
        <f t="shared" si="2"/>
        <v>63</v>
      </c>
      <c r="L99" s="89">
        <v>117</v>
      </c>
      <c r="M99" t="s">
        <v>415</v>
      </c>
    </row>
    <row r="100" spans="1:13" ht="15.75">
      <c r="A100" s="85" t="s">
        <v>181</v>
      </c>
      <c r="B100" s="86">
        <v>101216040003</v>
      </c>
      <c r="C100" s="87" t="s">
        <v>183</v>
      </c>
      <c r="D100" s="81"/>
      <c r="E100" s="81"/>
      <c r="F100" s="81"/>
      <c r="G100" s="81"/>
      <c r="H100" s="81"/>
      <c r="I100" s="81"/>
      <c r="J100" s="81"/>
      <c r="K100" s="81">
        <f t="shared" si="2"/>
        <v>0</v>
      </c>
      <c r="L100" s="89"/>
      <c r="M100" t="s">
        <v>415</v>
      </c>
    </row>
    <row r="101" spans="1:13" ht="15.75">
      <c r="A101" s="82" t="s">
        <v>184</v>
      </c>
      <c r="B101" s="83">
        <v>1012150756113</v>
      </c>
      <c r="C101" s="84" t="s">
        <v>185</v>
      </c>
      <c r="D101" s="81"/>
      <c r="E101" s="81"/>
      <c r="F101" s="81"/>
      <c r="G101" s="81"/>
      <c r="H101" s="81"/>
      <c r="I101" s="81"/>
      <c r="J101" s="81"/>
      <c r="K101" s="81">
        <f t="shared" si="2"/>
        <v>0</v>
      </c>
      <c r="L101" s="89"/>
    </row>
    <row r="102" spans="1:13" ht="15.75">
      <c r="A102" s="85" t="s">
        <v>184</v>
      </c>
      <c r="B102" s="86">
        <v>1012150756113</v>
      </c>
      <c r="C102" s="87" t="s">
        <v>186</v>
      </c>
      <c r="D102" s="81"/>
      <c r="E102" s="81"/>
      <c r="F102" s="81"/>
      <c r="G102" s="81"/>
      <c r="H102" s="81"/>
      <c r="I102" s="81"/>
      <c r="J102" s="81"/>
      <c r="K102" s="81">
        <f t="shared" si="2"/>
        <v>0</v>
      </c>
      <c r="L102" s="89"/>
    </row>
    <row r="103" spans="1:13" ht="15.75">
      <c r="A103" s="82" t="s">
        <v>187</v>
      </c>
      <c r="B103" s="83">
        <v>1012150756115</v>
      </c>
      <c r="C103" s="84" t="s">
        <v>188</v>
      </c>
      <c r="D103" s="81"/>
      <c r="E103" s="81"/>
      <c r="F103" s="81"/>
      <c r="G103" s="81"/>
      <c r="H103" s="81"/>
      <c r="I103" s="81"/>
      <c r="J103" s="81"/>
      <c r="K103" s="81">
        <f t="shared" si="2"/>
        <v>0</v>
      </c>
      <c r="L103" s="89"/>
    </row>
    <row r="104" spans="1:13" ht="15.75">
      <c r="A104" s="85" t="s">
        <v>189</v>
      </c>
      <c r="B104" s="86">
        <v>1012150756118</v>
      </c>
      <c r="C104" s="87" t="s">
        <v>190</v>
      </c>
      <c r="D104" s="81"/>
      <c r="E104" s="81"/>
      <c r="F104" s="81"/>
      <c r="G104" s="81"/>
      <c r="H104" s="81"/>
      <c r="I104" s="81"/>
      <c r="J104" s="81"/>
      <c r="K104" s="81">
        <f t="shared" si="2"/>
        <v>0</v>
      </c>
      <c r="L104" s="89"/>
    </row>
    <row r="105" spans="1:13" ht="15.75">
      <c r="A105" s="82" t="s">
        <v>191</v>
      </c>
      <c r="B105" s="83">
        <v>1012150756120</v>
      </c>
      <c r="C105" s="84" t="s">
        <v>192</v>
      </c>
      <c r="D105" s="81"/>
      <c r="E105" s="81"/>
      <c r="F105" s="81"/>
      <c r="G105" s="81"/>
      <c r="H105" s="81"/>
      <c r="I105" s="81"/>
      <c r="J105" s="81"/>
      <c r="K105" s="81">
        <f t="shared" si="2"/>
        <v>0</v>
      </c>
      <c r="L105" s="89"/>
    </row>
    <row r="106" spans="1:13" ht="15.75">
      <c r="A106" s="85" t="s">
        <v>193</v>
      </c>
      <c r="B106" s="86">
        <v>1012150756122</v>
      </c>
      <c r="C106" s="87" t="s">
        <v>194</v>
      </c>
      <c r="D106" s="81"/>
      <c r="E106" s="81"/>
      <c r="F106" s="81"/>
      <c r="G106" s="81"/>
      <c r="H106" s="81"/>
      <c r="I106" s="81"/>
      <c r="J106" s="81"/>
      <c r="K106" s="81">
        <f t="shared" si="2"/>
        <v>0</v>
      </c>
      <c r="L106" s="89"/>
      <c r="M106" t="s">
        <v>415</v>
      </c>
    </row>
    <row r="107" spans="1:13" ht="15.75">
      <c r="A107" s="82" t="s">
        <v>195</v>
      </c>
      <c r="B107" s="83">
        <v>1012150764004</v>
      </c>
      <c r="C107" s="84" t="s">
        <v>196</v>
      </c>
      <c r="D107" s="81"/>
      <c r="E107" s="81"/>
      <c r="F107" s="81"/>
      <c r="G107" s="81"/>
      <c r="H107" s="81"/>
      <c r="I107" s="81"/>
      <c r="J107" s="81"/>
      <c r="K107" s="81">
        <f t="shared" si="2"/>
        <v>0</v>
      </c>
      <c r="L107" s="89"/>
    </row>
    <row r="108" spans="1:13" ht="15.75">
      <c r="A108" s="85" t="s">
        <v>197</v>
      </c>
      <c r="B108" s="86" t="s">
        <v>416</v>
      </c>
      <c r="C108" s="87" t="s">
        <v>198</v>
      </c>
      <c r="D108" s="81"/>
      <c r="E108" s="81"/>
      <c r="F108" s="81"/>
      <c r="G108" s="81"/>
      <c r="H108" s="81"/>
      <c r="I108" s="81">
        <v>80</v>
      </c>
      <c r="J108" s="81"/>
      <c r="K108" s="81">
        <f t="shared" si="2"/>
        <v>80</v>
      </c>
      <c r="L108" s="89">
        <v>67</v>
      </c>
      <c r="M108" t="s">
        <v>415</v>
      </c>
    </row>
    <row r="109" spans="1:13" ht="15.75" hidden="1">
      <c r="A109" s="82"/>
      <c r="B109" s="83"/>
      <c r="C109" s="84"/>
      <c r="D109" s="81"/>
      <c r="E109" s="81"/>
      <c r="F109" s="81"/>
      <c r="G109" s="81"/>
      <c r="H109" s="81"/>
      <c r="I109" s="81"/>
      <c r="J109" s="81"/>
      <c r="K109" s="81">
        <f t="shared" si="2"/>
        <v>0</v>
      </c>
      <c r="L109" s="89"/>
    </row>
    <row r="110" spans="1:13" ht="15.75" hidden="1">
      <c r="A110" s="85"/>
      <c r="B110" s="86"/>
      <c r="C110" s="87"/>
      <c r="D110" s="81"/>
      <c r="E110" s="81"/>
      <c r="F110" s="81"/>
      <c r="G110" s="81"/>
      <c r="H110" s="81"/>
      <c r="I110" s="81"/>
      <c r="J110" s="81"/>
      <c r="K110" s="81">
        <f t="shared" si="2"/>
        <v>0</v>
      </c>
      <c r="L110" s="89"/>
    </row>
    <row r="111" spans="1:13" ht="15.75" hidden="1">
      <c r="A111" s="82"/>
      <c r="B111" s="83"/>
      <c r="C111" s="84"/>
      <c r="D111" s="81"/>
      <c r="E111" s="81"/>
      <c r="F111" s="81"/>
      <c r="G111" s="81"/>
      <c r="H111" s="81"/>
      <c r="I111" s="81"/>
      <c r="J111" s="81"/>
      <c r="K111" s="81">
        <f t="shared" si="2"/>
        <v>0</v>
      </c>
      <c r="L111" s="89"/>
    </row>
    <row r="112" spans="1:13" ht="15.75" hidden="1">
      <c r="A112" s="85"/>
      <c r="B112" s="86"/>
      <c r="C112" s="87"/>
      <c r="D112" s="81"/>
      <c r="E112" s="81"/>
      <c r="F112" s="81"/>
      <c r="G112" s="81"/>
      <c r="H112" s="81"/>
      <c r="I112" s="81"/>
      <c r="J112" s="81"/>
      <c r="K112" s="81">
        <f t="shared" si="2"/>
        <v>0</v>
      </c>
      <c r="L112" s="89"/>
    </row>
    <row r="113" spans="1:13" ht="15.75" hidden="1">
      <c r="A113" s="82"/>
      <c r="B113" s="83"/>
      <c r="C113" s="84"/>
      <c r="D113" s="81"/>
      <c r="E113" s="81"/>
      <c r="F113" s="81"/>
      <c r="G113" s="81"/>
      <c r="H113" s="81"/>
      <c r="I113" s="81"/>
      <c r="J113" s="81"/>
      <c r="K113" s="81">
        <f t="shared" si="2"/>
        <v>0</v>
      </c>
      <c r="L113" s="89"/>
    </row>
    <row r="114" spans="1:13" ht="18.75">
      <c r="A114" s="79" t="s">
        <v>199</v>
      </c>
      <c r="B114" s="80"/>
      <c r="C114" s="80"/>
      <c r="D114" s="81"/>
      <c r="E114" s="81"/>
      <c r="F114" s="81"/>
      <c r="G114" s="81"/>
      <c r="H114" s="81"/>
      <c r="I114" s="81"/>
      <c r="J114" s="81"/>
      <c r="K114" s="81">
        <f t="shared" si="2"/>
        <v>0</v>
      </c>
      <c r="L114" s="89"/>
    </row>
    <row r="115" spans="1:13" ht="15.75">
      <c r="A115" s="82" t="s">
        <v>200</v>
      </c>
      <c r="B115" s="83">
        <v>1012160432700</v>
      </c>
      <c r="C115" s="84" t="s">
        <v>417</v>
      </c>
      <c r="D115" s="81">
        <v>200</v>
      </c>
      <c r="E115" s="81">
        <v>643</v>
      </c>
      <c r="F115" s="81">
        <v>802</v>
      </c>
      <c r="G115" s="81">
        <v>1116</v>
      </c>
      <c r="H115" s="81">
        <v>8</v>
      </c>
      <c r="I115" s="81">
        <v>400</v>
      </c>
      <c r="J115" s="81"/>
      <c r="K115" s="81">
        <f t="shared" si="2"/>
        <v>3169</v>
      </c>
      <c r="L115" s="89">
        <v>2293</v>
      </c>
    </row>
    <row r="116" spans="1:13" ht="15.75">
      <c r="A116" s="85" t="s">
        <v>202</v>
      </c>
      <c r="B116" s="86">
        <v>1012160432615</v>
      </c>
      <c r="C116" s="87" t="s">
        <v>418</v>
      </c>
      <c r="D116" s="81">
        <v>250</v>
      </c>
      <c r="E116" s="81">
        <v>500</v>
      </c>
      <c r="F116" s="81">
        <v>1412</v>
      </c>
      <c r="G116" s="81">
        <v>224</v>
      </c>
      <c r="H116" s="81">
        <v>524</v>
      </c>
      <c r="I116" s="81">
        <v>1880</v>
      </c>
      <c r="J116" s="81"/>
      <c r="K116" s="81">
        <f t="shared" si="2"/>
        <v>4790</v>
      </c>
      <c r="L116" s="89">
        <v>3478</v>
      </c>
    </row>
    <row r="117" spans="1:13" ht="15.75">
      <c r="A117" s="82" t="s">
        <v>204</v>
      </c>
      <c r="B117" s="83">
        <v>1012160432701</v>
      </c>
      <c r="C117" s="84" t="s">
        <v>419</v>
      </c>
      <c r="D117" s="81">
        <v>646</v>
      </c>
      <c r="E117" s="81">
        <v>320</v>
      </c>
      <c r="F117" s="81">
        <v>1196</v>
      </c>
      <c r="G117" s="81">
        <v>1584</v>
      </c>
      <c r="H117" s="81">
        <v>375</v>
      </c>
      <c r="I117" s="81">
        <v>20</v>
      </c>
      <c r="J117" s="81"/>
      <c r="K117" s="81">
        <f t="shared" si="2"/>
        <v>4141</v>
      </c>
      <c r="L117" s="89">
        <v>4624</v>
      </c>
    </row>
    <row r="118" spans="1:13" ht="15.75">
      <c r="A118" s="85" t="s">
        <v>206</v>
      </c>
      <c r="B118" s="86">
        <v>1012160432210</v>
      </c>
      <c r="C118" s="87" t="s">
        <v>420</v>
      </c>
      <c r="D118" s="81">
        <v>664</v>
      </c>
      <c r="E118" s="81">
        <v>1500</v>
      </c>
      <c r="F118" s="81">
        <v>626</v>
      </c>
      <c r="G118" s="81"/>
      <c r="H118" s="81">
        <v>426</v>
      </c>
      <c r="I118" s="81">
        <v>520</v>
      </c>
      <c r="J118" s="81"/>
      <c r="K118" s="81">
        <f t="shared" si="2"/>
        <v>3736</v>
      </c>
      <c r="L118" s="89">
        <v>5414</v>
      </c>
    </row>
    <row r="119" spans="1:13" ht="15.75">
      <c r="A119" s="82" t="s">
        <v>200</v>
      </c>
      <c r="B119" s="83">
        <v>1012160432700</v>
      </c>
      <c r="C119" s="84" t="s">
        <v>421</v>
      </c>
      <c r="D119" s="81"/>
      <c r="E119" s="81">
        <v>757</v>
      </c>
      <c r="F119" s="81"/>
      <c r="G119" s="81"/>
      <c r="H119" s="81"/>
      <c r="I119" s="81">
        <v>800</v>
      </c>
      <c r="J119" s="81"/>
      <c r="K119" s="81">
        <f t="shared" si="2"/>
        <v>1557</v>
      </c>
      <c r="L119" s="89">
        <v>1014</v>
      </c>
      <c r="M119">
        <v>1304</v>
      </c>
    </row>
    <row r="120" spans="1:13" ht="15.75">
      <c r="A120" s="85" t="s">
        <v>202</v>
      </c>
      <c r="B120" s="86">
        <v>1012160432615</v>
      </c>
      <c r="C120" s="87" t="s">
        <v>422</v>
      </c>
      <c r="D120" s="81">
        <v>300</v>
      </c>
      <c r="E120" s="81"/>
      <c r="F120" s="81"/>
      <c r="G120" s="81">
        <v>1250</v>
      </c>
      <c r="H120" s="81">
        <v>918</v>
      </c>
      <c r="I120" s="81"/>
      <c r="J120" s="81"/>
      <c r="K120" s="81">
        <f t="shared" si="2"/>
        <v>2468</v>
      </c>
      <c r="L120" s="89">
        <v>3035</v>
      </c>
      <c r="M120">
        <v>550</v>
      </c>
    </row>
    <row r="121" spans="1:13" ht="15.75">
      <c r="A121" s="82" t="s">
        <v>204</v>
      </c>
      <c r="B121" s="83">
        <v>1012160432701</v>
      </c>
      <c r="C121" s="84" t="s">
        <v>423</v>
      </c>
      <c r="D121" s="81">
        <v>850</v>
      </c>
      <c r="E121" s="81">
        <v>1300</v>
      </c>
      <c r="F121" s="81">
        <v>550</v>
      </c>
      <c r="G121" s="81">
        <v>950</v>
      </c>
      <c r="H121" s="81">
        <v>199</v>
      </c>
      <c r="I121" s="81">
        <v>1350</v>
      </c>
      <c r="J121" s="81"/>
      <c r="K121" s="81">
        <f t="shared" si="2"/>
        <v>5199</v>
      </c>
      <c r="L121" s="89">
        <v>3903</v>
      </c>
      <c r="M121" s="90">
        <v>1040</v>
      </c>
    </row>
    <row r="122" spans="1:13" ht="15.75">
      <c r="A122" s="85" t="s">
        <v>206</v>
      </c>
      <c r="B122" s="86">
        <v>1012160432210</v>
      </c>
      <c r="C122" s="87" t="s">
        <v>424</v>
      </c>
      <c r="D122" s="81">
        <v>1300</v>
      </c>
      <c r="E122" s="81"/>
      <c r="F122" s="81">
        <v>224</v>
      </c>
      <c r="G122" s="81">
        <v>200</v>
      </c>
      <c r="H122" s="81">
        <v>1900</v>
      </c>
      <c r="I122" s="81">
        <v>550</v>
      </c>
      <c r="J122" s="81"/>
      <c r="K122" s="81">
        <f t="shared" si="2"/>
        <v>4174</v>
      </c>
      <c r="L122" s="89">
        <v>2248</v>
      </c>
      <c r="M122" s="91">
        <v>1220</v>
      </c>
    </row>
    <row r="123" spans="1:13" ht="15.75">
      <c r="A123" s="82" t="s">
        <v>425</v>
      </c>
      <c r="B123" s="83">
        <v>1012160432169</v>
      </c>
      <c r="C123" s="84" t="s">
        <v>426</v>
      </c>
      <c r="D123" s="81"/>
      <c r="E123" s="81"/>
      <c r="F123" s="81"/>
      <c r="G123" s="81"/>
      <c r="H123" s="81"/>
      <c r="I123" s="81"/>
      <c r="J123" s="81"/>
      <c r="K123" s="81">
        <f t="shared" si="2"/>
        <v>0</v>
      </c>
      <c r="L123" s="89"/>
    </row>
    <row r="124" spans="1:13" ht="15.75">
      <c r="A124" s="85" t="s">
        <v>427</v>
      </c>
      <c r="B124" s="86">
        <v>1012160457012</v>
      </c>
      <c r="C124" s="87" t="s">
        <v>428</v>
      </c>
      <c r="D124" s="81"/>
      <c r="E124" s="81"/>
      <c r="F124" s="81"/>
      <c r="G124" s="81"/>
      <c r="H124" s="81"/>
      <c r="I124" s="81"/>
      <c r="J124" s="81"/>
      <c r="K124" s="81">
        <f t="shared" si="2"/>
        <v>0</v>
      </c>
      <c r="L124" s="89"/>
    </row>
    <row r="125" spans="1:13" ht="15.75">
      <c r="A125" s="82" t="s">
        <v>429</v>
      </c>
      <c r="B125" s="83">
        <v>1012160432180</v>
      </c>
      <c r="C125" s="84" t="s">
        <v>430</v>
      </c>
      <c r="D125" s="81"/>
      <c r="E125" s="81"/>
      <c r="F125" s="81"/>
      <c r="G125" s="81"/>
      <c r="H125" s="81"/>
      <c r="I125" s="81"/>
      <c r="J125" s="81"/>
      <c r="K125" s="81">
        <f t="shared" si="2"/>
        <v>0</v>
      </c>
      <c r="L125" s="89"/>
    </row>
    <row r="126" spans="1:13" ht="15.75">
      <c r="A126" s="85" t="s">
        <v>215</v>
      </c>
      <c r="B126" s="86">
        <v>1012160457013</v>
      </c>
      <c r="C126" s="87" t="s">
        <v>216</v>
      </c>
      <c r="D126" s="81"/>
      <c r="E126" s="81"/>
      <c r="F126" s="81"/>
      <c r="G126" s="81"/>
      <c r="H126" s="81"/>
      <c r="I126" s="81"/>
      <c r="J126" s="81"/>
      <c r="K126" s="81">
        <f t="shared" si="2"/>
        <v>0</v>
      </c>
      <c r="L126" s="89"/>
    </row>
    <row r="127" spans="1:13" ht="15.75">
      <c r="A127" s="82" t="s">
        <v>217</v>
      </c>
      <c r="B127" s="83">
        <v>1012160482910</v>
      </c>
      <c r="C127" s="84" t="s">
        <v>218</v>
      </c>
      <c r="D127" s="81"/>
      <c r="E127" s="81"/>
      <c r="F127" s="81"/>
      <c r="G127" s="81"/>
      <c r="H127" s="81"/>
      <c r="I127" s="81"/>
      <c r="J127" s="81"/>
      <c r="K127" s="81">
        <f t="shared" si="2"/>
        <v>0</v>
      </c>
      <c r="L127" s="89"/>
    </row>
    <row r="128" spans="1:13" ht="15.75">
      <c r="A128" s="85" t="s">
        <v>219</v>
      </c>
      <c r="B128" s="86">
        <v>1012160432173</v>
      </c>
      <c r="C128" s="87" t="s">
        <v>220</v>
      </c>
      <c r="D128" s="81"/>
      <c r="E128" s="81"/>
      <c r="F128" s="81"/>
      <c r="G128" s="81"/>
      <c r="H128" s="81"/>
      <c r="I128" s="81"/>
      <c r="J128" s="81"/>
      <c r="K128" s="81">
        <f t="shared" si="2"/>
        <v>0</v>
      </c>
      <c r="L128" s="89"/>
    </row>
    <row r="129" spans="1:13" ht="15.75">
      <c r="A129" s="82" t="s">
        <v>221</v>
      </c>
      <c r="B129" s="83">
        <v>1012160432181</v>
      </c>
      <c r="C129" s="84" t="s">
        <v>222</v>
      </c>
      <c r="D129" s="81"/>
      <c r="E129" s="81"/>
      <c r="F129" s="81"/>
      <c r="G129" s="81"/>
      <c r="H129" s="81"/>
      <c r="I129" s="81"/>
      <c r="J129" s="81"/>
      <c r="K129" s="81">
        <f t="shared" si="2"/>
        <v>0</v>
      </c>
      <c r="L129" s="89"/>
    </row>
    <row r="130" spans="1:13" ht="15.75">
      <c r="A130" s="85" t="s">
        <v>223</v>
      </c>
      <c r="B130" s="86">
        <v>1012160492913</v>
      </c>
      <c r="C130" s="87" t="s">
        <v>431</v>
      </c>
      <c r="D130" s="81"/>
      <c r="E130" s="81"/>
      <c r="F130" s="81"/>
      <c r="G130" s="81"/>
      <c r="H130" s="81"/>
      <c r="I130" s="81"/>
      <c r="J130" s="81"/>
      <c r="K130" s="81">
        <f t="shared" si="2"/>
        <v>0</v>
      </c>
      <c r="L130" s="89"/>
      <c r="M130" s="29"/>
    </row>
    <row r="131" spans="1:13" ht="15.75">
      <c r="A131" s="82" t="s">
        <v>225</v>
      </c>
      <c r="B131" s="83">
        <v>1012160435777</v>
      </c>
      <c r="C131" s="84" t="s">
        <v>226</v>
      </c>
      <c r="D131" s="81"/>
      <c r="E131" s="81"/>
      <c r="F131" s="81"/>
      <c r="G131" s="81"/>
      <c r="H131" s="81"/>
      <c r="I131" s="81"/>
      <c r="J131" s="81"/>
      <c r="K131" s="81">
        <f t="shared" si="2"/>
        <v>0</v>
      </c>
      <c r="L131" s="89"/>
    </row>
    <row r="132" spans="1:13" ht="15.75">
      <c r="A132" s="85" t="s">
        <v>227</v>
      </c>
      <c r="B132" s="86">
        <v>1012160435778</v>
      </c>
      <c r="C132" s="87" t="s">
        <v>228</v>
      </c>
      <c r="D132" s="81"/>
      <c r="E132" s="81"/>
      <c r="F132" s="81"/>
      <c r="G132" s="81"/>
      <c r="H132" s="81"/>
      <c r="I132" s="81"/>
      <c r="J132" s="81"/>
      <c r="K132" s="81">
        <f t="shared" si="2"/>
        <v>0</v>
      </c>
      <c r="L132" s="89"/>
    </row>
    <row r="133" spans="1:13" ht="15.75">
      <c r="A133" s="82" t="s">
        <v>229</v>
      </c>
      <c r="B133" s="83">
        <v>1012160435400</v>
      </c>
      <c r="C133" s="84" t="s">
        <v>230</v>
      </c>
      <c r="D133" s="81"/>
      <c r="E133" s="81"/>
      <c r="F133" s="81"/>
      <c r="G133" s="81"/>
      <c r="H133" s="81"/>
      <c r="I133" s="81"/>
      <c r="J133" s="81"/>
      <c r="K133" s="81">
        <f t="shared" si="2"/>
        <v>0</v>
      </c>
      <c r="L133" s="89"/>
    </row>
    <row r="134" spans="1:13" ht="15.75">
      <c r="A134" s="85" t="s">
        <v>231</v>
      </c>
      <c r="B134" s="86">
        <v>1012160457015</v>
      </c>
      <c r="C134" s="87" t="s">
        <v>232</v>
      </c>
      <c r="D134" s="81"/>
      <c r="E134" s="81"/>
      <c r="F134" s="81"/>
      <c r="G134" s="81"/>
      <c r="H134" s="81"/>
      <c r="I134" s="81"/>
      <c r="J134" s="81"/>
      <c r="K134" s="81">
        <f t="shared" si="2"/>
        <v>0</v>
      </c>
      <c r="L134" s="89"/>
    </row>
    <row r="135" spans="1:13" ht="15.75">
      <c r="A135" s="82" t="s">
        <v>233</v>
      </c>
      <c r="B135" s="83">
        <v>1012160457017</v>
      </c>
      <c r="C135" s="84" t="s">
        <v>234</v>
      </c>
      <c r="D135" s="81"/>
      <c r="E135" s="81"/>
      <c r="F135" s="81">
        <v>211</v>
      </c>
      <c r="G135" s="81"/>
      <c r="H135" s="81"/>
      <c r="I135" s="81"/>
      <c r="J135" s="81"/>
      <c r="K135" s="81">
        <f t="shared" si="2"/>
        <v>211</v>
      </c>
      <c r="L135" s="89"/>
    </row>
    <row r="136" spans="1:13" ht="15.75">
      <c r="A136" s="85" t="s">
        <v>235</v>
      </c>
      <c r="B136" s="86">
        <v>1012160457019</v>
      </c>
      <c r="C136" s="87" t="s">
        <v>236</v>
      </c>
      <c r="D136" s="81"/>
      <c r="E136" s="81"/>
      <c r="F136" s="81"/>
      <c r="G136" s="81"/>
      <c r="H136" s="81"/>
      <c r="I136" s="81"/>
      <c r="J136" s="81"/>
      <c r="K136" s="81">
        <f t="shared" si="2"/>
        <v>0</v>
      </c>
      <c r="L136" s="89">
        <v>464</v>
      </c>
    </row>
    <row r="137" spans="1:13" ht="15.75">
      <c r="A137" s="82" t="s">
        <v>237</v>
      </c>
      <c r="B137" s="83">
        <v>1012160456287</v>
      </c>
      <c r="C137" s="84" t="s">
        <v>238</v>
      </c>
      <c r="D137" s="81"/>
      <c r="E137" s="81"/>
      <c r="F137" s="81"/>
      <c r="G137" s="81"/>
      <c r="H137" s="81"/>
      <c r="I137" s="81"/>
      <c r="J137" s="81"/>
      <c r="K137" s="81">
        <f t="shared" ref="K137:K165" si="3">SUM(D137:J137)</f>
        <v>0</v>
      </c>
      <c r="L137" s="89"/>
    </row>
    <row r="138" spans="1:13" ht="15.75">
      <c r="A138" s="85" t="s">
        <v>239</v>
      </c>
      <c r="B138" s="86">
        <v>1012160457011</v>
      </c>
      <c r="C138" s="87" t="s">
        <v>240</v>
      </c>
      <c r="D138" s="81"/>
      <c r="E138" s="81"/>
      <c r="F138" s="81"/>
      <c r="G138" s="81"/>
      <c r="H138" s="81"/>
      <c r="I138" s="81"/>
      <c r="J138" s="81"/>
      <c r="K138" s="81">
        <f t="shared" si="3"/>
        <v>0</v>
      </c>
      <c r="L138" s="89"/>
    </row>
    <row r="139" spans="1:13" ht="15.75">
      <c r="A139" s="82" t="s">
        <v>241</v>
      </c>
      <c r="B139" s="83">
        <v>1012160435779</v>
      </c>
      <c r="C139" s="84" t="s">
        <v>242</v>
      </c>
      <c r="D139" s="81">
        <v>150</v>
      </c>
      <c r="E139" s="81"/>
      <c r="F139" s="81"/>
      <c r="G139" s="81"/>
      <c r="H139" s="81">
        <v>144</v>
      </c>
      <c r="I139" s="81"/>
      <c r="J139" s="81"/>
      <c r="K139" s="81">
        <f t="shared" si="3"/>
        <v>294</v>
      </c>
      <c r="L139" s="89">
        <v>357</v>
      </c>
    </row>
    <row r="140" spans="1:13" ht="15.75">
      <c r="A140" s="85" t="s">
        <v>243</v>
      </c>
      <c r="B140" s="86">
        <v>1012160438110</v>
      </c>
      <c r="C140" s="87" t="s">
        <v>244</v>
      </c>
      <c r="D140" s="81"/>
      <c r="E140" s="81"/>
      <c r="F140" s="81"/>
      <c r="G140" s="81"/>
      <c r="H140" s="81"/>
      <c r="I140" s="81"/>
      <c r="J140" s="81"/>
      <c r="K140" s="81">
        <f t="shared" si="3"/>
        <v>0</v>
      </c>
      <c r="L140" s="89"/>
    </row>
    <row r="141" spans="1:13" ht="15.75">
      <c r="A141" s="82" t="s">
        <v>245</v>
      </c>
      <c r="B141" s="83">
        <v>1012160438111</v>
      </c>
      <c r="C141" s="84" t="s">
        <v>246</v>
      </c>
      <c r="D141" s="81"/>
      <c r="E141" s="81"/>
      <c r="F141" s="81"/>
      <c r="G141" s="81"/>
      <c r="H141" s="81"/>
      <c r="I141" s="81"/>
      <c r="J141" s="81"/>
      <c r="K141" s="81">
        <f t="shared" si="3"/>
        <v>0</v>
      </c>
      <c r="L141" s="89"/>
    </row>
    <row r="142" spans="1:13" ht="15.75">
      <c r="A142" s="85" t="s">
        <v>247</v>
      </c>
      <c r="B142" s="86">
        <v>1012160438112</v>
      </c>
      <c r="C142" s="87" t="s">
        <v>248</v>
      </c>
      <c r="D142" s="81"/>
      <c r="E142" s="81"/>
      <c r="F142" s="81"/>
      <c r="G142" s="81"/>
      <c r="H142" s="81"/>
      <c r="I142" s="81"/>
      <c r="J142" s="81"/>
      <c r="K142" s="81">
        <f t="shared" si="3"/>
        <v>0</v>
      </c>
      <c r="L142" s="89"/>
    </row>
    <row r="143" spans="1:13" ht="15.75">
      <c r="A143" s="82" t="s">
        <v>249</v>
      </c>
      <c r="B143" s="83">
        <v>1012160438113</v>
      </c>
      <c r="C143" s="84" t="s">
        <v>250</v>
      </c>
      <c r="D143" s="81"/>
      <c r="E143" s="81"/>
      <c r="F143" s="81"/>
      <c r="G143" s="81"/>
      <c r="H143" s="81"/>
      <c r="I143" s="81"/>
      <c r="J143" s="81"/>
      <c r="K143" s="81">
        <f t="shared" si="3"/>
        <v>0</v>
      </c>
      <c r="L143" s="89"/>
    </row>
    <row r="144" spans="1:13" ht="15.75">
      <c r="A144" s="85" t="s">
        <v>251</v>
      </c>
      <c r="B144" s="86">
        <v>1012160438114</v>
      </c>
      <c r="C144" s="87" t="s">
        <v>252</v>
      </c>
      <c r="D144" s="81"/>
      <c r="E144" s="81"/>
      <c r="F144" s="81"/>
      <c r="G144" s="81"/>
      <c r="H144" s="81"/>
      <c r="I144" s="81"/>
      <c r="J144" s="81"/>
      <c r="K144" s="81">
        <f t="shared" si="3"/>
        <v>0</v>
      </c>
      <c r="L144" s="89"/>
    </row>
    <row r="145" spans="1:12" hidden="1">
      <c r="A145" s="84"/>
      <c r="B145" s="84"/>
      <c r="C145" s="84"/>
      <c r="D145" s="81"/>
      <c r="E145" s="81"/>
      <c r="F145" s="81"/>
      <c r="G145" s="81"/>
      <c r="H145" s="81"/>
      <c r="I145" s="81"/>
      <c r="J145" s="81"/>
      <c r="K145" s="81">
        <f t="shared" si="3"/>
        <v>0</v>
      </c>
      <c r="L145" s="89"/>
    </row>
    <row r="146" spans="1:12" hidden="1">
      <c r="A146" s="87"/>
      <c r="B146" s="87"/>
      <c r="C146" s="87"/>
      <c r="D146" s="81"/>
      <c r="E146" s="81"/>
      <c r="F146" s="81"/>
      <c r="G146" s="81"/>
      <c r="H146" s="81"/>
      <c r="I146" s="81"/>
      <c r="J146" s="81"/>
      <c r="K146" s="81">
        <f t="shared" si="3"/>
        <v>0</v>
      </c>
      <c r="L146" s="89"/>
    </row>
    <row r="147" spans="1:12" ht="15.75" hidden="1">
      <c r="A147" s="82"/>
      <c r="B147" s="83"/>
      <c r="C147" s="84"/>
      <c r="D147" s="81"/>
      <c r="E147" s="81"/>
      <c r="F147" s="81"/>
      <c r="G147" s="81"/>
      <c r="H147" s="81"/>
      <c r="I147" s="81"/>
      <c r="J147" s="81"/>
      <c r="K147" s="81">
        <f t="shared" si="3"/>
        <v>0</v>
      </c>
      <c r="L147" s="89"/>
    </row>
    <row r="148" spans="1:12" ht="15.75" hidden="1">
      <c r="A148" s="85"/>
      <c r="B148" s="86"/>
      <c r="C148" s="87"/>
      <c r="D148" s="81"/>
      <c r="E148" s="81"/>
      <c r="F148" s="81"/>
      <c r="G148" s="81"/>
      <c r="H148" s="81"/>
      <c r="I148" s="81"/>
      <c r="J148" s="81"/>
      <c r="K148" s="81">
        <f t="shared" si="3"/>
        <v>0</v>
      </c>
      <c r="L148" s="89"/>
    </row>
    <row r="149" spans="1:12" ht="15.75" hidden="1">
      <c r="A149" s="82"/>
      <c r="B149" s="83"/>
      <c r="C149" s="84"/>
      <c r="D149" s="81"/>
      <c r="E149" s="81"/>
      <c r="F149" s="81"/>
      <c r="G149" s="81"/>
      <c r="H149" s="81"/>
      <c r="I149" s="81"/>
      <c r="J149" s="81"/>
      <c r="K149" s="81">
        <f t="shared" si="3"/>
        <v>0</v>
      </c>
      <c r="L149" s="89"/>
    </row>
    <row r="150" spans="1:12" ht="18.75">
      <c r="A150" s="79" t="s">
        <v>253</v>
      </c>
      <c r="B150" s="80"/>
      <c r="C150" s="80"/>
      <c r="D150" s="81"/>
      <c r="E150" s="81"/>
      <c r="F150" s="81"/>
      <c r="G150" s="81"/>
      <c r="H150" s="81"/>
      <c r="I150" s="81"/>
      <c r="J150" s="81"/>
      <c r="K150" s="81">
        <f t="shared" si="3"/>
        <v>0</v>
      </c>
      <c r="L150" s="89"/>
    </row>
    <row r="151" spans="1:12" ht="15.75">
      <c r="A151" s="82" t="s">
        <v>254</v>
      </c>
      <c r="B151" s="83">
        <v>1012150720906</v>
      </c>
      <c r="C151" s="84" t="s">
        <v>255</v>
      </c>
      <c r="D151" s="81">
        <v>72</v>
      </c>
      <c r="E151" s="81"/>
      <c r="F151" s="81"/>
      <c r="G151" s="81"/>
      <c r="H151" s="81"/>
      <c r="I151" s="81"/>
      <c r="J151" s="81"/>
      <c r="K151" s="81">
        <f t="shared" si="3"/>
        <v>72</v>
      </c>
      <c r="L151" s="89"/>
    </row>
    <row r="152" spans="1:12" ht="15.75">
      <c r="A152" s="85" t="s">
        <v>256</v>
      </c>
      <c r="B152" s="86">
        <v>1012150793381</v>
      </c>
      <c r="C152" s="87" t="s">
        <v>257</v>
      </c>
      <c r="D152" s="81">
        <v>389</v>
      </c>
      <c r="E152" s="81"/>
      <c r="F152" s="81"/>
      <c r="G152" s="81"/>
      <c r="H152" s="81"/>
      <c r="I152" s="81"/>
      <c r="J152" s="81"/>
      <c r="K152" s="81">
        <f t="shared" si="3"/>
        <v>389</v>
      </c>
      <c r="L152" s="89"/>
    </row>
    <row r="153" spans="1:12" ht="15.75">
      <c r="A153" s="82" t="s">
        <v>258</v>
      </c>
      <c r="B153" s="83">
        <v>1012150730903</v>
      </c>
      <c r="C153" s="84" t="s">
        <v>259</v>
      </c>
      <c r="D153" s="81">
        <v>303</v>
      </c>
      <c r="E153" s="81"/>
      <c r="F153" s="81"/>
      <c r="G153" s="81"/>
      <c r="H153" s="81"/>
      <c r="I153" s="81"/>
      <c r="J153" s="81"/>
      <c r="K153" s="81">
        <f t="shared" si="3"/>
        <v>303</v>
      </c>
      <c r="L153" s="89">
        <v>858</v>
      </c>
    </row>
    <row r="154" spans="1:12" ht="15.75">
      <c r="A154" s="85" t="s">
        <v>260</v>
      </c>
      <c r="B154" s="86">
        <v>1012150730602</v>
      </c>
      <c r="C154" s="87" t="s">
        <v>261</v>
      </c>
      <c r="D154" s="81"/>
      <c r="E154" s="81"/>
      <c r="F154" s="81"/>
      <c r="G154" s="81"/>
      <c r="H154" s="81"/>
      <c r="I154" s="81"/>
      <c r="J154" s="81"/>
      <c r="K154" s="81">
        <f t="shared" si="3"/>
        <v>0</v>
      </c>
      <c r="L154" s="89"/>
    </row>
    <row r="155" spans="1:12" ht="15.75">
      <c r="A155" s="82" t="s">
        <v>262</v>
      </c>
      <c r="B155" s="83">
        <v>1012150730603</v>
      </c>
      <c r="C155" s="84" t="s">
        <v>263</v>
      </c>
      <c r="D155" s="81">
        <v>300</v>
      </c>
      <c r="E155" s="81"/>
      <c r="F155" s="81">
        <v>61</v>
      </c>
      <c r="G155" s="81">
        <v>256</v>
      </c>
      <c r="H155" s="81"/>
      <c r="I155" s="81"/>
      <c r="J155" s="81"/>
      <c r="K155" s="81">
        <f t="shared" si="3"/>
        <v>617</v>
      </c>
      <c r="L155" s="89">
        <v>292</v>
      </c>
    </row>
    <row r="156" spans="1:12" ht="15.75">
      <c r="A156" s="85" t="s">
        <v>264</v>
      </c>
      <c r="B156" s="86">
        <v>1012150729591</v>
      </c>
      <c r="C156" s="87" t="s">
        <v>265</v>
      </c>
      <c r="D156" s="81">
        <v>17</v>
      </c>
      <c r="E156" s="81"/>
      <c r="F156" s="81">
        <v>509</v>
      </c>
      <c r="G156" s="81">
        <v>573</v>
      </c>
      <c r="H156" s="81"/>
      <c r="I156" s="81"/>
      <c r="J156" s="81"/>
      <c r="K156" s="81">
        <f t="shared" si="3"/>
        <v>1099</v>
      </c>
      <c r="L156" s="89">
        <v>337</v>
      </c>
    </row>
    <row r="157" spans="1:12" ht="15.75">
      <c r="A157" s="82" t="s">
        <v>266</v>
      </c>
      <c r="B157" s="83">
        <v>1012150729593</v>
      </c>
      <c r="C157" s="84" t="s">
        <v>267</v>
      </c>
      <c r="D157" s="81">
        <v>100</v>
      </c>
      <c r="E157" s="81"/>
      <c r="F157" s="81"/>
      <c r="G157" s="81"/>
      <c r="H157" s="81"/>
      <c r="I157" s="81"/>
      <c r="J157" s="81"/>
      <c r="K157" s="81">
        <f t="shared" si="3"/>
        <v>100</v>
      </c>
      <c r="L157" s="89">
        <v>523</v>
      </c>
    </row>
    <row r="158" spans="1:12" ht="15.75">
      <c r="A158" s="85" t="s">
        <v>268</v>
      </c>
      <c r="B158" s="86">
        <v>1012150730605</v>
      </c>
      <c r="C158" s="87" t="s">
        <v>269</v>
      </c>
      <c r="D158" s="81"/>
      <c r="E158" s="81"/>
      <c r="F158" s="81">
        <v>730</v>
      </c>
      <c r="G158" s="81">
        <v>190</v>
      </c>
      <c r="H158" s="81"/>
      <c r="I158" s="81"/>
      <c r="J158" s="81"/>
      <c r="K158" s="81">
        <f t="shared" si="3"/>
        <v>920</v>
      </c>
      <c r="L158" s="89">
        <v>465</v>
      </c>
    </row>
    <row r="159" spans="1:12" ht="15.75">
      <c r="A159" s="82" t="s">
        <v>270</v>
      </c>
      <c r="B159" s="83">
        <v>1012150730608</v>
      </c>
      <c r="C159" s="84" t="s">
        <v>271</v>
      </c>
      <c r="D159" s="81"/>
      <c r="E159" s="81"/>
      <c r="F159" s="81">
        <v>175</v>
      </c>
      <c r="G159" s="81">
        <v>173</v>
      </c>
      <c r="H159" s="81"/>
      <c r="I159" s="81"/>
      <c r="J159" s="81"/>
      <c r="K159" s="81">
        <f t="shared" si="3"/>
        <v>348</v>
      </c>
      <c r="L159" s="89"/>
    </row>
    <row r="160" spans="1:12" ht="15.75">
      <c r="A160" s="85" t="s">
        <v>272</v>
      </c>
      <c r="B160" s="86">
        <v>1012150720903</v>
      </c>
      <c r="C160" s="87" t="s">
        <v>273</v>
      </c>
      <c r="D160" s="81"/>
      <c r="E160" s="81"/>
      <c r="F160" s="81"/>
      <c r="G160" s="81"/>
      <c r="H160" s="81"/>
      <c r="I160" s="81"/>
      <c r="J160" s="81"/>
      <c r="K160" s="81">
        <f t="shared" si="3"/>
        <v>0</v>
      </c>
      <c r="L160" s="89"/>
    </row>
    <row r="161" spans="1:13" ht="15.75">
      <c r="A161" s="82" t="s">
        <v>274</v>
      </c>
      <c r="B161" s="83">
        <v>1012150798924</v>
      </c>
      <c r="C161" s="84" t="s">
        <v>275</v>
      </c>
      <c r="D161" s="81">
        <v>126</v>
      </c>
      <c r="E161" s="81"/>
      <c r="F161" s="81"/>
      <c r="G161" s="81">
        <v>170</v>
      </c>
      <c r="H161" s="81"/>
      <c r="I161" s="81"/>
      <c r="J161" s="81"/>
      <c r="K161" s="81">
        <f t="shared" si="3"/>
        <v>296</v>
      </c>
      <c r="L161" s="89">
        <v>773</v>
      </c>
    </row>
    <row r="162" spans="1:13" ht="15.75">
      <c r="A162" s="85" t="s">
        <v>276</v>
      </c>
      <c r="B162" s="86">
        <v>1012150799001</v>
      </c>
      <c r="C162" s="87" t="s">
        <v>277</v>
      </c>
      <c r="D162" s="81">
        <v>795</v>
      </c>
      <c r="E162" s="81"/>
      <c r="F162" s="81">
        <v>50</v>
      </c>
      <c r="G162" s="81"/>
      <c r="H162" s="81"/>
      <c r="I162" s="81"/>
      <c r="J162" s="81"/>
      <c r="K162" s="81">
        <f t="shared" si="3"/>
        <v>845</v>
      </c>
      <c r="L162" s="89"/>
    </row>
    <row r="163" spans="1:13" ht="15.75">
      <c r="A163" s="82" t="s">
        <v>278</v>
      </c>
      <c r="B163" s="83">
        <v>1012150799000</v>
      </c>
      <c r="C163" s="84" t="s">
        <v>279</v>
      </c>
      <c r="D163" s="81"/>
      <c r="E163" s="81"/>
      <c r="F163" s="81"/>
      <c r="G163" s="81"/>
      <c r="H163" s="81"/>
      <c r="I163" s="81"/>
      <c r="J163" s="81"/>
      <c r="K163" s="81">
        <f t="shared" si="3"/>
        <v>0</v>
      </c>
      <c r="L163" s="89"/>
    </row>
    <row r="164" spans="1:13" ht="15.75">
      <c r="A164" s="85" t="s">
        <v>280</v>
      </c>
      <c r="B164" s="86">
        <v>1012150798925</v>
      </c>
      <c r="C164" s="87" t="s">
        <v>281</v>
      </c>
      <c r="D164" s="81"/>
      <c r="E164" s="81"/>
      <c r="F164" s="81"/>
      <c r="G164" s="81">
        <v>294</v>
      </c>
      <c r="H164" s="81"/>
      <c r="I164" s="81"/>
      <c r="J164" s="81"/>
      <c r="K164" s="81">
        <f t="shared" si="3"/>
        <v>294</v>
      </c>
      <c r="L164" s="89">
        <v>296</v>
      </c>
    </row>
    <row r="165" spans="1:13" ht="15.75">
      <c r="A165" s="82" t="s">
        <v>282</v>
      </c>
      <c r="B165" s="83">
        <v>1012150798926</v>
      </c>
      <c r="C165" s="84" t="s">
        <v>283</v>
      </c>
      <c r="D165" s="81"/>
      <c r="E165" s="81"/>
      <c r="F165" s="81"/>
      <c r="G165" s="81"/>
      <c r="H165" s="81"/>
      <c r="I165" s="81"/>
      <c r="J165" s="81"/>
      <c r="K165" s="81">
        <f t="shared" si="3"/>
        <v>0</v>
      </c>
      <c r="L165" s="89"/>
    </row>
    <row r="166" spans="1:13">
      <c r="M166" s="58" t="s">
        <v>432</v>
      </c>
    </row>
    <row r="167" spans="1:13">
      <c r="C167" t="s">
        <v>433</v>
      </c>
      <c r="D167">
        <f>+SUM(D10:D40)</f>
        <v>460</v>
      </c>
      <c r="E167">
        <f t="shared" ref="E167:L167" si="4">+SUM(E10:E40)</f>
        <v>234</v>
      </c>
      <c r="F167">
        <f t="shared" si="4"/>
        <v>187</v>
      </c>
      <c r="G167">
        <f t="shared" si="4"/>
        <v>84</v>
      </c>
      <c r="H167">
        <f t="shared" si="4"/>
        <v>460</v>
      </c>
      <c r="I167">
        <f t="shared" si="4"/>
        <v>350</v>
      </c>
      <c r="J167">
        <f t="shared" si="4"/>
        <v>0</v>
      </c>
      <c r="K167">
        <f t="shared" si="4"/>
        <v>1775</v>
      </c>
      <c r="L167">
        <f t="shared" si="4"/>
        <v>4107</v>
      </c>
      <c r="M167" s="92">
        <f>+L167/K167</f>
        <v>2.3138028169014087</v>
      </c>
    </row>
    <row r="168" spans="1:13">
      <c r="C168" t="s">
        <v>434</v>
      </c>
      <c r="D168">
        <f>+SUM(D42:D58)</f>
        <v>3558</v>
      </c>
      <c r="E168">
        <f t="shared" ref="E168:L168" si="5">+SUM(E42:E58)</f>
        <v>3128</v>
      </c>
      <c r="F168">
        <f t="shared" si="5"/>
        <v>1831</v>
      </c>
      <c r="G168">
        <f t="shared" si="5"/>
        <v>3572</v>
      </c>
      <c r="H168">
        <f t="shared" si="5"/>
        <v>1908</v>
      </c>
      <c r="I168">
        <f t="shared" si="5"/>
        <v>3528</v>
      </c>
      <c r="J168">
        <f t="shared" si="5"/>
        <v>0</v>
      </c>
      <c r="K168">
        <f t="shared" si="5"/>
        <v>17525</v>
      </c>
      <c r="L168">
        <f t="shared" si="5"/>
        <v>15003</v>
      </c>
      <c r="M168" s="92">
        <f t="shared" ref="M168:M171" si="6">+L168/K168</f>
        <v>0.85609129814550644</v>
      </c>
    </row>
    <row r="169" spans="1:13">
      <c r="C169" t="s">
        <v>435</v>
      </c>
      <c r="D169">
        <f>+SUM(D60:D113)</f>
        <v>5181</v>
      </c>
      <c r="E169">
        <f t="shared" ref="E169:L169" si="7">+SUM(E60:E113)</f>
        <v>4749</v>
      </c>
      <c r="F169">
        <f t="shared" si="7"/>
        <v>4438</v>
      </c>
      <c r="G169">
        <f t="shared" si="7"/>
        <v>4516</v>
      </c>
      <c r="H169">
        <f t="shared" si="7"/>
        <v>5410</v>
      </c>
      <c r="I169">
        <f t="shared" si="7"/>
        <v>5745</v>
      </c>
      <c r="J169">
        <f t="shared" si="7"/>
        <v>0</v>
      </c>
      <c r="K169">
        <f t="shared" si="7"/>
        <v>30039</v>
      </c>
      <c r="L169">
        <f t="shared" si="7"/>
        <v>44670</v>
      </c>
      <c r="M169" s="92">
        <f t="shared" si="6"/>
        <v>1.4870668131429141</v>
      </c>
    </row>
    <row r="170" spans="1:13">
      <c r="C170" t="s">
        <v>436</v>
      </c>
      <c r="D170">
        <f>+SUM(D115:D149)</f>
        <v>4360</v>
      </c>
      <c r="E170">
        <f t="shared" ref="E170:L170" si="8">+SUM(E115:E149)</f>
        <v>5020</v>
      </c>
      <c r="F170">
        <f t="shared" si="8"/>
        <v>5021</v>
      </c>
      <c r="G170">
        <f t="shared" si="8"/>
        <v>5324</v>
      </c>
      <c r="H170">
        <f t="shared" si="8"/>
        <v>4494</v>
      </c>
      <c r="I170">
        <f t="shared" si="8"/>
        <v>5520</v>
      </c>
      <c r="J170">
        <f t="shared" si="8"/>
        <v>0</v>
      </c>
      <c r="K170">
        <f t="shared" si="8"/>
        <v>29739</v>
      </c>
      <c r="L170">
        <f t="shared" si="8"/>
        <v>26830</v>
      </c>
      <c r="M170" s="92">
        <f t="shared" si="6"/>
        <v>0.90218231951309724</v>
      </c>
    </row>
    <row r="171" spans="1:13">
      <c r="C171" t="s">
        <v>437</v>
      </c>
      <c r="D171">
        <f>+SUM(D151:D165)</f>
        <v>2102</v>
      </c>
      <c r="E171">
        <f t="shared" ref="E171:L171" si="9">+SUM(E151:E165)</f>
        <v>0</v>
      </c>
      <c r="F171">
        <f t="shared" si="9"/>
        <v>1525</v>
      </c>
      <c r="G171">
        <f t="shared" si="9"/>
        <v>1656</v>
      </c>
      <c r="H171">
        <f t="shared" si="9"/>
        <v>0</v>
      </c>
      <c r="I171">
        <f t="shared" si="9"/>
        <v>0</v>
      </c>
      <c r="J171">
        <f t="shared" si="9"/>
        <v>0</v>
      </c>
      <c r="K171">
        <f t="shared" si="9"/>
        <v>5283</v>
      </c>
      <c r="L171">
        <f t="shared" si="9"/>
        <v>3544</v>
      </c>
      <c r="M171" s="92">
        <f t="shared" si="6"/>
        <v>0.67083096725345448</v>
      </c>
    </row>
    <row r="173" spans="1:13">
      <c r="D173">
        <f>+D170</f>
        <v>4360</v>
      </c>
      <c r="E173">
        <f t="shared" ref="E173:J173" si="10">+E170</f>
        <v>5020</v>
      </c>
      <c r="F173">
        <f t="shared" si="10"/>
        <v>5021</v>
      </c>
      <c r="G173">
        <f t="shared" si="10"/>
        <v>5324</v>
      </c>
      <c r="H173">
        <f t="shared" si="10"/>
        <v>4494</v>
      </c>
      <c r="I173">
        <f t="shared" si="10"/>
        <v>5520</v>
      </c>
      <c r="J173">
        <f t="shared" si="10"/>
        <v>0</v>
      </c>
    </row>
    <row r="174" spans="1:13">
      <c r="D174">
        <f>+D171</f>
        <v>2102</v>
      </c>
      <c r="E174">
        <f t="shared" ref="E174:J174" si="11">+E171</f>
        <v>0</v>
      </c>
      <c r="F174">
        <f t="shared" si="11"/>
        <v>1525</v>
      </c>
      <c r="G174">
        <f t="shared" si="11"/>
        <v>1656</v>
      </c>
      <c r="H174">
        <f t="shared" si="11"/>
        <v>0</v>
      </c>
      <c r="I174">
        <f t="shared" si="11"/>
        <v>0</v>
      </c>
      <c r="J174">
        <f t="shared" si="11"/>
        <v>0</v>
      </c>
    </row>
    <row r="175" spans="1:13">
      <c r="D175">
        <f>+D167</f>
        <v>460</v>
      </c>
      <c r="E175">
        <f t="shared" ref="E175:J175" si="12">+E167</f>
        <v>234</v>
      </c>
      <c r="F175">
        <f t="shared" si="12"/>
        <v>187</v>
      </c>
      <c r="G175">
        <f t="shared" si="12"/>
        <v>84</v>
      </c>
      <c r="H175">
        <f t="shared" si="12"/>
        <v>460</v>
      </c>
      <c r="I175">
        <f t="shared" si="12"/>
        <v>350</v>
      </c>
      <c r="J175">
        <f t="shared" si="12"/>
        <v>0</v>
      </c>
    </row>
    <row r="176" spans="1:13">
      <c r="D176">
        <f t="shared" ref="D176:J177" si="13">+D168</f>
        <v>3558</v>
      </c>
      <c r="E176">
        <f t="shared" si="13"/>
        <v>3128</v>
      </c>
      <c r="F176">
        <f t="shared" si="13"/>
        <v>1831</v>
      </c>
      <c r="G176">
        <f t="shared" si="13"/>
        <v>3572</v>
      </c>
      <c r="H176">
        <f t="shared" si="13"/>
        <v>1908</v>
      </c>
      <c r="I176">
        <f t="shared" si="13"/>
        <v>3528</v>
      </c>
      <c r="J176">
        <f t="shared" si="13"/>
        <v>0</v>
      </c>
    </row>
    <row r="177" spans="4:10">
      <c r="D177">
        <f t="shared" si="13"/>
        <v>5181</v>
      </c>
      <c r="E177">
        <f t="shared" si="13"/>
        <v>4749</v>
      </c>
      <c r="F177">
        <f t="shared" si="13"/>
        <v>4438</v>
      </c>
      <c r="G177">
        <f t="shared" si="13"/>
        <v>4516</v>
      </c>
      <c r="H177">
        <f t="shared" si="13"/>
        <v>5410</v>
      </c>
      <c r="I177">
        <f t="shared" si="13"/>
        <v>5745</v>
      </c>
      <c r="J177">
        <f t="shared" si="13"/>
        <v>0</v>
      </c>
    </row>
  </sheetData>
  <mergeCells count="3">
    <mergeCell ref="A7:A8"/>
    <mergeCell ref="K7:K8"/>
    <mergeCell ref="L7:L8"/>
  </mergeCells>
  <pageMargins left="0.69861111111111096" right="0.69861111111111096" top="0.75" bottom="0.75" header="0.3" footer="0.3"/>
  <pageSetup paperSize="9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8"/>
  <dimension ref="D3:Q43"/>
  <sheetViews>
    <sheetView topLeftCell="A18" zoomScale="85" zoomScaleNormal="85" workbookViewId="0">
      <selection activeCell="L14" sqref="L14"/>
    </sheetView>
  </sheetViews>
  <sheetFormatPr defaultColWidth="9.140625" defaultRowHeight="15"/>
  <cols>
    <col min="5" max="9" width="14.5703125" customWidth="1"/>
  </cols>
  <sheetData>
    <row r="3" spans="4:17">
      <c r="E3" s="71">
        <f ca="1">+NOW()-1</f>
        <v>44899.451593518519</v>
      </c>
      <c r="F3" s="72"/>
      <c r="G3" s="71"/>
      <c r="H3" s="71"/>
      <c r="I3" s="71"/>
    </row>
    <row r="4" spans="4:17" s="29" customFormat="1">
      <c r="D4" s="29" t="s">
        <v>438</v>
      </c>
      <c r="E4" t="s">
        <v>439</v>
      </c>
      <c r="F4" s="29" t="s">
        <v>440</v>
      </c>
      <c r="G4" s="29" t="s">
        <v>441</v>
      </c>
      <c r="H4" s="29" t="s">
        <v>442</v>
      </c>
      <c r="I4" s="29" t="s">
        <v>443</v>
      </c>
    </row>
    <row r="5" spans="4:17">
      <c r="D5" t="s">
        <v>433</v>
      </c>
      <c r="E5">
        <v>1243</v>
      </c>
      <c r="F5">
        <v>174</v>
      </c>
      <c r="G5">
        <f>+F5+E5</f>
        <v>1417</v>
      </c>
      <c r="H5" s="73">
        <v>0</v>
      </c>
      <c r="I5" s="73">
        <f>+G5-H5</f>
        <v>1417</v>
      </c>
      <c r="J5">
        <v>3580</v>
      </c>
    </row>
    <row r="6" spans="4:17">
      <c r="D6" t="s">
        <v>434</v>
      </c>
      <c r="E6">
        <v>14645</v>
      </c>
      <c r="F6">
        <v>994</v>
      </c>
      <c r="G6">
        <f t="shared" ref="G6:G10" si="0">+F6+E6</f>
        <v>15639</v>
      </c>
      <c r="H6" s="73">
        <v>1180</v>
      </c>
      <c r="I6">
        <f>+G6-H6</f>
        <v>14459</v>
      </c>
      <c r="J6">
        <v>18950</v>
      </c>
    </row>
    <row r="7" spans="4:17">
      <c r="D7" t="s">
        <v>435</v>
      </c>
      <c r="E7">
        <v>34927</v>
      </c>
      <c r="F7">
        <v>5702</v>
      </c>
      <c r="G7">
        <f t="shared" si="0"/>
        <v>40629</v>
      </c>
      <c r="H7" s="73">
        <f>+H16-H5-H6</f>
        <v>930</v>
      </c>
      <c r="I7">
        <f>+G7-H7</f>
        <v>39699</v>
      </c>
      <c r="J7">
        <v>40207</v>
      </c>
    </row>
    <row r="8" spans="4:17">
      <c r="D8" t="s">
        <v>436</v>
      </c>
      <c r="E8">
        <v>30257</v>
      </c>
      <c r="F8">
        <v>5286</v>
      </c>
      <c r="G8">
        <f t="shared" si="0"/>
        <v>35543</v>
      </c>
      <c r="H8" s="73">
        <f>+H15-H9</f>
        <v>3120</v>
      </c>
      <c r="I8">
        <f>+G8-H8</f>
        <v>32423</v>
      </c>
      <c r="J8">
        <v>13429</v>
      </c>
    </row>
    <row r="9" spans="4:17">
      <c r="D9" t="s">
        <v>437</v>
      </c>
      <c r="E9">
        <v>4567</v>
      </c>
      <c r="F9">
        <v>474</v>
      </c>
      <c r="G9">
        <f t="shared" si="0"/>
        <v>5041</v>
      </c>
      <c r="H9" s="73">
        <v>0</v>
      </c>
      <c r="I9">
        <f>+G9-H9</f>
        <v>5041</v>
      </c>
      <c r="J9">
        <v>4770</v>
      </c>
      <c r="Q9">
        <v>544</v>
      </c>
    </row>
    <row r="10" spans="4:17">
      <c r="D10" t="s">
        <v>383</v>
      </c>
      <c r="E10">
        <f>+SUM(E5:E9)</f>
        <v>85639</v>
      </c>
      <c r="F10">
        <f>+SUM(F5:F9)</f>
        <v>12630</v>
      </c>
      <c r="G10">
        <f t="shared" si="0"/>
        <v>98269</v>
      </c>
      <c r="H10">
        <f>+SUM(H5:H9)</f>
        <v>5230</v>
      </c>
      <c r="I10">
        <f>+SUM(I5:I9)</f>
        <v>93039</v>
      </c>
      <c r="P10">
        <v>40</v>
      </c>
      <c r="Q10">
        <v>379</v>
      </c>
    </row>
    <row r="11" spans="4:17">
      <c r="I11" s="62">
        <f>+I10/95000</f>
        <v>0.97935789473684209</v>
      </c>
      <c r="P11">
        <v>23</v>
      </c>
      <c r="Q11">
        <v>270</v>
      </c>
    </row>
    <row r="12" spans="4:17">
      <c r="P12">
        <f>+P11+P10</f>
        <v>63</v>
      </c>
      <c r="Q12">
        <f>+Q11+Q10</f>
        <v>649</v>
      </c>
    </row>
    <row r="13" spans="4:17">
      <c r="P13">
        <f>+P12*24</f>
        <v>1512</v>
      </c>
    </row>
    <row r="14" spans="4:17">
      <c r="P14">
        <f>+P13/50</f>
        <v>30.24</v>
      </c>
    </row>
    <row r="15" spans="4:17">
      <c r="H15">
        <v>3120</v>
      </c>
      <c r="M15" t="s">
        <v>444</v>
      </c>
      <c r="N15">
        <v>335.75</v>
      </c>
      <c r="Q15">
        <v>173</v>
      </c>
    </row>
    <row r="16" spans="4:17">
      <c r="H16">
        <v>2110</v>
      </c>
      <c r="M16" t="s">
        <v>445</v>
      </c>
      <c r="N16">
        <v>0</v>
      </c>
      <c r="Q16">
        <v>509</v>
      </c>
    </row>
    <row r="17" spans="5:17">
      <c r="E17">
        <v>63.54</v>
      </c>
      <c r="H17">
        <f>+SUM(H15:H16)</f>
        <v>5230</v>
      </c>
      <c r="I17">
        <f>4561-550</f>
        <v>4011</v>
      </c>
      <c r="L17" t="s">
        <v>446</v>
      </c>
      <c r="Q17">
        <v>1193</v>
      </c>
    </row>
    <row r="18" spans="5:17">
      <c r="E18">
        <v>42.38</v>
      </c>
      <c r="H18" s="73">
        <f>+H16</f>
        <v>2110</v>
      </c>
      <c r="I18">
        <f>13112-4561</f>
        <v>8551</v>
      </c>
      <c r="Q18">
        <v>422</v>
      </c>
    </row>
    <row r="19" spans="5:17">
      <c r="E19">
        <v>90</v>
      </c>
      <c r="Q19">
        <v>421</v>
      </c>
    </row>
    <row r="20" spans="5:17">
      <c r="E20">
        <f>+AVERAGE(E17:E19)</f>
        <v>65.306666666666672</v>
      </c>
      <c r="P20">
        <f>2431-843</f>
        <v>1588</v>
      </c>
    </row>
    <row r="21" spans="5:17">
      <c r="I21" t="s">
        <v>446</v>
      </c>
      <c r="M21">
        <v>544</v>
      </c>
      <c r="Q21">
        <v>633</v>
      </c>
    </row>
    <row r="22" spans="5:17">
      <c r="M22">
        <v>649</v>
      </c>
      <c r="Q22">
        <v>504</v>
      </c>
    </row>
    <row r="23" spans="5:17">
      <c r="E23">
        <v>38.25</v>
      </c>
      <c r="M23">
        <v>92</v>
      </c>
      <c r="P23">
        <f>424+500+50</f>
        <v>974</v>
      </c>
      <c r="Q23">
        <f>SUM(Q21:Q22)</f>
        <v>1137</v>
      </c>
    </row>
    <row r="24" spans="5:17">
      <c r="M24">
        <f>+SUM(M21:M23)</f>
        <v>1285</v>
      </c>
      <c r="P24" s="74">
        <f>+P23-801</f>
        <v>173</v>
      </c>
      <c r="Q24">
        <f>798-287</f>
        <v>511</v>
      </c>
    </row>
    <row r="25" spans="5:17">
      <c r="M25">
        <f>4380-M24</f>
        <v>3095</v>
      </c>
      <c r="Q25">
        <f>+Q23-Q24</f>
        <v>626</v>
      </c>
    </row>
    <row r="43" spans="8:8">
      <c r="H4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L174"/>
  <sheetViews>
    <sheetView topLeftCell="A5" zoomScale="115" zoomScaleNormal="115" workbookViewId="0">
      <selection activeCell="B19" sqref="B19"/>
    </sheetView>
  </sheetViews>
  <sheetFormatPr defaultColWidth="9" defaultRowHeight="15"/>
  <cols>
    <col min="1" max="1" width="9" customWidth="1"/>
    <col min="2" max="2" width="11.140625" customWidth="1"/>
    <col min="3" max="3" width="11.5703125" customWidth="1"/>
    <col min="4" max="4" width="9" customWidth="1"/>
    <col min="5" max="5" width="10.5703125" customWidth="1"/>
    <col min="6" max="6" width="10.140625" customWidth="1"/>
    <col min="7" max="7" width="9" customWidth="1"/>
    <col min="8" max="8" width="6" customWidth="1"/>
    <col min="9" max="12" width="10.28515625" customWidth="1"/>
    <col min="15" max="15" width="12.28515625" customWidth="1"/>
  </cols>
  <sheetData>
    <row r="1" spans="1:12">
      <c r="J1" s="65"/>
    </row>
    <row r="2" spans="1:12">
      <c r="J2" s="66"/>
    </row>
    <row r="3" spans="1:12">
      <c r="H3" s="58"/>
      <c r="I3" s="58"/>
      <c r="J3" s="65">
        <v>-300</v>
      </c>
      <c r="K3" s="58">
        <f>+J3*-1</f>
        <v>300</v>
      </c>
      <c r="L3" s="58"/>
    </row>
    <row r="4" spans="1:12">
      <c r="C4" s="58" t="s">
        <v>447</v>
      </c>
      <c r="D4" s="332" t="s">
        <v>448</v>
      </c>
      <c r="E4" s="58" t="s">
        <v>449</v>
      </c>
      <c r="H4" s="59"/>
      <c r="J4" s="66">
        <v>-2283</v>
      </c>
      <c r="K4" s="58">
        <f t="shared" ref="K4:K67" si="0">+J4*-1</f>
        <v>2283</v>
      </c>
      <c r="L4" s="59"/>
    </row>
    <row r="5" spans="1:12">
      <c r="C5" t="s">
        <v>450</v>
      </c>
      <c r="D5">
        <v>850</v>
      </c>
      <c r="E5" s="3">
        <f>+D5*24</f>
        <v>20400</v>
      </c>
      <c r="H5" s="59"/>
      <c r="J5" s="65">
        <v>-1080</v>
      </c>
      <c r="K5" s="58">
        <f t="shared" si="0"/>
        <v>1080</v>
      </c>
      <c r="L5" s="59"/>
    </row>
    <row r="6" spans="1:12">
      <c r="C6" t="s">
        <v>451</v>
      </c>
      <c r="D6">
        <v>833</v>
      </c>
      <c r="E6" s="3">
        <f t="shared" ref="E6:E25" si="1">+D6*24</f>
        <v>19992</v>
      </c>
      <c r="H6" s="59"/>
      <c r="J6" s="66"/>
      <c r="K6" s="58">
        <f t="shared" si="0"/>
        <v>0</v>
      </c>
      <c r="L6" s="59"/>
    </row>
    <row r="7" spans="1:12">
      <c r="C7" t="s">
        <v>452</v>
      </c>
      <c r="D7">
        <v>815</v>
      </c>
      <c r="E7" s="3">
        <f t="shared" si="1"/>
        <v>19560</v>
      </c>
      <c r="H7" s="59"/>
      <c r="J7" s="65"/>
      <c r="K7" s="58">
        <f t="shared" si="0"/>
        <v>0</v>
      </c>
      <c r="L7" s="59"/>
    </row>
    <row r="8" spans="1:12">
      <c r="C8" t="s">
        <v>453</v>
      </c>
      <c r="D8">
        <v>798</v>
      </c>
      <c r="E8" s="3">
        <f t="shared" si="1"/>
        <v>19152</v>
      </c>
      <c r="H8" s="59"/>
      <c r="J8" s="66"/>
      <c r="K8" s="58">
        <f t="shared" si="0"/>
        <v>0</v>
      </c>
      <c r="L8" s="59"/>
    </row>
    <row r="9" spans="1:12">
      <c r="A9" s="60">
        <f>10309/E9</f>
        <v>0.55069444444444449</v>
      </c>
      <c r="B9" s="61">
        <f>12457/E9</f>
        <v>0.66543803418803416</v>
      </c>
      <c r="C9" t="s">
        <v>454</v>
      </c>
      <c r="D9">
        <v>780</v>
      </c>
      <c r="E9" s="3">
        <f t="shared" si="1"/>
        <v>18720</v>
      </c>
      <c r="J9" s="65"/>
      <c r="K9" s="58">
        <f t="shared" si="0"/>
        <v>0</v>
      </c>
    </row>
    <row r="10" spans="1:12">
      <c r="A10" s="60"/>
      <c r="C10" t="s">
        <v>455</v>
      </c>
      <c r="D10">
        <v>763</v>
      </c>
      <c r="E10" s="3">
        <f t="shared" si="1"/>
        <v>18312</v>
      </c>
      <c r="J10" s="66"/>
      <c r="K10" s="58">
        <f t="shared" si="0"/>
        <v>0</v>
      </c>
    </row>
    <row r="11" spans="1:12">
      <c r="A11" s="60"/>
      <c r="C11" t="s">
        <v>456</v>
      </c>
      <c r="D11">
        <v>745</v>
      </c>
      <c r="E11" s="3">
        <f t="shared" si="1"/>
        <v>17880</v>
      </c>
      <c r="H11" s="59"/>
      <c r="I11" s="67"/>
      <c r="J11" s="65"/>
      <c r="K11" s="58">
        <f t="shared" si="0"/>
        <v>0</v>
      </c>
    </row>
    <row r="12" spans="1:12">
      <c r="A12" s="60"/>
      <c r="B12" s="61">
        <f>15224/E12</f>
        <v>0.87133699633699635</v>
      </c>
      <c r="C12" t="s">
        <v>457</v>
      </c>
      <c r="D12">
        <v>728</v>
      </c>
      <c r="E12" s="3">
        <f t="shared" si="1"/>
        <v>17472</v>
      </c>
      <c r="F12" s="62"/>
      <c r="G12" s="60"/>
      <c r="H12" s="59"/>
      <c r="I12" s="68"/>
      <c r="J12" s="66"/>
      <c r="K12" s="58">
        <f t="shared" si="0"/>
        <v>0</v>
      </c>
    </row>
    <row r="13" spans="1:12">
      <c r="A13" s="60"/>
      <c r="B13" s="61">
        <f>15950/E13</f>
        <v>0.93603286384976525</v>
      </c>
      <c r="C13" t="s">
        <v>458</v>
      </c>
      <c r="D13">
        <v>710</v>
      </c>
      <c r="E13" s="3">
        <f t="shared" si="1"/>
        <v>17040</v>
      </c>
      <c r="G13" s="60"/>
      <c r="H13" s="59"/>
      <c r="I13" s="59"/>
      <c r="J13" s="65"/>
      <c r="K13" s="58">
        <f t="shared" si="0"/>
        <v>0</v>
      </c>
    </row>
    <row r="14" spans="1:12">
      <c r="A14" s="60"/>
      <c r="B14" s="61">
        <f>16128/E14</f>
        <v>0.96969696969696972</v>
      </c>
      <c r="C14" t="s">
        <v>459</v>
      </c>
      <c r="D14">
        <v>693</v>
      </c>
      <c r="E14" s="3">
        <f t="shared" si="1"/>
        <v>16632</v>
      </c>
      <c r="F14" s="60"/>
      <c r="H14" s="59"/>
      <c r="I14" s="59"/>
      <c r="J14" s="66"/>
      <c r="K14" s="58">
        <f t="shared" si="0"/>
        <v>0</v>
      </c>
    </row>
    <row r="15" spans="1:12">
      <c r="A15" s="60"/>
      <c r="B15" s="61">
        <f>3940/F15</f>
        <v>0.72962962962962963</v>
      </c>
      <c r="C15" t="s">
        <v>460</v>
      </c>
      <c r="D15">
        <v>675</v>
      </c>
      <c r="E15" s="3">
        <f t="shared" si="1"/>
        <v>16200</v>
      </c>
      <c r="F15">
        <f>+D15*8</f>
        <v>5400</v>
      </c>
      <c r="H15" s="59"/>
      <c r="I15" s="59"/>
      <c r="J15" s="65"/>
      <c r="K15" s="58">
        <f t="shared" si="0"/>
        <v>0</v>
      </c>
    </row>
    <row r="16" spans="1:12">
      <c r="A16" s="60"/>
      <c r="B16" s="61">
        <f>13901/E16</f>
        <v>0.88025582573454919</v>
      </c>
      <c r="C16" t="s">
        <v>461</v>
      </c>
      <c r="D16">
        <v>658</v>
      </c>
      <c r="E16" s="3">
        <f t="shared" si="1"/>
        <v>15792</v>
      </c>
      <c r="H16" s="59"/>
      <c r="I16" s="59"/>
      <c r="J16" s="66"/>
      <c r="K16" s="58">
        <f t="shared" si="0"/>
        <v>0</v>
      </c>
    </row>
    <row r="17" spans="1:11">
      <c r="A17" s="60"/>
      <c r="B17" s="61">
        <f>14632/E17</f>
        <v>0.9526041666666667</v>
      </c>
      <c r="C17" t="s">
        <v>462</v>
      </c>
      <c r="D17">
        <v>640</v>
      </c>
      <c r="E17" s="3">
        <f t="shared" si="1"/>
        <v>15360</v>
      </c>
      <c r="G17" s="62"/>
      <c r="H17" s="59"/>
      <c r="I17" s="59"/>
      <c r="J17" s="65"/>
      <c r="K17" s="58">
        <f t="shared" si="0"/>
        <v>0</v>
      </c>
    </row>
    <row r="18" spans="1:11">
      <c r="A18" s="60"/>
      <c r="B18" s="61">
        <f>12630/E18</f>
        <v>0.8447030497592295</v>
      </c>
      <c r="C18" t="s">
        <v>463</v>
      </c>
      <c r="D18">
        <v>623</v>
      </c>
      <c r="E18" s="3">
        <f t="shared" si="1"/>
        <v>14952</v>
      </c>
      <c r="G18">
        <v>12337</v>
      </c>
      <c r="H18" s="59"/>
      <c r="I18" s="59"/>
      <c r="J18" s="66"/>
      <c r="K18" s="58">
        <f t="shared" si="0"/>
        <v>0</v>
      </c>
    </row>
    <row r="19" spans="1:11">
      <c r="B19" s="61">
        <f>14473/E19</f>
        <v>0.99676308539944902</v>
      </c>
      <c r="C19" t="s">
        <v>464</v>
      </c>
      <c r="D19">
        <v>605</v>
      </c>
      <c r="E19" s="3">
        <f t="shared" si="1"/>
        <v>14520</v>
      </c>
      <c r="G19">
        <v>11404</v>
      </c>
      <c r="H19" s="59"/>
      <c r="I19" s="59"/>
      <c r="J19" s="65"/>
      <c r="K19" s="58">
        <f t="shared" si="0"/>
        <v>0</v>
      </c>
    </row>
    <row r="20" spans="1:11">
      <c r="A20" s="60"/>
      <c r="B20" s="60">
        <f>12267/E20</f>
        <v>0.86926020408163263</v>
      </c>
      <c r="C20" t="s">
        <v>465</v>
      </c>
      <c r="D20">
        <v>588</v>
      </c>
      <c r="E20" s="3">
        <f t="shared" si="1"/>
        <v>14112</v>
      </c>
      <c r="F20" s="60"/>
      <c r="G20">
        <v>9315</v>
      </c>
      <c r="H20" s="59"/>
      <c r="I20" s="59"/>
      <c r="J20" s="66"/>
      <c r="K20" s="58">
        <f t="shared" si="0"/>
        <v>0</v>
      </c>
    </row>
    <row r="21" spans="1:11">
      <c r="A21" s="60"/>
      <c r="B21" s="61">
        <f>11167/E21</f>
        <v>0.81630116959064325</v>
      </c>
      <c r="C21" t="s">
        <v>466</v>
      </c>
      <c r="D21">
        <v>570</v>
      </c>
      <c r="E21" s="3">
        <f t="shared" si="1"/>
        <v>13680</v>
      </c>
      <c r="G21">
        <v>3794</v>
      </c>
      <c r="H21" s="59"/>
      <c r="I21" s="59"/>
      <c r="J21" s="65"/>
      <c r="K21" s="58">
        <f t="shared" si="0"/>
        <v>0</v>
      </c>
    </row>
    <row r="22" spans="1:11">
      <c r="A22" s="60"/>
      <c r="B22" s="61">
        <f>12818/E22</f>
        <v>0.96579264617239302</v>
      </c>
      <c r="C22" t="s">
        <v>467</v>
      </c>
      <c r="D22">
        <v>553</v>
      </c>
      <c r="E22" s="3">
        <f t="shared" si="1"/>
        <v>13272</v>
      </c>
      <c r="F22" s="60"/>
      <c r="G22">
        <v>13993</v>
      </c>
      <c r="H22" s="59"/>
      <c r="I22" s="59"/>
      <c r="J22" s="66"/>
      <c r="K22" s="58">
        <f t="shared" si="0"/>
        <v>0</v>
      </c>
    </row>
    <row r="23" spans="1:11">
      <c r="A23" s="63"/>
      <c r="B23" s="61">
        <f>12624/E23</f>
        <v>0.98317757009345796</v>
      </c>
      <c r="C23" s="333" t="s">
        <v>468</v>
      </c>
      <c r="D23">
        <v>535</v>
      </c>
      <c r="E23" s="3">
        <f t="shared" si="1"/>
        <v>12840</v>
      </c>
      <c r="G23">
        <v>14175</v>
      </c>
      <c r="H23" s="59"/>
      <c r="I23" s="59"/>
      <c r="J23" s="65"/>
      <c r="K23" s="58">
        <f t="shared" si="0"/>
        <v>0</v>
      </c>
    </row>
    <row r="24" spans="1:11">
      <c r="A24" s="60"/>
      <c r="B24" s="64">
        <f>11283/E24</f>
        <v>0.90757722007722008</v>
      </c>
      <c r="C24" s="333" t="s">
        <v>469</v>
      </c>
      <c r="D24">
        <v>518</v>
      </c>
      <c r="E24" s="3">
        <f t="shared" si="1"/>
        <v>12432</v>
      </c>
      <c r="G24">
        <f>57207+12392</f>
        <v>69599</v>
      </c>
      <c r="H24" s="59"/>
      <c r="I24" s="59"/>
      <c r="J24" s="66"/>
      <c r="K24" s="58">
        <f t="shared" si="0"/>
        <v>0</v>
      </c>
    </row>
    <row r="25" spans="1:11">
      <c r="A25" s="60"/>
      <c r="B25" s="61">
        <f>9488/E25</f>
        <v>0.79066666666666663</v>
      </c>
      <c r="C25" t="s">
        <v>470</v>
      </c>
      <c r="D25">
        <v>500</v>
      </c>
      <c r="E25" s="3">
        <f t="shared" si="1"/>
        <v>12000</v>
      </c>
      <c r="G25">
        <v>12254</v>
      </c>
      <c r="H25" s="59"/>
      <c r="I25" s="59"/>
      <c r="J25" s="65">
        <v>-300</v>
      </c>
      <c r="K25" s="58">
        <f t="shared" si="0"/>
        <v>300</v>
      </c>
    </row>
    <row r="26" spans="1:11">
      <c r="G26">
        <v>13315</v>
      </c>
      <c r="H26" s="59"/>
      <c r="I26" s="59"/>
      <c r="J26" s="66">
        <v>-300</v>
      </c>
      <c r="K26" s="58">
        <f t="shared" si="0"/>
        <v>300</v>
      </c>
    </row>
    <row r="27" spans="1:11">
      <c r="E27" s="3">
        <f>292711+12624</f>
        <v>305335</v>
      </c>
      <c r="G27">
        <v>13102</v>
      </c>
      <c r="H27" s="59"/>
      <c r="I27" s="59"/>
      <c r="J27" s="65"/>
      <c r="K27" s="58">
        <f t="shared" si="0"/>
        <v>0</v>
      </c>
    </row>
    <row r="28" spans="1:11">
      <c r="E28">
        <v>16528</v>
      </c>
      <c r="G28">
        <v>11415</v>
      </c>
      <c r="H28" s="59"/>
      <c r="I28" s="59"/>
      <c r="J28" s="66">
        <v>-1740</v>
      </c>
      <c r="K28" s="58">
        <f t="shared" si="0"/>
        <v>1740</v>
      </c>
    </row>
    <row r="29" spans="1:11">
      <c r="G29">
        <v>10182</v>
      </c>
      <c r="H29" s="59"/>
      <c r="I29" s="59"/>
      <c r="J29" s="65"/>
      <c r="K29" s="58">
        <f t="shared" si="0"/>
        <v>0</v>
      </c>
    </row>
    <row r="30" spans="1:11">
      <c r="G30" s="60">
        <v>11042</v>
      </c>
      <c r="H30" s="59"/>
      <c r="I30" s="59"/>
      <c r="J30" s="66"/>
      <c r="K30" s="58">
        <f t="shared" si="0"/>
        <v>0</v>
      </c>
    </row>
    <row r="31" spans="1:11">
      <c r="G31">
        <v>13003</v>
      </c>
      <c r="H31" s="59"/>
      <c r="I31" s="59"/>
      <c r="J31" s="65"/>
      <c r="K31" s="58">
        <f t="shared" si="0"/>
        <v>0</v>
      </c>
    </row>
    <row r="32" spans="1:11">
      <c r="G32">
        <v>13069</v>
      </c>
      <c r="H32" s="59"/>
      <c r="I32" s="59"/>
      <c r="J32" s="66"/>
      <c r="K32" s="58">
        <f t="shared" si="0"/>
        <v>0</v>
      </c>
    </row>
    <row r="33" spans="7:11">
      <c r="G33">
        <v>13697</v>
      </c>
      <c r="J33" s="65"/>
      <c r="K33" s="58">
        <f t="shared" si="0"/>
        <v>0</v>
      </c>
    </row>
    <row r="34" spans="7:11">
      <c r="G34">
        <v>13579</v>
      </c>
      <c r="J34" s="66">
        <v>-780</v>
      </c>
      <c r="K34" s="58">
        <f t="shared" si="0"/>
        <v>780</v>
      </c>
    </row>
    <row r="35" spans="7:11">
      <c r="G35">
        <v>12032</v>
      </c>
      <c r="J35" s="65"/>
      <c r="K35" s="58">
        <f t="shared" si="0"/>
        <v>0</v>
      </c>
    </row>
    <row r="36" spans="7:11">
      <c r="G36">
        <v>14347</v>
      </c>
      <c r="J36" s="66"/>
      <c r="K36" s="58">
        <f t="shared" si="0"/>
        <v>0</v>
      </c>
    </row>
    <row r="37" spans="7:11">
      <c r="G37">
        <v>11645</v>
      </c>
      <c r="J37" s="65"/>
      <c r="K37" s="58">
        <f t="shared" si="0"/>
        <v>0</v>
      </c>
    </row>
    <row r="38" spans="7:11">
      <c r="G38">
        <v>13251</v>
      </c>
      <c r="J38" s="66"/>
      <c r="K38" s="58">
        <f t="shared" si="0"/>
        <v>0</v>
      </c>
    </row>
    <row r="39" spans="7:11">
      <c r="G39">
        <v>13970</v>
      </c>
      <c r="J39" s="65"/>
      <c r="K39" s="58">
        <f t="shared" si="0"/>
        <v>0</v>
      </c>
    </row>
    <row r="40" spans="7:11">
      <c r="J40" s="66"/>
      <c r="K40" s="58">
        <f t="shared" si="0"/>
        <v>0</v>
      </c>
    </row>
    <row r="41" spans="7:11">
      <c r="J41" s="65"/>
      <c r="K41" s="58">
        <f t="shared" si="0"/>
        <v>0</v>
      </c>
    </row>
    <row r="42" spans="7:11">
      <c r="J42" s="66"/>
      <c r="K42" s="58">
        <f t="shared" si="0"/>
        <v>0</v>
      </c>
    </row>
    <row r="43" spans="7:11">
      <c r="J43" s="65"/>
      <c r="K43" s="58">
        <f t="shared" si="0"/>
        <v>0</v>
      </c>
    </row>
    <row r="44" spans="7:11">
      <c r="J44" s="66"/>
      <c r="K44" s="58">
        <f t="shared" si="0"/>
        <v>0</v>
      </c>
    </row>
    <row r="45" spans="7:11">
      <c r="J45" s="65"/>
      <c r="K45" s="58">
        <f t="shared" si="0"/>
        <v>0</v>
      </c>
    </row>
    <row r="46" spans="7:11">
      <c r="J46" s="66"/>
      <c r="K46" s="58">
        <f t="shared" si="0"/>
        <v>0</v>
      </c>
    </row>
    <row r="47" spans="7:11">
      <c r="J47" s="65"/>
      <c r="K47" s="58">
        <f t="shared" si="0"/>
        <v>0</v>
      </c>
    </row>
    <row r="48" spans="7:11">
      <c r="J48" s="65"/>
      <c r="K48" s="58">
        <f t="shared" si="0"/>
        <v>0</v>
      </c>
    </row>
    <row r="49" spans="10:11">
      <c r="J49" s="66">
        <v>-1440</v>
      </c>
      <c r="K49" s="58">
        <f t="shared" si="0"/>
        <v>1440</v>
      </c>
    </row>
    <row r="50" spans="10:11">
      <c r="J50" s="65"/>
      <c r="K50" s="58">
        <f t="shared" si="0"/>
        <v>0</v>
      </c>
    </row>
    <row r="51" spans="10:11">
      <c r="J51" s="65"/>
      <c r="K51" s="58">
        <f t="shared" si="0"/>
        <v>0</v>
      </c>
    </row>
    <row r="52" spans="10:11">
      <c r="J52" s="66"/>
      <c r="K52" s="58">
        <f t="shared" si="0"/>
        <v>0</v>
      </c>
    </row>
    <row r="53" spans="10:11">
      <c r="J53" s="65"/>
      <c r="K53" s="58">
        <f t="shared" si="0"/>
        <v>0</v>
      </c>
    </row>
    <row r="54" spans="10:11">
      <c r="J54" s="66"/>
      <c r="K54" s="58">
        <f t="shared" si="0"/>
        <v>0</v>
      </c>
    </row>
    <row r="55" spans="10:11">
      <c r="J55" s="65"/>
      <c r="K55" s="58">
        <f t="shared" si="0"/>
        <v>0</v>
      </c>
    </row>
    <row r="56" spans="10:11">
      <c r="J56" s="66"/>
      <c r="K56" s="58">
        <f t="shared" si="0"/>
        <v>0</v>
      </c>
    </row>
    <row r="57" spans="10:11">
      <c r="J57" s="65"/>
      <c r="K57" s="58">
        <f t="shared" si="0"/>
        <v>0</v>
      </c>
    </row>
    <row r="58" spans="10:11">
      <c r="J58" s="66"/>
      <c r="K58" s="58">
        <f t="shared" si="0"/>
        <v>0</v>
      </c>
    </row>
    <row r="59" spans="10:11">
      <c r="J59" s="65"/>
      <c r="K59" s="58">
        <f t="shared" si="0"/>
        <v>0</v>
      </c>
    </row>
    <row r="60" spans="10:11">
      <c r="J60" s="66"/>
      <c r="K60" s="58">
        <f t="shared" si="0"/>
        <v>0</v>
      </c>
    </row>
    <row r="61" spans="10:11">
      <c r="J61" s="69"/>
      <c r="K61" s="58">
        <f t="shared" si="0"/>
        <v>0</v>
      </c>
    </row>
    <row r="62" spans="10:11">
      <c r="J62" s="65"/>
      <c r="K62" s="58">
        <f t="shared" si="0"/>
        <v>0</v>
      </c>
    </row>
    <row r="63" spans="10:11">
      <c r="J63" s="66">
        <v>-255</v>
      </c>
      <c r="K63" s="58">
        <f t="shared" si="0"/>
        <v>255</v>
      </c>
    </row>
    <row r="64" spans="10:11">
      <c r="J64" s="65"/>
      <c r="K64" s="58">
        <f t="shared" si="0"/>
        <v>0</v>
      </c>
    </row>
    <row r="65" spans="10:11">
      <c r="J65" s="66"/>
      <c r="K65" s="58">
        <f t="shared" si="0"/>
        <v>0</v>
      </c>
    </row>
    <row r="66" spans="10:11">
      <c r="J66" s="65"/>
      <c r="K66" s="58">
        <f t="shared" si="0"/>
        <v>0</v>
      </c>
    </row>
    <row r="67" spans="10:11">
      <c r="J67" s="66"/>
      <c r="K67" s="58">
        <f t="shared" si="0"/>
        <v>0</v>
      </c>
    </row>
    <row r="68" spans="10:11">
      <c r="J68" s="66"/>
      <c r="K68" s="58">
        <f t="shared" ref="K68:K131" si="2">+J68*-1</f>
        <v>0</v>
      </c>
    </row>
    <row r="69" spans="10:11">
      <c r="J69" s="65"/>
      <c r="K69" s="58">
        <f t="shared" si="2"/>
        <v>0</v>
      </c>
    </row>
    <row r="70" spans="10:11">
      <c r="J70" s="66"/>
      <c r="K70" s="58">
        <f t="shared" si="2"/>
        <v>0</v>
      </c>
    </row>
    <row r="71" spans="10:11">
      <c r="J71" s="65"/>
      <c r="K71" s="58">
        <f t="shared" si="2"/>
        <v>0</v>
      </c>
    </row>
    <row r="72" spans="10:11">
      <c r="J72" s="66"/>
      <c r="K72" s="58">
        <f t="shared" si="2"/>
        <v>0</v>
      </c>
    </row>
    <row r="73" spans="10:11">
      <c r="J73" s="65"/>
      <c r="K73" s="58">
        <f t="shared" si="2"/>
        <v>0</v>
      </c>
    </row>
    <row r="74" spans="10:11">
      <c r="J74" s="66"/>
      <c r="K74" s="58">
        <f t="shared" si="2"/>
        <v>0</v>
      </c>
    </row>
    <row r="75" spans="10:11">
      <c r="J75" s="65"/>
      <c r="K75" s="58">
        <f t="shared" si="2"/>
        <v>0</v>
      </c>
    </row>
    <row r="76" spans="10:11">
      <c r="J76" s="66"/>
      <c r="K76" s="58">
        <f t="shared" si="2"/>
        <v>0</v>
      </c>
    </row>
    <row r="77" spans="10:11">
      <c r="J77" s="65"/>
      <c r="K77" s="58">
        <f t="shared" si="2"/>
        <v>0</v>
      </c>
    </row>
    <row r="78" spans="10:11">
      <c r="J78" s="66">
        <v>-2138</v>
      </c>
      <c r="K78" s="58">
        <f t="shared" si="2"/>
        <v>2138</v>
      </c>
    </row>
    <row r="79" spans="10:11">
      <c r="J79" s="65">
        <v>-2948</v>
      </c>
      <c r="K79" s="58">
        <f t="shared" si="2"/>
        <v>2948</v>
      </c>
    </row>
    <row r="80" spans="10:11">
      <c r="J80" s="66">
        <v>-1920</v>
      </c>
      <c r="K80" s="58">
        <f t="shared" si="2"/>
        <v>1920</v>
      </c>
    </row>
    <row r="81" spans="10:11">
      <c r="J81" s="65">
        <v>-901</v>
      </c>
      <c r="K81" s="58">
        <f t="shared" si="2"/>
        <v>901</v>
      </c>
    </row>
    <row r="82" spans="10:11">
      <c r="J82" s="66"/>
      <c r="K82" s="58">
        <f t="shared" si="2"/>
        <v>0</v>
      </c>
    </row>
    <row r="83" spans="10:11">
      <c r="J83" s="65"/>
      <c r="K83" s="58">
        <f t="shared" si="2"/>
        <v>0</v>
      </c>
    </row>
    <row r="84" spans="10:11">
      <c r="J84" s="66"/>
      <c r="K84" s="58">
        <f t="shared" si="2"/>
        <v>0</v>
      </c>
    </row>
    <row r="85" spans="10:11">
      <c r="J85" s="65"/>
      <c r="K85" s="58">
        <f t="shared" si="2"/>
        <v>0</v>
      </c>
    </row>
    <row r="86" spans="10:11">
      <c r="J86" s="66"/>
      <c r="K86" s="58">
        <f t="shared" si="2"/>
        <v>0</v>
      </c>
    </row>
    <row r="87" spans="10:11">
      <c r="J87" s="66"/>
      <c r="K87" s="58">
        <f t="shared" si="2"/>
        <v>0</v>
      </c>
    </row>
    <row r="88" spans="10:11" ht="15.75">
      <c r="J88" s="70"/>
      <c r="K88" s="58">
        <f t="shared" si="2"/>
        <v>0</v>
      </c>
    </row>
    <row r="89" spans="10:11">
      <c r="J89" s="65"/>
      <c r="K89" s="58">
        <f t="shared" si="2"/>
        <v>0</v>
      </c>
    </row>
    <row r="90" spans="10:11">
      <c r="J90" s="65">
        <v>-356</v>
      </c>
      <c r="K90" s="58">
        <f t="shared" si="2"/>
        <v>356</v>
      </c>
    </row>
    <row r="91" spans="10:11">
      <c r="J91" s="65"/>
      <c r="K91" s="58">
        <f t="shared" si="2"/>
        <v>0</v>
      </c>
    </row>
    <row r="92" spans="10:11">
      <c r="J92" s="65"/>
      <c r="K92" s="58">
        <f t="shared" si="2"/>
        <v>0</v>
      </c>
    </row>
    <row r="93" spans="10:11">
      <c r="J93" s="66"/>
      <c r="K93" s="58">
        <f t="shared" si="2"/>
        <v>0</v>
      </c>
    </row>
    <row r="94" spans="10:11">
      <c r="J94" s="65"/>
      <c r="K94" s="58">
        <f t="shared" si="2"/>
        <v>0</v>
      </c>
    </row>
    <row r="95" spans="10:11">
      <c r="J95" s="66"/>
      <c r="K95" s="58">
        <f t="shared" si="2"/>
        <v>0</v>
      </c>
    </row>
    <row r="96" spans="10:11">
      <c r="J96" s="65">
        <v>-3039</v>
      </c>
      <c r="K96" s="58">
        <f t="shared" si="2"/>
        <v>3039</v>
      </c>
    </row>
    <row r="97" spans="10:11">
      <c r="J97" s="66"/>
      <c r="K97" s="58">
        <f t="shared" si="2"/>
        <v>0</v>
      </c>
    </row>
    <row r="98" spans="10:11">
      <c r="J98" s="65"/>
      <c r="K98" s="58">
        <f t="shared" si="2"/>
        <v>0</v>
      </c>
    </row>
    <row r="99" spans="10:11">
      <c r="J99" s="65">
        <v>-900</v>
      </c>
      <c r="K99" s="58">
        <f t="shared" si="2"/>
        <v>900</v>
      </c>
    </row>
    <row r="100" spans="10:11">
      <c r="J100" s="66"/>
      <c r="K100" s="58">
        <f t="shared" si="2"/>
        <v>0</v>
      </c>
    </row>
    <row r="101" spans="10:11">
      <c r="J101" s="65"/>
      <c r="K101" s="58">
        <f t="shared" si="2"/>
        <v>0</v>
      </c>
    </row>
    <row r="102" spans="10:11">
      <c r="J102" s="65"/>
      <c r="K102" s="58">
        <f t="shared" si="2"/>
        <v>0</v>
      </c>
    </row>
    <row r="103" spans="10:11">
      <c r="J103" s="65"/>
      <c r="K103" s="58">
        <f t="shared" si="2"/>
        <v>0</v>
      </c>
    </row>
    <row r="104" spans="10:11">
      <c r="J104" s="66"/>
      <c r="K104" s="58">
        <f t="shared" si="2"/>
        <v>0</v>
      </c>
    </row>
    <row r="105" spans="10:11">
      <c r="J105" s="65"/>
      <c r="K105" s="58">
        <f t="shared" si="2"/>
        <v>0</v>
      </c>
    </row>
    <row r="106" spans="10:11">
      <c r="J106" s="65"/>
      <c r="K106" s="58">
        <f t="shared" si="2"/>
        <v>0</v>
      </c>
    </row>
    <row r="107" spans="10:11">
      <c r="J107" s="66"/>
      <c r="K107" s="58">
        <f t="shared" si="2"/>
        <v>0</v>
      </c>
    </row>
    <row r="108" spans="10:11">
      <c r="J108" s="66"/>
      <c r="K108" s="58">
        <f t="shared" si="2"/>
        <v>0</v>
      </c>
    </row>
    <row r="109" spans="10:11">
      <c r="J109" s="65"/>
      <c r="K109" s="58">
        <f t="shared" si="2"/>
        <v>0</v>
      </c>
    </row>
    <row r="110" spans="10:11">
      <c r="J110" s="66"/>
      <c r="K110" s="58">
        <f t="shared" si="2"/>
        <v>0</v>
      </c>
    </row>
    <row r="111" spans="10:11">
      <c r="J111" s="65"/>
      <c r="K111" s="58">
        <f t="shared" si="2"/>
        <v>0</v>
      </c>
    </row>
    <row r="112" spans="10:11">
      <c r="J112" s="66"/>
      <c r="K112" s="58">
        <f t="shared" si="2"/>
        <v>0</v>
      </c>
    </row>
    <row r="113" spans="10:11">
      <c r="J113" s="65">
        <v>-240</v>
      </c>
      <c r="K113" s="58">
        <f t="shared" si="2"/>
        <v>240</v>
      </c>
    </row>
    <row r="114" spans="10:11">
      <c r="J114" s="66"/>
      <c r="K114" s="58">
        <f t="shared" si="2"/>
        <v>0</v>
      </c>
    </row>
    <row r="115" spans="10:11">
      <c r="J115" s="65">
        <v>-2100</v>
      </c>
      <c r="K115" s="58">
        <f t="shared" si="2"/>
        <v>2100</v>
      </c>
    </row>
    <row r="116" spans="10:11">
      <c r="J116" s="66"/>
      <c r="K116" s="58">
        <f t="shared" si="2"/>
        <v>0</v>
      </c>
    </row>
    <row r="117" spans="10:11">
      <c r="J117" s="66">
        <v>-540</v>
      </c>
      <c r="K117" s="58">
        <f t="shared" si="2"/>
        <v>540</v>
      </c>
    </row>
    <row r="118" spans="10:11">
      <c r="J118" s="66">
        <v>-780</v>
      </c>
      <c r="K118" s="58">
        <f t="shared" si="2"/>
        <v>780</v>
      </c>
    </row>
    <row r="119" spans="10:11">
      <c r="J119" s="65"/>
      <c r="K119" s="58">
        <f t="shared" si="2"/>
        <v>0</v>
      </c>
    </row>
    <row r="120" spans="10:11">
      <c r="J120" s="66"/>
      <c r="K120" s="58">
        <f t="shared" si="2"/>
        <v>0</v>
      </c>
    </row>
    <row r="121" spans="10:11">
      <c r="J121" s="65">
        <v>-120</v>
      </c>
      <c r="K121" s="58">
        <f t="shared" si="2"/>
        <v>120</v>
      </c>
    </row>
    <row r="122" spans="10:11">
      <c r="J122" s="66"/>
      <c r="K122" s="58">
        <f t="shared" si="2"/>
        <v>0</v>
      </c>
    </row>
    <row r="123" spans="10:11">
      <c r="J123" s="65"/>
      <c r="K123" s="58">
        <f t="shared" si="2"/>
        <v>0</v>
      </c>
    </row>
    <row r="124" spans="10:11">
      <c r="J124" s="66"/>
      <c r="K124" s="58">
        <f t="shared" si="2"/>
        <v>0</v>
      </c>
    </row>
    <row r="125" spans="10:11">
      <c r="J125" s="65">
        <v>-208</v>
      </c>
      <c r="K125" s="58">
        <f t="shared" si="2"/>
        <v>208</v>
      </c>
    </row>
    <row r="126" spans="10:11">
      <c r="J126" s="66"/>
      <c r="K126" s="58">
        <f t="shared" si="2"/>
        <v>0</v>
      </c>
    </row>
    <row r="127" spans="10:11">
      <c r="J127" s="69"/>
      <c r="K127" s="58">
        <f t="shared" si="2"/>
        <v>0</v>
      </c>
    </row>
    <row r="128" spans="10:11">
      <c r="J128" s="65"/>
      <c r="K128" s="58">
        <f t="shared" si="2"/>
        <v>0</v>
      </c>
    </row>
    <row r="129" spans="10:11">
      <c r="J129" s="66">
        <v>-2340</v>
      </c>
      <c r="K129" s="58">
        <f t="shared" si="2"/>
        <v>2340</v>
      </c>
    </row>
    <row r="130" spans="10:11">
      <c r="J130" s="65"/>
      <c r="K130" s="58">
        <f t="shared" si="2"/>
        <v>0</v>
      </c>
    </row>
    <row r="131" spans="10:11">
      <c r="J131" s="66">
        <v>-2520</v>
      </c>
      <c r="K131" s="58">
        <f t="shared" si="2"/>
        <v>2520</v>
      </c>
    </row>
    <row r="132" spans="10:11">
      <c r="J132" s="65">
        <v>-2700</v>
      </c>
      <c r="K132" s="58">
        <f t="shared" ref="K132:K174" si="3">+J132*-1</f>
        <v>2700</v>
      </c>
    </row>
    <row r="133" spans="10:11">
      <c r="J133" s="66">
        <v>-4620</v>
      </c>
      <c r="K133" s="58">
        <f t="shared" si="3"/>
        <v>4620</v>
      </c>
    </row>
    <row r="134" spans="10:11">
      <c r="J134" s="65"/>
      <c r="K134" s="58">
        <f t="shared" si="3"/>
        <v>0</v>
      </c>
    </row>
    <row r="135" spans="10:11">
      <c r="J135" s="66">
        <v>-1560</v>
      </c>
      <c r="K135" s="58">
        <f t="shared" si="3"/>
        <v>1560</v>
      </c>
    </row>
    <row r="136" spans="10:11">
      <c r="J136" s="65"/>
      <c r="K136" s="58">
        <f t="shared" si="3"/>
        <v>0</v>
      </c>
    </row>
    <row r="137" spans="10:11">
      <c r="J137" s="66">
        <v>-1800</v>
      </c>
      <c r="K137" s="58">
        <f t="shared" si="3"/>
        <v>1800</v>
      </c>
    </row>
    <row r="138" spans="10:11">
      <c r="J138" s="65">
        <v>-3720</v>
      </c>
      <c r="K138" s="58">
        <f t="shared" si="3"/>
        <v>3720</v>
      </c>
    </row>
    <row r="139" spans="10:11">
      <c r="J139" s="66"/>
      <c r="K139" s="58">
        <f t="shared" si="3"/>
        <v>0</v>
      </c>
    </row>
    <row r="140" spans="10:11">
      <c r="J140" s="65">
        <v>-120</v>
      </c>
      <c r="K140" s="58">
        <f t="shared" si="3"/>
        <v>120</v>
      </c>
    </row>
    <row r="141" spans="10:11">
      <c r="J141" s="66">
        <v>-120</v>
      </c>
      <c r="K141" s="58">
        <f t="shared" si="3"/>
        <v>120</v>
      </c>
    </row>
    <row r="142" spans="10:11">
      <c r="J142" s="65"/>
      <c r="K142" s="58">
        <f t="shared" si="3"/>
        <v>0</v>
      </c>
    </row>
    <row r="143" spans="10:11">
      <c r="J143" s="66"/>
      <c r="K143" s="58">
        <f t="shared" si="3"/>
        <v>0</v>
      </c>
    </row>
    <row r="144" spans="10:11">
      <c r="J144" s="65"/>
      <c r="K144" s="58">
        <f t="shared" si="3"/>
        <v>0</v>
      </c>
    </row>
    <row r="145" spans="10:11">
      <c r="J145" s="65">
        <v>-840</v>
      </c>
      <c r="K145" s="58">
        <f t="shared" si="3"/>
        <v>840</v>
      </c>
    </row>
    <row r="146" spans="10:11">
      <c r="J146" s="65"/>
      <c r="K146" s="58">
        <f t="shared" si="3"/>
        <v>0</v>
      </c>
    </row>
    <row r="147" spans="10:11">
      <c r="J147" s="65"/>
      <c r="K147" s="58">
        <f t="shared" si="3"/>
        <v>0</v>
      </c>
    </row>
    <row r="148" spans="10:11">
      <c r="J148" s="65"/>
      <c r="K148" s="58">
        <f t="shared" si="3"/>
        <v>0</v>
      </c>
    </row>
    <row r="149" spans="10:11">
      <c r="J149" s="65"/>
      <c r="K149" s="58">
        <f t="shared" si="3"/>
        <v>0</v>
      </c>
    </row>
    <row r="150" spans="10:11">
      <c r="J150" s="65"/>
      <c r="K150" s="58">
        <f t="shared" si="3"/>
        <v>0</v>
      </c>
    </row>
    <row r="151" spans="10:11">
      <c r="J151" s="66">
        <v>-360</v>
      </c>
      <c r="K151" s="58">
        <f t="shared" si="3"/>
        <v>360</v>
      </c>
    </row>
    <row r="152" spans="10:11">
      <c r="J152" s="65"/>
      <c r="K152" s="58">
        <f t="shared" si="3"/>
        <v>0</v>
      </c>
    </row>
    <row r="153" spans="10:11">
      <c r="J153" s="66"/>
      <c r="K153" s="58">
        <f t="shared" si="3"/>
        <v>0</v>
      </c>
    </row>
    <row r="154" spans="10:11">
      <c r="J154" s="66"/>
      <c r="K154" s="58">
        <f t="shared" si="3"/>
        <v>0</v>
      </c>
    </row>
    <row r="155" spans="10:11">
      <c r="J155" s="69"/>
      <c r="K155" s="58">
        <f t="shared" si="3"/>
        <v>0</v>
      </c>
    </row>
    <row r="156" spans="10:11">
      <c r="J156" s="65">
        <v>-540</v>
      </c>
      <c r="K156" s="58">
        <f t="shared" si="3"/>
        <v>540</v>
      </c>
    </row>
    <row r="157" spans="10:11">
      <c r="J157" s="66">
        <v>-300</v>
      </c>
      <c r="K157" s="58">
        <f t="shared" si="3"/>
        <v>300</v>
      </c>
    </row>
    <row r="158" spans="10:11">
      <c r="J158" s="65"/>
      <c r="K158" s="58">
        <f t="shared" si="3"/>
        <v>0</v>
      </c>
    </row>
    <row r="159" spans="10:11">
      <c r="J159" s="66"/>
      <c r="K159" s="58">
        <f t="shared" si="3"/>
        <v>0</v>
      </c>
    </row>
    <row r="160" spans="10:11">
      <c r="J160" s="65"/>
      <c r="K160" s="58">
        <f t="shared" si="3"/>
        <v>0</v>
      </c>
    </row>
    <row r="161" spans="10:11">
      <c r="J161" s="66"/>
      <c r="K161" s="58">
        <f t="shared" si="3"/>
        <v>0</v>
      </c>
    </row>
    <row r="162" spans="10:11">
      <c r="J162" s="66"/>
      <c r="K162" s="58">
        <f t="shared" si="3"/>
        <v>0</v>
      </c>
    </row>
    <row r="163" spans="10:11">
      <c r="J163" s="65"/>
      <c r="K163" s="58">
        <f t="shared" si="3"/>
        <v>0</v>
      </c>
    </row>
    <row r="164" spans="10:11">
      <c r="J164" s="66"/>
      <c r="K164" s="58">
        <f t="shared" si="3"/>
        <v>0</v>
      </c>
    </row>
    <row r="165" spans="10:11">
      <c r="J165" s="65">
        <v>-165</v>
      </c>
      <c r="K165" s="58">
        <f t="shared" si="3"/>
        <v>165</v>
      </c>
    </row>
    <row r="166" spans="10:11">
      <c r="J166" s="66"/>
      <c r="K166" s="58">
        <f t="shared" si="3"/>
        <v>0</v>
      </c>
    </row>
    <row r="167" spans="10:11">
      <c r="J167" s="65">
        <v>-612</v>
      </c>
      <c r="K167" s="58">
        <f t="shared" si="3"/>
        <v>612</v>
      </c>
    </row>
    <row r="168" spans="10:11">
      <c r="J168" s="66"/>
      <c r="K168" s="58">
        <f t="shared" si="3"/>
        <v>0</v>
      </c>
    </row>
    <row r="169" spans="10:11">
      <c r="J169" s="65"/>
      <c r="K169" s="58">
        <f t="shared" si="3"/>
        <v>0</v>
      </c>
    </row>
    <row r="170" spans="10:11">
      <c r="J170" s="66"/>
      <c r="K170" s="58">
        <f t="shared" si="3"/>
        <v>0</v>
      </c>
    </row>
    <row r="171" spans="10:11">
      <c r="J171" s="65">
        <v>-480</v>
      </c>
      <c r="K171" s="58">
        <f t="shared" si="3"/>
        <v>480</v>
      </c>
    </row>
    <row r="172" spans="10:11">
      <c r="J172" s="66"/>
      <c r="K172" s="58">
        <f t="shared" si="3"/>
        <v>0</v>
      </c>
    </row>
    <row r="173" spans="10:11">
      <c r="J173" s="65"/>
      <c r="K173" s="58">
        <f t="shared" si="3"/>
        <v>0</v>
      </c>
    </row>
    <row r="174" spans="10:11">
      <c r="J174" s="66"/>
      <c r="K174" s="58">
        <f t="shared" si="3"/>
        <v>0</v>
      </c>
    </row>
  </sheetData>
  <pageMargins left="0.69861111111111096" right="0.698611111111110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B1:AV25"/>
  <sheetViews>
    <sheetView showGridLines="0" zoomScale="130" zoomScaleNormal="130" workbookViewId="0">
      <selection activeCell="G22" sqref="G22"/>
    </sheetView>
  </sheetViews>
  <sheetFormatPr defaultColWidth="9" defaultRowHeight="15"/>
  <cols>
    <col min="1" max="1" width="3.140625" customWidth="1"/>
    <col min="2" max="2" width="17.140625" customWidth="1"/>
    <col min="3" max="5" width="13.42578125" customWidth="1"/>
    <col min="7" max="7" width="18.28515625" customWidth="1"/>
    <col min="8" max="13" width="8.7109375" customWidth="1"/>
    <col min="14" max="14" width="6.42578125" customWidth="1"/>
    <col min="16" max="16" width="14.42578125" customWidth="1"/>
    <col min="17" max="23" width="9.140625"/>
    <col min="24" max="24" width="19.42578125" customWidth="1"/>
    <col min="25" max="25" width="10.28515625" customWidth="1"/>
    <col min="26" max="26" width="29.42578125" customWidth="1"/>
    <col min="28" max="28" width="19.42578125" customWidth="1"/>
    <col min="29" max="29" width="11.140625" customWidth="1"/>
    <col min="30" max="30" width="47.85546875" customWidth="1"/>
    <col min="34" max="35" width="58.42578125" customWidth="1"/>
    <col min="43" max="43" width="3" customWidth="1"/>
    <col min="45" max="45" width="18.140625" customWidth="1"/>
    <col min="46" max="46" width="14" customWidth="1"/>
    <col min="47" max="47" width="14.42578125" customWidth="1"/>
    <col min="48" max="48" width="40" customWidth="1"/>
  </cols>
  <sheetData>
    <row r="1" spans="2:44">
      <c r="C1" s="8" t="s">
        <v>471</v>
      </c>
    </row>
    <row r="2" spans="2:44">
      <c r="C2" s="8" t="s">
        <v>472</v>
      </c>
      <c r="AR2" s="8" t="s">
        <v>473</v>
      </c>
    </row>
    <row r="3" spans="2:44">
      <c r="C3" s="8" t="s">
        <v>474</v>
      </c>
      <c r="D3" s="331" t="s">
        <v>475</v>
      </c>
    </row>
    <row r="4" spans="2:44">
      <c r="C4" s="8" t="s">
        <v>476</v>
      </c>
      <c r="D4" t="s">
        <v>477</v>
      </c>
      <c r="AR4" s="8" t="s">
        <v>478</v>
      </c>
    </row>
    <row r="5" spans="2:44" ht="3" customHeight="1">
      <c r="C5" s="8"/>
      <c r="AR5" t="s">
        <v>479</v>
      </c>
    </row>
    <row r="6" spans="2:44">
      <c r="B6" s="9" t="s">
        <v>480</v>
      </c>
      <c r="C6" s="10"/>
      <c r="D6" s="10"/>
      <c r="E6" s="10"/>
      <c r="G6" s="11" t="s">
        <v>481</v>
      </c>
      <c r="H6" s="11"/>
      <c r="I6" s="11"/>
      <c r="J6" s="11"/>
      <c r="K6" s="11"/>
      <c r="L6" s="11"/>
      <c r="M6" s="30"/>
      <c r="N6" s="30"/>
      <c r="P6" s="412" t="s">
        <v>482</v>
      </c>
      <c r="Q6" s="412"/>
      <c r="R6" s="412"/>
      <c r="S6" s="412"/>
      <c r="T6" s="412"/>
      <c r="U6" s="412"/>
      <c r="V6" s="412"/>
      <c r="X6" s="40" t="s">
        <v>483</v>
      </c>
      <c r="Y6" s="45"/>
      <c r="Z6" s="45"/>
      <c r="AB6" s="46" t="s">
        <v>484</v>
      </c>
      <c r="AC6" s="47"/>
      <c r="AD6" s="47"/>
      <c r="AF6" s="48" t="s">
        <v>485</v>
      </c>
      <c r="AG6" s="52"/>
      <c r="AH6" s="52"/>
      <c r="AR6" t="s">
        <v>486</v>
      </c>
    </row>
    <row r="7" spans="2:44">
      <c r="B7" t="s">
        <v>290</v>
      </c>
      <c r="C7" s="12">
        <v>7</v>
      </c>
      <c r="D7" t="s">
        <v>487</v>
      </c>
      <c r="G7" t="s">
        <v>488</v>
      </c>
      <c r="H7" s="12">
        <f>24*C7</f>
        <v>168</v>
      </c>
      <c r="I7" s="12" t="s">
        <v>489</v>
      </c>
      <c r="J7" s="12"/>
      <c r="K7" s="12"/>
      <c r="L7" s="12"/>
      <c r="P7" s="396" t="s">
        <v>490</v>
      </c>
      <c r="Q7" s="413" t="s">
        <v>491</v>
      </c>
      <c r="R7" s="413"/>
      <c r="S7" s="413" t="s">
        <v>492</v>
      </c>
      <c r="T7" s="413"/>
      <c r="U7" s="413" t="s">
        <v>493</v>
      </c>
      <c r="V7" s="413"/>
      <c r="X7" s="409" t="s">
        <v>494</v>
      </c>
      <c r="Y7" s="409"/>
      <c r="Z7" s="409"/>
      <c r="AB7" s="400" t="s">
        <v>495</v>
      </c>
      <c r="AC7" s="400"/>
      <c r="AD7" s="400"/>
      <c r="AF7" s="410" t="s">
        <v>496</v>
      </c>
      <c r="AG7" s="410"/>
      <c r="AH7" s="410"/>
      <c r="AI7" s="53"/>
      <c r="AR7" t="s">
        <v>497</v>
      </c>
    </row>
    <row r="8" spans="2:44">
      <c r="B8" s="13"/>
      <c r="C8" s="14" t="s">
        <v>498</v>
      </c>
      <c r="D8" s="14" t="s">
        <v>499</v>
      </c>
      <c r="E8" s="14" t="s">
        <v>500</v>
      </c>
      <c r="G8" s="404" t="s">
        <v>501</v>
      </c>
      <c r="H8" s="404"/>
      <c r="I8" s="404"/>
      <c r="J8" s="404"/>
      <c r="K8" s="404"/>
      <c r="L8" s="404"/>
      <c r="M8" s="31">
        <f>+SUM('Backlog Reasons'!K15:K25)</f>
        <v>0</v>
      </c>
      <c r="N8" s="32" t="s">
        <v>502</v>
      </c>
      <c r="P8" s="397"/>
      <c r="Q8" s="17" t="s">
        <v>503</v>
      </c>
      <c r="R8" s="41" t="s">
        <v>504</v>
      </c>
      <c r="S8" s="17" t="s">
        <v>503</v>
      </c>
      <c r="T8" s="41" t="s">
        <v>504</v>
      </c>
      <c r="U8" s="17" t="s">
        <v>503</v>
      </c>
      <c r="V8" s="41" t="s">
        <v>504</v>
      </c>
      <c r="X8" s="14" t="s">
        <v>505</v>
      </c>
      <c r="Y8" s="14" t="s">
        <v>506</v>
      </c>
      <c r="Z8" s="14" t="s">
        <v>507</v>
      </c>
      <c r="AB8" s="13"/>
      <c r="AC8" s="14" t="s">
        <v>508</v>
      </c>
      <c r="AD8" s="14" t="s">
        <v>507</v>
      </c>
      <c r="AF8" s="17" t="s">
        <v>509</v>
      </c>
      <c r="AG8" s="17" t="s">
        <v>510</v>
      </c>
      <c r="AH8" s="17" t="s">
        <v>507</v>
      </c>
      <c r="AI8" s="53"/>
      <c r="AQ8" s="58"/>
    </row>
    <row r="9" spans="2:44">
      <c r="B9" s="13" t="s">
        <v>511</v>
      </c>
      <c r="C9" s="15">
        <v>14500</v>
      </c>
      <c r="D9" s="15">
        <v>14500</v>
      </c>
      <c r="E9" s="16">
        <f>+D9/C9</f>
        <v>1</v>
      </c>
      <c r="G9" s="17" t="s">
        <v>512</v>
      </c>
      <c r="H9" s="411" t="s">
        <v>513</v>
      </c>
      <c r="I9" s="411"/>
      <c r="J9" s="411"/>
      <c r="K9" s="411"/>
      <c r="L9" s="411"/>
      <c r="M9" s="411"/>
      <c r="N9" s="17" t="s">
        <v>514</v>
      </c>
      <c r="P9" s="13" t="s">
        <v>515</v>
      </c>
      <c r="Q9" s="42">
        <v>1</v>
      </c>
      <c r="R9" s="43"/>
      <c r="S9" s="42">
        <v>1</v>
      </c>
      <c r="T9" s="43"/>
      <c r="U9" s="42">
        <v>1</v>
      </c>
      <c r="V9" s="43"/>
      <c r="X9" s="13" t="s">
        <v>516</v>
      </c>
      <c r="Y9" s="42" t="s">
        <v>517</v>
      </c>
      <c r="Z9" s="13"/>
      <c r="AB9" s="49" t="s">
        <v>518</v>
      </c>
      <c r="AC9" s="18" t="s">
        <v>519</v>
      </c>
      <c r="AD9" s="13" t="s">
        <v>520</v>
      </c>
      <c r="AF9" s="13"/>
      <c r="AG9" s="13"/>
      <c r="AH9" s="13"/>
      <c r="AR9" s="8" t="s">
        <v>521</v>
      </c>
    </row>
    <row r="10" spans="2:44">
      <c r="B10" s="13" t="s">
        <v>522</v>
      </c>
      <c r="C10" s="15">
        <v>101520</v>
      </c>
      <c r="D10" s="15">
        <v>101520</v>
      </c>
      <c r="E10" s="16">
        <f>+D10/C10</f>
        <v>1</v>
      </c>
      <c r="G10" s="13" t="s">
        <v>523</v>
      </c>
      <c r="H10" s="408" t="s">
        <v>524</v>
      </c>
      <c r="I10" s="393"/>
      <c r="J10" s="393"/>
      <c r="K10" s="393"/>
      <c r="L10" s="393"/>
      <c r="M10" s="394"/>
      <c r="N10" s="33">
        <v>4</v>
      </c>
      <c r="P10" s="13" t="s">
        <v>525</v>
      </c>
      <c r="Q10" s="42">
        <v>12</v>
      </c>
      <c r="R10" s="43">
        <v>6</v>
      </c>
      <c r="S10" s="42">
        <v>8</v>
      </c>
      <c r="T10" s="43">
        <v>6</v>
      </c>
      <c r="U10" s="42">
        <v>11</v>
      </c>
      <c r="V10" s="43">
        <v>29</v>
      </c>
      <c r="X10" s="13" t="s">
        <v>526</v>
      </c>
      <c r="Y10" s="42" t="s">
        <v>527</v>
      </c>
      <c r="Z10" s="13"/>
      <c r="AB10" s="13" t="s">
        <v>528</v>
      </c>
      <c r="AC10" s="334" t="s">
        <v>529</v>
      </c>
      <c r="AD10" s="13" t="s">
        <v>530</v>
      </c>
      <c r="AF10" s="13"/>
      <c r="AG10" s="13"/>
      <c r="AH10" s="13"/>
      <c r="AR10" s="331" t="s">
        <v>531</v>
      </c>
    </row>
    <row r="11" spans="2:44">
      <c r="B11" s="401" t="s">
        <v>532</v>
      </c>
      <c r="C11" s="402"/>
      <c r="D11" s="402"/>
      <c r="E11" s="403"/>
      <c r="G11" s="13" t="s">
        <v>533</v>
      </c>
      <c r="H11" s="408" t="s">
        <v>534</v>
      </c>
      <c r="I11" s="393"/>
      <c r="J11" s="393"/>
      <c r="K11" s="393"/>
      <c r="L11" s="393"/>
      <c r="M11" s="394"/>
      <c r="N11" s="33">
        <v>2</v>
      </c>
      <c r="P11" s="13" t="s">
        <v>535</v>
      </c>
      <c r="Q11" s="42">
        <v>6</v>
      </c>
      <c r="R11" s="43">
        <v>9</v>
      </c>
      <c r="S11" s="42"/>
      <c r="T11" s="43">
        <v>8</v>
      </c>
      <c r="U11" s="33">
        <v>11</v>
      </c>
      <c r="V11" s="43"/>
      <c r="X11" s="13" t="s">
        <v>536</v>
      </c>
      <c r="Y11" s="18" t="s">
        <v>537</v>
      </c>
      <c r="Z11" s="13"/>
      <c r="AB11" s="13" t="s">
        <v>538</v>
      </c>
      <c r="AC11" s="335" t="s">
        <v>539</v>
      </c>
      <c r="AD11" s="13" t="s">
        <v>540</v>
      </c>
      <c r="AF11" s="13"/>
      <c r="AG11" s="13"/>
      <c r="AH11" s="13"/>
      <c r="AR11" s="331" t="s">
        <v>541</v>
      </c>
    </row>
    <row r="12" spans="2:44">
      <c r="B12" s="13" t="s">
        <v>542</v>
      </c>
      <c r="C12" s="18" t="s">
        <v>463</v>
      </c>
      <c r="D12" s="19"/>
      <c r="E12" s="20"/>
      <c r="G12" s="13" t="s">
        <v>543</v>
      </c>
      <c r="H12" s="408" t="s">
        <v>544</v>
      </c>
      <c r="I12" s="393"/>
      <c r="J12" s="393"/>
      <c r="K12" s="393"/>
      <c r="L12" s="393"/>
      <c r="M12" s="394"/>
      <c r="N12" s="33">
        <v>2</v>
      </c>
      <c r="P12" s="13" t="s">
        <v>545</v>
      </c>
      <c r="Q12" s="33">
        <v>10</v>
      </c>
      <c r="R12" s="44">
        <v>2</v>
      </c>
      <c r="S12" s="33">
        <v>1</v>
      </c>
      <c r="T12" s="44"/>
      <c r="U12" s="33"/>
      <c r="V12" s="44"/>
      <c r="X12" s="409" t="s">
        <v>546</v>
      </c>
      <c r="Y12" s="409"/>
      <c r="Z12" s="409"/>
      <c r="AB12" s="49" t="s">
        <v>547</v>
      </c>
      <c r="AC12" s="336" t="s">
        <v>529</v>
      </c>
      <c r="AD12" s="13" t="s">
        <v>548</v>
      </c>
      <c r="AF12" s="13"/>
      <c r="AG12" s="13"/>
      <c r="AH12" s="13"/>
    </row>
    <row r="13" spans="2:44">
      <c r="B13" s="13" t="s">
        <v>549</v>
      </c>
      <c r="C13" s="21">
        <v>0.25</v>
      </c>
      <c r="D13" s="13" t="s">
        <v>550</v>
      </c>
      <c r="E13" s="13"/>
      <c r="G13" s="19"/>
      <c r="H13" s="22"/>
      <c r="I13" s="22"/>
      <c r="J13" s="22"/>
      <c r="K13" s="22"/>
      <c r="L13" s="20"/>
      <c r="M13" s="34" t="s">
        <v>383</v>
      </c>
      <c r="N13" s="35">
        <f>+SUM(N10:N12)</f>
        <v>8</v>
      </c>
      <c r="P13" s="13" t="s">
        <v>551</v>
      </c>
      <c r="Q13" s="33">
        <v>56</v>
      </c>
      <c r="R13" s="43"/>
      <c r="S13" s="33">
        <v>70</v>
      </c>
      <c r="T13" s="43"/>
      <c r="U13" s="33">
        <v>32</v>
      </c>
      <c r="V13" s="43"/>
      <c r="X13" s="14" t="s">
        <v>505</v>
      </c>
      <c r="Y13" s="14" t="s">
        <v>506</v>
      </c>
      <c r="Z13" s="14" t="s">
        <v>507</v>
      </c>
      <c r="AB13" s="13" t="s">
        <v>552</v>
      </c>
      <c r="AC13" s="334" t="s">
        <v>553</v>
      </c>
      <c r="AD13" s="13" t="s">
        <v>554</v>
      </c>
      <c r="AF13" s="410" t="s">
        <v>555</v>
      </c>
      <c r="AG13" s="410"/>
      <c r="AH13" s="410"/>
      <c r="AR13" s="8" t="s">
        <v>556</v>
      </c>
    </row>
    <row r="14" spans="2:44">
      <c r="B14" s="401" t="s">
        <v>557</v>
      </c>
      <c r="C14" s="402"/>
      <c r="D14" s="402"/>
      <c r="E14" s="403"/>
      <c r="G14" s="23" t="s">
        <v>558</v>
      </c>
      <c r="H14" s="24">
        <f>+(H7)-N13</f>
        <v>160</v>
      </c>
      <c r="I14" s="24" t="s">
        <v>489</v>
      </c>
      <c r="J14" s="24" t="s">
        <v>559</v>
      </c>
      <c r="K14" s="36">
        <f>+H14/H7</f>
        <v>0.95238095238095233</v>
      </c>
      <c r="L14" s="24" t="s">
        <v>560</v>
      </c>
      <c r="M14" s="23"/>
      <c r="P14" s="13" t="s">
        <v>561</v>
      </c>
      <c r="Q14" s="33">
        <v>99</v>
      </c>
      <c r="R14" s="44">
        <v>66</v>
      </c>
      <c r="S14" s="33">
        <v>30</v>
      </c>
      <c r="T14" s="43">
        <v>12</v>
      </c>
      <c r="U14" s="33">
        <v>68</v>
      </c>
      <c r="V14" s="43">
        <v>28</v>
      </c>
      <c r="X14" s="13" t="s">
        <v>562</v>
      </c>
      <c r="Y14" s="13" t="s">
        <v>563</v>
      </c>
      <c r="Z14" s="13" t="s">
        <v>564</v>
      </c>
      <c r="AB14" s="400" t="s">
        <v>565</v>
      </c>
      <c r="AC14" s="400"/>
      <c r="AD14" s="400"/>
      <c r="AF14" s="50" t="s">
        <v>566</v>
      </c>
      <c r="AG14" s="54"/>
      <c r="AH14" s="55"/>
      <c r="AR14" s="331" t="s">
        <v>567</v>
      </c>
    </row>
    <row r="15" spans="2:44">
      <c r="B15" s="13"/>
      <c r="C15" s="17" t="s">
        <v>499</v>
      </c>
      <c r="D15" s="17" t="s">
        <v>568</v>
      </c>
      <c r="E15" s="17" t="s">
        <v>569</v>
      </c>
      <c r="G15" s="404" t="s">
        <v>570</v>
      </c>
      <c r="H15" s="404"/>
      <c r="I15" s="404"/>
      <c r="J15" s="404"/>
      <c r="K15" s="404"/>
      <c r="L15" s="404"/>
      <c r="M15" s="37">
        <f>+SUM('Backlog Reasons'!K8:K10,'Backlog Reasons'!K27:K29,'Backlog Reasons'!K32:K36,'Backlog Reasons'!K38:K43,'Backlog Reasons'!K46:K49,'Backlog Reasons'!K51:K55,'Backlog Reasons'!K57:K60,'Backlog Reasons'!K62:K65,'Backlog Reasons'!K68:K69,'Backlog Reasons'!K70,'Backlog Reasons'!K72:K74)</f>
        <v>0</v>
      </c>
      <c r="N15" s="38" t="s">
        <v>502</v>
      </c>
      <c r="X15" s="13" t="s">
        <v>571</v>
      </c>
      <c r="Y15" s="13" t="s">
        <v>572</v>
      </c>
      <c r="Z15" s="13" t="s">
        <v>573</v>
      </c>
      <c r="AB15" s="13"/>
      <c r="AC15" s="17" t="s">
        <v>574</v>
      </c>
      <c r="AD15" s="17" t="s">
        <v>507</v>
      </c>
      <c r="AF15" s="51" t="s">
        <v>575</v>
      </c>
      <c r="AG15" s="56"/>
      <c r="AH15" s="57"/>
      <c r="AR15" s="331" t="s">
        <v>576</v>
      </c>
    </row>
    <row r="16" spans="2:44">
      <c r="B16" s="13" t="s">
        <v>577</v>
      </c>
      <c r="C16" s="25">
        <v>43</v>
      </c>
      <c r="D16" s="25">
        <v>43</v>
      </c>
      <c r="E16" s="25"/>
      <c r="G16" s="17" t="s">
        <v>578</v>
      </c>
      <c r="H16" s="405" t="s">
        <v>513</v>
      </c>
      <c r="I16" s="406"/>
      <c r="J16" s="406"/>
      <c r="K16" s="406"/>
      <c r="L16" s="406"/>
      <c r="M16" s="407"/>
      <c r="N16" s="17" t="s">
        <v>514</v>
      </c>
      <c r="X16" s="13" t="s">
        <v>579</v>
      </c>
      <c r="Y16" s="13" t="s">
        <v>580</v>
      </c>
      <c r="Z16" s="13" t="s">
        <v>581</v>
      </c>
      <c r="AB16" s="13" t="s">
        <v>582</v>
      </c>
      <c r="AC16" s="18" t="s">
        <v>583</v>
      </c>
      <c r="AD16" s="13" t="s">
        <v>584</v>
      </c>
    </row>
    <row r="17" spans="2:48">
      <c r="B17" s="13" t="s">
        <v>542</v>
      </c>
      <c r="C17" s="25" t="s">
        <v>463</v>
      </c>
      <c r="D17" s="25" t="s">
        <v>463</v>
      </c>
      <c r="E17" s="25"/>
      <c r="G17" s="13" t="s">
        <v>585</v>
      </c>
      <c r="H17" s="392" t="s">
        <v>586</v>
      </c>
      <c r="I17" s="393"/>
      <c r="J17" s="393"/>
      <c r="K17" s="393"/>
      <c r="L17" s="393"/>
      <c r="M17" s="394"/>
      <c r="N17" s="33">
        <v>2</v>
      </c>
      <c r="X17" s="13" t="s">
        <v>587</v>
      </c>
      <c r="Y17" s="13" t="s">
        <v>588</v>
      </c>
      <c r="Z17" s="13" t="s">
        <v>589</v>
      </c>
      <c r="AB17" s="13" t="s">
        <v>590</v>
      </c>
      <c r="AC17" s="18" t="s">
        <v>583</v>
      </c>
      <c r="AD17" s="13" t="s">
        <v>591</v>
      </c>
      <c r="AR17" s="8" t="s">
        <v>592</v>
      </c>
    </row>
    <row r="18" spans="2:48">
      <c r="B18" s="13" t="s">
        <v>549</v>
      </c>
      <c r="C18" s="26">
        <v>0.25</v>
      </c>
      <c r="D18" s="26">
        <v>0.25</v>
      </c>
      <c r="E18" s="25"/>
      <c r="G18" s="13"/>
      <c r="H18" s="392"/>
      <c r="I18" s="393"/>
      <c r="J18" s="393"/>
      <c r="K18" s="393"/>
      <c r="L18" s="393"/>
      <c r="M18" s="394"/>
      <c r="N18" s="33"/>
      <c r="O18" s="39"/>
      <c r="AB18" s="395" t="s">
        <v>593</v>
      </c>
      <c r="AC18" s="395"/>
      <c r="AD18" s="395"/>
      <c r="AR18" s="17" t="s">
        <v>505</v>
      </c>
      <c r="AS18" s="17" t="s">
        <v>594</v>
      </c>
      <c r="AT18" s="17" t="s">
        <v>595</v>
      </c>
      <c r="AU18" s="17" t="s">
        <v>596</v>
      </c>
      <c r="AV18" s="17" t="s">
        <v>597</v>
      </c>
    </row>
    <row r="19" spans="2:48">
      <c r="B19" s="13" t="s">
        <v>433</v>
      </c>
      <c r="C19" s="15">
        <v>1620</v>
      </c>
      <c r="D19" s="15">
        <v>1639</v>
      </c>
      <c r="E19" s="15">
        <v>0</v>
      </c>
      <c r="G19" s="13"/>
      <c r="H19" s="392"/>
      <c r="I19" s="393"/>
      <c r="J19" s="393"/>
      <c r="K19" s="393"/>
      <c r="L19" s="393"/>
      <c r="M19" s="394"/>
      <c r="N19" s="33"/>
      <c r="AB19" s="13"/>
      <c r="AC19" s="17" t="s">
        <v>574</v>
      </c>
      <c r="AD19" s="17" t="s">
        <v>507</v>
      </c>
      <c r="AR19" s="13" t="s">
        <v>598</v>
      </c>
      <c r="AS19" s="13" t="s">
        <v>599</v>
      </c>
      <c r="AT19" s="13">
        <v>23660</v>
      </c>
      <c r="AU19" s="13" t="s">
        <v>600</v>
      </c>
      <c r="AV19" s="13" t="s">
        <v>601</v>
      </c>
    </row>
    <row r="20" spans="2:48">
      <c r="B20" s="13" t="s">
        <v>434</v>
      </c>
      <c r="C20" s="15">
        <v>27840</v>
      </c>
      <c r="D20" s="15">
        <v>24463</v>
      </c>
      <c r="E20" s="15">
        <v>-3046</v>
      </c>
      <c r="G20" s="19"/>
      <c r="H20" s="22"/>
      <c r="I20" s="22"/>
      <c r="J20" s="22"/>
      <c r="K20" s="22"/>
      <c r="L20" s="20"/>
      <c r="M20" s="34" t="s">
        <v>383</v>
      </c>
      <c r="N20" s="35">
        <f>+SUM(N17:N19)</f>
        <v>2</v>
      </c>
      <c r="AB20" s="398" t="s">
        <v>602</v>
      </c>
      <c r="AC20" s="398" t="s">
        <v>583</v>
      </c>
      <c r="AD20" s="399" t="s">
        <v>603</v>
      </c>
      <c r="AR20" s="13" t="s">
        <v>598</v>
      </c>
      <c r="AS20" s="13" t="s">
        <v>604</v>
      </c>
      <c r="AT20" s="13">
        <v>15820</v>
      </c>
      <c r="AU20" s="13" t="s">
        <v>605</v>
      </c>
      <c r="AV20" s="13" t="s">
        <v>606</v>
      </c>
    </row>
    <row r="21" spans="2:48">
      <c r="B21" s="13" t="s">
        <v>435</v>
      </c>
      <c r="C21" s="15">
        <v>38880</v>
      </c>
      <c r="D21" s="15">
        <v>37674</v>
      </c>
      <c r="E21" s="15">
        <v>-2064</v>
      </c>
      <c r="AB21" s="398"/>
      <c r="AC21" s="398"/>
      <c r="AD21" s="399"/>
      <c r="AR21" s="13" t="s">
        <v>598</v>
      </c>
      <c r="AS21" s="13" t="s">
        <v>607</v>
      </c>
      <c r="AT21" s="13">
        <v>3605</v>
      </c>
      <c r="AU21" s="13" t="s">
        <v>605</v>
      </c>
      <c r="AV21" s="13" t="s">
        <v>608</v>
      </c>
    </row>
    <row r="22" spans="2:48">
      <c r="B22" s="13" t="s">
        <v>436</v>
      </c>
      <c r="C22" s="15">
        <v>27600</v>
      </c>
      <c r="D22" s="15">
        <v>28442</v>
      </c>
      <c r="E22" s="15">
        <v>0</v>
      </c>
      <c r="AR22" s="13" t="s">
        <v>598</v>
      </c>
      <c r="AS22" s="13" t="s">
        <v>609</v>
      </c>
      <c r="AT22" s="13">
        <v>39020</v>
      </c>
      <c r="AU22" s="13" t="s">
        <v>605</v>
      </c>
      <c r="AV22" s="13" t="s">
        <v>606</v>
      </c>
    </row>
    <row r="23" spans="2:48">
      <c r="B23" s="13" t="s">
        <v>437</v>
      </c>
      <c r="C23" s="15">
        <v>5580</v>
      </c>
      <c r="D23" s="15">
        <v>5286</v>
      </c>
      <c r="E23" s="15">
        <v>0</v>
      </c>
      <c r="AR23" s="13" t="s">
        <v>598</v>
      </c>
      <c r="AS23" s="13" t="s">
        <v>610</v>
      </c>
      <c r="AT23" s="13">
        <v>2600</v>
      </c>
      <c r="AU23" s="13" t="s">
        <v>605</v>
      </c>
      <c r="AV23" s="13" t="s">
        <v>611</v>
      </c>
    </row>
    <row r="24" spans="2:48">
      <c r="B24" s="13" t="s">
        <v>383</v>
      </c>
      <c r="C24" s="15">
        <f>+SUM(C19:C23)</f>
        <v>101520</v>
      </c>
      <c r="D24" s="27">
        <f>+SUM(D19:D23)</f>
        <v>97504</v>
      </c>
      <c r="E24" s="27">
        <f>+SUM(E19:E23)</f>
        <v>-5110</v>
      </c>
      <c r="AR24" s="13" t="s">
        <v>598</v>
      </c>
      <c r="AS24" s="13" t="s">
        <v>612</v>
      </c>
      <c r="AT24" s="13">
        <v>4900</v>
      </c>
      <c r="AU24" s="13" t="s">
        <v>605</v>
      </c>
      <c r="AV24" s="13" t="s">
        <v>611</v>
      </c>
    </row>
    <row r="25" spans="2:48">
      <c r="B25" s="23" t="s">
        <v>613</v>
      </c>
      <c r="C25" s="28">
        <f>+(E24+C24)/C24</f>
        <v>0.94966509062253746</v>
      </c>
      <c r="D25" s="29"/>
      <c r="E25" s="29"/>
      <c r="AR25" s="13" t="s">
        <v>598</v>
      </c>
      <c r="AS25" s="13" t="s">
        <v>614</v>
      </c>
      <c r="AT25" s="13">
        <v>5760</v>
      </c>
      <c r="AU25" s="13" t="s">
        <v>605</v>
      </c>
      <c r="AV25" s="13" t="s">
        <v>611</v>
      </c>
    </row>
  </sheetData>
  <mergeCells count="27">
    <mergeCell ref="AF7:AH7"/>
    <mergeCell ref="G8:L8"/>
    <mergeCell ref="H9:M9"/>
    <mergeCell ref="H10:M10"/>
    <mergeCell ref="P6:V6"/>
    <mergeCell ref="Q7:R7"/>
    <mergeCell ref="S7:T7"/>
    <mergeCell ref="U7:V7"/>
    <mergeCell ref="X7:Z7"/>
    <mergeCell ref="B11:E11"/>
    <mergeCell ref="H11:M11"/>
    <mergeCell ref="H12:M12"/>
    <mergeCell ref="X12:Z12"/>
    <mergeCell ref="AF13:AH13"/>
    <mergeCell ref="B14:E14"/>
    <mergeCell ref="AB14:AD14"/>
    <mergeCell ref="G15:L15"/>
    <mergeCell ref="H16:M16"/>
    <mergeCell ref="H17:M17"/>
    <mergeCell ref="H18:M18"/>
    <mergeCell ref="AB18:AD18"/>
    <mergeCell ref="H19:M19"/>
    <mergeCell ref="P7:P8"/>
    <mergeCell ref="AB20:AB21"/>
    <mergeCell ref="AC20:AC21"/>
    <mergeCell ref="AD20:AD21"/>
    <mergeCell ref="AB7:AD7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F3:G10"/>
  <sheetViews>
    <sheetView workbookViewId="0">
      <selection activeCell="G23" sqref="G23"/>
    </sheetView>
  </sheetViews>
  <sheetFormatPr defaultColWidth="9" defaultRowHeight="15"/>
  <cols>
    <col min="6" max="6" width="23.7109375" customWidth="1"/>
    <col min="7" max="7" width="11.5703125" customWidth="1"/>
  </cols>
  <sheetData>
    <row r="3" spans="6:7">
      <c r="F3" s="1" t="s">
        <v>304</v>
      </c>
    </row>
    <row r="4" spans="6:7">
      <c r="F4" s="2"/>
      <c r="G4" s="3"/>
    </row>
    <row r="5" spans="6:7">
      <c r="F5" s="4" t="s">
        <v>305</v>
      </c>
      <c r="G5" s="5">
        <v>7714</v>
      </c>
    </row>
    <row r="6" spans="6:7">
      <c r="F6" s="4" t="s">
        <v>307</v>
      </c>
      <c r="G6" s="5">
        <v>44215</v>
      </c>
    </row>
    <row r="7" spans="6:7">
      <c r="F7" s="4" t="s">
        <v>308</v>
      </c>
      <c r="G7" s="5">
        <v>64161</v>
      </c>
    </row>
    <row r="8" spans="6:7">
      <c r="F8" s="4" t="s">
        <v>309</v>
      </c>
      <c r="G8" s="5">
        <v>50951</v>
      </c>
    </row>
    <row r="9" spans="6:7">
      <c r="F9" s="4" t="s">
        <v>310</v>
      </c>
      <c r="G9" s="5">
        <v>123756</v>
      </c>
    </row>
    <row r="10" spans="6:7">
      <c r="F10" s="6" t="s">
        <v>303</v>
      </c>
      <c r="G10" s="7">
        <v>290797</v>
      </c>
    </row>
  </sheetData>
  <pageMargins left="0.7" right="0.7" top="0.75" bottom="0.75" header="0.3" footer="0.3"/>
  <pageSetup paperSize="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December</vt:lpstr>
      <vt:lpstr>Backlog Reasons</vt:lpstr>
      <vt:lpstr>Pullout and SOH</vt:lpstr>
      <vt:lpstr>Daily SOH</vt:lpstr>
      <vt:lpstr>Matrix</vt:lpstr>
      <vt:lpstr>Monday Meeting</vt:lpstr>
      <vt:lpstr>Sheet1</vt:lpstr>
      <vt:lpstr>December!Print_Area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 MIGUEL</dc:creator>
  <cp:keywords/>
  <dc:description/>
  <cp:lastModifiedBy>epasulojan</cp:lastModifiedBy>
  <cp:revision/>
  <dcterms:created xsi:type="dcterms:W3CDTF">2020-12-23T23:56:00Z</dcterms:created>
  <dcterms:modified xsi:type="dcterms:W3CDTF">2022-12-05T02:50:30Z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96EC8EDFE0C5459383158C6981A58C9E</vt:lpwstr>
  </property>
</Properties>
</file>