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452ED81B-A19D-4C2B-A895-50A1A7911934}" xr6:coauthVersionLast="47" xr6:coauthVersionMax="47" xr10:uidLastSave="{00000000-0000-0000-0000-000000000000}"/>
  <bookViews>
    <workbookView xWindow="-110" yWindow="-110" windowWidth="27580" windowHeight="17860" xr2:uid="{A58E8F5E-137C-4732-BF16-A9BCF0B50BB6}"/>
  </bookViews>
  <sheets>
    <sheet name="Home" sheetId="1" r:id="rId1"/>
    <sheet name="Table (All) - Alphabetcal" sheetId="2" r:id="rId2"/>
    <sheet name="Table (Films, Anime) - Year" sheetId="4" r:id="rId3"/>
    <sheet name="Extra Sheet" sheetId="6" r:id="rId4"/>
    <sheet name="More Info" sheetId="8" r:id="rId5"/>
    <sheet name="Download Loc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6" l="1"/>
  <c r="D103" i="6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D4" i="6" l="1"/>
  <c r="BI426" i="4"/>
  <c r="BI425" i="4"/>
  <c r="BI424" i="4"/>
  <c r="BI423" i="4"/>
  <c r="BI422" i="4"/>
  <c r="BI421" i="4"/>
  <c r="BI420" i="4"/>
  <c r="BI419" i="4"/>
  <c r="BI418" i="4"/>
  <c r="BI417" i="4"/>
  <c r="BI416" i="4"/>
  <c r="BI415" i="4"/>
  <c r="BI414" i="4"/>
  <c r="BI413" i="4"/>
  <c r="BI412" i="4"/>
  <c r="BI411" i="4"/>
  <c r="BI410" i="4"/>
  <c r="BI409" i="4"/>
  <c r="BI408" i="4"/>
  <c r="BI407" i="4"/>
  <c r="BI406" i="4"/>
  <c r="BI405" i="4"/>
  <c r="BI404" i="4"/>
  <c r="BI403" i="4"/>
  <c r="BI402" i="4"/>
  <c r="BI401" i="4"/>
  <c r="BI400" i="4"/>
  <c r="BI399" i="4"/>
  <c r="BI398" i="4"/>
  <c r="BI397" i="4"/>
  <c r="BI396" i="4"/>
  <c r="BI395" i="4"/>
  <c r="BI394" i="4"/>
  <c r="BI393" i="4"/>
  <c r="BI392" i="4"/>
  <c r="BI391" i="4"/>
  <c r="BI390" i="4"/>
  <c r="BI389" i="4"/>
  <c r="BI388" i="4"/>
  <c r="BI387" i="4"/>
  <c r="BI386" i="4"/>
  <c r="BI385" i="4"/>
  <c r="BI384" i="4"/>
  <c r="BI383" i="4"/>
  <c r="BI382" i="4"/>
  <c r="BI381" i="4"/>
  <c r="BI380" i="4"/>
  <c r="BI379" i="4"/>
  <c r="BI378" i="4"/>
  <c r="BI377" i="4"/>
  <c r="BI376" i="4"/>
  <c r="BI375" i="4"/>
  <c r="BI374" i="4"/>
  <c r="BI373" i="4"/>
  <c r="BI372" i="4"/>
  <c r="BI371" i="4"/>
  <c r="BI370" i="4"/>
  <c r="BI369" i="4"/>
  <c r="BI368" i="4"/>
  <c r="BI367" i="4"/>
  <c r="BI366" i="4"/>
  <c r="BI365" i="4"/>
  <c r="BI364" i="4"/>
  <c r="BI363" i="4"/>
  <c r="BI362" i="4"/>
  <c r="BI361" i="4"/>
  <c r="BI360" i="4"/>
  <c r="BI359" i="4"/>
  <c r="BI358" i="4"/>
  <c r="BI357" i="4"/>
  <c r="BI356" i="4"/>
  <c r="BI355" i="4"/>
  <c r="BI354" i="4"/>
  <c r="BI353" i="4"/>
  <c r="BI352" i="4"/>
  <c r="BI351" i="4"/>
  <c r="BI350" i="4"/>
  <c r="BI349" i="4"/>
  <c r="BI348" i="4"/>
  <c r="BI347" i="4"/>
  <c r="BI346" i="4"/>
  <c r="BI345" i="4"/>
  <c r="BI344" i="4"/>
  <c r="BI343" i="4"/>
  <c r="BI342" i="4"/>
  <c r="BI341" i="4"/>
  <c r="BI340" i="4"/>
  <c r="BI339" i="4"/>
  <c r="BI338" i="4"/>
  <c r="BI337" i="4"/>
  <c r="BI336" i="4"/>
  <c r="BI335" i="4"/>
  <c r="BI334" i="4"/>
  <c r="BI333" i="4"/>
  <c r="BI332" i="4"/>
  <c r="BI331" i="4"/>
  <c r="BI330" i="4"/>
  <c r="BI329" i="4"/>
  <c r="BI328" i="4"/>
  <c r="BI327" i="4"/>
  <c r="BI326" i="4"/>
  <c r="BI325" i="4"/>
  <c r="BI324" i="4"/>
  <c r="BI323" i="4"/>
  <c r="BI322" i="4"/>
  <c r="BI321" i="4"/>
  <c r="BI320" i="4"/>
  <c r="BI319" i="4"/>
  <c r="BI318" i="4"/>
  <c r="BI317" i="4"/>
  <c r="BI316" i="4"/>
  <c r="BI315" i="4"/>
  <c r="BI314" i="4"/>
  <c r="BI313" i="4"/>
  <c r="BI312" i="4"/>
  <c r="BI311" i="4"/>
  <c r="BI310" i="4"/>
  <c r="BI309" i="4"/>
  <c r="BI308" i="4"/>
  <c r="BI307" i="4"/>
  <c r="BI306" i="4"/>
  <c r="BI305" i="4"/>
  <c r="BI304" i="4"/>
  <c r="BI303" i="4"/>
  <c r="BI302" i="4"/>
  <c r="BI301" i="4"/>
  <c r="BI300" i="4"/>
  <c r="BI299" i="4"/>
  <c r="BI298" i="4"/>
  <c r="BI297" i="4"/>
  <c r="BI296" i="4"/>
  <c r="BI295" i="4"/>
  <c r="BI294" i="4"/>
  <c r="BI293" i="4"/>
  <c r="BI292" i="4"/>
  <c r="BI291" i="4"/>
  <c r="BI290" i="4"/>
  <c r="BI289" i="4"/>
  <c r="BI288" i="4"/>
  <c r="BI287" i="4"/>
  <c r="BI286" i="4"/>
  <c r="BI285" i="4"/>
  <c r="BI284" i="4"/>
  <c r="BI283" i="4"/>
  <c r="BI282" i="4"/>
  <c r="BI281" i="4"/>
  <c r="BI280" i="4"/>
  <c r="BI279" i="4"/>
  <c r="BI278" i="4"/>
  <c r="BI277" i="4"/>
  <c r="BI276" i="4"/>
  <c r="BI275" i="4"/>
  <c r="BI274" i="4"/>
  <c r="BI273" i="4"/>
  <c r="BI272" i="4"/>
  <c r="BI271" i="4"/>
  <c r="BI270" i="4"/>
  <c r="BI269" i="4"/>
  <c r="BI268" i="4"/>
  <c r="BI267" i="4"/>
  <c r="BI266" i="4"/>
  <c r="BI265" i="4"/>
  <c r="BI264" i="4"/>
  <c r="BI263" i="4"/>
  <c r="BI262" i="4"/>
  <c r="BI261" i="4"/>
  <c r="BI260" i="4"/>
  <c r="BI259" i="4"/>
  <c r="BI258" i="4"/>
  <c r="BI257" i="4"/>
  <c r="BI256" i="4"/>
  <c r="BI255" i="4"/>
  <c r="BI254" i="4"/>
  <c r="BI253" i="4"/>
  <c r="BI252" i="4"/>
  <c r="BI251" i="4"/>
  <c r="BI250" i="4"/>
  <c r="BI249" i="4"/>
  <c r="BI248" i="4"/>
  <c r="BI247" i="4"/>
  <c r="BI246" i="4"/>
  <c r="BI245" i="4"/>
  <c r="BI244" i="4"/>
  <c r="BI243" i="4"/>
  <c r="BI242" i="4"/>
  <c r="BI241" i="4"/>
  <c r="BI240" i="4"/>
  <c r="BI239" i="4"/>
  <c r="BI238" i="4"/>
  <c r="BI237" i="4"/>
  <c r="BI236" i="4"/>
  <c r="BI235" i="4"/>
  <c r="BI234" i="4"/>
  <c r="BI233" i="4"/>
  <c r="BI232" i="4"/>
  <c r="BI231" i="4"/>
  <c r="BI230" i="4"/>
  <c r="BI229" i="4"/>
  <c r="BI228" i="4"/>
  <c r="BI227" i="4"/>
  <c r="BI226" i="4"/>
  <c r="BI225" i="4"/>
  <c r="BI224" i="4"/>
  <c r="BI223" i="4"/>
  <c r="BI222" i="4"/>
  <c r="BI221" i="4"/>
  <c r="BI220" i="4"/>
  <c r="BI219" i="4"/>
  <c r="BI218" i="4"/>
  <c r="BI217" i="4"/>
  <c r="BI216" i="4"/>
  <c r="BI215" i="4"/>
  <c r="BI214" i="4"/>
  <c r="BI213" i="4"/>
  <c r="BI212" i="4"/>
  <c r="BI211" i="4"/>
  <c r="BI210" i="4"/>
  <c r="BI209" i="4"/>
  <c r="BI208" i="4"/>
  <c r="BI207" i="4"/>
  <c r="BI206" i="4"/>
  <c r="BI205" i="4"/>
  <c r="BI204" i="4"/>
  <c r="BI203" i="4"/>
  <c r="BI202" i="4"/>
  <c r="BI201" i="4"/>
  <c r="BI200" i="4"/>
  <c r="BI199" i="4"/>
  <c r="BI198" i="4"/>
  <c r="BI197" i="4"/>
  <c r="BI196" i="4"/>
  <c r="BI195" i="4"/>
  <c r="BI194" i="4"/>
  <c r="BI193" i="4"/>
  <c r="BI192" i="4"/>
  <c r="BI191" i="4"/>
  <c r="BI190" i="4"/>
  <c r="BI189" i="4"/>
  <c r="BI188" i="4"/>
  <c r="BI187" i="4"/>
  <c r="BI186" i="4"/>
  <c r="BI185" i="4"/>
  <c r="BI184" i="4"/>
  <c r="BI183" i="4"/>
  <c r="BI182" i="4"/>
  <c r="BI181" i="4"/>
  <c r="BI180" i="4"/>
  <c r="BI179" i="4"/>
  <c r="BI178" i="4"/>
  <c r="BI177" i="4"/>
  <c r="BI176" i="4"/>
  <c r="BI175" i="4"/>
  <c r="BI174" i="4"/>
  <c r="BI173" i="4"/>
  <c r="BI172" i="4"/>
  <c r="BI171" i="4"/>
  <c r="BI170" i="4"/>
  <c r="BI169" i="4"/>
  <c r="BI168" i="4"/>
  <c r="BI167" i="4"/>
  <c r="BI166" i="4"/>
  <c r="BI165" i="4"/>
  <c r="BI164" i="4"/>
  <c r="BI163" i="4"/>
  <c r="BI162" i="4"/>
  <c r="BI161" i="4"/>
  <c r="BI160" i="4"/>
  <c r="BI159" i="4"/>
  <c r="BI158" i="4"/>
  <c r="BI157" i="4"/>
  <c r="BI156" i="4"/>
  <c r="BI155" i="4"/>
  <c r="BI154" i="4"/>
  <c r="BI153" i="4"/>
  <c r="BI152" i="4"/>
  <c r="BI151" i="4"/>
  <c r="BI150" i="4"/>
  <c r="BI149" i="4"/>
  <c r="BI148" i="4"/>
  <c r="BI147" i="4"/>
  <c r="BI146" i="4"/>
  <c r="BI145" i="4"/>
  <c r="BI144" i="4"/>
  <c r="BI143" i="4"/>
  <c r="BI142" i="4"/>
  <c r="BI141" i="4"/>
  <c r="BI140" i="4"/>
  <c r="BI139" i="4"/>
  <c r="BI138" i="4"/>
  <c r="BI137" i="4"/>
  <c r="BI136" i="4"/>
  <c r="BI135" i="4"/>
  <c r="BI134" i="4"/>
  <c r="BI133" i="4"/>
  <c r="BI132" i="4"/>
  <c r="BI131" i="4"/>
  <c r="BI130" i="4"/>
  <c r="BI129" i="4"/>
  <c r="BI128" i="4"/>
  <c r="BI127" i="4"/>
  <c r="BI126" i="4"/>
  <c r="BI125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I15" i="4"/>
  <c r="BI14" i="4"/>
  <c r="BI13" i="4"/>
  <c r="BI12" i="4"/>
  <c r="BI11" i="4"/>
  <c r="BI10" i="4"/>
  <c r="BI9" i="4"/>
  <c r="BI8" i="4"/>
  <c r="BI7" i="4"/>
  <c r="BI6" i="4"/>
  <c r="BI5" i="4"/>
  <c r="BI4" i="4"/>
  <c r="BI3" i="4"/>
  <c r="BI2" i="4"/>
  <c r="BI440" i="4"/>
  <c r="BH440" i="4"/>
  <c r="BI439" i="4"/>
  <c r="BH439" i="4"/>
  <c r="BI438" i="4"/>
  <c r="BH438" i="4"/>
  <c r="BI437" i="4"/>
  <c r="BH437" i="4"/>
  <c r="BI436" i="4"/>
  <c r="BH436" i="4"/>
  <c r="BI435" i="4"/>
  <c r="BH435" i="4"/>
  <c r="BI434" i="4"/>
  <c r="BH434" i="4"/>
  <c r="BI433" i="4"/>
  <c r="BH433" i="4"/>
  <c r="BI432" i="4"/>
  <c r="BH432" i="4"/>
  <c r="BI431" i="4"/>
  <c r="BH431" i="4"/>
  <c r="BI430" i="4"/>
  <c r="BH430" i="4"/>
  <c r="BI429" i="4"/>
  <c r="BH429" i="4"/>
  <c r="BI428" i="4"/>
  <c r="BH428" i="4"/>
  <c r="BI427" i="4"/>
  <c r="BH427" i="4"/>
  <c r="BH426" i="4"/>
  <c r="BH425" i="4"/>
  <c r="BH424" i="4"/>
  <c r="BH423" i="4"/>
  <c r="BH422" i="4"/>
  <c r="BH421" i="4"/>
  <c r="BH420" i="4"/>
  <c r="BH419" i="4"/>
  <c r="BH418" i="4"/>
  <c r="BH417" i="4"/>
  <c r="BH416" i="4"/>
  <c r="BH415" i="4"/>
  <c r="BH414" i="4"/>
  <c r="BH413" i="4"/>
  <c r="BH412" i="4"/>
  <c r="BH411" i="4"/>
  <c r="BH410" i="4"/>
  <c r="BH409" i="4"/>
  <c r="BH408" i="4"/>
  <c r="BH407" i="4"/>
  <c r="BH406" i="4"/>
  <c r="BH405" i="4"/>
  <c r="BH404" i="4"/>
  <c r="BH403" i="4"/>
  <c r="BH402" i="4"/>
  <c r="BH401" i="4"/>
  <c r="BH400" i="4"/>
  <c r="BH399" i="4"/>
  <c r="BH398" i="4"/>
  <c r="BH397" i="4"/>
  <c r="BH396" i="4"/>
  <c r="BH395" i="4"/>
  <c r="BH394" i="4"/>
  <c r="BH393" i="4"/>
  <c r="BH392" i="4"/>
  <c r="BH391" i="4"/>
  <c r="BH390" i="4"/>
  <c r="BH389" i="4"/>
  <c r="BH388" i="4"/>
  <c r="BH387" i="4"/>
  <c r="BH386" i="4"/>
  <c r="BH385" i="4"/>
  <c r="BH384" i="4"/>
  <c r="BH383" i="4"/>
  <c r="BH382" i="4"/>
  <c r="BH381" i="4"/>
  <c r="BH380" i="4"/>
  <c r="BH379" i="4"/>
  <c r="BH378" i="4"/>
  <c r="BH377" i="4"/>
  <c r="BH376" i="4"/>
  <c r="BH375" i="4"/>
  <c r="BH374" i="4"/>
  <c r="BH373" i="4"/>
  <c r="BH372" i="4"/>
  <c r="BH371" i="4"/>
  <c r="BH370" i="4"/>
  <c r="BH369" i="4"/>
  <c r="BH368" i="4"/>
  <c r="BH367" i="4"/>
  <c r="BH366" i="4"/>
  <c r="BH365" i="4"/>
  <c r="BH364" i="4"/>
  <c r="BH363" i="4"/>
  <c r="BH362" i="4"/>
  <c r="BH361" i="4"/>
  <c r="BH360" i="4"/>
  <c r="BH359" i="4"/>
  <c r="BH358" i="4"/>
  <c r="BH357" i="4"/>
  <c r="BH356" i="4"/>
  <c r="BH355" i="4"/>
  <c r="BH354" i="4"/>
  <c r="BH353" i="4"/>
  <c r="BH352" i="4"/>
  <c r="BH351" i="4"/>
  <c r="BH350" i="4"/>
  <c r="BH349" i="4"/>
  <c r="BH348" i="4"/>
  <c r="BH347" i="4"/>
  <c r="BH346" i="4"/>
  <c r="BH345" i="4"/>
  <c r="BH344" i="4"/>
  <c r="BH343" i="4"/>
  <c r="BH342" i="4"/>
  <c r="BH341" i="4"/>
  <c r="BH340" i="4"/>
  <c r="BH339" i="4"/>
  <c r="BH338" i="4"/>
  <c r="BH337" i="4"/>
  <c r="BH336" i="4"/>
  <c r="BH335" i="4"/>
  <c r="BH334" i="4"/>
  <c r="BH333" i="4"/>
  <c r="BH332" i="4"/>
  <c r="BH331" i="4"/>
  <c r="BH330" i="4"/>
  <c r="BH329" i="4"/>
  <c r="BH328" i="4"/>
  <c r="BH327" i="4"/>
  <c r="BH326" i="4"/>
  <c r="BH325" i="4"/>
  <c r="BH324" i="4"/>
  <c r="BH323" i="4"/>
  <c r="BH322" i="4"/>
  <c r="BH321" i="4"/>
  <c r="BH320" i="4"/>
  <c r="BH319" i="4"/>
  <c r="BH318" i="4"/>
  <c r="BH317" i="4"/>
  <c r="BH316" i="4"/>
  <c r="BH315" i="4"/>
  <c r="BH314" i="4"/>
  <c r="BH313" i="4"/>
  <c r="BH312" i="4"/>
  <c r="BH311" i="4"/>
  <c r="BH310" i="4"/>
  <c r="BH309" i="4"/>
  <c r="BH308" i="4"/>
  <c r="BH307" i="4"/>
  <c r="BH306" i="4"/>
  <c r="BH305" i="4"/>
  <c r="BH304" i="4"/>
  <c r="BH303" i="4"/>
  <c r="BH302" i="4"/>
  <c r="BH301" i="4"/>
  <c r="BH300" i="4"/>
  <c r="BH299" i="4"/>
  <c r="BH298" i="4"/>
  <c r="BH297" i="4"/>
  <c r="BH296" i="4"/>
  <c r="BH295" i="4"/>
  <c r="BH294" i="4"/>
  <c r="BH293" i="4"/>
  <c r="BH292" i="4"/>
  <c r="BH291" i="4"/>
  <c r="BH290" i="4"/>
  <c r="BH289" i="4"/>
  <c r="BH288" i="4"/>
  <c r="BH287" i="4"/>
  <c r="BH286" i="4"/>
  <c r="BH285" i="4"/>
  <c r="BH284" i="4"/>
  <c r="BH283" i="4"/>
  <c r="BH282" i="4"/>
  <c r="BH281" i="4"/>
  <c r="BH280" i="4"/>
  <c r="BH279" i="4"/>
  <c r="BH278" i="4"/>
  <c r="BH277" i="4"/>
  <c r="BH276" i="4"/>
  <c r="BH275" i="4"/>
  <c r="BH274" i="4"/>
  <c r="BH273" i="4"/>
  <c r="BH272" i="4"/>
  <c r="BH271" i="4"/>
  <c r="BH270" i="4"/>
  <c r="BH269" i="4"/>
  <c r="BH268" i="4"/>
  <c r="BH267" i="4"/>
  <c r="BH266" i="4"/>
  <c r="BH265" i="4"/>
  <c r="BH264" i="4"/>
  <c r="BH263" i="4"/>
  <c r="BH262" i="4"/>
  <c r="BH261" i="4"/>
  <c r="BH260" i="4"/>
  <c r="BH259" i="4"/>
  <c r="BH258" i="4"/>
  <c r="BH257" i="4"/>
  <c r="BH256" i="4"/>
  <c r="BH255" i="4"/>
  <c r="BH254" i="4"/>
  <c r="BH253" i="4"/>
  <c r="BH252" i="4"/>
  <c r="BH251" i="4"/>
  <c r="BH250" i="4"/>
  <c r="BH249" i="4"/>
  <c r="BH248" i="4"/>
  <c r="BH247" i="4"/>
  <c r="BH246" i="4"/>
  <c r="BH245" i="4"/>
  <c r="BH244" i="4"/>
  <c r="BH243" i="4"/>
  <c r="BH242" i="4"/>
  <c r="BH241" i="4"/>
  <c r="BH240" i="4"/>
  <c r="BH239" i="4"/>
  <c r="BH238" i="4"/>
  <c r="BH237" i="4"/>
  <c r="BH236" i="4"/>
  <c r="BH235" i="4"/>
  <c r="BH234" i="4"/>
  <c r="BH233" i="4"/>
  <c r="BH232" i="4"/>
  <c r="BH231" i="4"/>
  <c r="BH230" i="4"/>
  <c r="BH229" i="4"/>
  <c r="BH228" i="4"/>
  <c r="BH227" i="4"/>
  <c r="BH226" i="4"/>
  <c r="BH225" i="4"/>
  <c r="BH224" i="4"/>
  <c r="BH223" i="4"/>
  <c r="BH222" i="4"/>
  <c r="BH221" i="4"/>
  <c r="BH220" i="4"/>
  <c r="BH219" i="4"/>
  <c r="BH218" i="4"/>
  <c r="BH217" i="4"/>
  <c r="BH216" i="4"/>
  <c r="BH215" i="4"/>
  <c r="BH214" i="4"/>
  <c r="BH213" i="4"/>
  <c r="BH212" i="4"/>
  <c r="BH211" i="4"/>
  <c r="BH210" i="4"/>
  <c r="BH209" i="4"/>
  <c r="BH208" i="4"/>
  <c r="BH207" i="4"/>
  <c r="BH206" i="4"/>
  <c r="BH205" i="4"/>
  <c r="BH204" i="4"/>
  <c r="BH203" i="4"/>
  <c r="BH202" i="4"/>
  <c r="BH201" i="4"/>
  <c r="BH200" i="4"/>
  <c r="BH199" i="4"/>
  <c r="BH198" i="4"/>
  <c r="BH197" i="4"/>
  <c r="BH196" i="4"/>
  <c r="BH195" i="4"/>
  <c r="BH194" i="4"/>
  <c r="BH193" i="4"/>
  <c r="BH192" i="4"/>
  <c r="BH191" i="4"/>
  <c r="BH190" i="4"/>
  <c r="BH189" i="4"/>
  <c r="BH188" i="4"/>
  <c r="BH187" i="4"/>
  <c r="BH186" i="4"/>
  <c r="BH185" i="4"/>
  <c r="BH184" i="4"/>
  <c r="BH183" i="4"/>
  <c r="BH182" i="4"/>
  <c r="BH181" i="4"/>
  <c r="BH180" i="4"/>
  <c r="BH179" i="4"/>
  <c r="BH178" i="4"/>
  <c r="BH177" i="4"/>
  <c r="BH176" i="4"/>
  <c r="BH175" i="4"/>
  <c r="BH174" i="4"/>
  <c r="BH173" i="4"/>
  <c r="BH172" i="4"/>
  <c r="BH171" i="4"/>
  <c r="BH170" i="4"/>
  <c r="BH169" i="4"/>
  <c r="BH168" i="4"/>
  <c r="BH167" i="4"/>
  <c r="BH166" i="4"/>
  <c r="BH165" i="4"/>
  <c r="BH164" i="4"/>
  <c r="BH163" i="4"/>
  <c r="BH162" i="4"/>
  <c r="BH161" i="4"/>
  <c r="BH160" i="4"/>
  <c r="BH159" i="4"/>
  <c r="BH158" i="4"/>
  <c r="BH157" i="4"/>
  <c r="BH156" i="4"/>
  <c r="BH155" i="4"/>
  <c r="BH154" i="4"/>
  <c r="BH153" i="4"/>
  <c r="BH152" i="4"/>
  <c r="BH151" i="4"/>
  <c r="BH150" i="4"/>
  <c r="BH149" i="4"/>
  <c r="BH148" i="4"/>
  <c r="BH147" i="4"/>
  <c r="BH146" i="4"/>
  <c r="BH145" i="4"/>
  <c r="BH144" i="4"/>
  <c r="BH143" i="4"/>
  <c r="BH142" i="4"/>
  <c r="BH141" i="4"/>
  <c r="BH140" i="4"/>
  <c r="BH139" i="4"/>
  <c r="BH138" i="4"/>
  <c r="BH137" i="4"/>
  <c r="BH136" i="4"/>
  <c r="BH135" i="4"/>
  <c r="BH134" i="4"/>
  <c r="BH133" i="4"/>
  <c r="BH132" i="4"/>
  <c r="BH131" i="4"/>
  <c r="BH130" i="4"/>
  <c r="BH129" i="4"/>
  <c r="BH128" i="4"/>
  <c r="BH127" i="4"/>
  <c r="BH126" i="4"/>
  <c r="BH125" i="4"/>
  <c r="BH124" i="4"/>
  <c r="BH123" i="4"/>
  <c r="BH122" i="4"/>
  <c r="BH121" i="4"/>
  <c r="BH120" i="4"/>
  <c r="BH119" i="4"/>
  <c r="BH118" i="4"/>
  <c r="BH117" i="4"/>
  <c r="BH116" i="4"/>
  <c r="BH115" i="4"/>
  <c r="BH114" i="4"/>
  <c r="BH113" i="4"/>
  <c r="BH112" i="4"/>
  <c r="BH111" i="4"/>
  <c r="BH110" i="4"/>
  <c r="BH109" i="4"/>
  <c r="BH108" i="4"/>
  <c r="BH107" i="4"/>
  <c r="BH106" i="4"/>
  <c r="BH105" i="4"/>
  <c r="BH104" i="4"/>
  <c r="BH103" i="4"/>
  <c r="BH102" i="4"/>
  <c r="BH101" i="4"/>
  <c r="BH100" i="4"/>
  <c r="BH99" i="4"/>
  <c r="BH98" i="4"/>
  <c r="BH97" i="4"/>
  <c r="BH96" i="4"/>
  <c r="BH95" i="4"/>
  <c r="BH94" i="4"/>
  <c r="BH93" i="4"/>
  <c r="BH92" i="4"/>
  <c r="BH91" i="4"/>
  <c r="BH90" i="4"/>
  <c r="BH89" i="4"/>
  <c r="BH88" i="4"/>
  <c r="BH87" i="4"/>
  <c r="BH86" i="4"/>
  <c r="BH85" i="4"/>
  <c r="BH84" i="4"/>
  <c r="BH83" i="4"/>
  <c r="BH82" i="4"/>
  <c r="BH81" i="4"/>
  <c r="BH80" i="4"/>
  <c r="BH79" i="4"/>
  <c r="BH78" i="4"/>
  <c r="BH77" i="4"/>
  <c r="BH76" i="4"/>
  <c r="BH75" i="4"/>
  <c r="BH74" i="4"/>
  <c r="BH73" i="4"/>
  <c r="BH72" i="4"/>
  <c r="BH71" i="4"/>
  <c r="BH70" i="4"/>
  <c r="BH69" i="4"/>
  <c r="BH68" i="4"/>
  <c r="BH67" i="4"/>
  <c r="BH66" i="4"/>
  <c r="BH65" i="4"/>
  <c r="BH64" i="4"/>
  <c r="BH63" i="4"/>
  <c r="BH62" i="4"/>
  <c r="BH61" i="4"/>
  <c r="BH60" i="4"/>
  <c r="BH59" i="4"/>
  <c r="BH58" i="4"/>
  <c r="BH57" i="4"/>
  <c r="BH56" i="4"/>
  <c r="BH55" i="4"/>
  <c r="BH54" i="4"/>
  <c r="BH53" i="4"/>
  <c r="BH52" i="4"/>
  <c r="BH51" i="4"/>
  <c r="BH50" i="4"/>
  <c r="BH49" i="4"/>
  <c r="BH48" i="4"/>
  <c r="BH47" i="4"/>
  <c r="BH46" i="4"/>
  <c r="BH45" i="4"/>
  <c r="BH44" i="4"/>
  <c r="BH43" i="4"/>
  <c r="BH42" i="4"/>
  <c r="BH41" i="4"/>
  <c r="BH40" i="4"/>
  <c r="BH39" i="4"/>
  <c r="BH38" i="4"/>
  <c r="BH37" i="4"/>
  <c r="BH36" i="4"/>
  <c r="BH35" i="4"/>
  <c r="BH34" i="4"/>
  <c r="BH33" i="4"/>
  <c r="BH32" i="4"/>
  <c r="BH31" i="4"/>
  <c r="BH30" i="4"/>
  <c r="BH29" i="4"/>
  <c r="BH28" i="4"/>
  <c r="BH27" i="4"/>
  <c r="BH26" i="4"/>
  <c r="BH25" i="4"/>
  <c r="BH24" i="4"/>
  <c r="BH23" i="4"/>
  <c r="BH22" i="4"/>
  <c r="BH21" i="4"/>
  <c r="BH20" i="4"/>
  <c r="BH19" i="4"/>
  <c r="BH18" i="4"/>
  <c r="BH17" i="4"/>
  <c r="BH16" i="4"/>
  <c r="BH15" i="4"/>
  <c r="BH14" i="4"/>
  <c r="BH13" i="4"/>
  <c r="BH12" i="4"/>
  <c r="BH11" i="4"/>
  <c r="BH10" i="4"/>
  <c r="BH9" i="4"/>
  <c r="BH8" i="4"/>
  <c r="BH7" i="4"/>
  <c r="BH6" i="4"/>
  <c r="BH5" i="4"/>
  <c r="BH4" i="4"/>
  <c r="BH3" i="4"/>
  <c r="BH2" i="4"/>
  <c r="BI1" i="4"/>
  <c r="BH1" i="4"/>
  <c r="D7" i="6"/>
  <c r="D11" i="6"/>
  <c r="D6" i="6"/>
  <c r="D9" i="6" l="1"/>
  <c r="D5" i="6"/>
  <c r="D8" i="6"/>
  <c r="D10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B11" i="7" l="1"/>
  <c r="D102" i="6" l="1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B40" i="1"/>
  <c r="B45" i="1"/>
</calcChain>
</file>

<file path=xl/sharedStrings.xml><?xml version="1.0" encoding="utf-8"?>
<sst xmlns="http://schemas.openxmlformats.org/spreadsheetml/2006/main" count="17083" uniqueCount="2711">
  <si>
    <t>2DAniCritic's Review Library</t>
  </si>
  <si>
    <t>Over the years, I've obtained a lot of 2D animated films on home video.</t>
  </si>
  <si>
    <t>Is 2D animation dead?</t>
  </si>
  <si>
    <t>But since the decline of American 2D animated feature films, other countries filled the void,</t>
  </si>
  <si>
    <t>This site features reviews of 2D animation in feature films and televised Japanese anime.</t>
  </si>
  <si>
    <t>Living in Canada, almost all subjects on this site were once available on DVD or Bluray in North America.</t>
  </si>
  <si>
    <t>More Info:</t>
  </si>
  <si>
    <t>Download the full directory as a zip file here:</t>
  </si>
  <si>
    <t>Welcome to</t>
  </si>
  <si>
    <r>
      <t>Hello. My name is "</t>
    </r>
    <r>
      <rPr>
        <b/>
        <sz val="11"/>
        <color theme="1"/>
        <rFont val="Calibri"/>
        <family val="2"/>
        <scheme val="minor"/>
      </rPr>
      <t>Ani</t>
    </r>
    <r>
      <rPr>
        <sz val="11"/>
        <color theme="1"/>
        <rFont val="Calibri"/>
        <family val="2"/>
        <scheme val="minor"/>
      </rPr>
      <t>."</t>
    </r>
  </si>
  <si>
    <r>
      <t xml:space="preserve">I like </t>
    </r>
    <r>
      <rPr>
        <b/>
        <sz val="11"/>
        <color theme="1"/>
        <rFont val="Calibri"/>
        <family val="2"/>
        <scheme val="minor"/>
      </rPr>
      <t>2D animation</t>
    </r>
    <r>
      <rPr>
        <sz val="11"/>
        <color theme="1"/>
        <rFont val="Calibri"/>
        <family val="2"/>
        <scheme val="minor"/>
      </rPr>
      <t>. A lot.</t>
    </r>
  </si>
  <si>
    <t>Grading Scheme:</t>
  </si>
  <si>
    <t>Each review has 7 score numbers, and the total score is the average of these numbers.</t>
  </si>
  <si>
    <t>Animation:</t>
  </si>
  <si>
    <t>The amount and appeal of motion.</t>
  </si>
  <si>
    <t>Visual:</t>
  </si>
  <si>
    <t>The appeal of character design, background art, detail, style.</t>
  </si>
  <si>
    <t>Audio:</t>
  </si>
  <si>
    <t>The background music, sound effects.</t>
  </si>
  <si>
    <t>Acting:</t>
  </si>
  <si>
    <t>The enjoyment of the acting for the characters (graded in English, when available).</t>
  </si>
  <si>
    <t>Story:</t>
  </si>
  <si>
    <t>Is the story good?</t>
  </si>
  <si>
    <t>Fun:</t>
  </si>
  <si>
    <t>Is the content fun to watch?</t>
  </si>
  <si>
    <t>Bias:</t>
  </si>
  <si>
    <t>Last chance to skew the final score based on my personal preference.</t>
  </si>
  <si>
    <t>The scores are from 1.0 to 5.0,</t>
  </si>
  <si>
    <t>Generally, all scores between films are directly comparable,</t>
  </si>
  <si>
    <t>The average scores could also be read as the following:</t>
  </si>
  <si>
    <r>
      <rPr>
        <b/>
        <sz val="11"/>
        <color theme="1"/>
        <rFont val="Calibri"/>
        <family val="2"/>
        <scheme val="minor"/>
      </rPr>
      <t>Not good</t>
    </r>
    <r>
      <rPr>
        <sz val="11"/>
        <color theme="1"/>
        <rFont val="Calibri"/>
        <family val="2"/>
        <scheme val="minor"/>
      </rPr>
      <t>. As in, really not good. Avoid if possible.</t>
    </r>
  </si>
  <si>
    <r>
      <rPr>
        <b/>
        <sz val="11"/>
        <color theme="1"/>
        <rFont val="Calibri"/>
        <family val="2"/>
        <scheme val="minor"/>
      </rPr>
      <t>Above average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). Worth watching even with minimal interest.</t>
    </r>
  </si>
  <si>
    <r>
      <rPr>
        <b/>
        <sz val="11"/>
        <color theme="1"/>
        <rFont val="Calibri"/>
        <family val="2"/>
        <scheme val="minor"/>
      </rPr>
      <t>Really good</t>
    </r>
    <r>
      <rPr>
        <sz val="11"/>
        <color theme="1"/>
        <rFont val="Calibri"/>
        <family val="2"/>
        <scheme val="minor"/>
      </rPr>
      <t>. Give this a try, you won't regret it.</t>
    </r>
  </si>
  <si>
    <r>
      <rPr>
        <b/>
        <sz val="11"/>
        <color theme="1"/>
        <rFont val="Calibri"/>
        <family val="2"/>
        <scheme val="minor"/>
      </rPr>
      <t>Fantastic.</t>
    </r>
    <r>
      <rPr>
        <sz val="11"/>
        <color theme="1"/>
        <rFont val="Calibri"/>
        <family val="2"/>
        <scheme val="minor"/>
      </rPr>
      <t xml:space="preserve"> Seek out now, spare no expense to see it.</t>
    </r>
  </si>
  <si>
    <r>
      <rPr>
        <b/>
        <sz val="11"/>
        <color theme="1"/>
        <rFont val="Calibri"/>
        <family val="2"/>
        <scheme val="minor"/>
      </rPr>
      <t>Horrible</t>
    </r>
    <r>
      <rPr>
        <sz val="11"/>
        <color theme="1"/>
        <rFont val="Calibri"/>
        <family val="2"/>
        <scheme val="minor"/>
      </rPr>
      <t>. An embarressment to the medium and a waste of your time and money.</t>
    </r>
  </si>
  <si>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. Not worth going out of your way for unless significantly interested.</t>
    </r>
  </si>
  <si>
    <r>
      <rPr>
        <b/>
        <sz val="11"/>
        <color theme="1"/>
        <rFont val="Calibri"/>
        <family val="2"/>
        <scheme val="minor"/>
      </rPr>
      <t>Below average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mediocre</t>
    </r>
    <r>
      <rPr>
        <sz val="11"/>
        <color theme="1"/>
        <rFont val="Calibri"/>
        <family val="2"/>
        <scheme val="minor"/>
      </rPr>
      <t>). Despite good intentions, something came out wrong in the final product.</t>
    </r>
  </si>
  <si>
    <r>
      <rPr>
        <b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 A handful of well-done elements prevent it from being horrible.</t>
    </r>
  </si>
  <si>
    <t>This webpage is a catalogue of reviews I've written to help me organize my collection.</t>
  </si>
  <si>
    <t>With reviews of hundreds of films (old and new) on this site, we have evidence</t>
  </si>
  <si>
    <t>for any inquiries.</t>
  </si>
  <si>
    <t>in.</t>
  </si>
  <si>
    <t>director</t>
  </si>
  <si>
    <t>STot</t>
  </si>
  <si>
    <t>SAni</t>
  </si>
  <si>
    <t>SVis</t>
  </si>
  <si>
    <t>SAud</t>
  </si>
  <si>
    <t>SAct</t>
  </si>
  <si>
    <t>SSto</t>
  </si>
  <si>
    <t>SFun</t>
  </si>
  <si>
    <t>SBias</t>
  </si>
  <si>
    <t>genre</t>
  </si>
  <si>
    <t>Link</t>
  </si>
  <si>
    <t>family, philosophy, romance, drama</t>
  </si>
  <si>
    <t>Jean-Loup Felicioli, Alain Gagnol</t>
  </si>
  <si>
    <t>action, adventure, comedy, family, thriller</t>
  </si>
  <si>
    <t>A Liar's Autobiography - The Untrue Story of Monty Python's Graham Chapman</t>
  </si>
  <si>
    <t>United Kingdom</t>
  </si>
  <si>
    <t>Bill Jones, Jeff Simpson, Ben Timlett</t>
  </si>
  <si>
    <t>adventure, comedy, experimental, philosophy, drama, non fiction</t>
  </si>
  <si>
    <t>philosophy, romance, drama</t>
  </si>
  <si>
    <t>adventure, experimental, philosophy, fantasy, science fiction</t>
  </si>
  <si>
    <t>Fuminori Kizaki, Jamie Simone</t>
  </si>
  <si>
    <t>action, horror, fantasy, drama</t>
  </si>
  <si>
    <t>action, adventure, horror, fantasy, drama</t>
  </si>
  <si>
    <t>action, experimental, horror, science fiction</t>
  </si>
  <si>
    <t>comedy, fantasy</t>
  </si>
  <si>
    <t>action, adventure, comedy, fantasy, drama</t>
  </si>
  <si>
    <t>Christian Desmares, Franck Ekinci</t>
  </si>
  <si>
    <t>action, adventure, comedy, family, romance, science fiction, mystery</t>
  </si>
  <si>
    <t>comedy, philosophy, romance, fantasy, drama</t>
  </si>
  <si>
    <t>adventure, experimental, philosophy, fantasy, mystery</t>
  </si>
  <si>
    <t>comedy, family</t>
  </si>
  <si>
    <t>action, comedy, experimental, horror, thriller, mystery</t>
  </si>
  <si>
    <t>Akiyuki Shinbo, Tatsuya Oishi</t>
  </si>
  <si>
    <t>action, comedy, erotic, experimental, horror, philosophy, romance, drama</t>
  </si>
  <si>
    <t>erotic, experimental, horror, romance, fantasy, drama</t>
  </si>
  <si>
    <t>Berserk - The Golden Age Arc (The Egg of the King, The Battle for Doldrey, The Advent)</t>
  </si>
  <si>
    <t>action, adventure, horror, fantasy</t>
  </si>
  <si>
    <t>action, horror, romance, fantasy, drama, mystery</t>
  </si>
  <si>
    <t>Liang Xuan, Zhang Chun</t>
  </si>
  <si>
    <t>adventure, family, philosophy, romance, fantasy</t>
  </si>
  <si>
    <t>Alberto Vazquez, Pedro Rivero</t>
  </si>
  <si>
    <t>action, adventure, comedy, experimental, horror, philosophy, romance, fantasy, drama</t>
  </si>
  <si>
    <t>action, comedy, science fiction, drama</t>
  </si>
  <si>
    <t>action, adventure, comedy, erotic, horror, fantasy, drama, mystery</t>
  </si>
  <si>
    <t>comedy, erotic, horror, fantasy, mystery</t>
  </si>
  <si>
    <t>action, adventure, comedy, erotic, horror, fantasy, drama</t>
  </si>
  <si>
    <t>action, drama, thriller</t>
  </si>
  <si>
    <t>Oriental Light and Magic, Character Plan</t>
  </si>
  <si>
    <t>Joji Shimura, Ahn Tae-kun</t>
  </si>
  <si>
    <t>action, adventure</t>
  </si>
  <si>
    <t>action, experimental, philosophy, science fiction, mystery</t>
  </si>
  <si>
    <t>action, horror, thriller</t>
  </si>
  <si>
    <t>action, adventure, comedy, experimental, horror, fantasy</t>
  </si>
  <si>
    <t>action, horror, thriller, mystery</t>
  </si>
  <si>
    <t>adventure, experimental, family, philosophy</t>
  </si>
  <si>
    <t>action, adventure, fantasy, thriller</t>
  </si>
  <si>
    <t>action, adventure, comedy, family, romance, fantasy</t>
  </si>
  <si>
    <t>action, comedy, erotic, romance, science fiction</t>
  </si>
  <si>
    <t>adventure, comedy, experimental, horror, philosophy, fantasy</t>
  </si>
  <si>
    <t>romance, drama</t>
  </si>
  <si>
    <t>adventure, family, philosophy, fantasy, drama</t>
  </si>
  <si>
    <t>action, adventure, philosophy, science fiction, drama, thriller</t>
  </si>
  <si>
    <t>action, comedy, philosophy, romance, science fiction, drama, thriller</t>
  </si>
  <si>
    <t>Akio Watanabe, Toshikazu Matsubara</t>
  </si>
  <si>
    <t>adventure, comedy, experimental, family, romance, fantasy, science fiction</t>
  </si>
  <si>
    <t>Shuhei Morita, Hiroaki Ando</t>
  </si>
  <si>
    <t>action, adventure, comedy, experimental, family, horror, philosophy, romance, fantasy, science fiction, drama, thriller, mystery</t>
  </si>
  <si>
    <t>adventure, family, philosophy, drama, mystery</t>
  </si>
  <si>
    <t>action, horror, romance, fantasy, thriller</t>
  </si>
  <si>
    <t>comedy, family, philosophy, drama</t>
  </si>
  <si>
    <t>Shigehito Takayanagi</t>
  </si>
  <si>
    <t>comedy, non fiction</t>
  </si>
  <si>
    <t>action, erotic, horror, romance, fantasy</t>
  </si>
  <si>
    <t>Film Roman, Production I.G., Don Woo Animation, Manglobe, JM Animation, MOI Animation, Digital eMation, BigStar, EA Pictures</t>
  </si>
  <si>
    <t>Mika Disa, Shuko Murase, Yasuomi Umetsu, Victor Cook, Jong-Sik Nam, Kim Sang-jin, Lee Seung-Gyu</t>
  </si>
  <si>
    <t>action, experimental, horror</t>
  </si>
  <si>
    <t>action, comedy, horror, science fiction, thriller, mystery</t>
  </si>
  <si>
    <t>horror, philosophy, drama, thriller, mystery</t>
  </si>
  <si>
    <t>philosophy, fantasy, drama, thriller</t>
  </si>
  <si>
    <t>action, erotic, experimental, horror, romance, fantasy, drama</t>
  </si>
  <si>
    <t>action, horror, fantasy</t>
  </si>
  <si>
    <t>adventure, comedy, mystery</t>
  </si>
  <si>
    <t>action, comedy, fantasy</t>
  </si>
  <si>
    <t>adventure, comedy, horror, philosophy, romance, drama, mystery</t>
  </si>
  <si>
    <t>adventure, philosophy, romance, drama, thriller, mystery</t>
  </si>
  <si>
    <t>Stephani Aubier, Vincent Patar, Benjamin Renner</t>
  </si>
  <si>
    <t>adventure, comedy, family, philosophy, drama</t>
  </si>
  <si>
    <t>comedy, family, romance, non fiction</t>
  </si>
  <si>
    <t>action, adventure, comedy, fantasy</t>
  </si>
  <si>
    <t>action, adventure, fantasy</t>
  </si>
  <si>
    <t>action, horror, philosophy, fantasy, drama</t>
  </si>
  <si>
    <t>Akiyuki Shinbo, Nobuyuki Takeuchi</t>
  </si>
  <si>
    <t>adventure, romance, fantasy, drama</t>
  </si>
  <si>
    <t>action, adventure, comedy, experimental, philosophy, romance, fantasy</t>
  </si>
  <si>
    <t>action, adventure, comedy, experimental, romance, fantasy</t>
  </si>
  <si>
    <t>family, romance, drama</t>
  </si>
  <si>
    <t>action, philosophy, drama</t>
  </si>
  <si>
    <t>experimental, romance, fantasy, science fiction, drama, thriller, mystery</t>
  </si>
  <si>
    <t>action, horror, science fiction, thriller, mystery</t>
  </si>
  <si>
    <t>adventure, horror, philosophy, science fiction, mystery</t>
  </si>
  <si>
    <t>action, philosophy, science fiction, thriller, mystery</t>
  </si>
  <si>
    <t>action, philosophy, science fiction</t>
  </si>
  <si>
    <t>action, philosophy, science fiction, thriller</t>
  </si>
  <si>
    <t>comedy</t>
  </si>
  <si>
    <t>family, horror, philosophy, drama, non fiction</t>
  </si>
  <si>
    <t>action, adventure, fantasy, drama</t>
  </si>
  <si>
    <t>Yukihiro Miyamoto, Akiyuki Shinbo</t>
  </si>
  <si>
    <t>comedy, erotic, romance, science fiction, drama</t>
  </si>
  <si>
    <t>action, adventure, experimental, romance, fantasy, science fiction, drama</t>
  </si>
  <si>
    <t>Michael Arias, Takashi Nakamura</t>
  </si>
  <si>
    <t>philosophy, science fiction, drama, thriller, mystery</t>
  </si>
  <si>
    <t>action, adventure, comedy, drama, thriller</t>
  </si>
  <si>
    <t>action, comedy, erotic, romance, fantasy, science fiction, drama</t>
  </si>
  <si>
    <t>Heaven's Lost Property the Movie - The Angeloid of Clockwork</t>
  </si>
  <si>
    <t>Hisashi Saito, Tetsuya Yanagisawa</t>
  </si>
  <si>
    <t>action, comedy, erotic, romance, fantasy</t>
  </si>
  <si>
    <t>comedy, philosophy, drama, mystery</t>
  </si>
  <si>
    <t>Satelight, Madhouse, Graphinica &amp; Kelmadick</t>
  </si>
  <si>
    <t>Tomokazu Tokoro, Hiroyuki Tanaka, Yasuhiro Matsumura</t>
  </si>
  <si>
    <t>action, experimental, horror, fantasy</t>
  </si>
  <si>
    <t>comedy, romance</t>
  </si>
  <si>
    <t>action, erotic, horror, thriller</t>
  </si>
  <si>
    <t>adventure, experimental, family, philosophy, romance, fantasy</t>
  </si>
  <si>
    <t>adventure, comedy, philosophy, drama</t>
  </si>
  <si>
    <t>family, drama, non fiction</t>
  </si>
  <si>
    <t>comedy, experimental, philosophy, drama</t>
  </si>
  <si>
    <t>action, comedy, drama, thriller</t>
  </si>
  <si>
    <t>action, fantasy, drama, mystery</t>
  </si>
  <si>
    <t>experimental, philosophy, romance, science fiction, mystery</t>
  </si>
  <si>
    <t>comedy, romance, drama</t>
  </si>
  <si>
    <t>comedy, erotic, romance</t>
  </si>
  <si>
    <t>action, comedy, erotic, sports</t>
  </si>
  <si>
    <t>adventure, comedy, family, philosophy, romance, fantasy</t>
  </si>
  <si>
    <t>adventure, experimental, philosophy, science fiction</t>
  </si>
  <si>
    <t>action, comedy, erotic, experimental, horror, romance, fantasy, thriller</t>
  </si>
  <si>
    <t>Shin Onuma, Shin'ya Kawatsura</t>
  </si>
  <si>
    <t>comedy, horror, philosophy, romance, drama</t>
  </si>
  <si>
    <t>action, adventure, comedy, experimental, family, philosophy, fantasy</t>
  </si>
  <si>
    <t>Jean-Francois Laguionie</t>
  </si>
  <si>
    <t>philosophy, drama</t>
  </si>
  <si>
    <t>comedy, romance, fantasy, drama</t>
  </si>
  <si>
    <t>Dorota Kobiela, Hugh Welchman</t>
  </si>
  <si>
    <t>family, philosophy, drama, mystery</t>
  </si>
  <si>
    <t>adventure, comedy, family</t>
  </si>
  <si>
    <t>action, adventure, comedy</t>
  </si>
  <si>
    <t>action, adventure, experimental, philosophy, drama, mystery</t>
  </si>
  <si>
    <t>action, adventure, comedy, family, romance</t>
  </si>
  <si>
    <t>action, adventure, comedy, science fiction</t>
  </si>
  <si>
    <t>action, adventure, erotic, experimental, drama, mystery</t>
  </si>
  <si>
    <t>Akiyuki Shinbo, Yukihiro Miyamoto</t>
  </si>
  <si>
    <t>action, experimental, horror, fantasy, drama, mystery</t>
  </si>
  <si>
    <t>action, philosophy, fantasy, drama</t>
  </si>
  <si>
    <t>action, adventure, romance, fantasy, drama</t>
  </si>
  <si>
    <t>Hiromasa Yonebayashi</t>
  </si>
  <si>
    <t>adventure, family, fantasy</t>
  </si>
  <si>
    <t>action, comedy, thriller</t>
  </si>
  <si>
    <t>action, comedy, erotic, thriller</t>
  </si>
  <si>
    <t>Guillaume "Run" Renard, Shojiro Nishimi</t>
  </si>
  <si>
    <t>action, comedy, romance, science fiction</t>
  </si>
  <si>
    <t>adventure, comedy, experimental, philosophy, romance</t>
  </si>
  <si>
    <t>philosophy, fantasy, drama, mystery</t>
  </si>
  <si>
    <t>adventure, family, philosophy, romance, drama</t>
  </si>
  <si>
    <t>family, philosophy, drama</t>
  </si>
  <si>
    <t>action, adventure, comedy, experimental, horror, philosophy, romance, drama</t>
  </si>
  <si>
    <t>comedy, experimental, family, philosophy</t>
  </si>
  <si>
    <t>Hideaki Anno, Shinji Higuchi</t>
  </si>
  <si>
    <t>action, adventure, family, fantasy</t>
  </si>
  <si>
    <t>adventure, comedy, experimental, family, fantasy, science fiction, mystery</t>
  </si>
  <si>
    <t>action, adventure, family, philosophy, fantasy, science fiction</t>
  </si>
  <si>
    <t>adventure, comedy</t>
  </si>
  <si>
    <t>comedy, experimental, family</t>
  </si>
  <si>
    <t>adventure, experimental, family, philosophy, fantasy</t>
  </si>
  <si>
    <t>action, adventure, erotic, horror, fantasy</t>
  </si>
  <si>
    <t>Akiyuki Shinbo, Tatsuya Osihi</t>
  </si>
  <si>
    <t>action, adventure, comedy, erotic, fantasy</t>
  </si>
  <si>
    <t>action, adventure, comedy, horror, romance, fantasy, drama</t>
  </si>
  <si>
    <t>action, comedy, horror, romance, fantasy</t>
  </si>
  <si>
    <t>action, adventure, fantasy, science fiction</t>
  </si>
  <si>
    <t>action, adventure, comedy, romance, fantasy</t>
  </si>
  <si>
    <t>action, comedy, erotic, experimental, fantasy</t>
  </si>
  <si>
    <t>adventure, erotic, experimental, horror, fantasy, science fiction, thriller</t>
  </si>
  <si>
    <t>Yoshinaga Naoyuki, Nakazawa Kazuto</t>
  </si>
  <si>
    <t>action, philosophy, science fiction, drama, mystery</t>
  </si>
  <si>
    <t>action, philosophy, science fiction, drama, thriller, mystery</t>
  </si>
  <si>
    <t>erotic, experimental, horror, thriller, mystery</t>
  </si>
  <si>
    <t>Marjane Satrapi, Vincent Paronnaud</t>
  </si>
  <si>
    <t>comedy, philosophy, romance, drama, non fiction</t>
  </si>
  <si>
    <t>Persona 3 The Movie - Spring of Birth, Midsummer Knight's Dream, Falling Down, Winter of Rebirth</t>
  </si>
  <si>
    <t>Noriaki Akitaya, Tomohisa Taguchi, Keitaro Motonaga</t>
  </si>
  <si>
    <t>action, adventure, comedy, family, fantasy</t>
  </si>
  <si>
    <t>experimental, drama, sports</t>
  </si>
  <si>
    <t>adventure, comedy, experimental, family, philosophy, fantasy</t>
  </si>
  <si>
    <t>adventure, family, romance, fantasy</t>
  </si>
  <si>
    <t>action, adventure, philosophy, romance, fantasy</t>
  </si>
  <si>
    <t>action, comedy, erotic, horror, romance, thriller</t>
  </si>
  <si>
    <t>action, comedy, erotic, experimental, fantasy, science fiction, drama, mystery</t>
  </si>
  <si>
    <t>adventure, comedy, erotic, romance, drama, thriller, non fiction</t>
  </si>
  <si>
    <t>action, science fiction, sports</t>
  </si>
  <si>
    <t>adventure, family, horror, philosophy</t>
  </si>
  <si>
    <t>adventure, family</t>
  </si>
  <si>
    <t>action, adventure, fantasy, mystery</t>
  </si>
  <si>
    <t>action, comedy, family, romance, fantasy</t>
  </si>
  <si>
    <t>experimental, horror, philosophy, science fiction, mystery</t>
  </si>
  <si>
    <t>Shimoneta - A Boring World Where the Concept of Dirty Jokes Doesn't Exist</t>
  </si>
  <si>
    <t>adventure, comedy, erotic, philosophy</t>
  </si>
  <si>
    <t>comedy, philosophy, drama</t>
  </si>
  <si>
    <t>action, horror, science fiction</t>
  </si>
  <si>
    <t>action, adventure, comedy, horror, fantasy</t>
  </si>
  <si>
    <t>Shinichiro Watanabe, Shingo Natsume</t>
  </si>
  <si>
    <t>adventure, comedy, experimental, science fiction</t>
  </si>
  <si>
    <t>adventure, romance, fantasy</t>
  </si>
  <si>
    <t>Hiroshi Hamasaki, Takyua Sato</t>
  </si>
  <si>
    <t>adventure, comedy, horror, romance, science fiction, drama, thriller</t>
  </si>
  <si>
    <t>action, adventure, comedy, family, romance, science fiction, drama, thriller</t>
  </si>
  <si>
    <t>Shigeyuki Miya, Atsuko Ishizuka</t>
  </si>
  <si>
    <t>action, adventure, horror, fantasy, mystery</t>
  </si>
  <si>
    <t>adventure, philosophy, fantasy, drama</t>
  </si>
  <si>
    <t>Peter Rida Michail, Aaron Horvath</t>
  </si>
  <si>
    <t>action, adventure, comedy, family</t>
  </si>
  <si>
    <t>Benjamin Renner, Patrick Imbert</t>
  </si>
  <si>
    <t>action, adventure, comedy, family, romance, fantasy, drama, sports</t>
  </si>
  <si>
    <t>adventure, family, philosophy, drama</t>
  </si>
  <si>
    <t>Tatsuya Ishihara, Yasuhiro Takemoto</t>
  </si>
  <si>
    <t>adventure, philosophy, romance, science fiction, drama, mystery</t>
  </si>
  <si>
    <t>action, adventure, experimental, fantasy</t>
  </si>
  <si>
    <t>action, adventure, horror, philosophy, science fiction, thriller</t>
  </si>
  <si>
    <t>Arthur Rankin, Jr., Jules Bass</t>
  </si>
  <si>
    <t>Ei Aoki, Takuya Nonaka, Mitsuru Obunai, Teiichi Takiguchi, Takayuki Hiaro, Takahiro Miura, Shinsuke Takizawa, Tomonori Sudou</t>
  </si>
  <si>
    <t>action, horror, romance, fantasy, thriller, mystery</t>
  </si>
  <si>
    <t>comedy, family, romance, science fiction, drama</t>
  </si>
  <si>
    <t>Sebastien Laudenbach</t>
  </si>
  <si>
    <t>experimental, horror, philosophy, romance, fantasy, drama</t>
  </si>
  <si>
    <t>Arthur Rankin Jr., Jules Bass</t>
  </si>
  <si>
    <t>adventure, experimental, family, philosophy, fantasy, drama</t>
  </si>
  <si>
    <t>adventure, comedy, experimental, romance, science fiction</t>
  </si>
  <si>
    <t>comedy, experimental</t>
  </si>
  <si>
    <t>adventure, comedy, experimental, romance</t>
  </si>
  <si>
    <t>adventure, family, romance, science fiction</t>
  </si>
  <si>
    <t>Brenda Chapman, Steve Hickner, Simon Wells</t>
  </si>
  <si>
    <t>adventure, comedy, family, romance</t>
  </si>
  <si>
    <t>action, adventure, family, romance, fantasy</t>
  </si>
  <si>
    <t>Joann Sfar, Antoine Delesvaux</t>
  </si>
  <si>
    <t>adventure, comedy, philosophy</t>
  </si>
  <si>
    <t>Michael Dudok de Wit</t>
  </si>
  <si>
    <t>adventure, experimental, philosophy, drama</t>
  </si>
  <si>
    <t>adventure, family, philosophy, fantasy, mystery</t>
  </si>
  <si>
    <t>philosophy, drama, mystery</t>
  </si>
  <si>
    <t>adventure, experimental, family, philosophy, romance, fantasy, drama</t>
  </si>
  <si>
    <t>Richard Williams Animation Productions</t>
  </si>
  <si>
    <t>adventure, comedy, experimental, family, romance, fantasy</t>
  </si>
  <si>
    <t>philosophy, romance, drama, non fiction</t>
  </si>
  <si>
    <t>experimental, philosophy, science fiction, drama</t>
  </si>
  <si>
    <t>Don Bluth, Gary Goldman</t>
  </si>
  <si>
    <t>adventure, comedy, family, romance, fantasy</t>
  </si>
  <si>
    <t>philosophy, science fiction, drama</t>
  </si>
  <si>
    <t>adventure, comedy, family, drama</t>
  </si>
  <si>
    <t>Osamu Dezaki, Yoichiro Fukuda</t>
  </si>
  <si>
    <t>action, drama, sports</t>
  </si>
  <si>
    <t>action, science fiction, drama</t>
  </si>
  <si>
    <t>action, adventure, comedy, science fiction, drama</t>
  </si>
  <si>
    <t>family, romance, fantasy, drama</t>
  </si>
  <si>
    <t>adventure, comedy, experimental, philosophy, romance, fantasy</t>
  </si>
  <si>
    <t>action, romance, science fiction, drama</t>
  </si>
  <si>
    <t>adventure, comedy, experimental, philosophy, romance, drama</t>
  </si>
  <si>
    <t>adventure, family, drama, mystery</t>
  </si>
  <si>
    <t>comedy, experimental, horror, philosophy, drama</t>
  </si>
  <si>
    <t>experimental, family, romance, drama</t>
  </si>
  <si>
    <t>adventure, family, romance, fantasy, drama</t>
  </si>
  <si>
    <t>adventure, comedy, experimental, horror, philosophy, fantasy, mystery</t>
  </si>
  <si>
    <t>adventure, comedy, experimental, family</t>
  </si>
  <si>
    <t>comedy, romance, drama, sports</t>
  </si>
  <si>
    <t>runtime</t>
  </si>
  <si>
    <t>Anime (TV)</t>
  </si>
  <si>
    <t>Anime (Films)</t>
  </si>
  <si>
    <t>International (outside of Japan) (Films)</t>
  </si>
  <si>
    <t>&gt;&gt;&gt;</t>
  </si>
  <si>
    <t>1.0 -&gt; 1.5</t>
  </si>
  <si>
    <t>1.5 -&gt; 2.0</t>
  </si>
  <si>
    <t>2.0 -&gt; 2.5</t>
  </si>
  <si>
    <t>2.5 -&gt; 3.0</t>
  </si>
  <si>
    <t>3.0 -&gt; 3.5</t>
  </si>
  <si>
    <t>3.5 -&gt; 4.0</t>
  </si>
  <si>
    <t>4.0 -&gt; 4.5</t>
  </si>
  <si>
    <t>4.5 -&gt; 5.0</t>
  </si>
  <si>
    <t>Range</t>
  </si>
  <si>
    <t>Count for Range</t>
  </si>
  <si>
    <t>Naturally, since I choose what I watch,</t>
  </si>
  <si>
    <t>Year</t>
  </si>
  <si>
    <t>Count</t>
  </si>
  <si>
    <t>I hold the right to edit existing reviews after they are published.</t>
  </si>
  <si>
    <t>Maybe in Hollywood, where only the most popular and commercial methods can survive.</t>
  </si>
  <si>
    <t>With these films, you will always have the option to seek out a lost classic on home video,</t>
  </si>
  <si>
    <t>Jiro Fujimoto, Yasuhiro Irie</t>
  </si>
  <si>
    <t>action, comedy, horror, science fiction, drama</t>
  </si>
  <si>
    <t>comedy, horror, drama, non fiction</t>
  </si>
  <si>
    <t>adventure, comedy, drama, non fiction</t>
  </si>
  <si>
    <t>action, adventure, experimental, family</t>
  </si>
  <si>
    <t>action, comedy, horror, fantasy, thriller</t>
  </si>
  <si>
    <t>action, comedy, horror, fantasy</t>
  </si>
  <si>
    <t>action, comedy, erotic, romance</t>
  </si>
  <si>
    <t>action, adventure, family, philosophy, romance, science fiction, thriller</t>
  </si>
  <si>
    <t>adventure, comedy, family, philosophy</t>
  </si>
  <si>
    <t>comedy, romance, fantasy</t>
  </si>
  <si>
    <t>philosophy, romance, science fiction, drama, thriller</t>
  </si>
  <si>
    <t>comedy, erotic, horror, romance, fantasy, mystery</t>
  </si>
  <si>
    <t>adventure, family, fantasy, mystery</t>
  </si>
  <si>
    <t>action, comedy, horror, romance, fantasy, thriller, mystery</t>
  </si>
  <si>
    <t>comedy, philosophy, romance, drama</t>
  </si>
  <si>
    <t>comedy, erotic, romance, drama</t>
  </si>
  <si>
    <t>Tomm Moore, Nora Twomey</t>
  </si>
  <si>
    <t>adventure, comedy, experimental, thriller</t>
  </si>
  <si>
    <t>action, adventure, horror, romance, fantasy</t>
  </si>
  <si>
    <t>https://2danicritic.github.io/ReviewHtml/review_Teen_Titans_Go_(To_The_Movies).html</t>
  </si>
  <si>
    <t>https://2danicritic.github.io/ReviewHtml/review_Have_a_Nice_Day.html</t>
  </si>
  <si>
    <t>https://2danicritic.github.io/ReviewHtml/review_I'll_Just_Live_In_Bando.html</t>
  </si>
  <si>
    <t>https://2danicritic.github.io/ReviewHtml/review_Loving_Vincent.html</t>
  </si>
  <si>
    <t>https://2danicritic.github.io/ReviewHtml/review_MFKZ.html</t>
  </si>
  <si>
    <t>https://2danicritic.github.io/ReviewHtml/review_My_Dogs,_Jinjin_and_Akida.html</t>
  </si>
  <si>
    <t>https://2danicritic.github.io/ReviewHtml/review_The_Big_Bad_Fox_and_Other_Tales.html</t>
  </si>
  <si>
    <t>https://2danicritic.github.io/ReviewHtml/review_The_Breadwinner.html</t>
  </si>
  <si>
    <t>https://2danicritic.github.io/ReviewHtml/review_Big_Fish_and_Begonia.html</t>
  </si>
  <si>
    <t>https://2danicritic.github.io/ReviewHtml/review_Ethel_&amp;_Ernest_.html</t>
  </si>
  <si>
    <t>https://2danicritic.github.io/ReviewHtml/review_Louise_By_The_Shore.html</t>
  </si>
  <si>
    <t>https://2danicritic.github.io/ReviewHtml/review_My_Entire_High_School_Sinking_Into_The_Sea.html</t>
  </si>
  <si>
    <t>https://2danicritic.github.io/ReviewHtml/review_Nerdland.html</t>
  </si>
  <si>
    <t>https://2danicritic.github.io/ReviewHtml/review_Nova_Seed.html</t>
  </si>
  <si>
    <t>https://2danicritic.github.io/ReviewHtml/review_The_Girl_Without_Hands.html</t>
  </si>
  <si>
    <t>https://2danicritic.github.io/ReviewHtml/review_The_Red_Turtle.html</t>
  </si>
  <si>
    <t>https://2danicritic.github.io/ReviewHtml/review_Window_Horses_-_The_Poetic_Persian_Epiphany_of_Rosie_Ming.html</t>
  </si>
  <si>
    <t>https://2danicritic.github.io/ReviewHtml/review_April_and_the_Extraordinary_World.html</t>
  </si>
  <si>
    <t>https://2danicritic.github.io/ReviewHtml/review_Birdboy_-_The_Forgotten_Children.html</t>
  </si>
  <si>
    <t>https://2danicritic.github.io/ReviewHtml/review_Satellite_Girl_and_Milk_Cow.html</t>
  </si>
  <si>
    <t>https://2danicritic.github.io/ReviewHtml/review_Song_of_the_Sea.html</t>
  </si>
  <si>
    <t>https://2danicritic.github.io/ReviewHtml/review_Boy_and_the_World.html</t>
  </si>
  <si>
    <t>https://2danicritic.github.io/ReviewHtml/review_A_Liar's_Autobiography_-_The_Untrue_Story_of_Monty_Python's_Graham_Chapman.html</t>
  </si>
  <si>
    <t>https://2danicritic.github.io/ReviewHtml/review_Ernest_and_Celestine.html</t>
  </si>
  <si>
    <t>https://2danicritic.github.io/ReviewHtml/review_It's_Such_a_Beautiful_Day.html</t>
  </si>
  <si>
    <t>https://2danicritic.github.io/ReviewHtml/review_The_Rabbi's_Cat.html</t>
  </si>
  <si>
    <t>https://2danicritic.github.io/ReviewHtml/review_Wrinkles.html</t>
  </si>
  <si>
    <t>https://2danicritic.github.io/ReviewHtml/review_A_Cat_in_Paris.html</t>
  </si>
  <si>
    <t>https://2danicritic.github.io/ReviewHtml/review_Chico_and_Rita.html</t>
  </si>
  <si>
    <t>https://2danicritic.github.io/ReviewHtml/review_The_Illusionist.html</t>
  </si>
  <si>
    <t>https://2danicritic.github.io/ReviewHtml/review_The_Secret_of_Kells.html</t>
  </si>
  <si>
    <t>https://2danicritic.github.io/ReviewHtml/review_Persepolis.html</t>
  </si>
  <si>
    <t>https://2danicritic.github.io/ReviewHtml/review_Blade_of_the_Phantom_Master.html</t>
  </si>
  <si>
    <t>https://2danicritic.github.io/ReviewHtml/review_The_Triplets_of_Belleville.html</t>
  </si>
  <si>
    <t>https://2danicritic.github.io/ReviewHtml/review_My_Beautiful_Girl_Mari.html</t>
  </si>
  <si>
    <t>https://2danicritic.github.io/ReviewHtml/review_The_Prince_of_Egpyt.html</t>
  </si>
  <si>
    <t>https://2danicritic.github.io/ReviewHtml/review_Thumbelina.html</t>
  </si>
  <si>
    <t>https://2danicritic.github.io/ReviewHtml/review_The_Thief_and_the_Cobbler.html</t>
  </si>
  <si>
    <t>https://2danicritic.github.io/ReviewHtml/review_Rock-a-Doodle.html</t>
  </si>
  <si>
    <t>https://2danicritic.github.io/ReviewHtml/review_When_The_Wind_Blows.html</t>
  </si>
  <si>
    <t>https://2danicritic.github.io/ReviewHtml/review_Rock_and_Rule.html</t>
  </si>
  <si>
    <t>https://2danicritic.github.io/ReviewHtml/review_The_Flight_of_Dragons.html</t>
  </si>
  <si>
    <t>https://2danicritic.github.io/ReviewHtml/review_The_Last_Unicorn.html</t>
  </si>
  <si>
    <t>https://2danicritic.github.io/ReviewHtml/review_The_Secret_of_Nimh.html</t>
  </si>
  <si>
    <t>https://2danicritic.github.io/ReviewHtml/review_Wizards.html</t>
  </si>
  <si>
    <t>https://2danicritic.github.io/ReviewHtml/review_Yellow_Submarine.html</t>
  </si>
  <si>
    <t>https://2danicritic.github.io/ReviewHtml/review_5_Centimeters_per_Second.html</t>
  </si>
  <si>
    <t>https://2danicritic.github.io/ReviewHtml/review_A_Silent_Voice.html</t>
  </si>
  <si>
    <t>https://2danicritic.github.io/ReviewHtml/review_A_Tree_of_Palme.html</t>
  </si>
  <si>
    <t>https://2danicritic.github.io/ReviewHtml/review_Afro_Samurai_-_Resurrection.html</t>
  </si>
  <si>
    <t>https://2danicritic.github.io/ReviewHtml/review_Akira.html</t>
  </si>
  <si>
    <t>https://2danicritic.github.io/ReviewHtml/review_Aura_-_Koga_Maryuin's_Last_War.html</t>
  </si>
  <si>
    <t>https://2danicritic.github.io/ReviewHtml/review_Barefoot_Gen.html</t>
  </si>
  <si>
    <t>https://2danicritic.github.io/ReviewHtml/review_Barefoot_Gen_2.html</t>
  </si>
  <si>
    <t>https://2danicritic.github.io/ReviewHtml/review_Batman_Ninja.html</t>
  </si>
  <si>
    <t>https://2danicritic.github.io/ReviewHtml/review_Belladonna_of_Sadness.html</t>
  </si>
  <si>
    <t>https://2danicritic.github.io/ReviewHtml/review_Berserk_-_The_Golden_Age_Arc_(The_Egg_of_the_King,_The_Battle_for_Doldrey,_The_Advent).html</t>
  </si>
  <si>
    <t>https://2danicritic.github.io/ReviewHtml/review_Beyond_the_Boundary_-_I'll_Be_Here.html</t>
  </si>
  <si>
    <t>https://2danicritic.github.io/ReviewHtml/review_Black_Butler_-_Book_of_the_Atlantic.html</t>
  </si>
  <si>
    <t>https://2danicritic.github.io/ReviewHtml/review_Blood_-_The_Last_Vampire.html</t>
  </si>
  <si>
    <t>https://2danicritic.github.io/ReviewHtml/review_Blood-C_-_The_Last_Dark.html</t>
  </si>
  <si>
    <t>https://2danicritic.github.io/ReviewHtml/review_Castle_in_the_Sky.html</t>
  </si>
  <si>
    <t>https://2danicritic.github.io/ReviewHtml/review_Children_Who_Chase_Lost_Voices.html</t>
  </si>
  <si>
    <t>https://2danicritic.github.io/ReviewHtml/review_Colorful_-_The_Motion_Picture.html</t>
  </si>
  <si>
    <t>https://2danicritic.github.io/ReviewHtml/review_Dante's_Inferno_-_An_Animated_Epic.html</t>
  </si>
  <si>
    <t>https://2danicritic.github.io/ReviewHtml/review_Eden_of_the_East_-_The_King_of_Eden,_Paradise_Lost.html</t>
  </si>
  <si>
    <t>https://2danicritic.github.io/ReviewHtml/review_Fairy_Tail_-_Dragon_Cry.html</t>
  </si>
  <si>
    <t>https://2danicritic.github.io/ReviewHtml/review_Fireworks.html</t>
  </si>
  <si>
    <t>https://2danicritic.github.io/ReviewHtml/review_From_Up_On_Poppy_Hill.html</t>
  </si>
  <si>
    <t>https://2danicritic.github.io/ReviewHtml/review_Genocidal_Organ.html</t>
  </si>
  <si>
    <t>https://2danicritic.github.io/ReviewHtml/review_Ghost_in_the_Shell.html</t>
  </si>
  <si>
    <t>https://2danicritic.github.io/ReviewHtml/review_Ghost_in_the_Shell_-_Solid_State_Society.html</t>
  </si>
  <si>
    <t>https://2danicritic.github.io/ReviewHtml/review_Ghost_in_the_Shell_2_-_Innocence.html</t>
  </si>
  <si>
    <t>https://2danicritic.github.io/ReviewHtml/review_Grave_of_the_Fireflies.html</t>
  </si>
  <si>
    <t>https://2danicritic.github.io/ReviewHtml/review_Harmony.html</t>
  </si>
  <si>
    <t>https://2danicritic.github.io/ReviewHtml/review_Heaven's_Lost_Property_the_Movie_-_The_Angeloid_of_Clockwork.html</t>
  </si>
  <si>
    <t>https://2danicritic.github.io/ReviewHtml/review_Howl's_Moving_Castle.html</t>
  </si>
  <si>
    <t>https://2danicritic.github.io/ReviewHtml/review_In_This_Corner_of_the_World.html</t>
  </si>
  <si>
    <t>https://2danicritic.github.io/ReviewHtml/review_Kiki's_Delivery_Service.html</t>
  </si>
  <si>
    <t>https://2danicritic.github.io/ReviewHtml/review_Kizumonogatari_-_Tekketsu,_Nekketsu,_Reiketsu.html</t>
  </si>
  <si>
    <t>https://2danicritic.github.io/ReviewHtml/review_Liz_and_the_Blue_Bird.html</t>
  </si>
  <si>
    <t>https://2danicritic.github.io/ReviewHtml/review_Loups=Garous.html</t>
  </si>
  <si>
    <t>https://2danicritic.github.io/ReviewHtml/review_Lu_Over_The_Wall.html</t>
  </si>
  <si>
    <t>https://2danicritic.github.io/ReviewHtml/review_Lupin_the_Third_-_Episode_0_-_First_Contact.html</t>
  </si>
  <si>
    <t>https://2danicritic.github.io/ReviewHtml/review_Lupin_the_Third_-_The_Castle_of_Cagliostro.html</t>
  </si>
  <si>
    <t>https://2danicritic.github.io/ReviewHtml/review_Lupin_the_Third_-_The_Fuma_Conspiracy.html</t>
  </si>
  <si>
    <t>https://2danicritic.github.io/ReviewHtml/review_Lupin_the_Third_-_The_Mystery_of_Mamo.html</t>
  </si>
  <si>
    <t>https://2danicritic.github.io/ReviewHtml/review_Madoka_Magica_The_Movie_1_&amp;_2_-_Beginnings,_Eternal.html</t>
  </si>
  <si>
    <t>https://2danicritic.github.io/ReviewHtml/review_Madoka_Magica_The_Movie_3_-_Rebellion.html</t>
  </si>
  <si>
    <t>https://2danicritic.github.io/ReviewHtml/review_Maquia_-_When_the_Promised_Flower_Blooms.html</t>
  </si>
  <si>
    <t>https://2danicritic.github.io/ReviewHtml/review_Mary_and_the_Witch's_Flower.html</t>
  </si>
  <si>
    <t>https://2danicritic.github.io/ReviewHtml/review_Metropolis.html</t>
  </si>
  <si>
    <t>https://2danicritic.github.io/ReviewHtml/review_Mind_Game.html</t>
  </si>
  <si>
    <t>https://2danicritic.github.io/ReviewHtml/review_Mirai.html</t>
  </si>
  <si>
    <t>https://2danicritic.github.io/ReviewHtml/review_My_Neighbor_Totoro.html</t>
  </si>
  <si>
    <t>https://2danicritic.github.io/ReviewHtml/review_My_Neighbors_The_Yamadas.html</t>
  </si>
  <si>
    <t>https://2danicritic.github.io/ReviewHtml/review_Napping_Princess.html</t>
  </si>
  <si>
    <t>https://2danicritic.github.io/ReviewHtml/review_Nausicaa_of_the_Valley_of_the_Wind.html</t>
  </si>
  <si>
    <t>https://2danicritic.github.io/ReviewHtml/review_Night_on_the_Galactic_Railroad.html</t>
  </si>
  <si>
    <t>https://2danicritic.github.io/ReviewHtml/review_Ninja_Scroll.html</t>
  </si>
  <si>
    <t>https://2danicritic.github.io/ReviewHtml/review_No_Game_No_Life_-_Zero.html</t>
  </si>
  <si>
    <t>https://2danicritic.github.io/ReviewHtml/review_Ocean_Waves.html</t>
  </si>
  <si>
    <t>https://2danicritic.github.io/ReviewHtml/review_Only_Yesterday.html</t>
  </si>
  <si>
    <t>https://2danicritic.github.io/ReviewHtml/review_Paprika.html</t>
  </si>
  <si>
    <t>https://2danicritic.github.io/ReviewHtml/review_Patlabor_2.html</t>
  </si>
  <si>
    <t>https://2danicritic.github.io/ReviewHtml/review_Perfect_Blue.html</t>
  </si>
  <si>
    <t>https://2danicritic.github.io/ReviewHtml/review_Persona_3_The_Movie_-_Spring_of_Birth,_Midsummer_Knight's_Dream,_Falling_Down,_Winter_of_Rebirth.html</t>
  </si>
  <si>
    <t>https://2danicritic.github.io/ReviewHtml/review_Pom_Poko.html</t>
  </si>
  <si>
    <t>https://2danicritic.github.io/ReviewHtml/review_Ponyo.html</t>
  </si>
  <si>
    <t>https://2danicritic.github.io/ReviewHtml/review_Porco_Rosso.html</t>
  </si>
  <si>
    <t>https://2danicritic.github.io/ReviewHtml/review_Princess_Mononoke.html</t>
  </si>
  <si>
    <t>https://2danicritic.github.io/ReviewHtml/review_Psychic_School_Wars.html</t>
  </si>
  <si>
    <t>https://2danicritic.github.io/ReviewHtml/review_Redline.html</t>
  </si>
  <si>
    <t>https://2danicritic.github.io/ReviewHtml/review_Ringing_Bell.html</t>
  </si>
  <si>
    <t>https://2danicritic.github.io/ReviewHtml/review_Spirited_Away.html</t>
  </si>
  <si>
    <t>https://2danicritic.github.io/ReviewHtml/review_Street_Fighter_II_-_The_Animated_Movie.html</t>
  </si>
  <si>
    <t>https://2danicritic.github.io/ReviewHtml/review_Summer_Wars.html</t>
  </si>
  <si>
    <t>https://2danicritic.github.io/ReviewHtml/review_Sword_of_the_Stranger.html</t>
  </si>
  <si>
    <t>https://2danicritic.github.io/ReviewHtml/review_Tales_From_Earthsea.html</t>
  </si>
  <si>
    <t>https://2danicritic.github.io/ReviewHtml/review_The_Boy_and_the_Beast.html</t>
  </si>
  <si>
    <t>https://2danicritic.github.io/ReviewHtml/review_The_Cat_Returns.html</t>
  </si>
  <si>
    <t>https://2danicritic.github.io/ReviewHtml/review_The_Disappearance_of_Haruhi_Suzumiya.html</t>
  </si>
  <si>
    <t>https://2danicritic.github.io/ReviewHtml/review_The_Empire_of_Corpses.html</t>
  </si>
  <si>
    <t>https://2danicritic.github.io/ReviewHtml/review_The_Fantastic_Adventures_of_Unico.html</t>
  </si>
  <si>
    <t>https://2danicritic.github.io/ReviewHtml/review_The_Garden_of_Sinners.html</t>
  </si>
  <si>
    <t>https://2danicritic.github.io/ReviewHtml/review_The_Garden_of_Words.html</t>
  </si>
  <si>
    <t>https://2danicritic.github.io/ReviewHtml/review_The_Girl_Who_Leapt_Through_Time.html</t>
  </si>
  <si>
    <t>https://2danicritic.github.io/ReviewHtml/review_The_Legend_of_the_Millennium_Dragon.html</t>
  </si>
  <si>
    <t>https://2danicritic.github.io/ReviewHtml/review_The_Life_of_Guskou_Budori.html</t>
  </si>
  <si>
    <t>https://2danicritic.github.io/ReviewHtml/review_The_Night_Is_Short,_Walk_On_Girl.html</t>
  </si>
  <si>
    <t>https://2danicritic.github.io/ReviewHtml/review_The_Place_Promised_in_Our_Early_Days.html</t>
  </si>
  <si>
    <t>https://2danicritic.github.io/ReviewHtml/review_The_Princess_and_the_Pilot.html</t>
  </si>
  <si>
    <t>https://2danicritic.github.io/ReviewHtml/review_The_Secret_World_of_Arrietty.html</t>
  </si>
  <si>
    <t>https://2danicritic.github.io/ReviewHtml/review_The_Sky_Crawlers.html</t>
  </si>
  <si>
    <t>https://2danicritic.github.io/ReviewHtml/review_The_Tale_of_Princess_Kaguya.html</t>
  </si>
  <si>
    <t>https://2danicritic.github.io/ReviewHtml/review_The_Wind_Rises.html</t>
  </si>
  <si>
    <t>https://2danicritic.github.io/ReviewHtml/review_Time_of_Eve.html</t>
  </si>
  <si>
    <t>https://2danicritic.github.io/ReviewHtml/review_Tokyo_Godfathers.html</t>
  </si>
  <si>
    <t>https://2danicritic.github.io/ReviewHtml/review_Tomorrow's_Joe.html</t>
  </si>
  <si>
    <t>https://2danicritic.github.io/ReviewHtml/review_Towanoquon.html</t>
  </si>
  <si>
    <t>https://2danicritic.github.io/ReviewHtml/review_Trigun_-_Badlands_Rumble.html</t>
  </si>
  <si>
    <t>https://2danicritic.github.io/ReviewHtml/review_Unico_in_the_Island_of_Magic.html</t>
  </si>
  <si>
    <t>https://2danicritic.github.io/ReviewHtml/review_Urusei_Yatsura_-_Beautiful_Dreamer.html</t>
  </si>
  <si>
    <t>https://2danicritic.github.io/ReviewHtml/review_Vampire_Hunter_D.html</t>
  </si>
  <si>
    <t>https://2danicritic.github.io/ReviewHtml/review_Vampire_Hunter_D_-_Bloodlust.html</t>
  </si>
  <si>
    <t>https://2danicritic.github.io/ReviewHtml/review_When_Marnie_Was_There.html</t>
  </si>
  <si>
    <t>https://2danicritic.github.io/ReviewHtml/review_Whisper_of_the_Heart.html</t>
  </si>
  <si>
    <t>https://2danicritic.github.io/ReviewHtml/review_Wolf_Children.html</t>
  </si>
  <si>
    <t>https://2danicritic.github.io/ReviewHtml/review_Your_Name..html</t>
  </si>
  <si>
    <t>https://2danicritic.github.io/ReviewHtml/review_Devilman_-_Crybaby.html</t>
  </si>
  <si>
    <t>https://2danicritic.github.io/ReviewHtml/review_Blood_Blockade_Battlefront_&amp;_Beyond.html</t>
  </si>
  <si>
    <t>https://2danicritic.github.io/ReviewHtml/review_Miss_Kobayashi's_Dragon_Maid.html</t>
  </si>
  <si>
    <t>https://2danicritic.github.io/ReviewHtml/review_The_Dragon_Dentist.html</t>
  </si>
  <si>
    <t>https://2danicritic.github.io/ReviewHtml/review_Dagashi_Kashi.html</t>
  </si>
  <si>
    <t>https://2danicritic.github.io/ReviewHtml/review_Drifters.html</t>
  </si>
  <si>
    <t>https://2danicritic.github.io/ReviewHtml/review_Flip_Flappers.html</t>
  </si>
  <si>
    <t>https://2danicritic.github.io/ReviewHtml/review_Grimgar_-_Ashes_and_Illusions.html</t>
  </si>
  <si>
    <t>https://2danicritic.github.io/ReviewHtml/review_Keijo.html</t>
  </si>
  <si>
    <t>https://2danicritic.github.io/ReviewHtml/review_Yuri_on_Ice.html</t>
  </si>
  <si>
    <t>https://2danicritic.github.io/ReviewHtml/review_Blood_Blockade_Battlefront.html</t>
  </si>
  <si>
    <t>https://2danicritic.github.io/ReviewHtml/review_Code_Geass_-_Akito_the_Exiled.html</t>
  </si>
  <si>
    <t>https://2danicritic.github.io/ReviewHtml/review_Death_Parade.html</t>
  </si>
  <si>
    <t>https://2danicritic.github.io/ReviewHtml/review_Gangsta.html</t>
  </si>
  <si>
    <t>https://2danicritic.github.io/ReviewHtml/review_Is_It_Wrong_To_Try_To_Pick_Up_Girls_In_A_Dungeon.html</t>
  </si>
  <si>
    <t>https://2danicritic.github.io/ReviewHtml/review_Monster_Musume_-_Everyday_Life_With_Monster_Girls.html</t>
  </si>
  <si>
    <t>https://2danicritic.github.io/ReviewHtml/review_One_Punch_Man.html</t>
  </si>
  <si>
    <t>https://2danicritic.github.io/ReviewHtml/review_Prison_School.html</t>
  </si>
  <si>
    <t>https://2danicritic.github.io/ReviewHtml/review_Punch_Line.html</t>
  </si>
  <si>
    <t>https://2danicritic.github.io/ReviewHtml/review_Rokka_-_Braves_of_the_Six_Flowers.html</t>
  </si>
  <si>
    <t>https://2danicritic.github.io/ReviewHtml/review_Shimoneta_-_A_Boring_World_Where_the_Concept_of_Dirty_Jokes_Doesn't_Exist.html</t>
  </si>
  <si>
    <t>https://2danicritic.github.io/ReviewHtml/review_The_Disappearance_of_Nagato_Yuki-chan.html</t>
  </si>
  <si>
    <t>https://2danicritic.github.io/ReviewHtml/review_Typhoon_Noruda.html</t>
  </si>
  <si>
    <t>https://2danicritic.github.io/ReviewHtml/review_Amagi_Brilliant_Park.html</t>
  </si>
  <si>
    <t>https://2danicritic.github.io/ReviewHtml/review_Black_Bullet.html</t>
  </si>
  <si>
    <t>https://2danicritic.github.io/ReviewHtml/review_Black_Butler_-_Book_of_Circus.html</t>
  </si>
  <si>
    <t>https://2danicritic.github.io/ReviewHtml/review_Black_Butler_-_Book_of_Murder.html</t>
  </si>
  <si>
    <t>https://2danicritic.github.io/ReviewHtml/review_No_Game_No_Life.html</t>
  </si>
  <si>
    <t>https://2danicritic.github.io/ReviewHtml/review_Noragami.html</t>
  </si>
  <si>
    <t>https://2danicritic.github.io/ReviewHtml/review_Ping_Pong_the_Animation.html</t>
  </si>
  <si>
    <t>https://2danicritic.github.io/ReviewHtml/review_Rage_of_Bahamut_-_Genesis.html</t>
  </si>
  <si>
    <t>https://2danicritic.github.io/ReviewHtml/review_Rail_Wars.html</t>
  </si>
  <si>
    <t>https://2danicritic.github.io/ReviewHtml/review_Shirobako.html</t>
  </si>
  <si>
    <t>https://2danicritic.github.io/ReviewHtml/review_Space_Dandy.html</t>
  </si>
  <si>
    <t>https://2danicritic.github.io/ReviewHtml/review_Trinity_Seven.html</t>
  </si>
  <si>
    <t>https://2danicritic.github.io/ReviewHtml/review_Beyond_the_Boundary.html</t>
  </si>
  <si>
    <t>https://2danicritic.github.io/ReviewHtml/review_Dog_and_Scissors.html</t>
  </si>
  <si>
    <t>https://2danicritic.github.io/ReviewHtml/review_Gargantia_on_the_Verdurous_Planet.html</t>
  </si>
  <si>
    <t>https://2danicritic.github.io/ReviewHtml/review_Kill_la_Kill.html</t>
  </si>
  <si>
    <t>https://2danicritic.github.io/ReviewHtml/review_Kyousougiga.html</t>
  </si>
  <si>
    <t>https://2danicritic.github.io/ReviewHtml/review_Btooom!.html</t>
  </si>
  <si>
    <t>https://2danicritic.github.io/ReviewHtml/review_Dusk_Maiden_of_Amnesia.html</t>
  </si>
  <si>
    <t>https://2danicritic.github.io/ReviewHtml/review_Good_Luck_Girl!.html</t>
  </si>
  <si>
    <t>https://2danicritic.github.io/ReviewHtml/review_Highschool_DxD.html</t>
  </si>
  <si>
    <t>https://2danicritic.github.io/ReviewHtml/review_Jormungand.html</t>
  </si>
  <si>
    <t>https://2danicritic.github.io/ReviewHtml/review_K.html</t>
  </si>
  <si>
    <t>https://2danicritic.github.io/ReviewHtml/review_Kokoro_Connect.html</t>
  </si>
  <si>
    <t>https://2danicritic.github.io/ReviewHtml/review_Love,_Chunibyo_&amp;_Other_Delusions!.html</t>
  </si>
  <si>
    <t>https://2danicritic.github.io/ReviewHtml/review_Lupin_the_Third_-_The_Woman_Called_Fujiko_Mine.html</t>
  </si>
  <si>
    <t>https://2danicritic.github.io/ReviewHtml/review_Nisemonogatari.html</t>
  </si>
  <si>
    <t>https://2danicritic.github.io/ReviewHtml/review_Sankarea_-_Undying_Love.html</t>
  </si>
  <si>
    <t>https://2danicritic.github.io/ReviewHtml/review_The_Pet_Girl_of_Sakurasou.html</t>
  </si>
  <si>
    <t>https://2danicritic.github.io/ReviewHtml/review_Coicent_&amp;_Five_Numbers.html</t>
  </si>
  <si>
    <t>https://2danicritic.github.io/ReviewHtml/review_Croisee_in_a_Foreign_Labyrinth.html</t>
  </si>
  <si>
    <t>https://2danicritic.github.io/ReviewHtml/review_Deadman_Wonderland.html</t>
  </si>
  <si>
    <t>https://2danicritic.github.io/ReviewHtml/review_Fate_-_Zero.html</t>
  </si>
  <si>
    <t>https://2danicritic.github.io/ReviewHtml/review_Ground_Control_to_Psychoelectric_Girl.html</t>
  </si>
  <si>
    <t>https://2danicritic.github.io/ReviewHtml/review_Guilty_Crown.html</t>
  </si>
  <si>
    <t>https://2danicritic.github.io/ReviewHtml/review_Heaven's_Memo_Pad.html</t>
  </si>
  <si>
    <t>https://2danicritic.github.io/ReviewHtml/review_Mayo_Chiki!.html</t>
  </si>
  <si>
    <t>https://2danicritic.github.io/ReviewHtml/review_Nichijou.html</t>
  </si>
  <si>
    <t>https://2danicritic.github.io/ReviewHtml/review_Persona_4_-_The_Animation.html</t>
  </si>
  <si>
    <t>https://2danicritic.github.io/ReviewHtml/review_Steins;Gate.html</t>
  </si>
  <si>
    <t>https://2danicritic.github.io/ReviewHtml/review_Supernatural_-_The_Animation.html</t>
  </si>
  <si>
    <t>https://2danicritic.github.io/ReviewHtml/review_The_Future_Diary.html</t>
  </si>
  <si>
    <t>https://2danicritic.github.io/ReviewHtml/review_The_Mystic_Archives_of_Dantalian.html</t>
  </si>
  <si>
    <t>https://2danicritic.github.io/ReviewHtml/review_This_Boy_Can_Fight_Aliens.html</t>
  </si>
  <si>
    <t>https://2danicritic.github.io/ReviewHtml/review_Angel_Beats.html</t>
  </si>
  <si>
    <t>https://2danicritic.github.io/ReviewHtml/review_Black_Butler_II.html</t>
  </si>
  <si>
    <t>https://2danicritic.github.io/ReviewHtml/review_Black_Lagoon_-_Roberta's_Blood_Trail.html</t>
  </si>
  <si>
    <t>https://2danicritic.github.io/ReviewHtml/review_Cat_Planet_Cuties.html</t>
  </si>
  <si>
    <t>https://2danicritic.github.io/ReviewHtml/review_Dance_in_the_Vampire_Bund.html</t>
  </si>
  <si>
    <t>https://2danicritic.github.io/ReviewHtml/review_Highschool_of_the_Dead.html</t>
  </si>
  <si>
    <t>https://2danicritic.github.io/ReviewHtml/review_Panty_and_Stocking_with_Garterbelt.html</t>
  </si>
  <si>
    <t>https://2danicritic.github.io/ReviewHtml/review_Bakemonogatari.html</t>
  </si>
  <si>
    <t>https://2danicritic.github.io/ReviewHtml/review_Canaan.html</t>
  </si>
  <si>
    <t>https://2danicritic.github.io/ReviewHtml/review_Eden_of_the_East.html</t>
  </si>
  <si>
    <t>https://2danicritic.github.io/ReviewHtml/review_Heaven's_Lost_Property.html</t>
  </si>
  <si>
    <t>https://2danicritic.github.io/ReviewHtml/review_Hetalia_-_Season_1_and_2.html</t>
  </si>
  <si>
    <t>https://2danicritic.github.io/ReviewHtml/review_The_Melancholy_of_Haruhi-Chan_Suzumiya.html</t>
  </si>
  <si>
    <t>https://2danicritic.github.io/ReviewHtml/review_Black_Butler.html</t>
  </si>
  <si>
    <t>https://2danicritic.github.io/ReviewHtml/review_Corpse_Princess.html</t>
  </si>
  <si>
    <t>https://2danicritic.github.io/ReviewHtml/review_Kaiba.html</t>
  </si>
  <si>
    <t>https://2danicritic.github.io/ReviewHtml/review_Kannagi_-_Crazy_Shrine_Maidens.html</t>
  </si>
  <si>
    <t>https://2danicritic.github.io/ReviewHtml/review_Kanokon_-_The_Girl_Who_Cried_Fox.html</t>
  </si>
  <si>
    <t>https://2danicritic.github.io/ReviewHtml/review_Lupin_the_Third_-_Green_VS_Red.html</t>
  </si>
  <si>
    <t>https://2danicritic.github.io/ReviewHtml/review_Soul_Eater.html</t>
  </si>
  <si>
    <t>https://2danicritic.github.io/ReviewHtml/review_Spice_and_Wolf.html</t>
  </si>
  <si>
    <t>https://2danicritic.github.io/ReviewHtml/review_Toradora.html</t>
  </si>
  <si>
    <t>https://2danicritic.github.io/ReviewHtml/review_Afro_Samurai.html</t>
  </si>
  <si>
    <t>https://2danicritic.github.io/ReviewHtml/review_Baccano!.html</t>
  </si>
  <si>
    <t>https://2danicritic.github.io/ReviewHtml/review_Indian_Summer.html</t>
  </si>
  <si>
    <t>https://2danicritic.github.io/ReviewHtml/review_Oh!_Edo_Rocket.html</t>
  </si>
  <si>
    <t>https://2danicritic.github.io/ReviewHtml/review_Ayakashi_-_Samurai_Horror_Tales_-_Goblin_Cat.html</t>
  </si>
  <si>
    <t>https://2danicritic.github.io/ReviewHtml/review_Black_Lagoon.html</t>
  </si>
  <si>
    <t>https://2danicritic.github.io/ReviewHtml/review_Code_Geass_-_Lelouch_of_the_Rebellion.html</t>
  </si>
  <si>
    <t>https://2danicritic.github.io/ReviewHtml/review_Coffee_Samurai_&amp;_Hoshizora_Kiseki.html</t>
  </si>
  <si>
    <t>https://2danicritic.github.io/ReviewHtml/review_Death_Note.html</t>
  </si>
  <si>
    <t>https://2danicritic.github.io/ReviewHtml/review_Fate_-_Stay_Night.html</t>
  </si>
  <si>
    <t>https://2danicritic.github.io/ReviewHtml/review_Hellsing_Ultimate.html</t>
  </si>
  <si>
    <t>https://2danicritic.github.io/ReviewHtml/review_The_Melancholy_of_Haruhi_Suzumiya.html</t>
  </si>
  <si>
    <t>https://2danicritic.github.io/ReviewHtml/review_Welcome_to_the_N.H.K..html</t>
  </si>
  <si>
    <t>https://2danicritic.github.io/ReviewHtml/review_xxxHolic.html</t>
  </si>
  <si>
    <t>https://2danicritic.github.io/ReviewHtml/review_Mushi-Shi.html</t>
  </si>
  <si>
    <t>https://2danicritic.github.io/ReviewHtml/review_Gankutsuou_-_The_Count_of_Monte_Cristo.html</t>
  </si>
  <si>
    <t>https://2danicritic.github.io/ReviewHtml/review_Gantz.html</t>
  </si>
  <si>
    <t>https://2danicritic.github.io/ReviewHtml/review_Mezzo_DSA.html</t>
  </si>
  <si>
    <t>https://2danicritic.github.io/ReviewHtml/review_Ninja_Nonsense.html</t>
  </si>
  <si>
    <t>https://2danicritic.github.io/ReviewHtml/review_Blame!.html</t>
  </si>
  <si>
    <t>https://2danicritic.github.io/ReviewHtml/review_Kino's_Journey.html</t>
  </si>
  <si>
    <t>https://2danicritic.github.io/ReviewHtml/review_Lunar_Legend_-_Tsukihime.html</t>
  </si>
  <si>
    <t>https://2danicritic.github.io/ReviewHtml/review_Ninja_Scroll_-_The_Series.html</t>
  </si>
  <si>
    <t>https://2danicritic.github.io/ReviewHtml/review_Parasite_Dolls.html</t>
  </si>
  <si>
    <t>https://2danicritic.github.io/ReviewHtml/review_Azumanga_Daioh.html</t>
  </si>
  <si>
    <t>https://2danicritic.github.io/ReviewHtml/review_Ghost_in_the_Shell_-_Stand_Alone_Complex.html</t>
  </si>
  <si>
    <t>https://2danicritic.github.io/ReviewHtml/review_Voices_of_a_Distant_Star.html</t>
  </si>
  <si>
    <t>https://2danicritic.github.io/ReviewHtml/review_Alien_Nine.html</t>
  </si>
  <si>
    <t>https://2danicritic.github.io/ReviewHtml/review_Cat_Soup.html</t>
  </si>
  <si>
    <t>https://2danicritic.github.io/ReviewHtml/review_FLCL.html</t>
  </si>
  <si>
    <t>https://2danicritic.github.io/ReviewHtml/review_Mezzo_Forte.html</t>
  </si>
  <si>
    <t>https://2danicritic.github.io/ReviewHtml/review_Sin_-_The_Movie.html</t>
  </si>
  <si>
    <t>https://2danicritic.github.io/ReviewHtml/review_Serial_Experiments_Lain.html</t>
  </si>
  <si>
    <t>https://2danicritic.github.io/ReviewHtml/review_Trigun.html</t>
  </si>
  <si>
    <t>https://2danicritic.github.io/ReviewHtml/review_Nadia_-_The_Secret_of_Blue_Water.html</t>
  </si>
  <si>
    <t>https://2danicritic.github.io/ReviewHtml/review_Devilman_-_The_Birth,_Demon_Bird_Sirene.html</t>
  </si>
  <si>
    <t>And yes, this website was made in Microsoft Excel, and is hosted on Github Pages.</t>
  </si>
  <si>
    <t>It was built such that you can download the entire web directory locally to review offline,</t>
  </si>
  <si>
    <t>including the original Excel file,</t>
  </si>
  <si>
    <t>allowing you to order filter out the catalogue by name, genre, director, year, country, or grade.</t>
  </si>
  <si>
    <t>with 1.0 = WORST,</t>
  </si>
  <si>
    <t>and 5.0 = BEST.</t>
  </si>
  <si>
    <t>Since I don't give scores less than 1.0,</t>
  </si>
  <si>
    <t>3.0 is considered middle-of-the-road average.</t>
  </si>
  <si>
    <r>
      <rPr>
        <b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. This is something special, an achievement as art and entertainment.</t>
    </r>
  </si>
  <si>
    <t>allowing you to find the best movies, best visually, best story, etc.</t>
  </si>
  <si>
    <t>All scores are treated equally, even against older films,</t>
  </si>
  <si>
    <t>meaning most older films are at a disadvantage from a technical perspective.</t>
  </si>
  <si>
    <t>most reviews are skewed to be slightly above average.</t>
  </si>
  <si>
    <t>including independent films from Japan, France, Ireland, Spain and beyond.</t>
  </si>
  <si>
    <t>that 2D animation is still alive and well, and widely available to access,</t>
  </si>
  <si>
    <r>
      <rPr>
        <b/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you seek it out.</t>
    </r>
  </si>
  <si>
    <t>As physical home media begins to disappear in favor of online streaming,</t>
  </si>
  <si>
    <t>it might be difficult to find shows when they are removed from a service.</t>
  </si>
  <si>
    <t>either new or used, to add to your shelf.</t>
  </si>
  <si>
    <t>Contact me at</t>
  </si>
  <si>
    <t>Title</t>
  </si>
  <si>
    <t>Country</t>
  </si>
  <si>
    <t>Studio</t>
  </si>
  <si>
    <t>Format</t>
  </si>
  <si>
    <t>5 Centimeters per Second</t>
  </si>
  <si>
    <t>Comix Wave</t>
  </si>
  <si>
    <t>Makoto Shinkai</t>
  </si>
  <si>
    <t>A Cat in Paris</t>
  </si>
  <si>
    <t>Folimage</t>
  </si>
  <si>
    <t>Bill and Ben Productions</t>
  </si>
  <si>
    <t>A Silent Voice</t>
  </si>
  <si>
    <t>Kyoto Animation</t>
  </si>
  <si>
    <t>Naoko Yamada</t>
  </si>
  <si>
    <t>A Tree of Palme</t>
  </si>
  <si>
    <t>Palm Studio</t>
  </si>
  <si>
    <t>Takashi Nakamura</t>
  </si>
  <si>
    <t>Afro Samurai</t>
  </si>
  <si>
    <t>Gonzo</t>
  </si>
  <si>
    <t>Afro Samurai - Resurrection</t>
  </si>
  <si>
    <t>Akira</t>
  </si>
  <si>
    <t>Tokyo Movie Shinsha</t>
  </si>
  <si>
    <t>Katsuhiro Otomo</t>
  </si>
  <si>
    <t>Alien Nine</t>
  </si>
  <si>
    <t>J.C. Staff</t>
  </si>
  <si>
    <t>Amagi Brilliant Park</t>
  </si>
  <si>
    <t>Yasuhiro Takemoto</t>
  </si>
  <si>
    <t>Angel Beats</t>
  </si>
  <si>
    <t>P.A. Works</t>
  </si>
  <si>
    <t>Seiji Kishi</t>
  </si>
  <si>
    <t>April and the Extraordinary World</t>
  </si>
  <si>
    <t>Arte France</t>
  </si>
  <si>
    <t>Aura - Koga Maryuin's Last War</t>
  </si>
  <si>
    <t>AIC ASTA</t>
  </si>
  <si>
    <t>Ayakashi - Samurai Horror Tales - Goblin Cat</t>
  </si>
  <si>
    <t>Toei Animation</t>
  </si>
  <si>
    <t>Kenji Nakamura</t>
  </si>
  <si>
    <t>Azumanga Daioh</t>
  </si>
  <si>
    <t>Hiroshi Nishikiori</t>
  </si>
  <si>
    <t>Baccano!</t>
  </si>
  <si>
    <t>Brain's Base</t>
  </si>
  <si>
    <t>Takahiro Omori</t>
  </si>
  <si>
    <t>Bakemonogatari</t>
  </si>
  <si>
    <t>Shaft</t>
  </si>
  <si>
    <t>Barefoot Gen</t>
  </si>
  <si>
    <t>Gen Production</t>
  </si>
  <si>
    <t>Mori Masaki</t>
  </si>
  <si>
    <t>Barefoot Gen 2</t>
  </si>
  <si>
    <t>Madhouse</t>
  </si>
  <si>
    <t>Toshio Hirata</t>
  </si>
  <si>
    <t>Batman Ninja</t>
  </si>
  <si>
    <t>Warner Bros. Animation</t>
  </si>
  <si>
    <t>Junpei Mizusaki</t>
  </si>
  <si>
    <t>Belladonna of Sadness</t>
  </si>
  <si>
    <t>Mushi Production</t>
  </si>
  <si>
    <t>Eiichi Yamamoto</t>
  </si>
  <si>
    <t>Studio 4C</t>
  </si>
  <si>
    <t>Toshiyuki Kubooka</t>
  </si>
  <si>
    <t>Beyond the Boundary</t>
  </si>
  <si>
    <t>Taichi Ishidate</t>
  </si>
  <si>
    <t>Beyond the Boundary - I'll Be Here</t>
  </si>
  <si>
    <t>Big Fish and Begonia</t>
  </si>
  <si>
    <t>Beijing Enlight Media</t>
  </si>
  <si>
    <t>Birdboy - The Forgotten Children</t>
  </si>
  <si>
    <t>ZircoZine</t>
  </si>
  <si>
    <t>Black Bullet</t>
  </si>
  <si>
    <t>Kinema Citrus, Studio Orange</t>
  </si>
  <si>
    <t>Masayuki Kojima</t>
  </si>
  <si>
    <t>Black Butler</t>
  </si>
  <si>
    <t>A-1 Pictures</t>
  </si>
  <si>
    <t>Toshiya Shinohara</t>
  </si>
  <si>
    <t>Black Butler - Book of Circus</t>
  </si>
  <si>
    <t>Noriyuki Abe</t>
  </si>
  <si>
    <t>Black Butler - Book of Murder</t>
  </si>
  <si>
    <t>Black Butler - Book of the Atlantic</t>
  </si>
  <si>
    <t>Black Butler II</t>
  </si>
  <si>
    <t>Hirofumi Ogura</t>
  </si>
  <si>
    <t>Black Lagoon</t>
  </si>
  <si>
    <t>Sunao Katabuchi</t>
  </si>
  <si>
    <t>Black Lagoon - Roberta's Blood Trail</t>
  </si>
  <si>
    <t>Blade of the Phantom Master</t>
  </si>
  <si>
    <t>Blame!</t>
  </si>
  <si>
    <t>Group TAC</t>
  </si>
  <si>
    <t>Shintaro Inokawa</t>
  </si>
  <si>
    <t>Blood - The Last Vampire</t>
  </si>
  <si>
    <t>Production I.G.</t>
  </si>
  <si>
    <t>Hiroyuki Kitakubo</t>
  </si>
  <si>
    <t>Blood Blockade Battlefront</t>
  </si>
  <si>
    <t>Bones</t>
  </si>
  <si>
    <t>Rie Matsumoto</t>
  </si>
  <si>
    <t>Blood Blockade Battlefront &amp; Beyond</t>
  </si>
  <si>
    <t>Blood-C - The Last Dark</t>
  </si>
  <si>
    <t>Naoyoshi Shiotani</t>
  </si>
  <si>
    <t>Boy and the World</t>
  </si>
  <si>
    <t>Filme do Papel</t>
  </si>
  <si>
    <t>Ale Abreu</t>
  </si>
  <si>
    <t>Btooom!</t>
  </si>
  <si>
    <t>Kotono Watanabe</t>
  </si>
  <si>
    <t>Canaan</t>
  </si>
  <si>
    <t>Masahiro Ando</t>
  </si>
  <si>
    <t>Castle in the Sky</t>
  </si>
  <si>
    <t>Studio Ghibli</t>
  </si>
  <si>
    <t>Hayao Miyazaki</t>
  </si>
  <si>
    <t>Cat Planet Cuties</t>
  </si>
  <si>
    <t>AIC</t>
  </si>
  <si>
    <t>Youichi Ueda</t>
  </si>
  <si>
    <t>Cat Soup</t>
  </si>
  <si>
    <t>Tatsuo Sato</t>
  </si>
  <si>
    <t>Chico and Rita</t>
  </si>
  <si>
    <t>Fernando Truba PC</t>
  </si>
  <si>
    <t>Fernando Trueba</t>
  </si>
  <si>
    <t>Children Who Chase Lost Voices</t>
  </si>
  <si>
    <t>Code Geass - Akito the Exiled</t>
  </si>
  <si>
    <t>Sunrise</t>
  </si>
  <si>
    <t>Kazuki Akane</t>
  </si>
  <si>
    <t>Code Geass - Lelouch of the Rebellion</t>
  </si>
  <si>
    <t>Goro Taniguchi</t>
  </si>
  <si>
    <t>Coffee Samurai &amp; Hoshizora Kiseki</t>
  </si>
  <si>
    <t>Coicent &amp; Five Numbers</t>
  </si>
  <si>
    <t>Colorful - The Motion Picture</t>
  </si>
  <si>
    <t>Ascension</t>
  </si>
  <si>
    <t>Keiichi Hara</t>
  </si>
  <si>
    <t>Corpse Princess</t>
  </si>
  <si>
    <t>Feel, Gainax</t>
  </si>
  <si>
    <t>Masahiko Murata</t>
  </si>
  <si>
    <t>Croisee in a Foreign Labyrinth</t>
  </si>
  <si>
    <t>Satelight</t>
  </si>
  <si>
    <t>Kenji Yasuda</t>
  </si>
  <si>
    <t>Dagashi Kashi</t>
  </si>
  <si>
    <t>Feel</t>
  </si>
  <si>
    <t>Dance in the Vampire Bund</t>
  </si>
  <si>
    <t>Akiyuki Shinbo</t>
  </si>
  <si>
    <t>Dante's Inferno - An Animated Epic</t>
  </si>
  <si>
    <t>Deadman Wonderland</t>
  </si>
  <si>
    <t>Manglobe</t>
  </si>
  <si>
    <t>Koichiro Hatsumi</t>
  </si>
  <si>
    <t>Death Note</t>
  </si>
  <si>
    <t>Tetsuro Araki</t>
  </si>
  <si>
    <t>Death Parade</t>
  </si>
  <si>
    <t>Yuzuru Tachikawa</t>
  </si>
  <si>
    <t>Devilman - Crybaby</t>
  </si>
  <si>
    <t>Science Saru</t>
  </si>
  <si>
    <t>Masaaki Yuasa</t>
  </si>
  <si>
    <t>Devilman - The Birth, Demon Bird Sirene</t>
  </si>
  <si>
    <t>Oh! Production</t>
  </si>
  <si>
    <t>Umanosuke Iida</t>
  </si>
  <si>
    <t>Dog and Scissors</t>
  </si>
  <si>
    <t>Yukio Takahashi</t>
  </si>
  <si>
    <t>Drifters</t>
  </si>
  <si>
    <t>Hoods Drifters Studio</t>
  </si>
  <si>
    <t>Kenichi Suzuki</t>
  </si>
  <si>
    <t>Dusk Maiden of Amnesia</t>
  </si>
  <si>
    <t>Silver Link</t>
  </si>
  <si>
    <t>Shin Onuma</t>
  </si>
  <si>
    <t>Eden of the East</t>
  </si>
  <si>
    <t>Kenji Kamiyama</t>
  </si>
  <si>
    <t>Eden of the East - The King of Eden, Paradise Lost</t>
  </si>
  <si>
    <t>Ernest and Celestine</t>
  </si>
  <si>
    <t>La Parti Productions</t>
  </si>
  <si>
    <t>Ethel &amp; Ernest</t>
  </si>
  <si>
    <t>Lupus Films</t>
  </si>
  <si>
    <t>Roger Mainwood</t>
  </si>
  <si>
    <t>Fairy Tail - Dragon Cry</t>
  </si>
  <si>
    <t>Tatsuma Minamikawa</t>
  </si>
  <si>
    <t>Fate - Stay Night</t>
  </si>
  <si>
    <t>Studio Deen</t>
  </si>
  <si>
    <t>Yuji Yamaguchi</t>
  </si>
  <si>
    <t>Fate - Zero</t>
  </si>
  <si>
    <t>Ufotable</t>
  </si>
  <si>
    <t>Ei Aoki</t>
  </si>
  <si>
    <t>Fireworks</t>
  </si>
  <si>
    <t>FLCL</t>
  </si>
  <si>
    <t>Production I.G., Gainax</t>
  </si>
  <si>
    <t>Kazuya Tsurumaki</t>
  </si>
  <si>
    <t>Flip Flappers</t>
  </si>
  <si>
    <t>Studio 3Hz</t>
  </si>
  <si>
    <t>Kiyotaka Oshiyama</t>
  </si>
  <si>
    <t>From Up On Poppy Hill</t>
  </si>
  <si>
    <t>Goro Miyazaki</t>
  </si>
  <si>
    <t>Gangsta</t>
  </si>
  <si>
    <t>Shuko Murase</t>
  </si>
  <si>
    <t>Gankutsuou - The Count of Monte Cristo</t>
  </si>
  <si>
    <t>Mahiro Maeda</t>
  </si>
  <si>
    <t>Gantz</t>
  </si>
  <si>
    <t>Ichiro Itano</t>
  </si>
  <si>
    <t>Gargantia on the Verdurous Planet</t>
  </si>
  <si>
    <t>Kazuya Murata</t>
  </si>
  <si>
    <t>Genocidal Organ</t>
  </si>
  <si>
    <t>Geno Studio</t>
  </si>
  <si>
    <t>Ghost in the Shell</t>
  </si>
  <si>
    <t>Mamoru Oshii</t>
  </si>
  <si>
    <t>Ghost in the Shell - Solid State Society</t>
  </si>
  <si>
    <t>Ghost in the Shell - Stand Alone Complex</t>
  </si>
  <si>
    <t>Ghost in the Shell 2 - Innocence</t>
  </si>
  <si>
    <t>Good Luck Girl!</t>
  </si>
  <si>
    <t>Yoichi Fujita</t>
  </si>
  <si>
    <t>Grave of the Fireflies</t>
  </si>
  <si>
    <t>Isao Takahata</t>
  </si>
  <si>
    <t>Grimgar - Ashes and Illusions</t>
  </si>
  <si>
    <t>Ryosuke Nakamura</t>
  </si>
  <si>
    <t>Ground Control to Psychoelectric Girl</t>
  </si>
  <si>
    <t>Guilty Crown</t>
  </si>
  <si>
    <t>Harmony</t>
  </si>
  <si>
    <t>Have a Nice Day</t>
  </si>
  <si>
    <t>Le-joy Animation Studio</t>
  </si>
  <si>
    <t>Liu Jian</t>
  </si>
  <si>
    <t>Heaven's Lost Property</t>
  </si>
  <si>
    <t>Hisashi Saito</t>
  </si>
  <si>
    <t>Heaven's Memo Pad</t>
  </si>
  <si>
    <t>Katsushi Sakurabi</t>
  </si>
  <si>
    <t>Hellsing Ultimate</t>
  </si>
  <si>
    <t>Hetalia - Season 1 and 2</t>
  </si>
  <si>
    <t>Bob Shirohata</t>
  </si>
  <si>
    <t>Highschool DxD</t>
  </si>
  <si>
    <t>TNK</t>
  </si>
  <si>
    <t>Tetsuya Yanagisawa</t>
  </si>
  <si>
    <t>Highschool of the Dead</t>
  </si>
  <si>
    <t>Howl's Moving Castle</t>
  </si>
  <si>
    <t>I'll Just Live In Bando</t>
  </si>
  <si>
    <t>N/A</t>
  </si>
  <si>
    <t>Youngsun Lee</t>
  </si>
  <si>
    <t>In This Corner of the World</t>
  </si>
  <si>
    <t>MAPPA</t>
  </si>
  <si>
    <t>Indian Summer</t>
  </si>
  <si>
    <t>Doumu</t>
  </si>
  <si>
    <t>Takayuki Inagaki</t>
  </si>
  <si>
    <t>Is It Wrong To Try To Pick Up Girls In A Dungeon</t>
  </si>
  <si>
    <t>J.C. Studio</t>
  </si>
  <si>
    <t>Yoshiki Yamakawa</t>
  </si>
  <si>
    <t>It's Such a Beautiful Day</t>
  </si>
  <si>
    <t>Bitter Films</t>
  </si>
  <si>
    <t>Don Hertzfeldt</t>
  </si>
  <si>
    <t>Jormungand</t>
  </si>
  <si>
    <t>White Fox</t>
  </si>
  <si>
    <t>Keitaro Motonaga</t>
  </si>
  <si>
    <t>K</t>
  </si>
  <si>
    <t>GoHands</t>
  </si>
  <si>
    <t>Shingo Suzuki</t>
  </si>
  <si>
    <t>Kaiba</t>
  </si>
  <si>
    <t>Kannagi - Crazy Shrine Maidens</t>
  </si>
  <si>
    <t>Yutaka Yamamoto</t>
  </si>
  <si>
    <t>Kanokon - The Girl Who Cried Fox</t>
  </si>
  <si>
    <t>Xebec</t>
  </si>
  <si>
    <t>Atsushi Otsuki</t>
  </si>
  <si>
    <t>Keijo</t>
  </si>
  <si>
    <t>Hideya Takahashi</t>
  </si>
  <si>
    <t>Kiki's Delivery Service</t>
  </si>
  <si>
    <t>Kill la Kill</t>
  </si>
  <si>
    <t>Trigger</t>
  </si>
  <si>
    <t>Hiroyuki Imaishi</t>
  </si>
  <si>
    <t>Kino's Journey</t>
  </si>
  <si>
    <t>A.C.G.T.</t>
  </si>
  <si>
    <t>Ryutaro Nakamura</t>
  </si>
  <si>
    <t>Kizumonogatari - Tekketsu, Nekketsu, Reiketsu</t>
  </si>
  <si>
    <t>Kokoro Connect</t>
  </si>
  <si>
    <t>Kyousougiga</t>
  </si>
  <si>
    <t>Liz and the Blue Bird</t>
  </si>
  <si>
    <t>Louise By The Shore</t>
  </si>
  <si>
    <t>JPL Films</t>
  </si>
  <si>
    <t>Loups=Garous</t>
  </si>
  <si>
    <t>Production I.G., TransArts</t>
  </si>
  <si>
    <t>Junichi Fujisaku</t>
  </si>
  <si>
    <t>Love, Chunibyo &amp; Other Delusions!</t>
  </si>
  <si>
    <t>Tatsuya Ishihara</t>
  </si>
  <si>
    <t>Loving Vincent</t>
  </si>
  <si>
    <t>BreakThru Productions</t>
  </si>
  <si>
    <t>Lu Over The Wall</t>
  </si>
  <si>
    <t>Lunar Legend - Tsukihime</t>
  </si>
  <si>
    <t>Lupin the Third - Episode 0 - First Contact</t>
  </si>
  <si>
    <t>TMS Entertainment</t>
  </si>
  <si>
    <t>Minoru Ohara</t>
  </si>
  <si>
    <t>Lupin the Third - Green VS Red</t>
  </si>
  <si>
    <t>Shigeyuki Miya</t>
  </si>
  <si>
    <t>Lupin the Third - The Castle of Cagliostro</t>
  </si>
  <si>
    <t>Lupin the Third - The Fuma Conspiracy</t>
  </si>
  <si>
    <t>Masayuki Ozeki</t>
  </si>
  <si>
    <t>Lupin the Third - The Mystery of Mamo</t>
  </si>
  <si>
    <t>Soji Yoshikawa</t>
  </si>
  <si>
    <t>Lupin the Third - The Woman Called Fujiko Mine</t>
  </si>
  <si>
    <t>Sayo Yamamoto</t>
  </si>
  <si>
    <t>Madoka Magica The Movie 1 &amp; 2 - Beginnings, Eternal</t>
  </si>
  <si>
    <t>Madoka Magica The Movie 3 - Rebellion</t>
  </si>
  <si>
    <t>Yukihiro Miyamoto</t>
  </si>
  <si>
    <t>Maquia - When the Promised Flower Blooms</t>
  </si>
  <si>
    <t>Mari Okada</t>
  </si>
  <si>
    <t>Mary and the Witch's Flower</t>
  </si>
  <si>
    <t>Studio Ponoc</t>
  </si>
  <si>
    <t>Mayo Chiki!</t>
  </si>
  <si>
    <t>Keiichiro Kawaguchi</t>
  </si>
  <si>
    <t>Metropolis</t>
  </si>
  <si>
    <t>Rintaro</t>
  </si>
  <si>
    <t>Mezzo DSA</t>
  </si>
  <si>
    <t>ARMS</t>
  </si>
  <si>
    <t>Yasuomi Umetsu</t>
  </si>
  <si>
    <t>Mezzo Forte</t>
  </si>
  <si>
    <t>MFKZ</t>
  </si>
  <si>
    <t>Mind Game</t>
  </si>
  <si>
    <t>Mirai</t>
  </si>
  <si>
    <t>Studio Chizu</t>
  </si>
  <si>
    <t>Mamoru Hosoda</t>
  </si>
  <si>
    <t>Miss Kobayashi's Dragon Maid</t>
  </si>
  <si>
    <t>Monster Musume - Everyday Life With Monster Girls</t>
  </si>
  <si>
    <t>Lerche</t>
  </si>
  <si>
    <t>Tatsuya Yoshihara</t>
  </si>
  <si>
    <t>Mushi-Shi</t>
  </si>
  <si>
    <t>Artland</t>
  </si>
  <si>
    <t>Hiroshi Nagahama</t>
  </si>
  <si>
    <t>My Beautiful Girl Mari</t>
  </si>
  <si>
    <t>Daewoo Entertainment</t>
  </si>
  <si>
    <t>Lee Sung-gang</t>
  </si>
  <si>
    <t>My Dogs, Jinjin and Akida</t>
  </si>
  <si>
    <t>Korean Academy of Film Arts</t>
  </si>
  <si>
    <t>Jong-Duck Cho</t>
  </si>
  <si>
    <t>My Entire High School Sinking Into The Sea</t>
  </si>
  <si>
    <t>Electric Chinoland</t>
  </si>
  <si>
    <t>Dash Shaw</t>
  </si>
  <si>
    <t>My Neighbor Totoro</t>
  </si>
  <si>
    <t>My Neighbors The Yamadas</t>
  </si>
  <si>
    <t>Nadia - The Secret of Blue Water</t>
  </si>
  <si>
    <t>Gainax</t>
  </si>
  <si>
    <t>Napping Princess</t>
  </si>
  <si>
    <t>Signal.MD</t>
  </si>
  <si>
    <t>Nausicaa of the Valley of the Wind</t>
  </si>
  <si>
    <t>Hayao Miyazalo</t>
  </si>
  <si>
    <t>Nerdland</t>
  </si>
  <si>
    <t>Titmouse Inc</t>
  </si>
  <si>
    <t>Chris Prynoski</t>
  </si>
  <si>
    <t>Nichijou</t>
  </si>
  <si>
    <t>Night on the Galactic Railroad</t>
  </si>
  <si>
    <t>Gisaburo Sugii</t>
  </si>
  <si>
    <t>Ninja Nonsense</t>
  </si>
  <si>
    <t>Hitoyuki Matsui</t>
  </si>
  <si>
    <t>Ninja Scroll</t>
  </si>
  <si>
    <t>Yoshiaki Kawajiri</t>
  </si>
  <si>
    <t>Ninja Scroll - The Series</t>
  </si>
  <si>
    <t>Nisemonogatari</t>
  </si>
  <si>
    <t>No Game No Life</t>
  </si>
  <si>
    <t>Atsuko Ishizuka</t>
  </si>
  <si>
    <t>No Game No Life - Zero</t>
  </si>
  <si>
    <t>Noragami</t>
  </si>
  <si>
    <t>Kotaro Tamura</t>
  </si>
  <si>
    <t>Nova Seed</t>
  </si>
  <si>
    <t>Gorgon Pictures</t>
  </si>
  <si>
    <t>Nick DiLiberto</t>
  </si>
  <si>
    <t>Ocean Waves</t>
  </si>
  <si>
    <t>Tomomi Mochizuki</t>
  </si>
  <si>
    <t>Oh! Edo Rocket</t>
  </si>
  <si>
    <t>Seiji Mizushima</t>
  </si>
  <si>
    <t>One Punch Man</t>
  </si>
  <si>
    <t>Shingo Natsume</t>
  </si>
  <si>
    <t>Only Yesterday</t>
  </si>
  <si>
    <t>Panty and Stocking with Garterbelt</t>
  </si>
  <si>
    <t>Paprika</t>
  </si>
  <si>
    <t>Satoshi Kon</t>
  </si>
  <si>
    <t>Parasite Dolls</t>
  </si>
  <si>
    <t>Anime International Company</t>
  </si>
  <si>
    <t>Patlabor 2</t>
  </si>
  <si>
    <t>Perfect Blue</t>
  </si>
  <si>
    <t>Persepolis</t>
  </si>
  <si>
    <t>Celluloid Dreams</t>
  </si>
  <si>
    <t>Persona 4 - The Animation</t>
  </si>
  <si>
    <t>AIC A.S.T.A.</t>
  </si>
  <si>
    <t>Senji Kishi</t>
  </si>
  <si>
    <t>Ping Pong the Animation</t>
  </si>
  <si>
    <t>Tatsunoko Production</t>
  </si>
  <si>
    <t>Pom Poko</t>
  </si>
  <si>
    <t>Studio Ghilbi</t>
  </si>
  <si>
    <t>Ponyo</t>
  </si>
  <si>
    <t>Porco Rosso</t>
  </si>
  <si>
    <t>Princess Mononoke</t>
  </si>
  <si>
    <t>Prison School</t>
  </si>
  <si>
    <t>J.C. Shaft</t>
  </si>
  <si>
    <t>Tsutomu Mizushima</t>
  </si>
  <si>
    <t>Psychic School Wars</t>
  </si>
  <si>
    <t>Punch Line</t>
  </si>
  <si>
    <t>Yutaka Uemura</t>
  </si>
  <si>
    <t>Rage of Bahamut - Genesis</t>
  </si>
  <si>
    <t>Mappa</t>
  </si>
  <si>
    <t>Keiichi Sato</t>
  </si>
  <si>
    <t>Rail Wars</t>
  </si>
  <si>
    <t>Passione</t>
  </si>
  <si>
    <t>Yoshifumi Matsuda</t>
  </si>
  <si>
    <t>Redline</t>
  </si>
  <si>
    <t>Madhous</t>
  </si>
  <si>
    <t>Takeshi Koike</t>
  </si>
  <si>
    <t>Ringing Bell</t>
  </si>
  <si>
    <t>Sanrio</t>
  </si>
  <si>
    <t>Masami Hata</t>
  </si>
  <si>
    <t>Rock and Rule</t>
  </si>
  <si>
    <t>Nelvana</t>
  </si>
  <si>
    <t>Clive A. Smith</t>
  </si>
  <si>
    <t>Rock-a-Doodle</t>
  </si>
  <si>
    <t>Don Bluth Productions</t>
  </si>
  <si>
    <t>Don Bluth</t>
  </si>
  <si>
    <t>Rokka - Braves of the Six Flowers</t>
  </si>
  <si>
    <t>Takeo Takahashi</t>
  </si>
  <si>
    <t>Sankarea - Undying Love</t>
  </si>
  <si>
    <t>Mamoru Hatakeyama</t>
  </si>
  <si>
    <t>Satellite Girl and Milk Cow</t>
  </si>
  <si>
    <t>Now or Never Studio</t>
  </si>
  <si>
    <t>Chang Hyung-yun</t>
  </si>
  <si>
    <t>Serial Experiments Lain</t>
  </si>
  <si>
    <t>Triangle Staff</t>
  </si>
  <si>
    <t>Youhei Suzuki</t>
  </si>
  <si>
    <t>Shirobako</t>
  </si>
  <si>
    <t>Sin - The Movie</t>
  </si>
  <si>
    <t>Phoenix Entertainment</t>
  </si>
  <si>
    <t>Yasunori Urata</t>
  </si>
  <si>
    <t>Song of the Sea</t>
  </si>
  <si>
    <t>Cartoon Saloon</t>
  </si>
  <si>
    <t>Tomm Moore</t>
  </si>
  <si>
    <t>Soul Eater</t>
  </si>
  <si>
    <t>Takuya Igarashi</t>
  </si>
  <si>
    <t>Space Dandy</t>
  </si>
  <si>
    <t>Spice and Wolf</t>
  </si>
  <si>
    <t>Imagin, Brain's Base</t>
  </si>
  <si>
    <t>Takeo Taahashi</t>
  </si>
  <si>
    <t>Spirited Away</t>
  </si>
  <si>
    <t>Steins;Gate</t>
  </si>
  <si>
    <t>Street Fighter II - The Animated Movie</t>
  </si>
  <si>
    <t>Summer Wars</t>
  </si>
  <si>
    <t>Supernatural - The Animation</t>
  </si>
  <si>
    <t>Sword of the Stranger</t>
  </si>
  <si>
    <t>Tales From Earthsea</t>
  </si>
  <si>
    <t>Teen Titans Go (To The Movies)</t>
  </si>
  <si>
    <t>Warner Bros Animation</t>
  </si>
  <si>
    <t>The Big Bad Fox and Other Tales</t>
  </si>
  <si>
    <t>Folivari</t>
  </si>
  <si>
    <t>The Boy and the Beast</t>
  </si>
  <si>
    <t>The Breadwinner</t>
  </si>
  <si>
    <t>Nora Twomey</t>
  </si>
  <si>
    <t>The Cat Returns</t>
  </si>
  <si>
    <t>Hiroyuki Morita</t>
  </si>
  <si>
    <t>The Disappearance of Haruhi Suzumiya</t>
  </si>
  <si>
    <t>The Disappearance of Nagato Yuki-chan</t>
  </si>
  <si>
    <t>Jun'ichi Wada</t>
  </si>
  <si>
    <t>The Dragon Dentist</t>
  </si>
  <si>
    <t>Khara</t>
  </si>
  <si>
    <t>The Empire of Corpses</t>
  </si>
  <si>
    <t>Wit Studio</t>
  </si>
  <si>
    <t>Ryoutarou Makihara</t>
  </si>
  <si>
    <t>The Fantastic Adventures of Unico</t>
  </si>
  <si>
    <t>The Flight of Dragons</t>
  </si>
  <si>
    <t>Rankim/Bass Productions</t>
  </si>
  <si>
    <t>The Future Diary</t>
  </si>
  <si>
    <t>Asread</t>
  </si>
  <si>
    <t>Naoto Hosoda</t>
  </si>
  <si>
    <t>The Garden of Sinners</t>
  </si>
  <si>
    <t>The Garden of Words</t>
  </si>
  <si>
    <t>The Girl Who Leapt Through Time</t>
  </si>
  <si>
    <t>The Girl Without Hands</t>
  </si>
  <si>
    <t>Les Films Sauvages</t>
  </si>
  <si>
    <t>The Illusionist</t>
  </si>
  <si>
    <t>Pathe</t>
  </si>
  <si>
    <t>Sylvain Chomet</t>
  </si>
  <si>
    <t>The Last Unicorn</t>
  </si>
  <si>
    <t>Topcraft</t>
  </si>
  <si>
    <t>The Legend of the Millennium Dragon</t>
  </si>
  <si>
    <t>Studio Pierrot</t>
  </si>
  <si>
    <t>Hirotsugu Kawasaki</t>
  </si>
  <si>
    <t>The Life of Guskou Budori</t>
  </si>
  <si>
    <t>Tezuka Productions</t>
  </si>
  <si>
    <t>The Melancholy of Haruhi Suzumiya</t>
  </si>
  <si>
    <t>The Melancholy of Haruhi-Chan Suzumiya</t>
  </si>
  <si>
    <t>Puyo, Eretto</t>
  </si>
  <si>
    <t>The Mystic Archives of Dantalian</t>
  </si>
  <si>
    <t>The Night Is Short, Walk On Girl</t>
  </si>
  <si>
    <t>The Pet Girl of Sakurasou</t>
  </si>
  <si>
    <t>The Place Promised in Our Early Days</t>
  </si>
  <si>
    <t>The Prince of Egpyt</t>
  </si>
  <si>
    <t>Dreamworks Pictures</t>
  </si>
  <si>
    <t>The Princess and the Pilot</t>
  </si>
  <si>
    <t>Jun Shishido</t>
  </si>
  <si>
    <t>The Rabbi's Cat</t>
  </si>
  <si>
    <t>Autochenille Production</t>
  </si>
  <si>
    <t>The Red Turtle</t>
  </si>
  <si>
    <t>Prima Linea</t>
  </si>
  <si>
    <t>The Secret of Kells</t>
  </si>
  <si>
    <t>The Secret of Nimh</t>
  </si>
  <si>
    <t>The Secret World of Arrietty</t>
  </si>
  <si>
    <t>The Sky Crawlers</t>
  </si>
  <si>
    <t>The Tale of Princess Kaguya</t>
  </si>
  <si>
    <t>The Thief and the Cobbler</t>
  </si>
  <si>
    <t>Richard Williams</t>
  </si>
  <si>
    <t>The Triplets of Belleville</t>
  </si>
  <si>
    <t>Les Amateurs</t>
  </si>
  <si>
    <t>The Wind Rises</t>
  </si>
  <si>
    <t>This Boy Can Fight Aliens</t>
  </si>
  <si>
    <t>Soubi Yamamoto</t>
  </si>
  <si>
    <t>Thumbelina</t>
  </si>
  <si>
    <t>Time of Eve</t>
  </si>
  <si>
    <t>Studio Rikka</t>
  </si>
  <si>
    <t>Yashuhiro Yoshiura</t>
  </si>
  <si>
    <t>Tokyo Godfathers</t>
  </si>
  <si>
    <t>Tomorrow's Joe</t>
  </si>
  <si>
    <t>Toradora</t>
  </si>
  <si>
    <t>Tatsuyuki Nagai</t>
  </si>
  <si>
    <t>Towanoquon</t>
  </si>
  <si>
    <t>Trigun</t>
  </si>
  <si>
    <t>Satoshi Nishimura</t>
  </si>
  <si>
    <t>Trigun - Badlands Rumble</t>
  </si>
  <si>
    <t>Trinity Seven</t>
  </si>
  <si>
    <t>Seven Arcs Pictures</t>
  </si>
  <si>
    <t>Typhoon Noruda</t>
  </si>
  <si>
    <t>Studio Colorido</t>
  </si>
  <si>
    <t>Yojiro Arai</t>
  </si>
  <si>
    <t>Unico in the Island of Magic</t>
  </si>
  <si>
    <t>Moribi Murano</t>
  </si>
  <si>
    <t>Urusei Yatsura - Beautiful Dreamer</t>
  </si>
  <si>
    <t>Vampire Hunter D</t>
  </si>
  <si>
    <t>Asahi Production</t>
  </si>
  <si>
    <t>Toyoo Ashida</t>
  </si>
  <si>
    <t>Vampire Hunter D - Bloodlust</t>
  </si>
  <si>
    <t>Voices of a Distant Star</t>
  </si>
  <si>
    <t>Welcome to the N.H.K.</t>
  </si>
  <si>
    <t>Yusuke Yamamoto</t>
  </si>
  <si>
    <t>When Marnie Was There</t>
  </si>
  <si>
    <t>When The Wind Blows</t>
  </si>
  <si>
    <t>Kings Road Entertainment</t>
  </si>
  <si>
    <t>Jimmy Murakami</t>
  </si>
  <si>
    <t>Whisper of the Heart</t>
  </si>
  <si>
    <t>Yoshifumi Kondo</t>
  </si>
  <si>
    <t>Window Horses - The Poetic Persian Epiphany of Rosie Ming</t>
  </si>
  <si>
    <t>StickGirl Productions</t>
  </si>
  <si>
    <t>Ann Marie Fleming</t>
  </si>
  <si>
    <t>Wizards</t>
  </si>
  <si>
    <t>Bakshi Productions</t>
  </si>
  <si>
    <t>Ralph Bakshi</t>
  </si>
  <si>
    <t>Wolf Children</t>
  </si>
  <si>
    <t>Studio Chizu, Madhouse</t>
  </si>
  <si>
    <t>Wrinkles</t>
  </si>
  <si>
    <t>Perro Verde Films</t>
  </si>
  <si>
    <t>Ignacio Ferreras</t>
  </si>
  <si>
    <t>xxxHolic</t>
  </si>
  <si>
    <t>Yellow Submarine</t>
  </si>
  <si>
    <t>Apple Films</t>
  </si>
  <si>
    <t>George Dunning</t>
  </si>
  <si>
    <t>Your Name.</t>
  </si>
  <si>
    <t>Yuri on Ice</t>
  </si>
  <si>
    <t>Phil Nibbelink, Simon Wells</t>
  </si>
  <si>
    <t>action, adventure, comedy, family, romance, thriller, non fiction</t>
  </si>
  <si>
    <t>action, science fiction, drama, thriller</t>
  </si>
  <si>
    <t>action, science fiction, thriller, mystery</t>
  </si>
  <si>
    <t>Hideaki Anno, Masayuki, Kazyua Tsurumaki</t>
  </si>
  <si>
    <t>action, philosophy, romance, science fiction, drama, thriller</t>
  </si>
  <si>
    <t>Hideaki Anno, Masayuki, Kazuya Tsurumaki</t>
  </si>
  <si>
    <t>action, comedy, horror, philosophy, romance, science fiction, drama, thriller</t>
  </si>
  <si>
    <t>Hideaki Anno, Mahiro Maeda, Kazuya Tsurumaki</t>
  </si>
  <si>
    <t>action, adventure, romance, fantasy</t>
  </si>
  <si>
    <t>action, adventure, comedy, experimental, fantasy</t>
  </si>
  <si>
    <t>Shin'ichiro Ushijima</t>
  </si>
  <si>
    <t>Rob LaDuca, Robert C. Ramirez</t>
  </si>
  <si>
    <t>action, erotic, thriller</t>
  </si>
  <si>
    <t>Hiromasa Yonebayashi, Yoshiyuki Momose, Akihiki Yamashita</t>
  </si>
  <si>
    <t>adventure, experimental, family</t>
  </si>
  <si>
    <t>Akiyuki Shinbo, Tomoyuki Itamura</t>
  </si>
  <si>
    <t>comedy, experimental, horror, philosophy, fantasy, mystery</t>
  </si>
  <si>
    <t>action, comedy, experimental, horror, philosophy, science fiction, mystery</t>
  </si>
  <si>
    <t>Gainax, Tatsunoko, Production I.G.</t>
  </si>
  <si>
    <t>Hideki Anno, Masayuki, Kazuya Tsurumaki</t>
  </si>
  <si>
    <t>action, experimental, horror, philosophy, science fiction, drama</t>
  </si>
  <si>
    <t>Hideaki Anno, Kazuya Tsurumaki</t>
  </si>
  <si>
    <t>action, experimental, horror, philosophy, science fiction, drama, thriller</t>
  </si>
  <si>
    <t>action, adventure, comedy, thriller</t>
  </si>
  <si>
    <t>comedy, experimental, horror, philosophy, drama, mystery</t>
  </si>
  <si>
    <t>action, adventure, experimental, romance, thriller</t>
  </si>
  <si>
    <t>Shuhei Morita, Katsuhiro Otomo, Hiroaki Ando, Hajime Katoki</t>
  </si>
  <si>
    <t>action, adventure, experimental, horror, fantasy</t>
  </si>
  <si>
    <t>romance, science fiction, drama</t>
  </si>
  <si>
    <t>Village Roadshow Pictures, Square Pictures, Studio 4C, Madhouse, DNA</t>
  </si>
  <si>
    <t>Koji Morimoto, Shinichiro Watanabe, Mahiro Maeda, Peter Chung, Andy Jones, Yoshiaki Kawajiri, Takeshi Koike</t>
  </si>
  <si>
    <t>action, adventure, experimental, philosophy, science fiction</t>
  </si>
  <si>
    <t>comedy, erotic</t>
  </si>
  <si>
    <t>adventure, horror, philosophy, drama</t>
  </si>
  <si>
    <t>Don Paul, Eric Bergeron</t>
  </si>
  <si>
    <t>Gustavo Steinberg, Gabriel Bitar, Andre Catoto</t>
  </si>
  <si>
    <t>action, adventure, family, science fiction, sports</t>
  </si>
  <si>
    <t>adventure, horror, philosophy, drama, thriller</t>
  </si>
  <si>
    <t>https://2danicritic.github.io/ReviewHtml/review_Ruben_Brandt_-_Collector.html</t>
  </si>
  <si>
    <t>https://2danicritic.github.io/ReviewHtml/review_Tito_and_the_Birds.html</t>
  </si>
  <si>
    <t>https://2danicritic.github.io/ReviewHtml/review_Joseph_-_King_of_Dreams.html</t>
  </si>
  <si>
    <t>https://2danicritic.github.io/ReviewHtml/review_The_Road_to_El_Dorado.html</t>
  </si>
  <si>
    <t>https://2danicritic.github.io/ReviewHtml/review_Balto.html</t>
  </si>
  <si>
    <t>https://2danicritic.github.io/ReviewHtml/review_An_American_Tail_-_Fievel_Goes_West.html</t>
  </si>
  <si>
    <t>https://2danicritic.github.io/ReviewHtml/review_An_American_Tail.html</t>
  </si>
  <si>
    <t>https://2danicritic.github.io/ReviewHtml/review_Fire_and_Ice.html</t>
  </si>
  <si>
    <t>https://2danicritic.github.io/ReviewHtml/review_The_Plague_Dogs.html</t>
  </si>
  <si>
    <t>https://2danicritic.github.io/ReviewHtml/review_Watership_Down.html</t>
  </si>
  <si>
    <t>https://2danicritic.github.io/ReviewHtml/review_I_Want_To_Eat_Your_Pancreas.html</t>
  </si>
  <si>
    <t>https://2danicritic.github.io/ReviewHtml/review_Modest_Heroes.html</t>
  </si>
  <si>
    <t>https://2danicritic.github.io/ReviewHtml/review_Code_Geass_-_Lelouch_of_the_Rebellion_-_Movie_Trilogy.html</t>
  </si>
  <si>
    <t>https://2danicritic.github.io/ReviewHtml/review_One_Piece_Film_-_Gold.html</t>
  </si>
  <si>
    <t>https://2danicritic.github.io/ReviewHtml/review_Lupin_the_Third_-_Jigen's_Gravestone.html</t>
  </si>
  <si>
    <t>https://2danicritic.github.io/ReviewHtml/review_Short_Peace.html</t>
  </si>
  <si>
    <t>https://2danicritic.github.io/ReviewHtml/review_Steins;Gate_The_Movie_-_Load_Region_of_Deja_Vu.html</t>
  </si>
  <si>
    <t>https://2danicritic.github.io/ReviewHtml/review_Evangelion_3.33_-_You_Can_(Not)_Redo.html</t>
  </si>
  <si>
    <t>https://2danicritic.github.io/ReviewHtml/review_Evangelion_2.22_-_You_Can_(Not)_Advance.html</t>
  </si>
  <si>
    <t>https://2danicritic.github.io/ReviewHtml/review_Hells.html</t>
  </si>
  <si>
    <t>https://2danicritic.github.io/ReviewHtml/review_Evangelion_1.11_-_You_Are_(Not)_Alone.html</t>
  </si>
  <si>
    <t>https://2danicritic.github.io/ReviewHtml/review_The_Animatrix.html</t>
  </si>
  <si>
    <t>https://2danicritic.github.io/ReviewHtml/review_Cowboy_Bebop_-_The_Movie.html</t>
  </si>
  <si>
    <t>https://2danicritic.github.io/ReviewHtml/review_Neon_Genesis_Evangelion_-_Death_and_Rebirth.html</t>
  </si>
  <si>
    <t>https://2danicritic.github.io/ReviewHtml/review_Neon_Genesis_Evangelion_-_The_End_of_Evangelion.html</t>
  </si>
  <si>
    <t>https://2danicritic.github.io/ReviewHtml/review_The_Comic_Artist_&amp;_His_Assistants.html</t>
  </si>
  <si>
    <t>https://2danicritic.github.io/ReviewHtml/review_Tonari_No_Seki-Kun_-_The_Master_of_Killing_Time.html</t>
  </si>
  <si>
    <t>https://2danicritic.github.io/ReviewHtml/review_Monogatari_Series_-_Second_Season.html</t>
  </si>
  <si>
    <t>https://2danicritic.github.io/ReviewHtml/review_Paranoia_Agent.html</t>
  </si>
  <si>
    <t>https://2danicritic.github.io/ReviewHtml/review_Neon_Genesis_Evangelion.html</t>
  </si>
  <si>
    <t>An American Tail</t>
  </si>
  <si>
    <t>An American Tail - Fievel Goes West</t>
  </si>
  <si>
    <t>Balto</t>
  </si>
  <si>
    <t>Code Geass - Lelouch of the Rebellion - Movie Trilogy</t>
  </si>
  <si>
    <t>Cowboy Bebop - The Movie</t>
  </si>
  <si>
    <t>Evangelion 1.11 - You Are (Not) Alone</t>
  </si>
  <si>
    <t>Evangelion 2.22 - You Can (Not) Advance</t>
  </si>
  <si>
    <t>Evangelion 3.33 - You Can (Not) Redo</t>
  </si>
  <si>
    <t>Fire and Ice</t>
  </si>
  <si>
    <t>Hells</t>
  </si>
  <si>
    <t>I Want To Eat Your Pancreas</t>
  </si>
  <si>
    <t>Joseph - King of Dreams</t>
  </si>
  <si>
    <t>Lupin the Third - Jigen's Gravestone</t>
  </si>
  <si>
    <t>Modest Heroes</t>
  </si>
  <si>
    <t>Monogatari Series - Second Season</t>
  </si>
  <si>
    <t>Neon Genesis Evangelion</t>
  </si>
  <si>
    <t>Neon Genesis Evangelion - Death and Rebirth</t>
  </si>
  <si>
    <t>Neon Genesis Evangelion - The End of Evangelion</t>
  </si>
  <si>
    <t>One Piece Film - Gold</t>
  </si>
  <si>
    <t>Paranoia Agent</t>
  </si>
  <si>
    <t>Ruben Brandt - Collector</t>
  </si>
  <si>
    <t>Short Peace</t>
  </si>
  <si>
    <t>Steins;Gate The Movie - Load Region of Deja Vu</t>
  </si>
  <si>
    <t>The Animatrix</t>
  </si>
  <si>
    <t>The Comic Artist &amp; His Assistants</t>
  </si>
  <si>
    <t>The Plague Dogs</t>
  </si>
  <si>
    <t>The Road to El Dorado</t>
  </si>
  <si>
    <t>Tito and the Birds</t>
  </si>
  <si>
    <t>Tonari No Seki-Kun - The Master of Killing Time</t>
  </si>
  <si>
    <t>Watership Down</t>
  </si>
  <si>
    <t>Sullivan Bluth Inc</t>
  </si>
  <si>
    <t>Amblimation</t>
  </si>
  <si>
    <t>Studio Khara</t>
  </si>
  <si>
    <t>Producers Sales Organization</t>
  </si>
  <si>
    <t>Studio VOLN</t>
  </si>
  <si>
    <t>DreamWorks Animation</t>
  </si>
  <si>
    <t>Gainax, Production I.G.</t>
  </si>
  <si>
    <t>Ruben Brandt LLC</t>
  </si>
  <si>
    <t>Zexcs</t>
  </si>
  <si>
    <t>Nepenthe Productions</t>
  </si>
  <si>
    <t>Dreamworks Animation</t>
  </si>
  <si>
    <t>Bits Productions</t>
  </si>
  <si>
    <t>Shin-Ei Animation</t>
  </si>
  <si>
    <t>Simon Wells</t>
  </si>
  <si>
    <t>Shinichiro Watanabe</t>
  </si>
  <si>
    <t>Hideaki Anno</t>
  </si>
  <si>
    <t>Hiroaki Miyamoto</t>
  </si>
  <si>
    <t>Milorad Krstic</t>
  </si>
  <si>
    <t>Kanji Wakabayashi</t>
  </si>
  <si>
    <t>Takeshi Furuta</t>
  </si>
  <si>
    <t>Martin Rosen</t>
  </si>
  <si>
    <t>Yuji Mutoh</t>
  </si>
  <si>
    <t>action, fantasy, science fiction, thriller</t>
  </si>
  <si>
    <t>action, comedy, family, fantasy</t>
  </si>
  <si>
    <t>romance, drama, thriller, mystery</t>
  </si>
  <si>
    <t>adventure, experimental, horror, philosophy, science fiction, drama, mystery</t>
  </si>
  <si>
    <t>action, comedy, romance</t>
  </si>
  <si>
    <t>action, comedy, romance, science fiction, drama, thriller</t>
  </si>
  <si>
    <t>action, romance, science fiction, drama, thriller</t>
  </si>
  <si>
    <t>horror, drama, non fiction</t>
  </si>
  <si>
    <t>action, comedy, family, sports</t>
  </si>
  <si>
    <t>action, comedy, sports</t>
  </si>
  <si>
    <t>action, adventure, fantasy, drama, mystery</t>
  </si>
  <si>
    <t>adventure, family, drama</t>
  </si>
  <si>
    <t>comedy, experimental, romance, drama, non fiction</t>
  </si>
  <si>
    <t>adventure, comedy, romance, science fiction, drama, mystery</t>
  </si>
  <si>
    <t>comedy, philosophy, science fiction, drama</t>
  </si>
  <si>
    <t>action, adventure, philosophy, fantasy, drama</t>
  </si>
  <si>
    <t>The Fruit of Grisaia, The Labyrinth of Grisaia, The Eden of Grisaia</t>
  </si>
  <si>
    <t>action, erotic, philosophy, romance, thriller, mystery</t>
  </si>
  <si>
    <t>Planetes</t>
  </si>
  <si>
    <t>Last Exile</t>
  </si>
  <si>
    <t>Ergo Proxy</t>
  </si>
  <si>
    <t>Girls und Panzer</t>
  </si>
  <si>
    <t>Erased</t>
  </si>
  <si>
    <t>comedy, family, philosophy</t>
  </si>
  <si>
    <t>philosophy, drama, thriller</t>
  </si>
  <si>
    <t>action, adventure, horror, fantasy, thriller, mystery</t>
  </si>
  <si>
    <t>action, erotic, horror, fantasy, mystery</t>
  </si>
  <si>
    <t>action, comedy, fantasy, science fiction, drama</t>
  </si>
  <si>
    <t>comedy, erotic, horror, romance, fantasy</t>
  </si>
  <si>
    <t>action, fantasy</t>
  </si>
  <si>
    <t>action, philosophy, romance, fantasy, drama</t>
  </si>
  <si>
    <t>action, comedy, experimental, philosophy, romance, science fiction, drama</t>
  </si>
  <si>
    <t>Is It Wrong To Pick Up Girls In A Dungeon - Arrow of the Orion</t>
  </si>
  <si>
    <t>Studio Khara, Sunrise, Trigger, Graphinica, Studio Rikka, Sola Digital Arts, Kamikaze Douga, Studio Colorido, Steve N' Steven, Bridge</t>
  </si>
  <si>
    <t>action, adventure, comedy, erotic, experimental, philosophy, romance, fantasy, science fiction, drama</t>
  </si>
  <si>
    <t>action, horror, fantasy, mystery</t>
  </si>
  <si>
    <t>action, adventure, comedy, mystery</t>
  </si>
  <si>
    <t>Masaaki Osumi, Hayao Miyazaki, Isao Takahata</t>
  </si>
  <si>
    <t>action, science fiction, drama, sports</t>
  </si>
  <si>
    <t>adventure, family, philosophy</t>
  </si>
  <si>
    <t>comedy, erotic, experimental, horror, philosophy, romance, fantasy, mystery</t>
  </si>
  <si>
    <t>action, comedy, family, philosophy, fantasy, science fiction, drama</t>
  </si>
  <si>
    <t>action, comedy, experimental, family, philosophy, romance, science fiction</t>
  </si>
  <si>
    <t>action, erotic, horror, fantasy, thriller</t>
  </si>
  <si>
    <t>Hidetoshi Oomori, Hiroyuki Kitakubo, Hiroyuki Kitazume, Katsuhiro Otomo, Koji Morimoto, Mao Lamdo, Takashi Nakamura, Yasuomi Umetsu</t>
  </si>
  <si>
    <t>action, comedy, experimental, family, philosophy, romance, science fiction, drama</t>
  </si>
  <si>
    <t>adventure, comedy, fantasy, drama, mystery</t>
  </si>
  <si>
    <t>Itsuro Kawasaki, Kazuya Nomura</t>
  </si>
  <si>
    <t>action, comedy, fantasy, drama</t>
  </si>
  <si>
    <t>Tim Johnson, Patrick Gilmore</t>
  </si>
  <si>
    <t>action, adventure, erotic, horror, philosophy, science fiction, thriller, mystery</t>
  </si>
  <si>
    <t>adventure, comedy, family, philosophy, romance, drama</t>
  </si>
  <si>
    <t>philosophy, drama, thriller, mystery</t>
  </si>
  <si>
    <t>action, adventure, experimental, fantasy, drama</t>
  </si>
  <si>
    <t>Jules Bass, Arthur Rankin, Jr.</t>
  </si>
  <si>
    <t>adventure, family, fantasy, drama</t>
  </si>
  <si>
    <t>action, comedy, romance, fantasy, drama</t>
  </si>
  <si>
    <t>adventure, experimental, family, fantasy, drama, mystery</t>
  </si>
  <si>
    <t>A Boy Named Charlie Brown</t>
  </si>
  <si>
    <t>A Spirit of the Sun</t>
  </si>
  <si>
    <t>Attack on Titan - Season 1</t>
  </si>
  <si>
    <t>Bayonetta - Bloody Fate</t>
  </si>
  <si>
    <t>Blazblue - Alter Memory</t>
  </si>
  <si>
    <t>Bludgeoning Angel Dokuro-Chan</t>
  </si>
  <si>
    <t>C - Control - Money of Soul and Possibility</t>
  </si>
  <si>
    <t>Code Geass - Lelouch of the Resurrection</t>
  </si>
  <si>
    <t>Dragon Ball Z - Battle of Gods</t>
  </si>
  <si>
    <t>Fairy Tail - Phoenix Priestess</t>
  </si>
  <si>
    <t>Fate - Stay Night - Unlimited Blade Works</t>
  </si>
  <si>
    <t>Fate - Stay Night - Unlimited Blade Works (TV)</t>
  </si>
  <si>
    <t>Full Metal Panic - Fumoffu</t>
  </si>
  <si>
    <t>Full Metal Panic!</t>
  </si>
  <si>
    <t>Full Metal Panic! - The Second Raid</t>
  </si>
  <si>
    <t>Funan</t>
  </si>
  <si>
    <t>Girls und Panzer - Der Film</t>
  </si>
  <si>
    <t>Girls und Panzer - OVA</t>
  </si>
  <si>
    <t>Gunbuster 2</t>
  </si>
  <si>
    <t>Himouto! Umaru-Chan</t>
  </si>
  <si>
    <t>Japan Animator Expo</t>
  </si>
  <si>
    <t>Jin-Roh - The Wolf Brigade</t>
  </si>
  <si>
    <t>K - Missing Kings</t>
  </si>
  <si>
    <t>Karas - The Prophecy, The Revelation</t>
  </si>
  <si>
    <t>Long Way North</t>
  </si>
  <si>
    <t>Lupin the Third - Blood Seal of the Eternal Mermaid</t>
  </si>
  <si>
    <t>Lupin the Third - Part I</t>
  </si>
  <si>
    <t>Megalobox</t>
  </si>
  <si>
    <t>Millennium Actress</t>
  </si>
  <si>
    <t>Momotaro - Sacred Sailors</t>
  </si>
  <si>
    <t>Monogatari Series - Final Season</t>
  </si>
  <si>
    <t>One Piece Film - Z</t>
  </si>
  <si>
    <t>Origin - Spirits of the Past</t>
  </si>
  <si>
    <t>Penguin Highway</t>
  </si>
  <si>
    <t>Planetarian</t>
  </si>
  <si>
    <t>Princess Resurrection</t>
  </si>
  <si>
    <t>Promare</t>
  </si>
  <si>
    <t>Puella Magi Madoka Magica</t>
  </si>
  <si>
    <t>Rin - Daughters of Mnemosyne</t>
  </si>
  <si>
    <t>Robot Carnival</t>
  </si>
  <si>
    <t>Romeo x Juliet</t>
  </si>
  <si>
    <t>Samurai Champloo</t>
  </si>
  <si>
    <t>Scrapped Princess</t>
  </si>
  <si>
    <t>Sengoku Basara - Samurai Kings</t>
  </si>
  <si>
    <t>Sinbad - Legend of the Seven Seas</t>
  </si>
  <si>
    <t>So I Can't Play H!</t>
  </si>
  <si>
    <t>Speed Grapher</t>
  </si>
  <si>
    <t>Spirit - Stallion of the Cimarron</t>
  </si>
  <si>
    <t>Tales of Vesperia - The First Strike</t>
  </si>
  <si>
    <t>Terror in Resonance</t>
  </si>
  <si>
    <t>The Book of Bantorra</t>
  </si>
  <si>
    <t>The Hobbit</t>
  </si>
  <si>
    <t>The Lord of the Rings</t>
  </si>
  <si>
    <t>The Return of the King</t>
  </si>
  <si>
    <t>Unbreakable Machine Doll</t>
  </si>
  <si>
    <t>Windy Tales</t>
  </si>
  <si>
    <t>X</t>
  </si>
  <si>
    <t>Lee Mendelson Films</t>
  </si>
  <si>
    <t>Hoods Entertainment</t>
  </si>
  <si>
    <t>Hal Film Maker</t>
  </si>
  <si>
    <t>Les Films d'ici</t>
  </si>
  <si>
    <t>Actas</t>
  </si>
  <si>
    <t>Doga Kobo</t>
  </si>
  <si>
    <t>Sacrebleu Productions</t>
  </si>
  <si>
    <t>Shochiku</t>
  </si>
  <si>
    <t>David Production</t>
  </si>
  <si>
    <t>A.P.P.P.</t>
  </si>
  <si>
    <t>8-bit</t>
  </si>
  <si>
    <t>Rankin/Bass Productions</t>
  </si>
  <si>
    <t>Fantasy Films</t>
  </si>
  <si>
    <t>Bill Melendez</t>
  </si>
  <si>
    <t>Fuminori Kizaki</t>
  </si>
  <si>
    <t>Hideki Tachibana</t>
  </si>
  <si>
    <t>Masahiro Hosoda</t>
  </si>
  <si>
    <t>Tomohiko Ito</t>
  </si>
  <si>
    <t>Masaya Fujimori</t>
  </si>
  <si>
    <t>Takahiro Miura</t>
  </si>
  <si>
    <t>Koichi Chigira</t>
  </si>
  <si>
    <t>Denis Do</t>
  </si>
  <si>
    <t>Masahiko Ohta</t>
  </si>
  <si>
    <t>N-A</t>
  </si>
  <si>
    <t>Hiroyuki Okiura</t>
  </si>
  <si>
    <t>Remi Chaye</t>
  </si>
  <si>
    <t>Teiichi Takiguchi</t>
  </si>
  <si>
    <t>Yo Moriyama</t>
  </si>
  <si>
    <t>Mitsuyo Seo</t>
  </si>
  <si>
    <t>Tatsuya Nagamine</t>
  </si>
  <si>
    <t>Keiichi Sugiyama</t>
  </si>
  <si>
    <t>Hiroyasu Ishida</t>
  </si>
  <si>
    <t>Naokatsu Tsuda</t>
  </si>
  <si>
    <t>Masayuki Sakoi</t>
  </si>
  <si>
    <t>Shigeru Ueda</t>
  </si>
  <si>
    <t>Fumitoshi Oizaki</t>
  </si>
  <si>
    <t>Soichi Masui</t>
  </si>
  <si>
    <t>Kunihisa Sugishima</t>
  </si>
  <si>
    <t>Kelly Asbury</t>
  </si>
  <si>
    <t>Kanta Kamei</t>
  </si>
  <si>
    <t>Tensho</t>
  </si>
  <si>
    <t>Kinji Yoshimoto</t>
  </si>
  <si>
    <t>Junji Nishimura</t>
  </si>
  <si>
    <t>https://2danicritic.github.io/ReviewHtml/review_A_Boy_Named_Charlie_Brown.html</t>
  </si>
  <si>
    <t>https://2danicritic.github.io/ReviewHtml/review_Funan.html</t>
  </si>
  <si>
    <t>https://2danicritic.github.io/ReviewHtml/review_Long_Way_North.html</t>
  </si>
  <si>
    <t>https://2danicritic.github.io/ReviewHtml/review_Sinbad_-_Legend_of_the_Seven_Seas.html</t>
  </si>
  <si>
    <t>https://2danicritic.github.io/ReviewHtml/review_Spirit_-_Stallion_of_the_Cimarron.html</t>
  </si>
  <si>
    <t>https://2danicritic.github.io/ReviewHtml/review_The_Hobbit.html</t>
  </si>
  <si>
    <t>https://2danicritic.github.io/ReviewHtml/review_The_Lord_of_the_Rings.html</t>
  </si>
  <si>
    <t>https://2danicritic.github.io/ReviewHtml/review_The_Return_of_the_King.html</t>
  </si>
  <si>
    <t>https://2danicritic.github.io/ReviewHtml/review_Bayonetta_-_Bloody_Fate.html</t>
  </si>
  <si>
    <t>https://2danicritic.github.io/ReviewHtml/review_Code_Geass_-_Lelouch_of_the_Resurrection.html</t>
  </si>
  <si>
    <t>https://2danicritic.github.io/ReviewHtml/review_Dragon_Ball_Z_-_Battle_of_Gods.html</t>
  </si>
  <si>
    <t>https://2danicritic.github.io/ReviewHtml/review_Fairy_Tail_-_Phoenix_Priestess.html</t>
  </si>
  <si>
    <t>https://2danicritic.github.io/ReviewHtml/review_Fate_-_Stay_Night_-_Unlimited_Blade_Works.html</t>
  </si>
  <si>
    <t>https://2danicritic.github.io/ReviewHtml/review_Girls_und_Panzer_-_Der_Film.html</t>
  </si>
  <si>
    <t>https://2danicritic.github.io/ReviewHtml/review_Is_It_Wrong_To_Pick_Up_Girls_In_A_Dungeon_-_Arrow_of_the_Orion.html</t>
  </si>
  <si>
    <t>https://2danicritic.github.io/ReviewHtml/review_Japan_Animator_Expo.html</t>
  </si>
  <si>
    <t>https://2danicritic.github.io/ReviewHtml/review_Jin-Roh_-_The_Wolf_Brigade.html</t>
  </si>
  <si>
    <t>https://2danicritic.github.io/ReviewHtml/review_K_-_Missing_Kings.html</t>
  </si>
  <si>
    <t>https://2danicritic.github.io/ReviewHtml/review_Lupin_the_Third_-_Blood_Seal_of_the_Eternal_Mermaid.html</t>
  </si>
  <si>
    <t>https://2danicritic.github.io/ReviewHtml/review_Millennium_Actress.html</t>
  </si>
  <si>
    <t>https://2danicritic.github.io/ReviewHtml/review_Momotaro_-_Sacred_Sailors.html</t>
  </si>
  <si>
    <t>https://2danicritic.github.io/ReviewHtml/review_One_Piece_Film_-_Z.html</t>
  </si>
  <si>
    <t>https://2danicritic.github.io/ReviewHtml/review_Origin_-_Spirits_of_the_Past.html</t>
  </si>
  <si>
    <t>https://2danicritic.github.io/ReviewHtml/review_Penguin_Highway.html</t>
  </si>
  <si>
    <t>https://2danicritic.github.io/ReviewHtml/review_Planetarian.html</t>
  </si>
  <si>
    <t>https://2danicritic.github.io/ReviewHtml/review_Promare.html</t>
  </si>
  <si>
    <t>https://2danicritic.github.io/ReviewHtml/review_Robot_Carnival.html</t>
  </si>
  <si>
    <t>https://2danicritic.github.io/ReviewHtml/review_Tales_of_Vesperia_-_The_First_Strike.html</t>
  </si>
  <si>
    <t>https://2danicritic.github.io/ReviewHtml/review_A_Spirit_of_the_Sun.html</t>
  </si>
  <si>
    <t>https://2danicritic.github.io/ReviewHtml/review_Attack_on_Titan_-_Season_1.html</t>
  </si>
  <si>
    <t>https://2danicritic.github.io/ReviewHtml/review_Blazblue_-_Alter_Memory.html</t>
  </si>
  <si>
    <t>https://2danicritic.github.io/ReviewHtml/review_Bludgeoning_Angel_Dokuro-Chan.html</t>
  </si>
  <si>
    <t>https://2danicritic.github.io/ReviewHtml/review_C_-_Control_-_Money_of_Soul_and_Possibility.html</t>
  </si>
  <si>
    <t>https://2danicritic.github.io/ReviewHtml/review_Erased.html</t>
  </si>
  <si>
    <t>https://2danicritic.github.io/ReviewHtml/review_Ergo_Proxy.html</t>
  </si>
  <si>
    <t>https://2danicritic.github.io/ReviewHtml/review_Fate_-_Stay_Night_-_Unlimited_Blade_Works_(TV).html</t>
  </si>
  <si>
    <t>https://2danicritic.github.io/ReviewHtml/review_Full_Metal_Panic_-_Fumoffu.html</t>
  </si>
  <si>
    <t>https://2danicritic.github.io/ReviewHtml/review_Full_Metal_Panic!.html</t>
  </si>
  <si>
    <t>https://2danicritic.github.io/ReviewHtml/review_Full_Metal_Panic!_-_The_Second_Raid.html</t>
  </si>
  <si>
    <t>https://2danicritic.github.io/ReviewHtml/review_Girls_und_Panzer.html</t>
  </si>
  <si>
    <t>https://2danicritic.github.io/ReviewHtml/review_Girls_und_Panzer_-_OVA.html</t>
  </si>
  <si>
    <t>https://2danicritic.github.io/ReviewHtml/review_Gunbuster_2.html</t>
  </si>
  <si>
    <t>https://2danicritic.github.io/ReviewHtml/review_Himouto!_Umaru-Chan.html</t>
  </si>
  <si>
    <t>https://2danicritic.github.io/ReviewHtml/review_Karas_-_The_Prophecy,_The_Revelation.html</t>
  </si>
  <si>
    <t>https://2danicritic.github.io/ReviewHtml/review_Last_Exile.html</t>
  </si>
  <si>
    <t>https://2danicritic.github.io/ReviewHtml/review_Lupin_the_Third_-_Part_I.html</t>
  </si>
  <si>
    <t>https://2danicritic.github.io/ReviewHtml/review_Megalobox.html</t>
  </si>
  <si>
    <t>https://2danicritic.github.io/ReviewHtml/review_Monogatari_Series_-_Final_Season.html</t>
  </si>
  <si>
    <t>https://2danicritic.github.io/ReviewHtml/review_Planetes.html</t>
  </si>
  <si>
    <t>https://2danicritic.github.io/ReviewHtml/review_Princess_Resurrection.html</t>
  </si>
  <si>
    <t>https://2danicritic.github.io/ReviewHtml/review_Puella_Magi_Madoka_Magica.html</t>
  </si>
  <si>
    <t>https://2danicritic.github.io/ReviewHtml/review_Rin_-_Daughters_of_Mnemosyne.html</t>
  </si>
  <si>
    <t>https://2danicritic.github.io/ReviewHtml/review_Romeo_x_Juliet.html</t>
  </si>
  <si>
    <t>https://2danicritic.github.io/ReviewHtml/review_Samurai_Champloo.html</t>
  </si>
  <si>
    <t>https://2danicritic.github.io/ReviewHtml/review_Scrapped_Princess.html</t>
  </si>
  <si>
    <t>https://2danicritic.github.io/ReviewHtml/review_Sengoku_Basara_-_Samurai_Kings.html</t>
  </si>
  <si>
    <t>https://2danicritic.github.io/ReviewHtml/review_So_I_Can't_Play_H!.html</t>
  </si>
  <si>
    <t>https://2danicritic.github.io/ReviewHtml/review_Speed_Grapher.html</t>
  </si>
  <si>
    <t>https://2danicritic.github.io/ReviewHtml/review_Terror_in_Resonance.html</t>
  </si>
  <si>
    <t>https://2danicritic.github.io/ReviewHtml/review_The_Book_of_Bantorra.html</t>
  </si>
  <si>
    <t>https://2danicritic.github.io/ReviewHtml/review_The_Fruit_of_Grisaia,_The_Labyrinth_of_Grisaia,_The_Eden_of_Grisaia.html</t>
  </si>
  <si>
    <t>https://2danicritic.github.io/ReviewHtml/review_Unbreakable_Machine_Doll.html</t>
  </si>
  <si>
    <t>https://2danicritic.github.io/ReviewHtml/review_Windy_Tales.html</t>
  </si>
  <si>
    <t>https://2danicritic.github.io/ReviewHtml/review_X.html</t>
  </si>
  <si>
    <t>action, comedy, science fiction, drama, thriller</t>
  </si>
  <si>
    <t>Death Note - R (Relight), Visions of a God, R2 (Relight2), L's Successors</t>
  </si>
  <si>
    <t>action, adventure, experimental, philosophy, fantasy, science fiction, mystery</t>
  </si>
  <si>
    <t>Blutch, Charles Burns, Marie Caillou, Pierre di Sciullo, Lorenzo Mattotti, Richard McGuire</t>
  </si>
  <si>
    <t>experimental, family, horror</t>
  </si>
  <si>
    <t>Atsuko Fukushima, Yoji Fukuyama, Hideki Futamura, Shoji Kawamori, Shinji Kimura, Mahiro Maeda, Koji Morimoto, Kazuto Nakazawa, Shin'ya Ohira, Tatsuyuki Tanaka, Shinichiro Watanabe, Hiro Tamagata, Masaaki Yuasa</t>
  </si>
  <si>
    <t>action, adventure, comedy, experimental, philosophy, romance, fantasy, science fiction</t>
  </si>
  <si>
    <t>experimental, philosophy, romance, drama, thriller, mystery</t>
  </si>
  <si>
    <t>adventure, comedy, family, fantasy</t>
  </si>
  <si>
    <t>action, comedy, family, philosophy, romance, drama, non fiction</t>
  </si>
  <si>
    <t>Toshiya Shinohara, Hiroyuki Yano</t>
  </si>
  <si>
    <t>action, adventure, comedy, family, mystery</t>
  </si>
  <si>
    <t>adventure, horror, fantasy, mystery</t>
  </si>
  <si>
    <t>action, comedy, science fiction</t>
  </si>
  <si>
    <t>experimental, horror, philosophy, fantasy, mystery</t>
  </si>
  <si>
    <t>action, adventure, comedy, family, fantasy, drama</t>
  </si>
  <si>
    <t>action, comedy, erotic, horror, romance, science fiction</t>
  </si>
  <si>
    <t>comedy, erotic, horror, romance, drama</t>
  </si>
  <si>
    <t>action, comedy, erotic</t>
  </si>
  <si>
    <t>adventure, comedy, horror, romance, fantasy, mystery</t>
  </si>
  <si>
    <t>comedy, family, mystery</t>
  </si>
  <si>
    <t>adventure, comedy, experimental, philosophy, romance, mystery</t>
  </si>
  <si>
    <t>action, adventure, horror, fantasy, science fiction</t>
  </si>
  <si>
    <t>adventure, comedy, romance, fantasy, drama</t>
  </si>
  <si>
    <t>adventure, experimental, family, science fiction</t>
  </si>
  <si>
    <t>action, horror, fantasy, drama, thriller</t>
  </si>
  <si>
    <t>Japan</t>
  </si>
  <si>
    <t>Anthology</t>
  </si>
  <si>
    <t>USA</t>
  </si>
  <si>
    <t>Film</t>
  </si>
  <si>
    <t>France</t>
  </si>
  <si>
    <t>TV</t>
  </si>
  <si>
    <t>OVA</t>
  </si>
  <si>
    <t>Appleseed</t>
  </si>
  <si>
    <t>Artland, Gainax</t>
  </si>
  <si>
    <t>Kazuyoshi Katayama</t>
  </si>
  <si>
    <t>Baka and Test - Summon the Beasts</t>
  </si>
  <si>
    <t>China</t>
  </si>
  <si>
    <t>Spain</t>
  </si>
  <si>
    <t>South Korea</t>
  </si>
  <si>
    <t>ONA</t>
  </si>
  <si>
    <t>Brazil</t>
  </si>
  <si>
    <t>Coyote Ragtime Show</t>
  </si>
  <si>
    <t>Takuya Nonaka</t>
  </si>
  <si>
    <t>Date A Live</t>
  </si>
  <si>
    <t>Fate - Apocrypha</t>
  </si>
  <si>
    <t>Yoshiyuki Asai</t>
  </si>
  <si>
    <t>Fate - Extra Last Encore</t>
  </si>
  <si>
    <t>Fear(s) of the Dark</t>
  </si>
  <si>
    <t>Prima Linea Productions</t>
  </si>
  <si>
    <t>Genius Party, Genius Party Beyond</t>
  </si>
  <si>
    <t>Go West - A Lucky Luke Adventure</t>
  </si>
  <si>
    <t>Xilam</t>
  </si>
  <si>
    <t>Olivier Jean-Marie</t>
  </si>
  <si>
    <t>I Lost My Body</t>
  </si>
  <si>
    <t>Xilam Animation</t>
  </si>
  <si>
    <t>Jeremy Clapin</t>
  </si>
  <si>
    <t>Klaus</t>
  </si>
  <si>
    <t>Sergio Pablos Animation Studios</t>
  </si>
  <si>
    <t>Sergio Pablos</t>
  </si>
  <si>
    <t>Like The Clouds, Like The Wind</t>
  </si>
  <si>
    <t>Hisayuki Toriumi</t>
  </si>
  <si>
    <t>Poland</t>
  </si>
  <si>
    <t>Lupin the Third - Goemon's Blood Spray</t>
  </si>
  <si>
    <t>Lupin the Third - Island of Assassins</t>
  </si>
  <si>
    <t>Made in Abyss</t>
  </si>
  <si>
    <t>Kinema Citrus</t>
  </si>
  <si>
    <t>Mazinger Z - Infinity</t>
  </si>
  <si>
    <t>Junji Shimizu</t>
  </si>
  <si>
    <t>Mononoke</t>
  </si>
  <si>
    <t>My Girlfriend is Shobitch</t>
  </si>
  <si>
    <t>Diomedea, Studio Blanc</t>
  </si>
  <si>
    <t>Nobuyoshi Nagayama</t>
  </si>
  <si>
    <t>My Hero Academia</t>
  </si>
  <si>
    <t>Kenji Nagasaki</t>
  </si>
  <si>
    <t>New Cutie Honey</t>
  </si>
  <si>
    <t>Yasuchika Nagaoka</t>
  </si>
  <si>
    <t>Night Warriors - Darkstalkers' Revenge</t>
  </si>
  <si>
    <t>Masashi Ikeda</t>
  </si>
  <si>
    <t>Canada</t>
  </si>
  <si>
    <t>ONA, Film</t>
  </si>
  <si>
    <t>Hungary</t>
  </si>
  <si>
    <t>School Days</t>
  </si>
  <si>
    <t>Senran Kagura - Ninja Flash!</t>
  </si>
  <si>
    <t>Takashi Watanabe</t>
  </si>
  <si>
    <t>Ireland</t>
  </si>
  <si>
    <t>The Ancient Magus' Bride</t>
  </si>
  <si>
    <t>Norihiro Naganuma</t>
  </si>
  <si>
    <t>The Case of Hana &amp; Alice</t>
  </si>
  <si>
    <t>Rockwell Eyes, Steve N' Stephen</t>
  </si>
  <si>
    <t>Shunji Iwai</t>
  </si>
  <si>
    <t>French</t>
  </si>
  <si>
    <t>The Tatami Galaxy</t>
  </si>
  <si>
    <t>The Tibetan Dog</t>
  </si>
  <si>
    <t>Trinity Blood</t>
  </si>
  <si>
    <t>Tomohiro Hirata</t>
  </si>
  <si>
    <t>Weathering With You</t>
  </si>
  <si>
    <t>Comix Wave Films</t>
  </si>
  <si>
    <t>Welcome to the Space Show</t>
  </si>
  <si>
    <t>Koji Masunari</t>
  </si>
  <si>
    <t>X - The Movie</t>
  </si>
  <si>
    <t>https://2danicritic.github.io/ReviewHtml/review_I_Lost_My_Body.html</t>
  </si>
  <si>
    <t>https://2danicritic.github.io/ReviewHtml/review_Klaus.html</t>
  </si>
  <si>
    <t>https://2danicritic.github.io/ReviewHtml/review_Fear(s)_of_the_Dark.html</t>
  </si>
  <si>
    <t>https://2danicritic.github.io/ReviewHtml/review_Go_West_-_A_Lucky_Luke_Adventure.html</t>
  </si>
  <si>
    <t>https://2danicritic.github.io/ReviewHtml/review_Weathering_With_You.html</t>
  </si>
  <si>
    <t>https://2danicritic.github.io/ReviewHtml/review_Lupin_the_Third_-_Goemon's_Blood_Spray.html</t>
  </si>
  <si>
    <t>https://2danicritic.github.io/ReviewHtml/review_Mazinger_Z_-_Infinity.html</t>
  </si>
  <si>
    <t>https://2danicritic.github.io/ReviewHtml/review_The_Case_of_Hana_&amp;_Alice.html</t>
  </si>
  <si>
    <t>https://2danicritic.github.io/ReviewHtml/review_The_Tibetan_Dog.html</t>
  </si>
  <si>
    <t>https://2danicritic.github.io/ReviewHtml/review_Welcome_to_the_Space_Show.html</t>
  </si>
  <si>
    <t>https://2danicritic.github.io/ReviewHtml/review_Death_Note_-_R_(Relight),_Visions_of_a_God,_R2_(Relight2),_L's_Successors.html</t>
  </si>
  <si>
    <t>https://2danicritic.github.io/ReviewHtml/review_Genius_Party,_Genius_Party_Beyond.html</t>
  </si>
  <si>
    <t>https://2danicritic.github.io/ReviewHtml/review_Lupin_the_Third_-_Island_of_Assassins.html</t>
  </si>
  <si>
    <t>https://2danicritic.github.io/ReviewHtml/review_X_-_The_Movie.html</t>
  </si>
  <si>
    <t>https://2danicritic.github.io/ReviewHtml/review_Like_The_Clouds,_Like_The_Wind.html</t>
  </si>
  <si>
    <t>https://2danicritic.github.io/ReviewHtml/review_Fate_-_Extra_Last_Encore.html</t>
  </si>
  <si>
    <t>https://2danicritic.github.io/ReviewHtml/review_Fate_-_Apocrypha.html</t>
  </si>
  <si>
    <t>https://2danicritic.github.io/ReviewHtml/review_Made_in_Abyss.html</t>
  </si>
  <si>
    <t>https://2danicritic.github.io/ReviewHtml/review_My_Girlfriend_is_Shobitch.html</t>
  </si>
  <si>
    <t>https://2danicritic.github.io/ReviewHtml/review_The_Ancient_Magus'_Bride.html</t>
  </si>
  <si>
    <t>https://2danicritic.github.io/ReviewHtml/review_My_Hero_Academia.html</t>
  </si>
  <si>
    <t>https://2danicritic.github.io/ReviewHtml/review_Date_A_Live.html</t>
  </si>
  <si>
    <t>https://2danicritic.github.io/ReviewHtml/review_Senran_Kagura_-_Ninja_Flash!.html</t>
  </si>
  <si>
    <t>https://2danicritic.github.io/ReviewHtml/review_Baka_and_Test_-_Summon_the_Beasts.html</t>
  </si>
  <si>
    <t>https://2danicritic.github.io/ReviewHtml/review_The_Tatami_Galaxy.html</t>
  </si>
  <si>
    <t>https://2danicritic.github.io/ReviewHtml/review_Mononoke.html</t>
  </si>
  <si>
    <t>https://2danicritic.github.io/ReviewHtml/review_School_Days.html</t>
  </si>
  <si>
    <t>https://2danicritic.github.io/ReviewHtml/review_Coyote_Ragtime_Show.html</t>
  </si>
  <si>
    <t>https://2danicritic.github.io/ReviewHtml/review_Trinity_Blood.html</t>
  </si>
  <si>
    <t>https://2danicritic.github.io/ReviewHtml/review_Night_Warriors_-_Darkstalkers'_Revenge.html</t>
  </si>
  <si>
    <t>https://2danicritic.github.io/ReviewHtml/review_New_Cutie_Honey.html</t>
  </si>
  <si>
    <t>https://2danicritic.github.io/ReviewHtml/review_Appleseed.html</t>
  </si>
  <si>
    <t>action, adventure, drama, thriller, mystery</t>
  </si>
  <si>
    <t>comedy, family, fantasy, drama</t>
  </si>
  <si>
    <t>Marguerite Abouet, Clement Oubrerie</t>
  </si>
  <si>
    <t>erotic, horror, thriller</t>
  </si>
  <si>
    <t>action, comedy, experimental, philosophy, science fiction, drama</t>
  </si>
  <si>
    <t>adventure, comedy, philosophy, science fiction, mystery</t>
  </si>
  <si>
    <t>Canada, France, Lebanon, Qatar, USA</t>
  </si>
  <si>
    <t>adventure, comedy, experimental, family, philosophy, drama</t>
  </si>
  <si>
    <t>action, comedy, experimental, philosophy, fantasy</t>
  </si>
  <si>
    <t>Adria Garcia, Victor Madonado</t>
  </si>
  <si>
    <t>Hiroshi Hamasaki, Naomi Nakayama</t>
  </si>
  <si>
    <t>adventure, comedy, family, philosophy, romance, science fiction, mystery</t>
  </si>
  <si>
    <t>action, adventure, comedy, family, fantasy, drama, mystery</t>
  </si>
  <si>
    <t>adventure, comedy, family, fantasy, mystery</t>
  </si>
  <si>
    <t>action, adventure, comedy, horror, fantasy, mystery</t>
  </si>
  <si>
    <t>Akio Takami, Takao Kato</t>
  </si>
  <si>
    <t>comedy, romance, fantasy, drama, mystery</t>
  </si>
  <si>
    <t>Remi Bezancon, Jean-Christophe Lie</t>
  </si>
  <si>
    <t>adventure, family, philosophy, non fiction</t>
  </si>
  <si>
    <t>https://2danicritic.github.io/ReviewHtml/review_Bunuel_in_the_Labyrinth_of_the_Turtles.html</t>
  </si>
  <si>
    <t>https://2danicritic.github.io/ReviewHtml/review_Kahlil_Gibran's_The_Prophet.html</t>
  </si>
  <si>
    <t>https://2danicritic.github.io/ReviewHtml/review_Aya_of_Yop_City.html</t>
  </si>
  <si>
    <t>https://2danicritic.github.io/ReviewHtml/review_Zarafa.html</t>
  </si>
  <si>
    <t>https://2danicritic.github.io/ReviewHtml/review_Eleanor's_Secret.html</t>
  </si>
  <si>
    <t>https://2danicritic.github.io/ReviewHtml/review_Mia_and_the_Migoo.html</t>
  </si>
  <si>
    <t>https://2danicritic.github.io/ReviewHtml/review_Nocturna.html</t>
  </si>
  <si>
    <t>https://2danicritic.github.io/ReviewHtml/review_Lupin_the_Third_-_Fujiko's_Lie.html</t>
  </si>
  <si>
    <t>https://2danicritic.github.io/ReviewHtml/review_Ride_Your_Wave.html</t>
  </si>
  <si>
    <t>https://2danicritic.github.io/ReviewHtml/review_The_Wonderland.html</t>
  </si>
  <si>
    <t>https://2danicritic.github.io/ReviewHtml/review_Patema_Inverted.html</t>
  </si>
  <si>
    <t>https://2danicritic.github.io/ReviewHtml/review_A_Letter_To_Momo.html</t>
  </si>
  <si>
    <t>https://2danicritic.github.io/ReviewHtml/review_Pokemon_-_The_First_Movie.html</t>
  </si>
  <si>
    <t>https://2danicritic.github.io/ReviewHtml/review_Doreiku_-_The_Animation.html</t>
  </si>
  <si>
    <t>https://2danicritic.github.io/ReviewHtml/review_FLCL_Progressive,_FLCL_Alternative.html</t>
  </si>
  <si>
    <t>https://2danicritic.github.io/ReviewHtml/review_Violet_Evergarden.html</t>
  </si>
  <si>
    <t>https://2danicritic.github.io/ReviewHtml/review_ACCA_-_13-Territory_Inspection_Dept.html</t>
  </si>
  <si>
    <t>https://2danicritic.github.io/ReviewHtml/review_Girls'_Last_Tour.html</t>
  </si>
  <si>
    <t>https://2danicritic.github.io/ReviewHtml/review_91_Days.html</t>
  </si>
  <si>
    <t>https://2danicritic.github.io/ReviewHtml/review_Myriad_Colors_Phantom_World.html</t>
  </si>
  <si>
    <t>https://2danicritic.github.io/ReviewHtml/review_Orange.html</t>
  </si>
  <si>
    <t>https://2danicritic.github.io/ReviewHtml/review_Triage_X.html</t>
  </si>
  <si>
    <t>https://2danicritic.github.io/ReviewHtml/review_Yamada-kun_and_the_Seven_Witches.html</t>
  </si>
  <si>
    <t>https://2danicritic.github.io/ReviewHtml/review_Barakamon.html</t>
  </si>
  <si>
    <t>https://2danicritic.github.io/ReviewHtml/review_D-Frag!.html</t>
  </si>
  <si>
    <t>https://2danicritic.github.io/ReviewHtml/review_Tokyo_Ghoul.html</t>
  </si>
  <si>
    <t>91 Days</t>
  </si>
  <si>
    <t>Shuka</t>
  </si>
  <si>
    <t>Hiro Kaburagi</t>
  </si>
  <si>
    <t>A Letter To Momo</t>
  </si>
  <si>
    <t>ACCA - 13-Territory Inspection Dept</t>
  </si>
  <si>
    <t>Aya of Yop City</t>
  </si>
  <si>
    <t>Barakamon</t>
  </si>
  <si>
    <t>Masaki Tachibana</t>
  </si>
  <si>
    <t>Bunuel in the Labyrinth of the Turtles</t>
  </si>
  <si>
    <t>Sygnatia</t>
  </si>
  <si>
    <t>Salvador Simo</t>
  </si>
  <si>
    <t>D-Frag!</t>
  </si>
  <si>
    <t>Seiki Sugawara</t>
  </si>
  <si>
    <t>Doreiku - The Animation</t>
  </si>
  <si>
    <t>Zero-G</t>
  </si>
  <si>
    <t>Ryoichi Kuraya</t>
  </si>
  <si>
    <t>Eleanor's Secret</t>
  </si>
  <si>
    <t>Prana Studios</t>
  </si>
  <si>
    <t>Dominique Monfery</t>
  </si>
  <si>
    <t>FLCL Progressive, FLCL Alternative</t>
  </si>
  <si>
    <t>Katsuyuki Motohiro</t>
  </si>
  <si>
    <t>Girls' Last Tour</t>
  </si>
  <si>
    <t>Takaharu Ozaki</t>
  </si>
  <si>
    <t>Kahlil Gibran's The Prophet</t>
  </si>
  <si>
    <t>Ventanarosa</t>
  </si>
  <si>
    <t>Roger Allers</t>
  </si>
  <si>
    <t>Lupin the Third - Fujiko's Lie</t>
  </si>
  <si>
    <t>Mia and the Migoo</t>
  </si>
  <si>
    <t>Jacques-Remy Girerd</t>
  </si>
  <si>
    <t>Myriad Colors Phantom World</t>
  </si>
  <si>
    <t>Nocturna</t>
  </si>
  <si>
    <t>Filmax Animation</t>
  </si>
  <si>
    <t>Orange</t>
  </si>
  <si>
    <t>Patema Inverted</t>
  </si>
  <si>
    <t>Yasuhiro Yoshiura</t>
  </si>
  <si>
    <t>Pokemon - The First Movie</t>
  </si>
  <si>
    <t>OLM, Inc.</t>
  </si>
  <si>
    <t>Kunihiko Yuyama</t>
  </si>
  <si>
    <t>Ride Your Wave</t>
  </si>
  <si>
    <t>The Wonderland</t>
  </si>
  <si>
    <t>Fuji Television Network</t>
  </si>
  <si>
    <t>Tokyo Ghoul</t>
  </si>
  <si>
    <t>Pierrot</t>
  </si>
  <si>
    <t>Shuhei Morita</t>
  </si>
  <si>
    <t>Triage X</t>
  </si>
  <si>
    <t>Violet Evergarden</t>
  </si>
  <si>
    <t>Yamada-kun and the Seven Witches</t>
  </si>
  <si>
    <t>Liden Films</t>
  </si>
  <si>
    <t>Tomoki Takuno</t>
  </si>
  <si>
    <t>Zarafa</t>
  </si>
  <si>
    <t>drama, mystery</t>
  </si>
  <si>
    <t>comedy, romance, science fiction, drama</t>
  </si>
  <si>
    <t>Shin Onuma, Jin Tamamura</t>
  </si>
  <si>
    <t>action, comedy, family, science fiction, drama</t>
  </si>
  <si>
    <t>Ryosuke Takahashi, Kazuo Terada</t>
  </si>
  <si>
    <t>action, experimental, philosophy, science fiction, drama</t>
  </si>
  <si>
    <t>comedy, family, romance, fantasy, drama</t>
  </si>
  <si>
    <t>Is It Wrong To Try To Pick Up Girls In A Dungeon - On The Side - Sword Oratoria</t>
  </si>
  <si>
    <t>action, adventure, comedy, romance, fantasy, mystery</t>
  </si>
  <si>
    <t>action, drama, thriller, mystery, non fiction</t>
  </si>
  <si>
    <t>comedy, philosophy, romance, science fiction, drama</t>
  </si>
  <si>
    <t>adventure, comedy, fantasy</t>
  </si>
  <si>
    <t>action, adventure, comedy, experimental, horror, romance, science fiction, thriller</t>
  </si>
  <si>
    <t>Ilze Burkovska Jacobsen</t>
  </si>
  <si>
    <t>philosophy, drama, non fiction</t>
  </si>
  <si>
    <t>comedy, family, philosophy, fantasy, drama</t>
  </si>
  <si>
    <t>action, adventure, comedy, fantasy, thriller</t>
  </si>
  <si>
    <t>comedy, horror, drama</t>
  </si>
  <si>
    <t>Kinji Yoshimoto, Shinji Ishihira</t>
  </si>
  <si>
    <t>erotic, fantasy</t>
  </si>
  <si>
    <t>action, adventure, horror, romance, fantasy, science fiction, drama</t>
  </si>
  <si>
    <t>Toshimasa Kuroyanagi</t>
  </si>
  <si>
    <t>Andrey Khrzhanovskiy</t>
  </si>
  <si>
    <t>comedy, experimental, horror, philosophy, non fiction</t>
  </si>
  <si>
    <t>Yuu Kou, Junichi Sato</t>
  </si>
  <si>
    <t>Beautiful Bones - Sakurako's Investigation</t>
  </si>
  <si>
    <t>Troyca</t>
  </si>
  <si>
    <t>Makoto Kato</t>
  </si>
  <si>
    <t>Blue Drop</t>
  </si>
  <si>
    <t>Masahiko Okura</t>
  </si>
  <si>
    <t>Chivalry of a Failed Knight</t>
  </si>
  <si>
    <t>Dragon Ball Super - Broly</t>
  </si>
  <si>
    <t>FLAG</t>
  </si>
  <si>
    <t>The Answer Studio</t>
  </si>
  <si>
    <t>Ginger's Tale</t>
  </si>
  <si>
    <t>Russia</t>
  </si>
  <si>
    <t>VVERH</t>
  </si>
  <si>
    <t>Konstantin Scherkin</t>
  </si>
  <si>
    <t>Gun X Sword</t>
  </si>
  <si>
    <t>Inu x Boku - Secret Service</t>
  </si>
  <si>
    <t>Yohei Suzuki</t>
  </si>
  <si>
    <t>Joker Game</t>
  </si>
  <si>
    <t>Kazuya Nomura</t>
  </si>
  <si>
    <t>Kiznaiver</t>
  </si>
  <si>
    <t>Hiroshi Kobayashi</t>
  </si>
  <si>
    <t>Konosuba - God's Blessing On This Wonderful World</t>
  </si>
  <si>
    <t>Takaomi Kanasaki</t>
  </si>
  <si>
    <t>Kumamiko - Girl Meets Bear</t>
  </si>
  <si>
    <t>Kiyoshi Matsuda</t>
  </si>
  <si>
    <t>LAVA</t>
  </si>
  <si>
    <t>Argentina</t>
  </si>
  <si>
    <t>Crudo Films</t>
  </si>
  <si>
    <t>Ayar Blasco</t>
  </si>
  <si>
    <t>Maria the Virgin Witch</t>
  </si>
  <si>
    <t>Marona's Fantastic Tale</t>
  </si>
  <si>
    <t>Anca Damian</t>
  </si>
  <si>
    <t>My Favorite War</t>
  </si>
  <si>
    <t>Latvia</t>
  </si>
  <si>
    <t>Ego Media</t>
  </si>
  <si>
    <t>Nahuel and the Magic Book</t>
  </si>
  <si>
    <t>Levante Filmes</t>
  </si>
  <si>
    <t>German Acuna</t>
  </si>
  <si>
    <t>Okko's Inn</t>
  </si>
  <si>
    <t>DLE Inc, Madhouse</t>
  </si>
  <si>
    <t>Kitaro Kosaka</t>
  </si>
  <si>
    <t>Overlord</t>
  </si>
  <si>
    <t>Naoyuki Ito</t>
  </si>
  <si>
    <t>Princess Jellyfish</t>
  </si>
  <si>
    <t>Brian's Base</t>
  </si>
  <si>
    <t>School-Live!</t>
  </si>
  <si>
    <t>Masaomi Ando</t>
  </si>
  <si>
    <t>Seven Mortal Sins, The Seven Heavenly Virtues</t>
  </si>
  <si>
    <t>Artland, Bridge</t>
  </si>
  <si>
    <t>She and Her Cat - Everything Flows</t>
  </si>
  <si>
    <t>Kazuya Sakamoto</t>
  </si>
  <si>
    <t>Sword Art Online</t>
  </si>
  <si>
    <t>The Great Passage</t>
  </si>
  <si>
    <t>The Nose or Conspiracy of Mavericks</t>
  </si>
  <si>
    <t>Studio SHAR</t>
  </si>
  <si>
    <t>Umi Monogatari</t>
  </si>
  <si>
    <t>https://2danicritic.github.io/ReviewHtml/review_Ginger's_Tale.html</t>
  </si>
  <si>
    <t>https://2danicritic.github.io/ReviewHtml/review_My_Favorite_War.html</t>
  </si>
  <si>
    <t>https://2danicritic.github.io/ReviewHtml/review_Nahuel_and_the_Magic_Book.html</t>
  </si>
  <si>
    <t>https://2danicritic.github.io/ReviewHtml/review_The_Nose_or_Conspiracy_of_Mavericks.html</t>
  </si>
  <si>
    <t>https://2danicritic.github.io/ReviewHtml/review_LAVA.html</t>
  </si>
  <si>
    <t>https://2danicritic.github.io/ReviewHtml/review_Marona's_Fantastic_Tale.html</t>
  </si>
  <si>
    <t>https://2danicritic.github.io/ReviewHtml/review_Dragon_Ball_Super_-_Broly.html</t>
  </si>
  <si>
    <t>https://2danicritic.github.io/ReviewHtml/review_Okko's_Inn.html</t>
  </si>
  <si>
    <t>https://2danicritic.github.io/ReviewHtml/review_Is_It_Wrong_To_Try_To_Pick_Up_Girls_In_A_Dungeon_-_On_The_Side_-_Sword_Oratoria.html</t>
  </si>
  <si>
    <t>https://2danicritic.github.io/ReviewHtml/review_Seven_Mortal_Sins,_The_Seven_Heavenly_Virtues.html</t>
  </si>
  <si>
    <t>https://2danicritic.github.io/ReviewHtml/review_Joker_Game.html</t>
  </si>
  <si>
    <t>https://2danicritic.github.io/ReviewHtml/review_Kiznaiver.html</t>
  </si>
  <si>
    <t>https://2danicritic.github.io/ReviewHtml/review_Konosuba_-_God's_Blessing_On_This_Wonderful_World.html</t>
  </si>
  <si>
    <t>https://2danicritic.github.io/ReviewHtml/review_Kumamiko_-_Girl_Meets_Bear.html</t>
  </si>
  <si>
    <t>https://2danicritic.github.io/ReviewHtml/review_She_and_Her_Cat_-_Everything_Flows.html</t>
  </si>
  <si>
    <t>https://2danicritic.github.io/ReviewHtml/review_The_Great_Passage.html</t>
  </si>
  <si>
    <t>https://2danicritic.github.io/ReviewHtml/review_Beautiful_Bones_-_Sakurako's_Investigation.html</t>
  </si>
  <si>
    <t>https://2danicritic.github.io/ReviewHtml/review_Chivalry_of_a_Failed_Knight.html</t>
  </si>
  <si>
    <t>https://2danicritic.github.io/ReviewHtml/review_Maria_the_Virgin_Witch.html</t>
  </si>
  <si>
    <t>https://2danicritic.github.io/ReviewHtml/review_Overlord.html</t>
  </si>
  <si>
    <t>https://2danicritic.github.io/ReviewHtml/review_School-Live!.html</t>
  </si>
  <si>
    <t>https://2danicritic.github.io/ReviewHtml/review_Inu_x_Boku_-_Secret_Service.html</t>
  </si>
  <si>
    <t>https://2danicritic.github.io/ReviewHtml/review_Sword_Art_Online.html</t>
  </si>
  <si>
    <t>https://2danicritic.github.io/ReviewHtml/review_Princess_Jellyfish.html</t>
  </si>
  <si>
    <t>https://2danicritic.github.io/ReviewHtml/review_Umi_Monogatari.html</t>
  </si>
  <si>
    <t>https://2danicritic.github.io/ReviewHtml/review_Blue_Drop.html</t>
  </si>
  <si>
    <t>https://2danicritic.github.io/ReviewHtml/review_FLAG.html</t>
  </si>
  <si>
    <t>https://2danicritic.github.io/ReviewHtml/review_Gun_X_Sword.html</t>
  </si>
  <si>
    <t>What is that short for? Annie? Anthony? Andy? Mani? Danny? Fred? Eh, doesn't matter.</t>
  </si>
  <si>
    <t>adventure, comedy, erotic, romance, fantasy</t>
  </si>
  <si>
    <t>action, comedy, science fiction, drama, thriller, mystery</t>
  </si>
  <si>
    <t>comedy, family, fantasy</t>
  </si>
  <si>
    <t>adventure, experimental, family, philosophy, romance, fantasy, mystery</t>
  </si>
  <si>
    <t>action, comedy</t>
  </si>
  <si>
    <t>Osamu Tezuka, Eiichi Yamamoto</t>
  </si>
  <si>
    <t>adventure, comedy, erotic, experimental, romance, science fiction</t>
  </si>
  <si>
    <t>action, comedy, family, science fiction, drama, mystery</t>
  </si>
  <si>
    <t>adventure, comedy, drama, thriller</t>
  </si>
  <si>
    <t>comedy, drama, mystery</t>
  </si>
  <si>
    <t>Jojo's Bizarre Adventure - Phantom Blood, Battle Tendency, Stardust Crusaders</t>
  </si>
  <si>
    <t>Naokatsu Tsuda, Ken'ichi Suzuki</t>
  </si>
  <si>
    <t>action, adventure, comedy, horror, fantasy, drama</t>
  </si>
  <si>
    <t>action, fantasy, thriller</t>
  </si>
  <si>
    <t>adventure, comedy, family, drama, non fiction</t>
  </si>
  <si>
    <t>comedy, philosophy, fantasy</t>
  </si>
  <si>
    <t>comedy, horror, philosophy, thriller, mystery</t>
  </si>
  <si>
    <t>action, thriller</t>
  </si>
  <si>
    <t>comedy, family, romance, fantasy</t>
  </si>
  <si>
    <t>action, comedy, erotic, fantasy, drama</t>
  </si>
  <si>
    <t>Tomm Moore, Ross Stewart</t>
  </si>
  <si>
    <t>adventure, comedy, family, fantasy, drama, thriller</t>
  </si>
  <si>
    <t>A Thousand and One Nights</t>
  </si>
  <si>
    <t>Mushi Productions</t>
  </si>
  <si>
    <t>Alice and Zoroku</t>
  </si>
  <si>
    <t>Castle Town Dandelion</t>
  </si>
  <si>
    <t>Production IMS</t>
  </si>
  <si>
    <t>Noriaki Akitaya</t>
  </si>
  <si>
    <t>Children of the Sea</t>
  </si>
  <si>
    <t>Ayumu Watanabe</t>
  </si>
  <si>
    <t>City Hunter - Shinjuku Private Eyes</t>
  </si>
  <si>
    <t>Kenji Kodama</t>
  </si>
  <si>
    <t>Cleopatra</t>
  </si>
  <si>
    <t>Demon Slayer - Kimetsu No Yaiba</t>
  </si>
  <si>
    <t>Haruo Sotozaki</t>
  </si>
  <si>
    <t>Digimon Adventure Tri</t>
  </si>
  <si>
    <t>Great Pretender</t>
  </si>
  <si>
    <t>Hakumei and Mikochi</t>
  </si>
  <si>
    <t>Hyouka</t>
  </si>
  <si>
    <t>Juni Taisen - Zodiac War</t>
  </si>
  <si>
    <t>Graphinica</t>
  </si>
  <si>
    <t>Kase-san and Morning Glories</t>
  </si>
  <si>
    <t>Takuya Sato</t>
  </si>
  <si>
    <t>Mai Mai Miracle</t>
  </si>
  <si>
    <t>My First Girlfriend is a Gal</t>
  </si>
  <si>
    <t>NAZ</t>
  </si>
  <si>
    <t>Hiroyuki Furukawa</t>
  </si>
  <si>
    <t>Outbreak Company</t>
  </si>
  <si>
    <t>Kei Oikawa</t>
  </si>
  <si>
    <t>Rampo Kitan - Game of Laplace</t>
  </si>
  <si>
    <t>Saga of Tanya the Evil</t>
  </si>
  <si>
    <t>NUT</t>
  </si>
  <si>
    <t>Summer Days with Coo</t>
  </si>
  <si>
    <t>The Swan Princess</t>
  </si>
  <si>
    <t>Nest Entertainment</t>
  </si>
  <si>
    <t>Richard Rich</t>
  </si>
  <si>
    <t>The Testament of Sister New Devil</t>
  </si>
  <si>
    <t>Wolfwalkers</t>
  </si>
  <si>
    <t>https://2danicritic.github.io/ReviewHtml/review_Children_of_the_Sea.html</t>
  </si>
  <si>
    <t>https://2danicritic.github.io/ReviewHtml/review_City_Hunter_-_Shinjuku_Private_Eyes.html</t>
  </si>
  <si>
    <t>https://2danicritic.github.io/ReviewHtml/review_Digimon_Adventure_Tri.html</t>
  </si>
  <si>
    <t>https://2danicritic.github.io/ReviewHtml/review_Mai_Mai_Miracle.html</t>
  </si>
  <si>
    <t>https://2danicritic.github.io/ReviewHtml/review_Summer_Days_with_Coo.html</t>
  </si>
  <si>
    <t>https://2danicritic.github.io/ReviewHtml/review_Cleopatra.html</t>
  </si>
  <si>
    <t>https://2danicritic.github.io/ReviewHtml/review_A_Thousand_and_One_Nights.html</t>
  </si>
  <si>
    <t>https://2danicritic.github.io/ReviewHtml/review_Great_Pretender.html</t>
  </si>
  <si>
    <t>https://2danicritic.github.io/ReviewHtml/review_Demon_Slayer_-_Kimetsu_No_Yaiba.html</t>
  </si>
  <si>
    <t>https://2danicritic.github.io/ReviewHtml/review_Hakumei_and_Mikochi.html</t>
  </si>
  <si>
    <t>https://2danicritic.github.io/ReviewHtml/review_Kase-san_and_Morning_Glories.html</t>
  </si>
  <si>
    <t>https://2danicritic.github.io/ReviewHtml/review_Alice_and_Zoroku.html</t>
  </si>
  <si>
    <t>https://2danicritic.github.io/ReviewHtml/review_Juni_Taisen_-_Zodiac_War.html</t>
  </si>
  <si>
    <t>https://2danicritic.github.io/ReviewHtml/review_My_First_Girlfriend_is_a_Gal.html</t>
  </si>
  <si>
    <t>https://2danicritic.github.io/ReviewHtml/review_Saga_of_Tanya_the_Evil.html</t>
  </si>
  <si>
    <t>https://2danicritic.github.io/ReviewHtml/review_Castle_Town_Dandelion.html</t>
  </si>
  <si>
    <t>https://2danicritic.github.io/ReviewHtml/review_Rampo_Kitan_-_Game_of_Laplace.html</t>
  </si>
  <si>
    <t>https://2danicritic.github.io/ReviewHtml/review_The_Testament_of_Sister_New_Devil.html</t>
  </si>
  <si>
    <t>https://2danicritic.github.io/ReviewHtml/review_Outbreak_Company.html</t>
  </si>
  <si>
    <t>https://2danicritic.github.io/ReviewHtml/review_Hyouka.html</t>
  </si>
  <si>
    <t>https://2danicritic.github.io/ReviewHtml/review_Jojo's_Bizarre_Adventure_-_Phantom_Blood,_Battle_Tendency,_Stardust_Crusaders.html</t>
  </si>
  <si>
    <t>action, adventure, romance, science fiction, drama</t>
  </si>
  <si>
    <t>action, comedy, horror, fantasy, drama</t>
  </si>
  <si>
    <t>action, adventure, family, science fiction</t>
  </si>
  <si>
    <t>horror, philosophy, fantasy, mystery</t>
  </si>
  <si>
    <t>fantasy, mystery</t>
  </si>
  <si>
    <t>Kazuhide Tomonaga, Yuchiro Yano</t>
  </si>
  <si>
    <t>action, adventure, comedy, family, romance, thriller</t>
  </si>
  <si>
    <t>horror, fantasy, thriller</t>
  </si>
  <si>
    <t>comedy, erotic, romance, science fiction, sports</t>
  </si>
  <si>
    <t>adventure, romance, drama</t>
  </si>
  <si>
    <t>action, comedy, fantasy, drama, mystery</t>
  </si>
  <si>
    <t>Arcadia of My Youth - Captain Harlock</t>
  </si>
  <si>
    <t>Assassination Classroom</t>
  </si>
  <si>
    <t>Bartender</t>
  </si>
  <si>
    <t>Claymore</t>
  </si>
  <si>
    <t>Demon Slayer - Mugen Train</t>
  </si>
  <si>
    <t>Digimon Adventure - Last Evolution Kizuna</t>
  </si>
  <si>
    <t>From The New World</t>
  </si>
  <si>
    <t>Goblin Slayer</t>
  </si>
  <si>
    <t>Lord El-Melloi II's Case Files - Rail Zeppelin - Grace Note</t>
  </si>
  <si>
    <t>Lupin the Third - Part IV - The Italian Adventure</t>
  </si>
  <si>
    <t>The Promised Neverland</t>
  </si>
  <si>
    <t>To Love Ru</t>
  </si>
  <si>
    <t>Violet Evergarden - Eternity and the Auto Memory Doll</t>
  </si>
  <si>
    <t>Violet Evergarden - The Movie</t>
  </si>
  <si>
    <t>Waiting in the Summer</t>
  </si>
  <si>
    <t>Wizard Barristers</t>
  </si>
  <si>
    <t>Tomoharu Katsumata</t>
  </si>
  <si>
    <t>Masaki Watanabe</t>
  </si>
  <si>
    <t>Hiroyuki Tanaka</t>
  </si>
  <si>
    <t>Tomohisa Taguchi</t>
  </si>
  <si>
    <t>Masashi Ishihama</t>
  </si>
  <si>
    <t>CloverWorks</t>
  </si>
  <si>
    <t>Mamoru Kanbe</t>
  </si>
  <si>
    <t>Takao Kato</t>
  </si>
  <si>
    <t>Karuka Fujita</t>
  </si>
  <si>
    <t>Arms</t>
  </si>
  <si>
    <t>https://2danicritic.github.io/ReviewHtml/review_Wolfwalkers.html</t>
  </si>
  <si>
    <t>https://2danicritic.github.io/ReviewHtml/review_The_Swan_Princess.html</t>
  </si>
  <si>
    <t>https://2danicritic.github.io/ReviewHtml/review_Demon_Slayer_-_Mugen_Train.html</t>
  </si>
  <si>
    <t>https://2danicritic.github.io/ReviewHtml/review_Digimon_Adventure_-_Last_Evolution_Kizuna.html</t>
  </si>
  <si>
    <t>https://2danicritic.github.io/ReviewHtml/review_Violet_Evergarden_-_The_Movie.html</t>
  </si>
  <si>
    <t>https://2danicritic.github.io/ReviewHtml/review_Violet_Evergarden_-_Eternity_and_the_Auto_Memory_Doll.html</t>
  </si>
  <si>
    <t>https://2danicritic.github.io/ReviewHtml/review_Arcadia_of_My_Youth_-_Captain_Harlock.html</t>
  </si>
  <si>
    <t>https://2danicritic.github.io/ReviewHtml/review_Lord_El-Melloi_II's_Case_Files_-_Rail_Zeppelin_-_Grace_Note.html</t>
  </si>
  <si>
    <t>https://2danicritic.github.io/ReviewHtml/review_The_Promised_Neverland.html</t>
  </si>
  <si>
    <t>https://2danicritic.github.io/ReviewHtml/review_Goblin_Slayer.html</t>
  </si>
  <si>
    <t>https://2danicritic.github.io/ReviewHtml/review_Assassination_Classroom.html</t>
  </si>
  <si>
    <t>https://2danicritic.github.io/ReviewHtml/review_Lupin_the_Third_-_Part_IV_-_The_Italian_Adventure.html</t>
  </si>
  <si>
    <t>https://2danicritic.github.io/ReviewHtml/review_Wizard_Barristers.html</t>
  </si>
  <si>
    <t>https://2danicritic.github.io/ReviewHtml/review_From_The_New_World.html</t>
  </si>
  <si>
    <t>https://2danicritic.github.io/ReviewHtml/review_Waiting_in_the_Summer.html</t>
  </si>
  <si>
    <t>https://2danicritic.github.io/ReviewHtml/review_To_Love_Ru.html</t>
  </si>
  <si>
    <t>https://2danicritic.github.io/ReviewHtml/review_Claymore.html</t>
  </si>
  <si>
    <t>https://2danicritic.github.io/ReviewHtml/review_Bartender.html</t>
  </si>
  <si>
    <t>Reviews written since 2014, made public since 2018, updated occasionally (every few months).</t>
  </si>
  <si>
    <t>Koji Morimoto, et. al.</t>
  </si>
  <si>
    <t>experimental, philosophy, fantasy, drama</t>
  </si>
  <si>
    <t>Shin Oonuma, Jin Tamamura</t>
  </si>
  <si>
    <t>adventure, philosophy, drama, non fiction</t>
  </si>
  <si>
    <t>adventure, experimental, horror, philosophy, fantasy, drama, mystery</t>
  </si>
  <si>
    <t>comedy, erotic, experimental, philosophy, drama</t>
  </si>
  <si>
    <t>adventure, experimental, philosophy</t>
  </si>
  <si>
    <t>romance, fantasy</t>
  </si>
  <si>
    <t>comedy, experimental, philosophy</t>
  </si>
  <si>
    <t>adventure, comedy, experimental, family, fantasy</t>
  </si>
  <si>
    <t>Tsutomu Mizushima, Yasutaka Yamamoto</t>
  </si>
  <si>
    <t>comedy, family, romance, drama</t>
  </si>
  <si>
    <t>action, comedy, erotic, fantasy</t>
  </si>
  <si>
    <t>Phillip Gelatt, Morgan Galen King</t>
  </si>
  <si>
    <t>0</t>
  </si>
  <si>
    <t>18if</t>
  </si>
  <si>
    <t>2017</t>
  </si>
  <si>
    <t>2.71</t>
  </si>
  <si>
    <t>2.5</t>
  </si>
  <si>
    <t>3</t>
  </si>
  <si>
    <t>325</t>
  </si>
  <si>
    <t>1</t>
  </si>
  <si>
    <t>2007</t>
  </si>
  <si>
    <t>3.79</t>
  </si>
  <si>
    <t>4</t>
  </si>
  <si>
    <t>4.5</t>
  </si>
  <si>
    <t>3.5</t>
  </si>
  <si>
    <t>63</t>
  </si>
  <si>
    <t>2</t>
  </si>
  <si>
    <t>2016</t>
  </si>
  <si>
    <t>3.29</t>
  </si>
  <si>
    <t>1969</t>
  </si>
  <si>
    <t>5</t>
  </si>
  <si>
    <t>86</t>
  </si>
  <si>
    <t>2010</t>
  </si>
  <si>
    <t>65</t>
  </si>
  <si>
    <t>2011</t>
  </si>
  <si>
    <t>3.36</t>
  </si>
  <si>
    <t>120</t>
  </si>
  <si>
    <t>6</t>
  </si>
  <si>
    <t>2012</t>
  </si>
  <si>
    <t>3.21</t>
  </si>
  <si>
    <t>85</t>
  </si>
  <si>
    <t>7</t>
  </si>
  <si>
    <t>130</t>
  </si>
  <si>
    <t>8</t>
  </si>
  <si>
    <t>A Sister's All You Need</t>
  </si>
  <si>
    <t>3.07</t>
  </si>
  <si>
    <t>300</t>
  </si>
  <si>
    <t>9</t>
  </si>
  <si>
    <t>2006</t>
  </si>
  <si>
    <t>2.57</t>
  </si>
  <si>
    <t>154</t>
  </si>
  <si>
    <t>10</t>
  </si>
  <si>
    <t>128</t>
  </si>
  <si>
    <t>11</t>
  </si>
  <si>
    <t>2002</t>
  </si>
  <si>
    <t>3.64</t>
  </si>
  <si>
    <t>136</t>
  </si>
  <si>
    <t>12</t>
  </si>
  <si>
    <t>2.93</t>
  </si>
  <si>
    <t>13</t>
  </si>
  <si>
    <t>3.93</t>
  </si>
  <si>
    <t>125</t>
  </si>
  <si>
    <t>14</t>
  </si>
  <si>
    <t>2009</t>
  </si>
  <si>
    <t>100</t>
  </si>
  <si>
    <t>15</t>
  </si>
  <si>
    <t>1988</t>
  </si>
  <si>
    <t>3.14</t>
  </si>
  <si>
    <t>124</t>
  </si>
  <si>
    <t>16</t>
  </si>
  <si>
    <t>17</t>
  </si>
  <si>
    <t>2001</t>
  </si>
  <si>
    <t>18</t>
  </si>
  <si>
    <t>2014</t>
  </si>
  <si>
    <t>350</t>
  </si>
  <si>
    <t>19</t>
  </si>
  <si>
    <t>American Pop</t>
  </si>
  <si>
    <t>1981</t>
  </si>
  <si>
    <t>4.14</t>
  </si>
  <si>
    <t>96</t>
  </si>
  <si>
    <t>20</t>
  </si>
  <si>
    <t>1986</t>
  </si>
  <si>
    <t>80</t>
  </si>
  <si>
    <t>21</t>
  </si>
  <si>
    <t>1991</t>
  </si>
  <si>
    <t>74</t>
  </si>
  <si>
    <t>22</t>
  </si>
  <si>
    <t>3.43</t>
  </si>
  <si>
    <t>23</t>
  </si>
  <si>
    <t>2.43</t>
  </si>
  <si>
    <t>70</t>
  </si>
  <si>
    <t>24</t>
  </si>
  <si>
    <t>2015</t>
  </si>
  <si>
    <t>106</t>
  </si>
  <si>
    <t>25</t>
  </si>
  <si>
    <t>1982</t>
  </si>
  <si>
    <t>26</t>
  </si>
  <si>
    <t>1175</t>
  </si>
  <si>
    <t>27</t>
  </si>
  <si>
    <t>2013</t>
  </si>
  <si>
    <t>3.86</t>
  </si>
  <si>
    <t>625</t>
  </si>
  <si>
    <t>28</t>
  </si>
  <si>
    <t>83</t>
  </si>
  <si>
    <t>29</t>
  </si>
  <si>
    <t>2.64</t>
  </si>
  <si>
    <t>84</t>
  </si>
  <si>
    <t>30</t>
  </si>
  <si>
    <t>2.86</t>
  </si>
  <si>
    <t>95</t>
  </si>
  <si>
    <t>31</t>
  </si>
  <si>
    <t>650</t>
  </si>
  <si>
    <t>32</t>
  </si>
  <si>
    <t>4.07</t>
  </si>
  <si>
    <t>400</t>
  </si>
  <si>
    <t>33</t>
  </si>
  <si>
    <t>742</t>
  </si>
  <si>
    <t>34</t>
  </si>
  <si>
    <t>4.29</t>
  </si>
  <si>
    <t>375</t>
  </si>
  <si>
    <t>35</t>
  </si>
  <si>
    <t>1995</t>
  </si>
  <si>
    <t>3.57</t>
  </si>
  <si>
    <t>77</t>
  </si>
  <si>
    <t>36</t>
  </si>
  <si>
    <t>37</t>
  </si>
  <si>
    <t>1983</t>
  </si>
  <si>
    <t>38</t>
  </si>
  <si>
    <t>2.29</t>
  </si>
  <si>
    <t>39</t>
  </si>
  <si>
    <t>275</t>
  </si>
  <si>
    <t>40</t>
  </si>
  <si>
    <t>2018</t>
  </si>
  <si>
    <t>41</t>
  </si>
  <si>
    <t>91</t>
  </si>
  <si>
    <t>42</t>
  </si>
  <si>
    <t>43</t>
  </si>
  <si>
    <t>1973</t>
  </si>
  <si>
    <t>1.5</t>
  </si>
  <si>
    <t>44</t>
  </si>
  <si>
    <t>4.36</t>
  </si>
  <si>
    <t>288</t>
  </si>
  <si>
    <t>45</t>
  </si>
  <si>
    <t>46</t>
  </si>
  <si>
    <t>172</t>
  </si>
  <si>
    <t>47</t>
  </si>
  <si>
    <t>105</t>
  </si>
  <si>
    <t>48</t>
  </si>
  <si>
    <t>76</t>
  </si>
  <si>
    <t>49</t>
  </si>
  <si>
    <t>50</t>
  </si>
  <si>
    <t>2008</t>
  </si>
  <si>
    <t>600</t>
  </si>
  <si>
    <t>51</t>
  </si>
  <si>
    <t>250</t>
  </si>
  <si>
    <t>52</t>
  </si>
  <si>
    <t>3.71</t>
  </si>
  <si>
    <t>53</t>
  </si>
  <si>
    <t>54</t>
  </si>
  <si>
    <t>450</t>
  </si>
  <si>
    <t>55</t>
  </si>
  <si>
    <t>56</t>
  </si>
  <si>
    <t>175</t>
  </si>
  <si>
    <t>57</t>
  </si>
  <si>
    <t>2004</t>
  </si>
  <si>
    <t>1.57</t>
  </si>
  <si>
    <t>87</t>
  </si>
  <si>
    <t>58</t>
  </si>
  <si>
    <t>2003</t>
  </si>
  <si>
    <t>59</t>
  </si>
  <si>
    <t>60</t>
  </si>
  <si>
    <t>2000</t>
  </si>
  <si>
    <t>61</t>
  </si>
  <si>
    <t>62</t>
  </si>
  <si>
    <t>2.36</t>
  </si>
  <si>
    <t>110</t>
  </si>
  <si>
    <t>64</t>
  </si>
  <si>
    <t>2005</t>
  </si>
  <si>
    <t>2.21</t>
  </si>
  <si>
    <t>180</t>
  </si>
  <si>
    <t>66</t>
  </si>
  <si>
    <t>67</t>
  </si>
  <si>
    <t>68</t>
  </si>
  <si>
    <t>69</t>
  </si>
  <si>
    <t>Calamity - A Childhood of Martha Jane Cannary</t>
  </si>
  <si>
    <t>2020</t>
  </si>
  <si>
    <t>Maybe Movies</t>
  </si>
  <si>
    <t>82</t>
  </si>
  <si>
    <t>71</t>
  </si>
  <si>
    <t>72</t>
  </si>
  <si>
    <t>126</t>
  </si>
  <si>
    <t>73</t>
  </si>
  <si>
    <t>75</t>
  </si>
  <si>
    <t>97</t>
  </si>
  <si>
    <t>2019</t>
  </si>
  <si>
    <t>111</t>
  </si>
  <si>
    <t>78</t>
  </si>
  <si>
    <t>116</t>
  </si>
  <si>
    <t>79</t>
  </si>
  <si>
    <t>81</t>
  </si>
  <si>
    <t>1970</t>
  </si>
  <si>
    <t>112</t>
  </si>
  <si>
    <t>290</t>
  </si>
  <si>
    <t>1250</t>
  </si>
  <si>
    <t>406</t>
  </si>
  <si>
    <t>114</t>
  </si>
  <si>
    <t>88</t>
  </si>
  <si>
    <t>89</t>
  </si>
  <si>
    <t>127</t>
  </si>
  <si>
    <t>90</t>
  </si>
  <si>
    <t>115</t>
  </si>
  <si>
    <t>92</t>
  </si>
  <si>
    <t>2.79</t>
  </si>
  <si>
    <t>93</t>
  </si>
  <si>
    <t>94</t>
  </si>
  <si>
    <t>Cryptozoo</t>
  </si>
  <si>
    <t>2021</t>
  </si>
  <si>
    <t>98</t>
  </si>
  <si>
    <t>99</t>
  </si>
  <si>
    <t>4.71</t>
  </si>
  <si>
    <t>925</t>
  </si>
  <si>
    <t>101</t>
  </si>
  <si>
    <t>230</t>
  </si>
  <si>
    <t>102</t>
  </si>
  <si>
    <t>103</t>
  </si>
  <si>
    <t>104</t>
  </si>
  <si>
    <t>117</t>
  </si>
  <si>
    <t>1987</t>
  </si>
  <si>
    <t>2.14</t>
  </si>
  <si>
    <t>107</t>
  </si>
  <si>
    <t>108</t>
  </si>
  <si>
    <t>109</t>
  </si>
  <si>
    <t>531</t>
  </si>
  <si>
    <t>113</t>
  </si>
  <si>
    <t>4.21</t>
  </si>
  <si>
    <t>118</t>
  </si>
  <si>
    <t>119</t>
  </si>
  <si>
    <t>Empress of Darkness - The Curse of Graxus</t>
  </si>
  <si>
    <t>121</t>
  </si>
  <si>
    <t>575</t>
  </si>
  <si>
    <t>122</t>
  </si>
  <si>
    <t>123</t>
  </si>
  <si>
    <t>4.57</t>
  </si>
  <si>
    <t>Evangelion 3.0 + 1.0 - Thrice Upon A Time</t>
  </si>
  <si>
    <t>155</t>
  </si>
  <si>
    <t>129</t>
  </si>
  <si>
    <t>131</t>
  </si>
  <si>
    <t>339</t>
  </si>
  <si>
    <t>132</t>
  </si>
  <si>
    <t>133</t>
  </si>
  <si>
    <t>134</t>
  </si>
  <si>
    <t>735</t>
  </si>
  <si>
    <t>135</t>
  </si>
  <si>
    <t>4.93</t>
  </si>
  <si>
    <t>620</t>
  </si>
  <si>
    <t>137</t>
  </si>
  <si>
    <t>138</t>
  </si>
  <si>
    <t>139</t>
  </si>
  <si>
    <t>140</t>
  </si>
  <si>
    <t>150</t>
  </si>
  <si>
    <t>141</t>
  </si>
  <si>
    <t>264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</si>
  <si>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</si>
  <si>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</si>
  <si>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</si>
  <si>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</si>
  <si>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</si>
  <si>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</si>
  <si>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</si>
  <si>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</si>
  <si>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</si>
  <si>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</si>
  <si>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365</t>
  </si>
  <si>
    <t>153</t>
  </si>
  <si>
    <t>183</t>
  </si>
  <si>
    <t>156</t>
  </si>
  <si>
    <t>157</t>
  </si>
  <si>
    <t>1300</t>
  </si>
  <si>
    <t>158</t>
  </si>
  <si>
    <t>Ghost in the Shell - The New Movie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</si>
  <si>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</si>
  <si>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</si>
  <si>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</si>
  <si>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</si>
  <si>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</si>
  <si>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</si>
  <si>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</si>
  <si>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</si>
  <si>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</si>
  <si>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</si>
  <si>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</si>
  <si>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</si>
  <si>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</si>
  <si>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550</t>
  </si>
  <si>
    <t>173</t>
  </si>
  <si>
    <t>174</t>
  </si>
  <si>
    <t>176</t>
  </si>
  <si>
    <t>177</t>
  </si>
  <si>
    <t>178</t>
  </si>
  <si>
    <t>Hayop Ka! The Nimfa Dimaano Story</t>
  </si>
  <si>
    <t>Philippines</t>
  </si>
  <si>
    <t>Rocketsheep Studio</t>
  </si>
  <si>
    <t>Avid Liongoren</t>
  </si>
  <si>
    <t>179</t>
  </si>
  <si>
    <t>181</t>
  </si>
  <si>
    <t>182</t>
  </si>
  <si>
    <t>Heavy Traffic</t>
  </si>
  <si>
    <t>Steve Krantz Productions</t>
  </si>
  <si>
    <t>184</t>
  </si>
  <si>
    <t>472</t>
  </si>
  <si>
    <t>185</t>
  </si>
  <si>
    <t>1.79</t>
  </si>
  <si>
    <t>520</t>
  </si>
  <si>
    <t>186</t>
  </si>
  <si>
    <t>900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</si>
  <si>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</si>
  <si>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</si>
  <si>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</si>
  <si>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</si>
  <si>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</si>
  <si>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</si>
  <si>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</si>
  <si>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</si>
  <si>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</si>
  <si>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</si>
  <si>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</si>
  <si>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</si>
  <si>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</si>
  <si>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</si>
  <si>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</si>
  <si>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248</t>
  </si>
  <si>
    <t>202</t>
  </si>
  <si>
    <t>1999</t>
  </si>
  <si>
    <t>203</t>
  </si>
  <si>
    <t>1776</t>
  </si>
  <si>
    <t>204</t>
  </si>
  <si>
    <t>205</t>
  </si>
  <si>
    <t>206</t>
  </si>
  <si>
    <t>Josee, the Tiger and the Fish</t>
  </si>
  <si>
    <t>207</t>
  </si>
  <si>
    <t>208</t>
  </si>
  <si>
    <t>209</t>
  </si>
  <si>
    <t>210</t>
  </si>
  <si>
    <t>211</t>
  </si>
  <si>
    <t>212</t>
  </si>
  <si>
    <t>213</t>
  </si>
  <si>
    <t>340</t>
  </si>
  <si>
    <t>214</t>
  </si>
  <si>
    <t>1.29</t>
  </si>
  <si>
    <t>215</t>
  </si>
  <si>
    <t>216</t>
  </si>
  <si>
    <t>217</t>
  </si>
  <si>
    <t>218</t>
  </si>
  <si>
    <t>1989</t>
  </si>
  <si>
    <t>219</t>
  </si>
  <si>
    <t>220</t>
  </si>
  <si>
    <t>221</t>
  </si>
  <si>
    <t>Kino's Journey - the Beautiful World</t>
  </si>
  <si>
    <t>222</t>
  </si>
  <si>
    <t>223</t>
  </si>
  <si>
    <t>224</t>
  </si>
  <si>
    <t>225</t>
  </si>
  <si>
    <t>425</t>
  </si>
  <si>
    <t>226</t>
  </si>
  <si>
    <t>227</t>
  </si>
  <si>
    <t>330</t>
  </si>
  <si>
    <t>228</t>
  </si>
  <si>
    <t>229</t>
  </si>
  <si>
    <t>1.64</t>
  </si>
  <si>
    <t>231</t>
  </si>
  <si>
    <t>1990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</si>
  <si>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</si>
  <si>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</si>
  <si>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</si>
  <si>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</si>
  <si>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</si>
  <si>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</si>
  <si>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</si>
  <si>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</si>
  <si>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</si>
  <si>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1.93</t>
  </si>
  <si>
    <t>241</t>
  </si>
  <si>
    <t>242</t>
  </si>
  <si>
    <t>243</t>
  </si>
  <si>
    <t>244</t>
  </si>
  <si>
    <t>245</t>
  </si>
  <si>
    <t>246</t>
  </si>
  <si>
    <t>1997</t>
  </si>
  <si>
    <t>247</t>
  </si>
  <si>
    <t>1971</t>
  </si>
  <si>
    <t>588</t>
  </si>
  <si>
    <t>249</t>
  </si>
  <si>
    <t>1979</t>
  </si>
  <si>
    <t>251</t>
  </si>
  <si>
    <t>252</t>
  </si>
  <si>
    <t>1978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</si>
  <si>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</si>
  <si>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</si>
  <si>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</si>
  <si>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</si>
  <si>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</si>
  <si>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</si>
  <si>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</si>
  <si>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</si>
  <si>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</si>
  <si>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</si>
  <si>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</si>
  <si>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299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</si>
  <si>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</si>
  <si>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</si>
  <si>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</si>
  <si>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</si>
  <si>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</si>
  <si>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</si>
  <si>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</si>
  <si>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</si>
  <si>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</si>
  <si>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</si>
  <si>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1945</t>
  </si>
  <si>
    <t>276</t>
  </si>
  <si>
    <t>752</t>
  </si>
  <si>
    <t>277</t>
  </si>
  <si>
    <t>800</t>
  </si>
  <si>
    <t>278</t>
  </si>
  <si>
    <t>279</t>
  </si>
  <si>
    <t>280</t>
  </si>
  <si>
    <t>4.64</t>
  </si>
  <si>
    <t>281</t>
  </si>
  <si>
    <t>1.43</t>
  </si>
  <si>
    <t>282</t>
  </si>
  <si>
    <t>283</t>
  </si>
  <si>
    <t>284</t>
  </si>
  <si>
    <t>285</t>
  </si>
  <si>
    <t>286</t>
  </si>
  <si>
    <t>287</t>
  </si>
  <si>
    <t>1525</t>
  </si>
  <si>
    <t>289</t>
  </si>
  <si>
    <t>291</t>
  </si>
  <si>
    <t>Mysteria Friends</t>
  </si>
  <si>
    <t>CygamesPictures</t>
  </si>
  <si>
    <t>Hideki Okamoto</t>
  </si>
  <si>
    <t>292</t>
  </si>
  <si>
    <t>975</t>
  </si>
  <si>
    <t>293</t>
  </si>
  <si>
    <t>294</t>
  </si>
  <si>
    <t>295</t>
  </si>
  <si>
    <t>1984</t>
  </si>
  <si>
    <t>296</t>
  </si>
  <si>
    <t>297</t>
  </si>
  <si>
    <t>298</t>
  </si>
  <si>
    <t>1994</t>
  </si>
  <si>
    <t>301</t>
  </si>
  <si>
    <t>302</t>
  </si>
  <si>
    <t>1985</t>
  </si>
  <si>
    <t>303</t>
  </si>
  <si>
    <t>304</t>
  </si>
  <si>
    <t>305</t>
  </si>
  <si>
    <t>1993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</si>
  <si>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</si>
  <si>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</si>
  <si>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</si>
  <si>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</si>
  <si>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</si>
  <si>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</si>
  <si>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</si>
  <si>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</si>
  <si>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</si>
  <si>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</si>
  <si>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</si>
  <si>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</si>
  <si>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</si>
  <si>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</si>
  <si>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On-Gaku - Our Sound</t>
  </si>
  <si>
    <t>Tip Top</t>
  </si>
  <si>
    <t>Kenji Iwaisawa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</si>
  <si>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</si>
  <si>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</si>
  <si>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</si>
  <si>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</si>
  <si>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</si>
  <si>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</si>
  <si>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</si>
  <si>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</si>
  <si>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</si>
  <si>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</si>
  <si>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</si>
  <si>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</si>
  <si>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</si>
  <si>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376</t>
  </si>
  <si>
    <t>335</t>
  </si>
  <si>
    <t>336</t>
  </si>
  <si>
    <t>337</t>
  </si>
  <si>
    <t>338</t>
  </si>
  <si>
    <t>1998</t>
  </si>
  <si>
    <t>341</t>
  </si>
  <si>
    <t>342</t>
  </si>
  <si>
    <t>1992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</si>
  <si>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</si>
  <si>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</si>
  <si>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</si>
  <si>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</si>
  <si>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</si>
  <si>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</si>
  <si>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</si>
  <si>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</si>
  <si>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</si>
  <si>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</si>
  <si>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</si>
  <si>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</si>
  <si>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</si>
  <si>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</si>
  <si>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</si>
  <si>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</si>
  <si>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</si>
  <si>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</si>
  <si>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</si>
  <si>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</si>
  <si>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</si>
  <si>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</si>
  <si>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</si>
  <si>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</si>
  <si>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</si>
  <si>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</si>
  <si>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</si>
  <si>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</si>
  <si>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</si>
  <si>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</si>
  <si>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377</t>
  </si>
  <si>
    <t>378</t>
  </si>
  <si>
    <t>379</t>
  </si>
  <si>
    <t>1.71</t>
  </si>
  <si>
    <t>380</t>
  </si>
  <si>
    <t>381</t>
  </si>
  <si>
    <t>382</t>
  </si>
  <si>
    <t>Son of the White Mare</t>
  </si>
  <si>
    <t>PannoniaFilm</t>
  </si>
  <si>
    <t>Marcell Jankovics</t>
  </si>
  <si>
    <t>383</t>
  </si>
  <si>
    <t>384</t>
  </si>
  <si>
    <t>1275</t>
  </si>
  <si>
    <t>385</t>
  </si>
  <si>
    <t>386</t>
  </si>
  <si>
    <t>387</t>
  </si>
  <si>
    <t>630</t>
  </si>
  <si>
    <t>388</t>
  </si>
  <si>
    <t>389</t>
  </si>
  <si>
    <t>390</t>
  </si>
  <si>
    <t>Squid Girl</t>
  </si>
  <si>
    <t>Diomedea</t>
  </si>
  <si>
    <t>675</t>
  </si>
  <si>
    <t>391</t>
  </si>
  <si>
    <t>392</t>
  </si>
  <si>
    <t>393</t>
  </si>
  <si>
    <t>394</t>
  </si>
  <si>
    <t>395</t>
  </si>
  <si>
    <t>396</t>
  </si>
  <si>
    <t>540</t>
  </si>
  <si>
    <t>397</t>
  </si>
  <si>
    <t>725</t>
  </si>
  <si>
    <t>398</t>
  </si>
  <si>
    <t>399</t>
  </si>
  <si>
    <t>401</t>
  </si>
  <si>
    <t>402</t>
  </si>
  <si>
    <t>403</t>
  </si>
  <si>
    <t>404</t>
  </si>
  <si>
    <t>405</t>
  </si>
  <si>
    <t>407</t>
  </si>
  <si>
    <t>408</t>
  </si>
  <si>
    <t>4.86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</si>
  <si>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</si>
  <si>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</si>
  <si>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</si>
  <si>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</si>
  <si>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</si>
  <si>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</si>
  <si>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</si>
  <si>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</si>
  <si>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</si>
  <si>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</si>
  <si>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</si>
  <si>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680</t>
  </si>
  <si>
    <t>420</t>
  </si>
  <si>
    <t>652</t>
  </si>
  <si>
    <t>421</t>
  </si>
  <si>
    <t>422</t>
  </si>
  <si>
    <t>423</t>
  </si>
  <si>
    <t>424</t>
  </si>
  <si>
    <t>1977</t>
  </si>
  <si>
    <t>426</t>
  </si>
  <si>
    <t>427</t>
  </si>
  <si>
    <t>The King and I</t>
  </si>
  <si>
    <t>Morgan Creek Entertainment</t>
  </si>
  <si>
    <t>428</t>
  </si>
  <si>
    <t>429</t>
  </si>
  <si>
    <t>The Legend of Hei</t>
  </si>
  <si>
    <t>MTJJ Animation</t>
  </si>
  <si>
    <t>MTJJ Mutou</t>
  </si>
  <si>
    <t>430</t>
  </si>
  <si>
    <t>431</t>
  </si>
  <si>
    <t>432</t>
  </si>
  <si>
    <t>433</t>
  </si>
  <si>
    <t>700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</si>
  <si>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</si>
  <si>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</si>
  <si>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</si>
  <si>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</si>
  <si>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</si>
  <si>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</si>
  <si>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</si>
  <si>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</si>
  <si>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</si>
  <si>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</si>
  <si>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</si>
  <si>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The Qwaser of Stigmata</t>
  </si>
  <si>
    <t>Hiraku Kaneko</t>
  </si>
  <si>
    <t>445</t>
  </si>
  <si>
    <t>446</t>
  </si>
  <si>
    <t>447</t>
  </si>
  <si>
    <t>1980</t>
  </si>
  <si>
    <t>448</t>
  </si>
  <si>
    <t>449</t>
  </si>
  <si>
    <t>451</t>
  </si>
  <si>
    <t>452</t>
  </si>
  <si>
    <t>453</t>
  </si>
  <si>
    <t>The Spine of Night</t>
  </si>
  <si>
    <t>null</t>
  </si>
  <si>
    <t>454</t>
  </si>
  <si>
    <t>455</t>
  </si>
  <si>
    <t>4.43</t>
  </si>
  <si>
    <t>456</t>
  </si>
  <si>
    <t>457</t>
  </si>
  <si>
    <t>458</t>
  </si>
  <si>
    <t>459</t>
  </si>
  <si>
    <t>460</t>
  </si>
  <si>
    <t>461</t>
  </si>
  <si>
    <t>462</t>
  </si>
  <si>
    <t>463</t>
  </si>
  <si>
    <t>1.86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</si>
  <si>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</si>
  <si>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</si>
  <si>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</si>
  <si>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</si>
  <si>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</si>
  <si>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</si>
  <si>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</si>
  <si>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</si>
  <si>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</si>
  <si>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</si>
  <si>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</si>
  <si>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</si>
  <si>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</si>
  <si>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</si>
  <si>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</si>
  <si>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</si>
  <si>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</si>
  <si>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</si>
  <si>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</si>
  <si>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</si>
  <si>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</si>
  <si>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</si>
  <si>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</si>
  <si>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</si>
  <si>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</si>
  <si>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</si>
  <si>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</si>
  <si>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</si>
  <si>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</si>
  <si>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</si>
  <si>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</si>
  <si>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</si>
  <si>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</si>
  <si>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</si>
  <si>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</si>
  <si>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</si>
  <si>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</si>
  <si>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</si>
  <si>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</si>
  <si>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</si>
  <si>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</si>
  <si>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</si>
  <si>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1996</t>
  </si>
  <si>
    <t>507</t>
  </si>
  <si>
    <t>508</t>
  </si>
  <si>
    <t>509</t>
  </si>
  <si>
    <t>1968</t>
  </si>
  <si>
    <t>510</t>
  </si>
  <si>
    <t>511</t>
  </si>
  <si>
    <t>512</t>
  </si>
  <si>
    <t>https://2danicritic.github.io/ReviewHtml/review_Cryptozoo.html</t>
  </si>
  <si>
    <t>https://2danicritic.github.io/ReviewHtml/review_The_Spine_of_Night.html</t>
  </si>
  <si>
    <t>https://2danicritic.github.io/ReviewHtml/review_Calamity_-_A_Childhood_of_Martha_Jane_Cannary.html</t>
  </si>
  <si>
    <t>https://2danicritic.github.io/ReviewHtml/review_Empress_of_Darkness_-_The_Curse_of_Graxus.html</t>
  </si>
  <si>
    <t>https://2danicritic.github.io/ReviewHtml/review_Hayop_Ka!_The_Nimfa_Dimaano_Story.html</t>
  </si>
  <si>
    <t>https://2danicritic.github.io/ReviewHtml/review_The_Legend_of_Hei.html</t>
  </si>
  <si>
    <t>https://2danicritic.github.io/ReviewHtml/review_The_King_and_I.html</t>
  </si>
  <si>
    <t>https://2danicritic.github.io/ReviewHtml/review_American_Pop.html</t>
  </si>
  <si>
    <t>https://2danicritic.github.io/ReviewHtml/review_Son_of_the_White_Mare.html</t>
  </si>
  <si>
    <t>https://2danicritic.github.io/ReviewHtml/review_Heavy_Traffic.html</t>
  </si>
  <si>
    <t>https://2danicritic.github.io/ReviewHtml/review_Evangelion_3.0_+_1.0_-_Thrice_Upon_A_Time.html</t>
  </si>
  <si>
    <t>https://2danicritic.github.io/ReviewHtml/review_Josee,_the_Tiger_and_the_Fish.html</t>
  </si>
  <si>
    <t>https://2danicritic.github.io/ReviewHtml/review_On-Gaku_-_Our_Sound.html</t>
  </si>
  <si>
    <t>https://2danicritic.github.io/ReviewHtml/review_Ghost_in_the_Shell_-_The_New_Movie.html</t>
  </si>
  <si>
    <t>https://2danicritic.github.io/ReviewHtml/review_Mysteria_Friends.html</t>
  </si>
  <si>
    <t>https://2danicritic.github.io/ReviewHtml/review_18if.html</t>
  </si>
  <si>
    <t>https://2danicritic.github.io/ReviewHtml/review_A_Sister's_All_You_Need.html</t>
  </si>
  <si>
    <t>https://2danicritic.github.io/ReviewHtml/review_Kino's_Journey_-_the_Beautiful_World.html</t>
  </si>
  <si>
    <t>https://2danicritic.github.io/ReviewHtml/review_Squid_Girl.html</t>
  </si>
  <si>
    <t>https://2danicritic.github.io/ReviewHtml/review_The_Qwaser_of_Stigmata.html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</si>
</sst>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2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0" borderId="0" xfId="0" applyNumberFormat="1"/>
    <xf numFmtId="0" fontId="0" fillId="0" borderId="3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2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78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FFFF"/>
      <color rgb="FFFFCC99"/>
      <color rgb="FF99FFCC"/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Review</a:t>
            </a:r>
            <a:r>
              <a:rPr lang="en-US" baseline="0"/>
              <a:t> </a:t>
            </a:r>
            <a:r>
              <a:rPr lang="en-US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 Sheet'!$D$3</c:f>
              <c:strCache>
                <c:ptCount val="1"/>
                <c:pt idx="0">
                  <c:v>Count for 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'Extra Sheet'!$C$4:$C$11</c:f>
              <c:strCache>
                <c:ptCount val="8"/>
                <c:pt idx="0">
                  <c:v>1.0 -&gt; 1.5</c:v>
                </c:pt>
                <c:pt idx="1">
                  <c:v>1.5 -&gt; 2.0</c:v>
                </c:pt>
                <c:pt idx="2">
                  <c:v>2.0 -&gt; 2.5</c:v>
                </c:pt>
                <c:pt idx="3">
                  <c:v>2.5 -&gt; 3.0</c:v>
                </c:pt>
                <c:pt idx="4">
                  <c:v>3.0 -&gt; 3.5</c:v>
                </c:pt>
                <c:pt idx="5">
                  <c:v>3.5 -&gt; 4.0</c:v>
                </c:pt>
                <c:pt idx="6">
                  <c:v>4.0 -&gt; 4.5</c:v>
                </c:pt>
                <c:pt idx="7">
                  <c:v>4.5 -&gt; 5.0</c:v>
                </c:pt>
              </c:strCache>
            </c:strRef>
          </c:cat>
          <c:val>
            <c:numRef>
              <c:f>'Extra Sheet'!$D$4:$D$11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45</c:v>
                </c:pt>
                <c:pt idx="3">
                  <c:v>84</c:v>
                </c:pt>
                <c:pt idx="4">
                  <c:v>187</c:v>
                </c:pt>
                <c:pt idx="5">
                  <c:v>128</c:v>
                </c:pt>
                <c:pt idx="6">
                  <c:v>44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6-4CD6-BF5F-A5A68791E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9"/>
        <c:axId val="433190888"/>
        <c:axId val="444953704"/>
      </c:barChart>
      <c:catAx>
        <c:axId val="43319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53704"/>
        <c:crosses val="autoZero"/>
        <c:auto val="1"/>
        <c:lblAlgn val="ctr"/>
        <c:lblOffset val="100"/>
        <c:noMultiLvlLbl val="0"/>
      </c:catAx>
      <c:valAx>
        <c:axId val="44495370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90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Reviews By</a:t>
            </a:r>
            <a:r>
              <a:rPr lang="en-CA" baseline="0"/>
              <a:t>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'Extra Sheet'!$C$22:$C$104</c:f>
              <c:numCache>
                <c:formatCode>General</c:formatCode>
                <c:ptCount val="83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2011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2016</c:v>
                </c:pt>
                <c:pt idx="77">
                  <c:v>2017</c:v>
                </c:pt>
                <c:pt idx="78">
                  <c:v>2018</c:v>
                </c:pt>
                <c:pt idx="79">
                  <c:v>2019</c:v>
                </c:pt>
                <c:pt idx="80">
                  <c:v>2020</c:v>
                </c:pt>
                <c:pt idx="81">
                  <c:v>2021</c:v>
                </c:pt>
                <c:pt idx="82">
                  <c:v>2022</c:v>
                </c:pt>
              </c:numCache>
            </c:numRef>
          </c:cat>
          <c:val>
            <c:numRef>
              <c:f>'Extra Sheet'!$D$22:$D$104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4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1</c:v>
                </c:pt>
                <c:pt idx="57">
                  <c:v>6</c:v>
                </c:pt>
                <c:pt idx="58">
                  <c:v>4</c:v>
                </c:pt>
                <c:pt idx="59">
                  <c:v>3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13</c:v>
                </c:pt>
                <c:pt idx="64">
                  <c:v>13</c:v>
                </c:pt>
                <c:pt idx="65">
                  <c:v>7</c:v>
                </c:pt>
                <c:pt idx="66">
                  <c:v>20</c:v>
                </c:pt>
                <c:pt idx="67">
                  <c:v>21</c:v>
                </c:pt>
                <c:pt idx="68">
                  <c:v>15</c:v>
                </c:pt>
                <c:pt idx="69">
                  <c:v>18</c:v>
                </c:pt>
                <c:pt idx="70">
                  <c:v>24</c:v>
                </c:pt>
                <c:pt idx="71">
                  <c:v>28</c:v>
                </c:pt>
                <c:pt idx="72">
                  <c:v>35</c:v>
                </c:pt>
                <c:pt idx="73">
                  <c:v>24</c:v>
                </c:pt>
                <c:pt idx="74">
                  <c:v>29</c:v>
                </c:pt>
                <c:pt idx="75">
                  <c:v>37</c:v>
                </c:pt>
                <c:pt idx="76">
                  <c:v>33</c:v>
                </c:pt>
                <c:pt idx="77">
                  <c:v>36</c:v>
                </c:pt>
                <c:pt idx="78">
                  <c:v>23</c:v>
                </c:pt>
                <c:pt idx="79">
                  <c:v>20</c:v>
                </c:pt>
                <c:pt idx="80">
                  <c:v>13</c:v>
                </c:pt>
                <c:pt idx="81">
                  <c:v>3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F-4AFC-BEC7-667F2AA7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618716160"/>
        <c:axId val="618715176"/>
      </c:barChart>
      <c:catAx>
        <c:axId val="61871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15176"/>
        <c:crosses val="autoZero"/>
        <c:auto val="1"/>
        <c:lblAlgn val="ctr"/>
        <c:lblOffset val="100"/>
        <c:tickLblSkip val="2"/>
        <c:noMultiLvlLbl val="0"/>
      </c:catAx>
      <c:valAx>
        <c:axId val="61871517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16160"/>
        <c:crossesAt val="1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903810</xdr:colOff>
      <xdr:row>33</xdr:row>
      <xdr:rowOff>92200</xdr:rowOff>
    </xdr:from>
    <xdr:to>
      <xdr:col>1</xdr:col>
      <xdr:colOff>914970</xdr:colOff>
      <xdr:row>33</xdr:row>
      <xdr:rowOff>96880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AF214D2-8502-447E-81DA-C36301FD0C93}"/>
                </a:ext>
              </a:extLst>
            </xdr14:cNvPr>
            <xdr14:cNvContentPartPr/>
          </xdr14:nvContentPartPr>
          <xdr14:nvPr macro=""/>
          <xdr14:xfrm>
            <a:off x="1265760" y="5299200"/>
            <a:ext cx="11160" cy="4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AF214D2-8502-447E-81DA-C36301FD0C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760" y="5290560"/>
              <a:ext cx="288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1094250</xdr:colOff>
      <xdr:row>33</xdr:row>
      <xdr:rowOff>89320</xdr:rowOff>
    </xdr:from>
    <xdr:to>
      <xdr:col>1</xdr:col>
      <xdr:colOff>1123050</xdr:colOff>
      <xdr:row>33</xdr:row>
      <xdr:rowOff>105520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F8F54C1-3129-4582-AE78-697498F83385}"/>
                </a:ext>
              </a:extLst>
            </xdr14:cNvPr>
            <xdr14:cNvContentPartPr/>
          </xdr14:nvContentPartPr>
          <xdr14:nvPr macro=""/>
          <xdr14:xfrm>
            <a:off x="1456200" y="5296320"/>
            <a:ext cx="28800" cy="16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F8F54C1-3129-4582-AE78-697498F8338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47560" y="5287320"/>
              <a:ext cx="4644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95250</xdr:colOff>
      <xdr:row>27</xdr:row>
      <xdr:rowOff>25400</xdr:rowOff>
    </xdr:from>
    <xdr:to>
      <xdr:col>1</xdr:col>
      <xdr:colOff>1655829</xdr:colOff>
      <xdr:row>35</xdr:row>
      <xdr:rowOff>112779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3D410A-3F93-4D1A-8714-B5F72FE6F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048250"/>
          <a:ext cx="1560579" cy="15605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177800</xdr:rowOff>
    </xdr:from>
    <xdr:to>
      <xdr:col>13</xdr:col>
      <xdr:colOff>371475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7A82-A82F-4A4A-BDF1-987D05463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60324</xdr:colOff>
      <xdr:row>22</xdr:row>
      <xdr:rowOff>31750</xdr:rowOff>
    </xdr:from>
    <xdr:to>
      <xdr:col>16</xdr:col>
      <xdr:colOff>565149</xdr:colOff>
      <xdr:row>40</xdr:row>
      <xdr:rowOff>69850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B4E92D-3C76-4558-8C76-B25200B4A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12</xdr:row>
      <xdr:rowOff>54374</xdr:rowOff>
    </xdr:from>
    <xdr:to>
      <xdr:col>15</xdr:col>
      <xdr:colOff>596900</xdr:colOff>
      <xdr:row>51</xdr:row>
      <xdr:rowOff>101599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AFC527-D28C-4753-B03B-11B56B21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2314974"/>
          <a:ext cx="9105900" cy="72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53</xdr:row>
      <xdr:rowOff>50800</xdr:rowOff>
    </xdr:from>
    <xdr:to>
      <xdr:col>17</xdr:col>
      <xdr:colOff>447297</xdr:colOff>
      <xdr:row>77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C87C4B-C6D6-4785-80C6-EE3ADD15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861550"/>
          <a:ext cx="10181847" cy="443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1-22T03:08:18.878"/>
    </inkml:context>
    <inkml:brush xml:id="br0">
      <inkml:brushProperty name="width" value="0.05" units="cm"/>
      <inkml:brushProperty name="height" value="0.05" units="cm"/>
      <inkml:brushProperty name="color" value="#EEB3A6"/>
      <inkml:brushProperty name="inkEffects" value="rosegold"/>
      <inkml:brushProperty name="anchorX" value="0"/>
      <inkml:brushProperty name="anchorY" value="0"/>
      <inkml:brushProperty name="scaleFactor" value="0.5"/>
    </inkml:brush>
  </inkml:definitions>
  <inkml:trace contextRef="#ctx0" brushRef="#br0">30 1 7832 0 0,'0'0'0'0'0,"-12"5"2544"0"0,-6 2-15072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1-22T03:08:28.116"/>
    </inkml:context>
    <inkml:brush xml:id="br0">
      <inkml:brushProperty name="width" value="0.05" units="cm"/>
      <inkml:brushProperty name="height" value="0.05" units="cm"/>
      <inkml:brushProperty name="color" value="#EEB3A6"/>
      <inkml:brushProperty name="inkEffects" value="rosegold"/>
      <inkml:brushProperty name="anchorX" value="876.79297"/>
      <inkml:brushProperty name="anchorY" value="834.61639"/>
      <inkml:brushProperty name="scaleFactor" value="0.5"/>
    </inkml:brush>
  </inkml:definitions>
  <inkml:trace contextRef="#ctx0" brushRef="#br0">79 44 15056 0 0,'0'0'0'0'0,"-6"-1"1631"0"0,-5-1-1903 0 0,0-1 544 0 0,-1 1-272 0 0,2-1 0 0 0,0-2 0 0 0,3 1 0 0 0,3 1 0 0 0,0-1-121 0 0,1 2 25 0 0,3 0-14 0 0,0-1-2 0 0,7-2-1568 0 0,-4 3-6048 0 0,1-1-1334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BF76C-923B-42AF-BD58-C5AF21145B26}" name="Table1" displayName="Table1" ref="B2:S515" totalsRowShown="0" dataDxfId="11">
  <autoFilter ref="B2:S515" xr:uid="{BF850E12-6FCD-45DC-BC44-9D63E95AAFF8}"/>
  <sortState xmlns:xlrd2="http://schemas.microsoft.com/office/spreadsheetml/2017/richdata2" ref="B3:S515">
    <sortCondition ref="B2:B515"/>
  </sortState>
  <tableColumns count="18">
    <tableColumn id="1" xr3:uid="{98A049F6-BCE2-4EA4-AA7A-289B06AF0073}" name="in." dataDxfId="10"/>
    <tableColumn id="2" xr3:uid="{E7335D57-CA83-41EA-9B9D-7EAC951511C6}" name="Title"/>
    <tableColumn id="3" xr3:uid="{74240D15-BBE4-410A-92B0-1CF71DC374A0}" name="Year" dataDxfId="9"/>
    <tableColumn id="4" xr3:uid="{EC3D14FF-1D16-4C1A-B645-9FF0D06492BF}" name="Country"/>
    <tableColumn id="5" xr3:uid="{54B1534E-56EF-4088-8DDF-07F746231842}" name="Studio"/>
    <tableColumn id="6" xr3:uid="{DAA03520-1BB0-4BE9-B543-A0B0AC4818AA}" name="Format"/>
    <tableColumn id="7" xr3:uid="{643DE38D-C92F-4760-9DD9-2575F9E13E6B}" name="director"/>
    <tableColumn id="8" xr3:uid="{B671D164-C623-4A86-8CF9-D8BC90FA3439}" name="STot" dataDxfId="0"/>
    <tableColumn id="9" xr3:uid="{E37DE94C-A9EF-427B-99C1-B71B9691E216}" name="SAni" dataDxfId="8"/>
    <tableColumn id="10" xr3:uid="{82E40030-1DCE-4E8A-86C9-32D15516C2BB}" name="SVis" dataDxfId="7"/>
    <tableColumn id="11" xr3:uid="{33A3FC78-3847-498D-9541-2C6AC6BF2E06}" name="SAud" dataDxfId="6"/>
    <tableColumn id="12" xr3:uid="{1E2D42E7-3BA8-4953-82F3-A45B6179A8EE}" name="SAct" dataDxfId="5"/>
    <tableColumn id="13" xr3:uid="{6FD5A408-2FDD-46DF-A3EE-1185BEA1E123}" name="SSto" dataDxfId="4"/>
    <tableColumn id="14" xr3:uid="{5A5E4541-BEE0-42E7-91DF-E85688FF88A1}" name="SFun" dataDxfId="3"/>
    <tableColumn id="15" xr3:uid="{49F4B9CF-8A1A-4BBC-B143-93D8063A2D77}" name="SBias" dataDxfId="2"/>
    <tableColumn id="16" xr3:uid="{38DC5F4C-941C-4420-A7E6-157F1DCAD7C7}" name="genre"/>
    <tableColumn id="23" xr3:uid="{EE206047-6552-4295-8190-10F45F07A0F7}" name="runtime" dataDxfId="1"/>
    <tableColumn id="24" xr3:uid="{336A1B1D-767B-4F16-96DD-70A397465C8B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48642-EF57-4D6C-9CC1-9458B59C5D12}" name="Table2" displayName="Table2" ref="AN3:BD251" totalsRowShown="0" headerRowDxfId="77" dataDxfId="75" headerRowBorderDxfId="76" tableBorderDxfId="74" totalsRowBorderDxfId="73">
  <autoFilter ref="AN3:BD251" xr:uid="{CEB9ED83-E83E-4958-8C68-0B7F10F77214}"/>
  <sortState xmlns:xlrd2="http://schemas.microsoft.com/office/spreadsheetml/2017/richdata2" ref="AN4:BD187">
    <sortCondition descending="1" ref="AO3:AO187"/>
  </sortState>
  <tableColumns count="17">
    <tableColumn id="2" xr3:uid="{4FF837C3-F431-4795-B6AB-32B66706B028}" name="Title" dataDxfId="72"/>
    <tableColumn id="3" xr3:uid="{39EE7171-F94F-473B-A0BE-2D85A4EDF44A}" name="Year" dataDxfId="71"/>
    <tableColumn id="4" xr3:uid="{51D6B399-9B77-444E-A116-2F7D85A8C41D}" name="Country" dataDxfId="70"/>
    <tableColumn id="5" xr3:uid="{12C242E8-BA51-4036-82C0-87A7536D0A30}" name="Studio" dataDxfId="69"/>
    <tableColumn id="6" xr3:uid="{217DC267-F88E-4F82-998D-65294A0245CE}" name="Format" dataDxfId="68"/>
    <tableColumn id="7" xr3:uid="{1A4A769D-DEE8-4D10-A749-CFC38A894817}" name="director" dataDxfId="67"/>
    <tableColumn id="8" xr3:uid="{F942B480-3582-40DC-83C0-BE4BC21407A1}" name="STot" dataDxfId="66"/>
    <tableColumn id="9" xr3:uid="{9FF39E62-C200-4D41-ABBD-42CD7B3170DE}" name="SAni" dataDxfId="65"/>
    <tableColumn id="10" xr3:uid="{8AE94519-159B-4207-A6A0-F230A3921756}" name="SVis" dataDxfId="64"/>
    <tableColumn id="11" xr3:uid="{9DF8262C-1B5C-4073-83A9-2A2AC6383E4D}" name="SAud" dataDxfId="63"/>
    <tableColumn id="12" xr3:uid="{A33005A8-DCDF-4B3B-B466-8ED99830515A}" name="SAct" dataDxfId="62"/>
    <tableColumn id="13" xr3:uid="{81DA279D-B064-4FB1-90D9-406B3203F4A6}" name="SSto" dataDxfId="61"/>
    <tableColumn id="14" xr3:uid="{E2E6419A-479C-4652-BB7A-82E67802C5B4}" name="SFun" dataDxfId="60"/>
    <tableColumn id="15" xr3:uid="{6EC7E238-EF8F-4745-8647-02050178AE26}" name="SBias" dataDxfId="59"/>
    <tableColumn id="16" xr3:uid="{8FB7D69B-0407-46B4-A7BA-D7C6CCB93EA0}" name="genre" dataDxfId="58"/>
    <tableColumn id="17" xr3:uid="{74210527-54B4-4B92-8685-F18E2F2A0444}" name="runtime" dataDxfId="57"/>
    <tableColumn id="18" xr3:uid="{1496301A-A875-4470-823B-2481C77DEF53}" name="Link" dataDxfId="56">
      <calculatedColumnFormula xml:space="preserve"> HYPERLINK("ReviewHtml/review_Afro_Samurai.html", "https://2danicritic.github.io/ReviewHtml/review_Afro_Samurai.html")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655A7B-4CC2-4C63-9141-266E29F0217F}" name="Table3" displayName="Table3" ref="U3:AK175" totalsRowShown="0" headerRowDxfId="55" dataDxfId="53" headerRowBorderDxfId="54" tableBorderDxfId="52" totalsRowBorderDxfId="51">
  <autoFilter ref="U3:AK175" xr:uid="{AE77BB8F-4479-4FEC-BE11-8FBBFC65601D}"/>
  <sortState xmlns:xlrd2="http://schemas.microsoft.com/office/spreadsheetml/2017/richdata2" ref="U4:AK151">
    <sortCondition descending="1" ref="V3:V151"/>
  </sortState>
  <tableColumns count="17">
    <tableColumn id="1" xr3:uid="{89E53AF8-FA5C-4AC1-8CB4-454D3DF2F334}" name="Title" dataDxfId="50"/>
    <tableColumn id="2" xr3:uid="{2DAB46D3-61CD-4DFB-AC39-6CE27FDE7646}" name="Year" dataDxfId="49"/>
    <tableColumn id="3" xr3:uid="{E221385B-3225-4C07-90AF-4A8D2791AE87}" name="Country" dataDxfId="48"/>
    <tableColumn id="4" xr3:uid="{D46F189B-3501-4A77-A2AF-5EB1C2EFBD13}" name="Studio" dataDxfId="47"/>
    <tableColumn id="5" xr3:uid="{817A866C-DD4C-4473-A9CE-C6F7A5E282C6}" name="Format" dataDxfId="46"/>
    <tableColumn id="6" xr3:uid="{AF24D233-1D56-47AA-B252-11FE43F62801}" name="director" dataDxfId="45"/>
    <tableColumn id="7" xr3:uid="{D779DA09-083C-4E6E-9F2E-3E06BC537C01}" name="STot" dataDxfId="44"/>
    <tableColumn id="8" xr3:uid="{463F54D1-E06A-4858-89BB-C02740634AF2}" name="SAni" dataDxfId="43"/>
    <tableColumn id="9" xr3:uid="{4071D48B-6188-47D7-B217-4D59EC60FE03}" name="SVis" dataDxfId="42"/>
    <tableColumn id="10" xr3:uid="{1E19C3EE-4885-4535-AE81-29F2F29B8B45}" name="SAud" dataDxfId="41"/>
    <tableColumn id="11" xr3:uid="{D899921D-B1EF-471B-AE6B-C1C963B47E02}" name="SAct" dataDxfId="40"/>
    <tableColumn id="12" xr3:uid="{E4926729-B9E8-49BD-A79A-6E2DA30D3C35}" name="SSto" dataDxfId="39"/>
    <tableColumn id="13" xr3:uid="{C6D993DD-83D4-4246-A2C9-70EDAC256262}" name="SFun" dataDxfId="38"/>
    <tableColumn id="14" xr3:uid="{CF663B50-79A5-4185-A0A3-437DF2B4CFEB}" name="SBias" dataDxfId="37"/>
    <tableColumn id="15" xr3:uid="{C33B75D0-3FCE-42AB-8F4D-A04C14A87BF3}" name="genre" dataDxfId="36"/>
    <tableColumn id="16" xr3:uid="{A0BED576-5964-4A73-B633-77A24F7CC625}" name="runtime" dataDxfId="35"/>
    <tableColumn id="17" xr3:uid="{28500ED1-4C8C-4549-8B99-DEDDD1D9638E}" name="Link" dataDxfId="34">
      <calculatedColumnFormula xml:space="preserve"> HYPERLINK("ReviewHtml/review_5_Centimeters_per_Second.html", "https://2danicritic.github.io/ReviewHtml/review_5_Centimeters_per_Second.html")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0464E2-1A68-4DF3-B32D-8AE3212586C9}" name="Table4" displayName="Table4" ref="B3:R96" totalsRowShown="0" headerRowDxfId="33" dataDxfId="31" headerRowBorderDxfId="32" tableBorderDxfId="30" totalsRowBorderDxfId="29">
  <autoFilter ref="B3:R96" xr:uid="{47021024-A794-46E1-A7F4-8B0463D40855}"/>
  <sortState xmlns:xlrd2="http://schemas.microsoft.com/office/spreadsheetml/2017/richdata2" ref="B4:R71">
    <sortCondition descending="1" ref="C3:C71"/>
  </sortState>
  <tableColumns count="17">
    <tableColumn id="1" xr3:uid="{46741F2C-92DE-4093-AA6C-15B71B64DBE9}" name="Title" dataDxfId="28"/>
    <tableColumn id="2" xr3:uid="{DE638702-C4CB-474A-8AB2-A2570503C226}" name="Year" dataDxfId="27"/>
    <tableColumn id="3" xr3:uid="{E907283A-B90C-456C-BB8B-28822024051F}" name="Country" dataDxfId="26"/>
    <tableColumn id="4" xr3:uid="{D493A74A-10CF-455C-B687-EEB62CF2EA9B}" name="Studio" dataDxfId="25"/>
    <tableColumn id="5" xr3:uid="{ED5C14E1-4AC4-4BE7-9098-0C8BB6F3D2AF}" name="Format" dataDxfId="24"/>
    <tableColumn id="6" xr3:uid="{FFE2A051-9ACF-484D-80C4-92D014A36BB6}" name="director" dataDxfId="23"/>
    <tableColumn id="7" xr3:uid="{F27F3012-F63B-44E3-BAEA-69AF7D85CE73}" name="STot" dataDxfId="22"/>
    <tableColumn id="8" xr3:uid="{01684FC9-B53E-4FA5-BD00-97ADBCE18E48}" name="SAni" dataDxfId="21"/>
    <tableColumn id="9" xr3:uid="{36A29D74-718D-49B7-9625-D42084DD1292}" name="SVis" dataDxfId="20"/>
    <tableColumn id="10" xr3:uid="{DFF0D030-6F2C-460A-97AE-2C3095958CFD}" name="SAud" dataDxfId="19"/>
    <tableColumn id="11" xr3:uid="{7858F99B-D7C0-46D4-BC80-91371F9D310F}" name="SAct" dataDxfId="18"/>
    <tableColumn id="12" xr3:uid="{2DCF6565-B741-419E-A76A-51FA1EF7A1BA}" name="SSto" dataDxfId="17"/>
    <tableColumn id="13" xr3:uid="{7F8A50AD-F503-4362-93DE-6DDE5EA049BE}" name="SFun" dataDxfId="16"/>
    <tableColumn id="14" xr3:uid="{2D41A799-985F-4721-B409-A2708318AE5F}" name="SBias" dataDxfId="15"/>
    <tableColumn id="15" xr3:uid="{84ED9525-F4F3-418B-9240-75DE20ED6E7F}" name="genre" dataDxfId="14"/>
    <tableColumn id="16" xr3:uid="{1965E371-955B-4664-ADBC-75474D11DF99}" name="runtime" dataDxfId="13"/>
    <tableColumn id="17" xr3:uid="{ACD43AF6-3490-4148-9585-AC33BA0D0477}" name="Link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02B2-3CBF-4558-AA45-F3FC95D4932C}">
  <dimension ref="B3:B46"/>
  <sheetViews>
    <sheetView tabSelected="1" workbookViewId="0">
      <selection activeCell="B49" sqref="B49"/>
    </sheetView>
  </sheetViews>
  <sheetFormatPr defaultRowHeight="14.5" x14ac:dyDescent="0.35"/>
  <cols>
    <col min="1" max="1" width="5.1796875" style="2" customWidth="1"/>
    <col min="2" max="2" width="33.08984375" style="2" customWidth="1"/>
    <col min="3" max="16384" width="8.7265625" style="2"/>
  </cols>
  <sheetData>
    <row r="3" spans="2:2" ht="18.5" x14ac:dyDescent="0.45">
      <c r="B3" s="3" t="s">
        <v>0</v>
      </c>
    </row>
    <row r="6" spans="2:2" x14ac:dyDescent="0.35">
      <c r="B6" s="2" t="s">
        <v>9</v>
      </c>
    </row>
    <row r="7" spans="2:2" x14ac:dyDescent="0.35">
      <c r="B7" s="2" t="s">
        <v>1865</v>
      </c>
    </row>
    <row r="9" spans="2:2" x14ac:dyDescent="0.35">
      <c r="B9" s="2" t="s">
        <v>10</v>
      </c>
    </row>
    <row r="10" spans="2:2" x14ac:dyDescent="0.35">
      <c r="B10" s="2" t="s">
        <v>1</v>
      </c>
    </row>
    <row r="11" spans="2:2" x14ac:dyDescent="0.35">
      <c r="B11" s="2" t="s">
        <v>38</v>
      </c>
    </row>
    <row r="13" spans="2:2" x14ac:dyDescent="0.35">
      <c r="B13" s="2" t="s">
        <v>2</v>
      </c>
    </row>
    <row r="14" spans="2:2" x14ac:dyDescent="0.35">
      <c r="B14" s="2" t="s">
        <v>332</v>
      </c>
    </row>
    <row r="15" spans="2:2" x14ac:dyDescent="0.35">
      <c r="B15" s="2" t="s">
        <v>3</v>
      </c>
    </row>
    <row r="16" spans="2:2" x14ac:dyDescent="0.35">
      <c r="B16" s="2" t="s">
        <v>641</v>
      </c>
    </row>
    <row r="17" spans="2:2" x14ac:dyDescent="0.35">
      <c r="B17" s="2" t="s">
        <v>39</v>
      </c>
    </row>
    <row r="18" spans="2:2" x14ac:dyDescent="0.35">
      <c r="B18" s="2" t="s">
        <v>642</v>
      </c>
    </row>
    <row r="19" spans="2:2" x14ac:dyDescent="0.35">
      <c r="B19" s="2" t="s">
        <v>643</v>
      </c>
    </row>
    <row r="21" spans="2:2" x14ac:dyDescent="0.35">
      <c r="B21" s="2" t="s">
        <v>4</v>
      </c>
    </row>
    <row r="22" spans="2:2" x14ac:dyDescent="0.35">
      <c r="B22" s="2" t="s">
        <v>5</v>
      </c>
    </row>
    <row r="23" spans="2:2" x14ac:dyDescent="0.35">
      <c r="B23" s="2" t="s">
        <v>644</v>
      </c>
    </row>
    <row r="24" spans="2:2" x14ac:dyDescent="0.35">
      <c r="B24" s="2" t="s">
        <v>645</v>
      </c>
    </row>
    <row r="25" spans="2:2" x14ac:dyDescent="0.35">
      <c r="B25" s="2" t="s">
        <v>333</v>
      </c>
    </row>
    <row r="26" spans="2:2" x14ac:dyDescent="0.35">
      <c r="B26" s="2" t="s">
        <v>646</v>
      </c>
    </row>
    <row r="38" spans="2:2" x14ac:dyDescent="0.35">
      <c r="B38" s="2" t="s">
        <v>628</v>
      </c>
    </row>
    <row r="39" spans="2:2" x14ac:dyDescent="0.35">
      <c r="B39" s="2" t="s">
        <v>8</v>
      </c>
    </row>
    <row r="40" spans="2:2" x14ac:dyDescent="0.35">
      <c r="B40" s="4" t="str">
        <f>HYPERLINK("https://2danicritic.github.io/","https://2danicritic.github.io/")</f>
        <v>https://2danicritic.github.io/</v>
      </c>
    </row>
    <row r="41" spans="2:2" x14ac:dyDescent="0.35">
      <c r="B41" s="2" t="s">
        <v>2000</v>
      </c>
    </row>
    <row r="42" spans="2:2" x14ac:dyDescent="0.35">
      <c r="B42" s="2" t="s">
        <v>331</v>
      </c>
    </row>
    <row r="43" spans="2:2" x14ac:dyDescent="0.35">
      <c r="B43" s="4"/>
    </row>
    <row r="44" spans="2:2" x14ac:dyDescent="0.35">
      <c r="B44" s="2" t="s">
        <v>647</v>
      </c>
    </row>
    <row r="45" spans="2:2" x14ac:dyDescent="0.35">
      <c r="B45" s="4" t="str">
        <f>HYPERLINK("2danicritic@gmail.com","2danicritic@gmail.com")</f>
        <v>2danicritic@gmail.com</v>
      </c>
    </row>
    <row r="46" spans="2:2" x14ac:dyDescent="0.35">
      <c r="B46" s="2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7E18-BC47-4414-9164-3B2A1C501471}">
  <dimension ref="B2:U515"/>
  <sheetViews>
    <sheetView zoomScaleNormal="100" workbookViewId="0">
      <selection activeCell="G19" sqref="G19"/>
    </sheetView>
  </sheetViews>
  <sheetFormatPr defaultRowHeight="14.5" x14ac:dyDescent="0.35"/>
  <cols>
    <col min="1" max="1" width="8.7265625" style="5"/>
    <col min="2" max="2" width="5.26953125" style="23" customWidth="1"/>
    <col min="3" max="3" width="50.6328125" style="5" customWidth="1"/>
    <col min="4" max="4" width="6.6328125" style="8" customWidth="1"/>
    <col min="5" max="5" width="15.6328125" style="5" customWidth="1"/>
    <col min="6" max="6" width="20.6328125" style="5" customWidth="1"/>
    <col min="7" max="7" width="6.6328125" style="5" customWidth="1"/>
    <col min="8" max="8" width="40.6328125" style="5" customWidth="1"/>
    <col min="9" max="16" width="6.6328125" style="8" customWidth="1"/>
    <col min="17" max="17" width="80.6328125" style="5" customWidth="1"/>
    <col min="18" max="18" width="8.7265625" style="8"/>
    <col min="19" max="19" width="100.6328125" style="5" customWidth="1"/>
    <col min="20" max="16384" width="8.7265625" style="5"/>
  </cols>
  <sheetData>
    <row r="2" spans="2:21" x14ac:dyDescent="0.35">
      <c r="B2" s="24" t="s">
        <v>41</v>
      </c>
      <c r="C2" s="15" t="s">
        <v>648</v>
      </c>
      <c r="D2" s="7" t="s">
        <v>329</v>
      </c>
      <c r="E2" t="s">
        <v>649</v>
      </c>
      <c r="F2" t="s">
        <v>650</v>
      </c>
      <c r="G2" t="s">
        <v>651</v>
      </c>
      <c r="H2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t="s">
        <v>51</v>
      </c>
      <c r="R2" s="7" t="s">
        <v>313</v>
      </c>
      <c r="S2" t="s">
        <v>52</v>
      </c>
    </row>
    <row r="3" spans="2:21" x14ac:dyDescent="0.35">
      <c r="B3" s="7" t="s">
        <v>2015</v>
      </c>
      <c r="C3" t="s">
        <v>2016</v>
      </c>
      <c r="D3" s="7" t="s">
        <v>2017</v>
      </c>
      <c r="E3" t="s">
        <v>1555</v>
      </c>
      <c r="F3" t="s">
        <v>665</v>
      </c>
      <c r="G3" t="s">
        <v>1560</v>
      </c>
      <c r="H3" t="s">
        <v>2001</v>
      </c>
      <c r="I3" s="7">
        <v>2.71</v>
      </c>
      <c r="J3" s="7" t="s">
        <v>2019</v>
      </c>
      <c r="K3" s="7" t="s">
        <v>2020</v>
      </c>
      <c r="L3" s="7" t="s">
        <v>2020</v>
      </c>
      <c r="M3" s="7" t="s">
        <v>2019</v>
      </c>
      <c r="N3" s="7" t="s">
        <v>2020</v>
      </c>
      <c r="O3" s="7" t="s">
        <v>2019</v>
      </c>
      <c r="P3" s="7" t="s">
        <v>2019</v>
      </c>
      <c r="Q3" t="s">
        <v>2002</v>
      </c>
      <c r="R3" s="7" t="s">
        <v>2021</v>
      </c>
      <c r="S3" t="str">
        <f xml:space="preserve"> HYPERLINK("ReviewHtml/review_18if.html", "https://2danicritic.github.io/ReviewHtml/review_18if.html")</f>
        <v>https://2danicritic.github.io/ReviewHtml/review_18if.html</v>
      </c>
      <c r="U3" s="5">
        <f>VALUE(I3)</f>
        <v>2.71</v>
      </c>
    </row>
    <row r="4" spans="2:21" x14ac:dyDescent="0.35">
      <c r="B4" s="7" t="s">
        <v>2022</v>
      </c>
      <c r="C4" t="s">
        <v>652</v>
      </c>
      <c r="D4" s="7" t="s">
        <v>2023</v>
      </c>
      <c r="E4" t="s">
        <v>1555</v>
      </c>
      <c r="F4" t="s">
        <v>653</v>
      </c>
      <c r="G4" t="s">
        <v>1556</v>
      </c>
      <c r="H4" t="s">
        <v>654</v>
      </c>
      <c r="I4" s="7">
        <v>3.79</v>
      </c>
      <c r="J4" s="7" t="s">
        <v>2025</v>
      </c>
      <c r="K4" s="7" t="s">
        <v>2026</v>
      </c>
      <c r="L4" s="7" t="s">
        <v>2025</v>
      </c>
      <c r="M4" s="7" t="s">
        <v>2025</v>
      </c>
      <c r="N4" s="7" t="s">
        <v>2027</v>
      </c>
      <c r="O4" s="7" t="s">
        <v>2019</v>
      </c>
      <c r="P4" s="7" t="s">
        <v>2025</v>
      </c>
      <c r="Q4" t="s">
        <v>53</v>
      </c>
      <c r="R4" s="7" t="s">
        <v>2028</v>
      </c>
      <c r="S4" t="str">
        <f xml:space="preserve"> HYPERLINK("ReviewHtml/review_5_Centimeters_per_Second.html", "https://2danicritic.github.io/ReviewHtml/review_5_Centimeters_per_Second.html")</f>
        <v>https://2danicritic.github.io/ReviewHtml/review_5_Centimeters_per_Second.html</v>
      </c>
      <c r="U4" s="5">
        <f t="shared" ref="U4:U67" si="0">VALUE(I4)</f>
        <v>3.79</v>
      </c>
    </row>
    <row r="5" spans="2:21" x14ac:dyDescent="0.35">
      <c r="B5" s="7" t="s">
        <v>2029</v>
      </c>
      <c r="C5" t="s">
        <v>1707</v>
      </c>
      <c r="D5" s="7" t="s">
        <v>2030</v>
      </c>
      <c r="E5" t="s">
        <v>1555</v>
      </c>
      <c r="F5" t="s">
        <v>1708</v>
      </c>
      <c r="G5" t="s">
        <v>1560</v>
      </c>
      <c r="H5" t="s">
        <v>1709</v>
      </c>
      <c r="I5" s="7">
        <v>3.29</v>
      </c>
      <c r="J5" s="7" t="s">
        <v>2020</v>
      </c>
      <c r="K5" s="7" t="s">
        <v>2027</v>
      </c>
      <c r="L5" s="7" t="s">
        <v>2027</v>
      </c>
      <c r="M5" s="7" t="s">
        <v>2027</v>
      </c>
      <c r="N5" s="7" t="s">
        <v>2027</v>
      </c>
      <c r="O5" s="7" t="s">
        <v>2020</v>
      </c>
      <c r="P5" s="7" t="s">
        <v>2020</v>
      </c>
      <c r="Q5" t="s">
        <v>1662</v>
      </c>
      <c r="R5" s="7" t="s">
        <v>2021</v>
      </c>
      <c r="S5" t="str">
        <f xml:space="preserve"> HYPERLINK("ReviewHtml/review_91_Days.html", "https://2danicritic.github.io/ReviewHtml/review_91_Days.html")</f>
        <v>https://2danicritic.github.io/ReviewHtml/review_91_Days.html</v>
      </c>
      <c r="U5" s="5">
        <f t="shared" si="0"/>
        <v>3.29</v>
      </c>
    </row>
    <row r="6" spans="2:21" x14ac:dyDescent="0.35">
      <c r="B6" s="7" t="s">
        <v>2020</v>
      </c>
      <c r="C6" t="s">
        <v>1365</v>
      </c>
      <c r="D6" s="7" t="s">
        <v>2032</v>
      </c>
      <c r="E6" t="s">
        <v>1557</v>
      </c>
      <c r="F6" t="s">
        <v>1422</v>
      </c>
      <c r="G6" t="s">
        <v>1558</v>
      </c>
      <c r="H6" t="s">
        <v>1435</v>
      </c>
      <c r="I6" s="7">
        <v>3.29</v>
      </c>
      <c r="J6" s="7" t="s">
        <v>2019</v>
      </c>
      <c r="K6" s="7" t="s">
        <v>2019</v>
      </c>
      <c r="L6" s="7" t="s">
        <v>2027</v>
      </c>
      <c r="M6" s="7" t="s">
        <v>2027</v>
      </c>
      <c r="N6" s="7" t="s">
        <v>2020</v>
      </c>
      <c r="O6" s="7" t="s">
        <v>2020</v>
      </c>
      <c r="P6" s="7" t="s">
        <v>2033</v>
      </c>
      <c r="Q6" t="s">
        <v>1330</v>
      </c>
      <c r="R6" s="7" t="s">
        <v>2034</v>
      </c>
      <c r="S6" t="str">
        <f xml:space="preserve"> HYPERLINK("ReviewHtml/review_A_Boy_Named_Charlie_Brown.html", "https://2danicritic.github.io/ReviewHtml/review_A_Boy_Named_Charlie_Brown.html")</f>
        <v>https://2danicritic.github.io/ReviewHtml/review_A_Boy_Named_Charlie_Brown.html</v>
      </c>
      <c r="U6" s="5">
        <f t="shared" si="0"/>
        <v>3.29</v>
      </c>
    </row>
    <row r="7" spans="2:21" x14ac:dyDescent="0.35">
      <c r="B7" s="7" t="s">
        <v>2025</v>
      </c>
      <c r="C7" t="s">
        <v>655</v>
      </c>
      <c r="D7" s="7" t="s">
        <v>2035</v>
      </c>
      <c r="E7" t="s">
        <v>1559</v>
      </c>
      <c r="F7" t="s">
        <v>656</v>
      </c>
      <c r="G7" t="s">
        <v>1558</v>
      </c>
      <c r="H7" t="s">
        <v>54</v>
      </c>
      <c r="I7" s="7">
        <v>3.29</v>
      </c>
      <c r="J7" s="7" t="s">
        <v>2020</v>
      </c>
      <c r="K7" s="7" t="s">
        <v>2025</v>
      </c>
      <c r="L7" s="7" t="s">
        <v>2027</v>
      </c>
      <c r="M7" s="7" t="s">
        <v>2027</v>
      </c>
      <c r="N7" s="7" t="s">
        <v>2020</v>
      </c>
      <c r="O7" s="7" t="s">
        <v>2020</v>
      </c>
      <c r="P7" s="7" t="s">
        <v>2020</v>
      </c>
      <c r="Q7" t="s">
        <v>55</v>
      </c>
      <c r="R7" s="7" t="s">
        <v>2036</v>
      </c>
      <c r="S7" t="str">
        <f xml:space="preserve"> HYPERLINK("ReviewHtml/review_A_Cat_in_Paris.html", "https://2danicritic.github.io/ReviewHtml/review_A_Cat_in_Paris.html")</f>
        <v>https://2danicritic.github.io/ReviewHtml/review_A_Cat_in_Paris.html</v>
      </c>
      <c r="U7" s="5">
        <f t="shared" si="0"/>
        <v>3.29</v>
      </c>
    </row>
    <row r="8" spans="2:21" x14ac:dyDescent="0.35">
      <c r="B8" s="7" t="s">
        <v>2033</v>
      </c>
      <c r="C8" t="s">
        <v>1710</v>
      </c>
      <c r="D8" s="7" t="s">
        <v>2037</v>
      </c>
      <c r="E8" t="s">
        <v>1555</v>
      </c>
      <c r="F8" t="s">
        <v>732</v>
      </c>
      <c r="G8" t="s">
        <v>1558</v>
      </c>
      <c r="H8" t="s">
        <v>1446</v>
      </c>
      <c r="I8" s="7">
        <v>3.36</v>
      </c>
      <c r="J8" s="7" t="s">
        <v>2027</v>
      </c>
      <c r="K8" s="7" t="s">
        <v>2027</v>
      </c>
      <c r="L8" s="7" t="s">
        <v>2027</v>
      </c>
      <c r="M8" s="7" t="s">
        <v>2027</v>
      </c>
      <c r="N8" s="7" t="s">
        <v>2020</v>
      </c>
      <c r="O8" s="7" t="s">
        <v>2020</v>
      </c>
      <c r="P8" s="7" t="s">
        <v>2027</v>
      </c>
      <c r="Q8" t="s">
        <v>1663</v>
      </c>
      <c r="R8" s="7" t="s">
        <v>2039</v>
      </c>
      <c r="S8" t="str">
        <f xml:space="preserve"> HYPERLINK("ReviewHtml/review_A_Letter_To_Momo.html", "https://2danicritic.github.io/ReviewHtml/review_A_Letter_To_Momo.html")</f>
        <v>https://2danicritic.github.io/ReviewHtml/review_A_Letter_To_Momo.html</v>
      </c>
      <c r="U8" s="5">
        <f t="shared" si="0"/>
        <v>3.36</v>
      </c>
    </row>
    <row r="9" spans="2:21" x14ac:dyDescent="0.35">
      <c r="B9" s="7" t="s">
        <v>2040</v>
      </c>
      <c r="C9" t="s">
        <v>56</v>
      </c>
      <c r="D9" s="7" t="s">
        <v>2041</v>
      </c>
      <c r="E9" t="s">
        <v>57</v>
      </c>
      <c r="F9" t="s">
        <v>657</v>
      </c>
      <c r="G9" t="s">
        <v>1558</v>
      </c>
      <c r="H9" t="s">
        <v>58</v>
      </c>
      <c r="I9" s="7">
        <v>3.21</v>
      </c>
      <c r="J9" s="7" t="s">
        <v>2020</v>
      </c>
      <c r="K9" s="7" t="s">
        <v>2027</v>
      </c>
      <c r="L9" s="7" t="s">
        <v>2019</v>
      </c>
      <c r="M9" s="7" t="s">
        <v>2020</v>
      </c>
      <c r="N9" s="7" t="s">
        <v>2027</v>
      </c>
      <c r="O9" s="7" t="s">
        <v>2020</v>
      </c>
      <c r="P9" s="7" t="s">
        <v>2025</v>
      </c>
      <c r="Q9" t="s">
        <v>59</v>
      </c>
      <c r="R9" s="7" t="s">
        <v>2043</v>
      </c>
      <c r="S9" t="str">
        <f xml:space="preserve"> HYPERLINK("ReviewHtml/review_A_Liar's_Autobiography_-_The_Untrue_Story_of_Monty_Python's_Graham_Chapman.html", "https://2danicritic.github.io/ReviewHtml/review_A_Liar's_Autobiography_-_The_Untrue_Story_of_Monty_Python's_Graham_Chapman.html")</f>
        <v>https://2danicritic.github.io/ReviewHtml/review_A_Liar's_Autobiography_-_The_Untrue_Story_of_Monty_Python's_Graham_Chapman.html</v>
      </c>
      <c r="U9" s="5">
        <f t="shared" si="0"/>
        <v>3.21</v>
      </c>
    </row>
    <row r="10" spans="2:21" x14ac:dyDescent="0.35">
      <c r="B10" s="7" t="s">
        <v>2044</v>
      </c>
      <c r="C10" t="s">
        <v>658</v>
      </c>
      <c r="D10" s="7" t="s">
        <v>2030</v>
      </c>
      <c r="E10" t="s">
        <v>1555</v>
      </c>
      <c r="F10" t="s">
        <v>659</v>
      </c>
      <c r="G10" t="s">
        <v>1558</v>
      </c>
      <c r="H10" t="s">
        <v>660</v>
      </c>
      <c r="I10" s="7">
        <v>4.5</v>
      </c>
      <c r="J10" s="7" t="s">
        <v>2025</v>
      </c>
      <c r="K10" s="7" t="s">
        <v>2025</v>
      </c>
      <c r="L10" s="7" t="s">
        <v>2033</v>
      </c>
      <c r="M10" s="7" t="s">
        <v>2033</v>
      </c>
      <c r="N10" s="7" t="s">
        <v>2026</v>
      </c>
      <c r="O10" s="7" t="s">
        <v>2025</v>
      </c>
      <c r="P10" s="7" t="s">
        <v>2033</v>
      </c>
      <c r="Q10" t="s">
        <v>60</v>
      </c>
      <c r="R10" s="7" t="s">
        <v>2045</v>
      </c>
      <c r="S10" t="str">
        <f xml:space="preserve"> HYPERLINK("ReviewHtml/review_A_Silent_Voice.html", "https://2danicritic.github.io/ReviewHtml/review_A_Silent_Voice.html")</f>
        <v>https://2danicritic.github.io/ReviewHtml/review_A_Silent_Voice.html</v>
      </c>
      <c r="U10" s="5">
        <f t="shared" si="0"/>
        <v>4.5</v>
      </c>
    </row>
    <row r="11" spans="2:21" x14ac:dyDescent="0.35">
      <c r="B11" s="7" t="s">
        <v>2046</v>
      </c>
      <c r="C11" t="s">
        <v>2047</v>
      </c>
      <c r="D11" s="7" t="s">
        <v>2017</v>
      </c>
      <c r="E11" t="s">
        <v>1555</v>
      </c>
      <c r="F11" t="s">
        <v>799</v>
      </c>
      <c r="G11" t="s">
        <v>1560</v>
      </c>
      <c r="H11" t="s">
        <v>2003</v>
      </c>
      <c r="I11" s="7">
        <v>3.07</v>
      </c>
      <c r="J11" s="7" t="s">
        <v>2019</v>
      </c>
      <c r="K11" s="7" t="s">
        <v>2020</v>
      </c>
      <c r="L11" s="7" t="s">
        <v>2025</v>
      </c>
      <c r="M11" s="7" t="s">
        <v>2027</v>
      </c>
      <c r="N11" s="7" t="s">
        <v>2019</v>
      </c>
      <c r="O11" s="7" t="s">
        <v>2027</v>
      </c>
      <c r="P11" s="7" t="s">
        <v>2019</v>
      </c>
      <c r="Q11" t="s">
        <v>350</v>
      </c>
      <c r="R11" s="7" t="s">
        <v>2049</v>
      </c>
      <c r="S11" t="str">
        <f xml:space="preserve"> HYPERLINK("ReviewHtml/review_A_Sister's_All_You_Need.html", "https://2danicritic.github.io/ReviewHtml/review_A_Sister's_All_You_Need.html")</f>
        <v>https://2danicritic.github.io/ReviewHtml/review_A_Sister's_All_You_Need.html</v>
      </c>
      <c r="U11" s="5">
        <f t="shared" si="0"/>
        <v>3.07</v>
      </c>
    </row>
    <row r="12" spans="2:21" x14ac:dyDescent="0.35">
      <c r="B12" s="7" t="s">
        <v>2050</v>
      </c>
      <c r="C12" t="s">
        <v>1366</v>
      </c>
      <c r="D12" s="7" t="s">
        <v>2051</v>
      </c>
      <c r="E12" t="s">
        <v>1555</v>
      </c>
      <c r="F12" t="s">
        <v>695</v>
      </c>
      <c r="G12" t="s">
        <v>1560</v>
      </c>
      <c r="H12" t="s">
        <v>714</v>
      </c>
      <c r="I12" s="7">
        <v>2.57</v>
      </c>
      <c r="J12" s="7" t="s">
        <v>2029</v>
      </c>
      <c r="K12" s="7" t="s">
        <v>2029</v>
      </c>
      <c r="L12" s="7" t="s">
        <v>2020</v>
      </c>
      <c r="M12" s="7" t="s">
        <v>2019</v>
      </c>
      <c r="N12" s="7" t="s">
        <v>2027</v>
      </c>
      <c r="O12" s="7" t="s">
        <v>2019</v>
      </c>
      <c r="P12" s="7" t="s">
        <v>2019</v>
      </c>
      <c r="Q12" t="s">
        <v>1331</v>
      </c>
      <c r="R12" s="7" t="s">
        <v>2053</v>
      </c>
      <c r="S12" t="str">
        <f xml:space="preserve"> HYPERLINK("ReviewHtml/review_A_Spirit_of_the_Sun.html", "https://2danicritic.github.io/ReviewHtml/review_A_Spirit_of_the_Sun.html")</f>
        <v>https://2danicritic.github.io/ReviewHtml/review_A_Spirit_of_the_Sun.html</v>
      </c>
      <c r="U12" s="5">
        <f t="shared" si="0"/>
        <v>2.57</v>
      </c>
    </row>
    <row r="13" spans="2:21" x14ac:dyDescent="0.35">
      <c r="B13" s="7" t="s">
        <v>2054</v>
      </c>
      <c r="C13" t="s">
        <v>1888</v>
      </c>
      <c r="D13" s="7" t="s">
        <v>2032</v>
      </c>
      <c r="E13" t="s">
        <v>1555</v>
      </c>
      <c r="F13" t="s">
        <v>1889</v>
      </c>
      <c r="G13" t="s">
        <v>1558</v>
      </c>
      <c r="H13" t="s">
        <v>702</v>
      </c>
      <c r="I13" s="7">
        <v>2.71</v>
      </c>
      <c r="J13" s="7" t="s">
        <v>2019</v>
      </c>
      <c r="K13" s="7" t="s">
        <v>2019</v>
      </c>
      <c r="L13" s="7" t="s">
        <v>2020</v>
      </c>
      <c r="M13" s="7" t="s">
        <v>2020</v>
      </c>
      <c r="N13" s="7" t="s">
        <v>2019</v>
      </c>
      <c r="O13" s="7" t="s">
        <v>2020</v>
      </c>
      <c r="P13" s="7" t="s">
        <v>2019</v>
      </c>
      <c r="Q13" t="s">
        <v>1866</v>
      </c>
      <c r="R13" s="7" t="s">
        <v>2055</v>
      </c>
      <c r="S13" t="str">
        <f xml:space="preserve"> HYPERLINK("ReviewHtml/review_A_Thousand_and_One_Nights.html", "https://2danicritic.github.io/ReviewHtml/review_A_Thousand_and_One_Nights.html")</f>
        <v>https://2danicritic.github.io/ReviewHtml/review_A_Thousand_and_One_Nights.html</v>
      </c>
      <c r="U13" s="5">
        <f t="shared" si="0"/>
        <v>2.71</v>
      </c>
    </row>
    <row r="14" spans="2:21" x14ac:dyDescent="0.35">
      <c r="B14" s="7" t="s">
        <v>2056</v>
      </c>
      <c r="C14" t="s">
        <v>661</v>
      </c>
      <c r="D14" s="7" t="s">
        <v>2057</v>
      </c>
      <c r="E14" t="s">
        <v>1555</v>
      </c>
      <c r="F14" t="s">
        <v>662</v>
      </c>
      <c r="G14" t="s">
        <v>1558</v>
      </c>
      <c r="H14" t="s">
        <v>663</v>
      </c>
      <c r="I14" s="7">
        <v>3.64</v>
      </c>
      <c r="J14" s="7" t="s">
        <v>2027</v>
      </c>
      <c r="K14" s="7" t="s">
        <v>2027</v>
      </c>
      <c r="L14" s="7" t="s">
        <v>2027</v>
      </c>
      <c r="M14" s="7" t="s">
        <v>2020</v>
      </c>
      <c r="N14" s="7" t="s">
        <v>2025</v>
      </c>
      <c r="O14" s="7" t="s">
        <v>2025</v>
      </c>
      <c r="P14" s="7" t="s">
        <v>2025</v>
      </c>
      <c r="Q14" t="s">
        <v>61</v>
      </c>
      <c r="R14" s="7" t="s">
        <v>2059</v>
      </c>
      <c r="S14" t="str">
        <f xml:space="preserve"> HYPERLINK("ReviewHtml/review_A_Tree_of_Palme.html", "https://2danicritic.github.io/ReviewHtml/review_A_Tree_of_Palme.html")</f>
        <v>https://2danicritic.github.io/ReviewHtml/review_A_Tree_of_Palme.html</v>
      </c>
      <c r="U14" s="5">
        <f t="shared" si="0"/>
        <v>3.64</v>
      </c>
    </row>
    <row r="15" spans="2:21" x14ac:dyDescent="0.35">
      <c r="B15" s="7" t="s">
        <v>2060</v>
      </c>
      <c r="C15" t="s">
        <v>1711</v>
      </c>
      <c r="D15" s="7" t="s">
        <v>2017</v>
      </c>
      <c r="E15" t="s">
        <v>1555</v>
      </c>
      <c r="F15" t="s">
        <v>695</v>
      </c>
      <c r="G15" t="s">
        <v>1560</v>
      </c>
      <c r="H15" t="s">
        <v>996</v>
      </c>
      <c r="I15" s="7">
        <v>2.93</v>
      </c>
      <c r="J15" s="7" t="s">
        <v>2019</v>
      </c>
      <c r="K15" s="7" t="s">
        <v>2027</v>
      </c>
      <c r="L15" s="7" t="s">
        <v>2020</v>
      </c>
      <c r="M15" s="7" t="s">
        <v>2020</v>
      </c>
      <c r="N15" s="7" t="s">
        <v>2027</v>
      </c>
      <c r="O15" s="7" t="s">
        <v>2029</v>
      </c>
      <c r="P15" s="7" t="s">
        <v>2020</v>
      </c>
      <c r="Q15" t="s">
        <v>288</v>
      </c>
      <c r="R15" s="7" t="s">
        <v>2049</v>
      </c>
      <c r="S15" t="str">
        <f xml:space="preserve"> HYPERLINK("ReviewHtml/review_ACCA_-_13-Territory_Inspection_Dept.html", "https://2danicritic.github.io/ReviewHtml/review_ACCA_-_13-Territory_Inspection_Dept.html")</f>
        <v>https://2danicritic.github.io/ReviewHtml/review_ACCA_-_13-Territory_Inspection_Dept.html</v>
      </c>
      <c r="U15" s="5">
        <f t="shared" si="0"/>
        <v>2.93</v>
      </c>
    </row>
    <row r="16" spans="2:21" x14ac:dyDescent="0.35">
      <c r="B16" s="7" t="s">
        <v>2062</v>
      </c>
      <c r="C16" t="s">
        <v>664</v>
      </c>
      <c r="D16" s="7" t="s">
        <v>2023</v>
      </c>
      <c r="E16" t="s">
        <v>1555</v>
      </c>
      <c r="F16" t="s">
        <v>665</v>
      </c>
      <c r="G16" t="s">
        <v>1560</v>
      </c>
      <c r="H16" t="s">
        <v>62</v>
      </c>
      <c r="I16" s="7">
        <v>3.93</v>
      </c>
      <c r="J16" s="7" t="s">
        <v>2027</v>
      </c>
      <c r="K16" s="7" t="s">
        <v>2026</v>
      </c>
      <c r="L16" s="7" t="s">
        <v>2026</v>
      </c>
      <c r="M16" s="7" t="s">
        <v>2026</v>
      </c>
      <c r="N16" s="7" t="s">
        <v>2020</v>
      </c>
      <c r="O16" s="7" t="s">
        <v>2027</v>
      </c>
      <c r="P16" s="7" t="s">
        <v>2025</v>
      </c>
      <c r="Q16" t="s">
        <v>63</v>
      </c>
      <c r="R16" s="7" t="s">
        <v>2064</v>
      </c>
      <c r="S16" t="str">
        <f xml:space="preserve"> HYPERLINK("ReviewHtml/review_Afro_Samurai.html", "https://2danicritic.github.io/ReviewHtml/review_Afro_Samurai.html")</f>
        <v>https://2danicritic.github.io/ReviewHtml/review_Afro_Samurai.html</v>
      </c>
      <c r="U16" s="5">
        <f t="shared" si="0"/>
        <v>3.93</v>
      </c>
    </row>
    <row r="17" spans="2:21" x14ac:dyDescent="0.35">
      <c r="B17" s="7" t="s">
        <v>2065</v>
      </c>
      <c r="C17" t="s">
        <v>666</v>
      </c>
      <c r="D17" s="7" t="s">
        <v>2066</v>
      </c>
      <c r="E17" t="s">
        <v>1555</v>
      </c>
      <c r="F17" t="s">
        <v>665</v>
      </c>
      <c r="G17" t="s">
        <v>1558</v>
      </c>
      <c r="H17" t="s">
        <v>62</v>
      </c>
      <c r="I17" s="7">
        <v>3.93</v>
      </c>
      <c r="J17" s="7" t="s">
        <v>2025</v>
      </c>
      <c r="K17" s="7" t="s">
        <v>2026</v>
      </c>
      <c r="L17" s="7" t="s">
        <v>2026</v>
      </c>
      <c r="M17" s="7" t="s">
        <v>2025</v>
      </c>
      <c r="N17" s="7" t="s">
        <v>2020</v>
      </c>
      <c r="O17" s="7" t="s">
        <v>2027</v>
      </c>
      <c r="P17" s="7" t="s">
        <v>2025</v>
      </c>
      <c r="Q17" t="s">
        <v>64</v>
      </c>
      <c r="R17" s="7" t="s">
        <v>2067</v>
      </c>
      <c r="S17" t="str">
        <f xml:space="preserve"> HYPERLINK("ReviewHtml/review_Afro_Samurai_-_Resurrection.html", "https://2danicritic.github.io/ReviewHtml/review_Afro_Samurai_-_Resurrection.html")</f>
        <v>https://2danicritic.github.io/ReviewHtml/review_Afro_Samurai_-_Resurrection.html</v>
      </c>
      <c r="U17" s="5">
        <f t="shared" si="0"/>
        <v>3.93</v>
      </c>
    </row>
    <row r="18" spans="2:21" x14ac:dyDescent="0.35">
      <c r="B18" s="7" t="s">
        <v>2068</v>
      </c>
      <c r="C18" t="s">
        <v>667</v>
      </c>
      <c r="D18" s="7" t="s">
        <v>2069</v>
      </c>
      <c r="E18" t="s">
        <v>1555</v>
      </c>
      <c r="F18" t="s">
        <v>668</v>
      </c>
      <c r="G18" t="s">
        <v>1558</v>
      </c>
      <c r="H18" t="s">
        <v>669</v>
      </c>
      <c r="I18" s="7">
        <v>3.14</v>
      </c>
      <c r="J18" s="7" t="s">
        <v>2025</v>
      </c>
      <c r="K18" s="7" t="s">
        <v>2027</v>
      </c>
      <c r="L18" s="7" t="s">
        <v>2027</v>
      </c>
      <c r="M18" s="7" t="s">
        <v>2019</v>
      </c>
      <c r="N18" s="7" t="s">
        <v>2029</v>
      </c>
      <c r="O18" s="7" t="s">
        <v>2019</v>
      </c>
      <c r="P18" s="7" t="s">
        <v>2025</v>
      </c>
      <c r="Q18" t="s">
        <v>65</v>
      </c>
      <c r="R18" s="7" t="s">
        <v>2071</v>
      </c>
      <c r="S18" t="str">
        <f xml:space="preserve"> HYPERLINK("ReviewHtml/review_Akira.html", "https://2danicritic.github.io/ReviewHtml/review_Akira.html")</f>
        <v>https://2danicritic.github.io/ReviewHtml/review_Akira.html</v>
      </c>
      <c r="U18" s="5">
        <f t="shared" si="0"/>
        <v>3.14</v>
      </c>
    </row>
    <row r="19" spans="2:21" x14ac:dyDescent="0.35">
      <c r="B19" s="7" t="s">
        <v>2072</v>
      </c>
      <c r="C19" t="s">
        <v>1890</v>
      </c>
      <c r="D19" s="7" t="s">
        <v>2017</v>
      </c>
      <c r="E19" t="s">
        <v>1555</v>
      </c>
      <c r="F19" t="s">
        <v>671</v>
      </c>
      <c r="G19" t="s">
        <v>1560</v>
      </c>
      <c r="H19" t="s">
        <v>856</v>
      </c>
      <c r="I19" s="7">
        <v>3.5</v>
      </c>
      <c r="J19" s="7" t="s">
        <v>2020</v>
      </c>
      <c r="K19" s="7" t="s">
        <v>2020</v>
      </c>
      <c r="L19" s="7" t="s">
        <v>2027</v>
      </c>
      <c r="M19" s="7" t="s">
        <v>2027</v>
      </c>
      <c r="N19" s="7" t="s">
        <v>2025</v>
      </c>
      <c r="O19" s="7" t="s">
        <v>2027</v>
      </c>
      <c r="P19" s="7" t="s">
        <v>2025</v>
      </c>
      <c r="Q19" t="s">
        <v>1867</v>
      </c>
      <c r="R19" s="7" t="s">
        <v>2021</v>
      </c>
      <c r="S19" t="str">
        <f xml:space="preserve"> HYPERLINK("ReviewHtml/review_Alice_and_Zoroku.html", "https://2danicritic.github.io/ReviewHtml/review_Alice_and_Zoroku.html")</f>
        <v>https://2danicritic.github.io/ReviewHtml/review_Alice_and_Zoroku.html</v>
      </c>
      <c r="U19" s="5">
        <f t="shared" si="0"/>
        <v>3.5</v>
      </c>
    </row>
    <row r="20" spans="2:21" x14ac:dyDescent="0.35">
      <c r="B20" s="7" t="s">
        <v>2073</v>
      </c>
      <c r="C20" t="s">
        <v>670</v>
      </c>
      <c r="D20" s="7" t="s">
        <v>2074</v>
      </c>
      <c r="E20" t="s">
        <v>1555</v>
      </c>
      <c r="F20" t="s">
        <v>671</v>
      </c>
      <c r="G20" t="s">
        <v>1561</v>
      </c>
      <c r="H20" t="s">
        <v>334</v>
      </c>
      <c r="I20" s="7">
        <v>3.79</v>
      </c>
      <c r="J20" s="7" t="s">
        <v>2025</v>
      </c>
      <c r="K20" s="7" t="s">
        <v>2025</v>
      </c>
      <c r="L20" s="7" t="s">
        <v>2019</v>
      </c>
      <c r="M20" s="7" t="s">
        <v>2019</v>
      </c>
      <c r="N20" s="7" t="s">
        <v>2026</v>
      </c>
      <c r="O20" s="7" t="s">
        <v>2025</v>
      </c>
      <c r="P20" s="7" t="s">
        <v>2033</v>
      </c>
      <c r="Q20" t="s">
        <v>335</v>
      </c>
      <c r="R20" s="7" t="s">
        <v>2039</v>
      </c>
      <c r="S20" t="str">
        <f xml:space="preserve"> HYPERLINK("ReviewHtml/review_Alien_Nine.html", "https://2danicritic.github.io/ReviewHtml/review_Alien_Nine.html")</f>
        <v>https://2danicritic.github.io/ReviewHtml/review_Alien_Nine.html</v>
      </c>
      <c r="U20" s="5">
        <f t="shared" si="0"/>
        <v>3.79</v>
      </c>
    </row>
    <row r="21" spans="2:21" x14ac:dyDescent="0.35">
      <c r="B21" s="7" t="s">
        <v>2075</v>
      </c>
      <c r="C21" t="s">
        <v>672</v>
      </c>
      <c r="D21" s="7" t="s">
        <v>2076</v>
      </c>
      <c r="E21" t="s">
        <v>1555</v>
      </c>
      <c r="F21" t="s">
        <v>659</v>
      </c>
      <c r="G21" t="s">
        <v>1560</v>
      </c>
      <c r="H21" t="s">
        <v>673</v>
      </c>
      <c r="I21" s="7">
        <v>3.14</v>
      </c>
      <c r="J21" s="7" t="s">
        <v>2020</v>
      </c>
      <c r="K21" s="7" t="s">
        <v>2027</v>
      </c>
      <c r="L21" s="7" t="s">
        <v>2027</v>
      </c>
      <c r="M21" s="7" t="s">
        <v>2020</v>
      </c>
      <c r="N21" s="7" t="s">
        <v>2019</v>
      </c>
      <c r="O21" s="7" t="s">
        <v>2027</v>
      </c>
      <c r="P21" s="7" t="s">
        <v>2020</v>
      </c>
      <c r="Q21" t="s">
        <v>66</v>
      </c>
      <c r="R21" s="7" t="s">
        <v>2077</v>
      </c>
      <c r="S21" t="str">
        <f xml:space="preserve"> HYPERLINK("ReviewHtml/review_Amagi_Brilliant_Park.html", "https://2danicritic.github.io/ReviewHtml/review_Amagi_Brilliant_Park.html")</f>
        <v>https://2danicritic.github.io/ReviewHtml/review_Amagi_Brilliant_Park.html</v>
      </c>
      <c r="U21" s="5">
        <f t="shared" si="0"/>
        <v>3.14</v>
      </c>
    </row>
    <row r="22" spans="2:21" x14ac:dyDescent="0.35">
      <c r="B22" s="7" t="s">
        <v>2078</v>
      </c>
      <c r="C22" t="s">
        <v>2079</v>
      </c>
      <c r="D22" s="7" t="s">
        <v>2080</v>
      </c>
      <c r="E22" t="s">
        <v>1557</v>
      </c>
      <c r="F22" t="s">
        <v>1173</v>
      </c>
      <c r="G22" t="s">
        <v>1558</v>
      </c>
      <c r="H22" t="s">
        <v>1174</v>
      </c>
      <c r="I22" s="7">
        <v>4.1399999999999997</v>
      </c>
      <c r="J22" s="7" t="s">
        <v>2027</v>
      </c>
      <c r="K22" s="7" t="s">
        <v>2027</v>
      </c>
      <c r="L22" s="7" t="s">
        <v>2025</v>
      </c>
      <c r="M22" s="7" t="s">
        <v>2025</v>
      </c>
      <c r="N22" s="7" t="s">
        <v>2033</v>
      </c>
      <c r="O22" s="7" t="s">
        <v>2025</v>
      </c>
      <c r="P22" s="7" t="s">
        <v>2033</v>
      </c>
      <c r="Q22" t="s">
        <v>2004</v>
      </c>
      <c r="R22" s="7" t="s">
        <v>2082</v>
      </c>
      <c r="S22" t="str">
        <f xml:space="preserve"> HYPERLINK("ReviewHtml/review_American_Pop.html", "https://2danicritic.github.io/ReviewHtml/review_American_Pop.html")</f>
        <v>https://2danicritic.github.io/ReviewHtml/review_American_Pop.html</v>
      </c>
      <c r="U22" s="5">
        <f t="shared" si="0"/>
        <v>4.1399999999999997</v>
      </c>
    </row>
    <row r="23" spans="2:21" x14ac:dyDescent="0.35">
      <c r="B23" s="7" t="s">
        <v>2083</v>
      </c>
      <c r="C23" t="s">
        <v>1255</v>
      </c>
      <c r="D23" s="7" t="s">
        <v>2084</v>
      </c>
      <c r="E23" t="s">
        <v>1557</v>
      </c>
      <c r="F23" t="s">
        <v>1285</v>
      </c>
      <c r="G23" t="s">
        <v>1558</v>
      </c>
      <c r="H23" t="s">
        <v>1040</v>
      </c>
      <c r="I23" s="7">
        <v>3.21</v>
      </c>
      <c r="J23" s="7" t="s">
        <v>2027</v>
      </c>
      <c r="K23" s="7" t="s">
        <v>2027</v>
      </c>
      <c r="L23" s="7" t="s">
        <v>2020</v>
      </c>
      <c r="M23" s="7" t="s">
        <v>2020</v>
      </c>
      <c r="N23" s="7" t="s">
        <v>2027</v>
      </c>
      <c r="O23" s="7" t="s">
        <v>2020</v>
      </c>
      <c r="P23" s="7" t="s">
        <v>2020</v>
      </c>
      <c r="Q23" t="s">
        <v>297</v>
      </c>
      <c r="R23" s="7" t="s">
        <v>2085</v>
      </c>
      <c r="S23" t="str">
        <f xml:space="preserve"> HYPERLINK("ReviewHtml/review_An_American_Tail.html", "https://2danicritic.github.io/ReviewHtml/review_An_American_Tail.html")</f>
        <v>https://2danicritic.github.io/ReviewHtml/review_An_American_Tail.html</v>
      </c>
      <c r="U23" s="5">
        <f t="shared" si="0"/>
        <v>3.21</v>
      </c>
    </row>
    <row r="24" spans="2:21" x14ac:dyDescent="0.35">
      <c r="B24" s="7" t="s">
        <v>2086</v>
      </c>
      <c r="C24" t="s">
        <v>1256</v>
      </c>
      <c r="D24" s="7" t="s">
        <v>2087</v>
      </c>
      <c r="E24" t="s">
        <v>1557</v>
      </c>
      <c r="F24" t="s">
        <v>1286</v>
      </c>
      <c r="G24" t="s">
        <v>1558</v>
      </c>
      <c r="H24" t="s">
        <v>1186</v>
      </c>
      <c r="I24" s="7">
        <v>3.29</v>
      </c>
      <c r="J24" s="7" t="s">
        <v>2025</v>
      </c>
      <c r="K24" s="7" t="s">
        <v>2025</v>
      </c>
      <c r="L24" s="7" t="s">
        <v>2027</v>
      </c>
      <c r="M24" s="7" t="s">
        <v>2025</v>
      </c>
      <c r="N24" s="7" t="s">
        <v>2029</v>
      </c>
      <c r="O24" s="7" t="s">
        <v>2027</v>
      </c>
      <c r="P24" s="7" t="s">
        <v>2029</v>
      </c>
      <c r="Q24" t="s">
        <v>260</v>
      </c>
      <c r="R24" s="7" t="s">
        <v>2088</v>
      </c>
      <c r="S24" t="str">
        <f xml:space="preserve"> HYPERLINK("ReviewHtml/review_An_American_Tail_-_Fievel_Goes_West.html", "https://2danicritic.github.io/ReviewHtml/review_An_American_Tail_-_Fievel_Goes_West.html")</f>
        <v>https://2danicritic.github.io/ReviewHtml/review_An_American_Tail_-_Fievel_Goes_West.html</v>
      </c>
      <c r="U24" s="5">
        <f t="shared" si="0"/>
        <v>3.29</v>
      </c>
    </row>
    <row r="25" spans="2:21" x14ac:dyDescent="0.35">
      <c r="B25" s="7" t="s">
        <v>2089</v>
      </c>
      <c r="C25" t="s">
        <v>674</v>
      </c>
      <c r="D25" s="7" t="s">
        <v>2035</v>
      </c>
      <c r="E25" t="s">
        <v>1555</v>
      </c>
      <c r="F25" t="s">
        <v>675</v>
      </c>
      <c r="G25" t="s">
        <v>1560</v>
      </c>
      <c r="H25" t="s">
        <v>676</v>
      </c>
      <c r="I25" s="7">
        <v>3.43</v>
      </c>
      <c r="J25" s="7" t="s">
        <v>2027</v>
      </c>
      <c r="K25" s="7" t="s">
        <v>2027</v>
      </c>
      <c r="L25" s="7" t="s">
        <v>2027</v>
      </c>
      <c r="M25" s="7" t="s">
        <v>2020</v>
      </c>
      <c r="N25" s="7" t="s">
        <v>2020</v>
      </c>
      <c r="O25" s="7" t="s">
        <v>2027</v>
      </c>
      <c r="P25" s="7" t="s">
        <v>2025</v>
      </c>
      <c r="Q25" t="s">
        <v>67</v>
      </c>
      <c r="R25" s="7" t="s">
        <v>2021</v>
      </c>
      <c r="S25" t="str">
        <f xml:space="preserve"> HYPERLINK("ReviewHtml/review_Angel_Beats.html", "https://2danicritic.github.io/ReviewHtml/review_Angel_Beats.html")</f>
        <v>https://2danicritic.github.io/ReviewHtml/review_Angel_Beats.html</v>
      </c>
      <c r="U25" s="5">
        <f t="shared" si="0"/>
        <v>3.43</v>
      </c>
    </row>
    <row r="26" spans="2:21" x14ac:dyDescent="0.35">
      <c r="B26" s="7" t="s">
        <v>2091</v>
      </c>
      <c r="C26" t="s">
        <v>1562</v>
      </c>
      <c r="D26" s="7" t="s">
        <v>2069</v>
      </c>
      <c r="E26" t="s">
        <v>1555</v>
      </c>
      <c r="F26" t="s">
        <v>1563</v>
      </c>
      <c r="G26" t="s">
        <v>1561</v>
      </c>
      <c r="H26" t="s">
        <v>1564</v>
      </c>
      <c r="I26" s="7">
        <v>2.4300000000000002</v>
      </c>
      <c r="J26" s="7" t="s">
        <v>2029</v>
      </c>
      <c r="K26" s="7" t="s">
        <v>2029</v>
      </c>
      <c r="L26" s="7" t="s">
        <v>2020</v>
      </c>
      <c r="M26" s="7" t="s">
        <v>2029</v>
      </c>
      <c r="N26" s="7" t="s">
        <v>2029</v>
      </c>
      <c r="O26" s="7" t="s">
        <v>2020</v>
      </c>
      <c r="P26" s="7" t="s">
        <v>2020</v>
      </c>
      <c r="Q26" t="s">
        <v>1529</v>
      </c>
      <c r="R26" s="7" t="s">
        <v>2093</v>
      </c>
      <c r="S26" t="str">
        <f xml:space="preserve"> HYPERLINK("ReviewHtml/review_Appleseed.html", "https://2danicritic.github.io/ReviewHtml/review_Appleseed.html")</f>
        <v>https://2danicritic.github.io/ReviewHtml/review_Appleseed.html</v>
      </c>
      <c r="U26" s="5">
        <f t="shared" si="0"/>
        <v>2.4300000000000002</v>
      </c>
    </row>
    <row r="27" spans="2:21" x14ac:dyDescent="0.35">
      <c r="B27" s="7" t="s">
        <v>2094</v>
      </c>
      <c r="C27" t="s">
        <v>677</v>
      </c>
      <c r="D27" s="7" t="s">
        <v>2095</v>
      </c>
      <c r="E27" t="s">
        <v>1559</v>
      </c>
      <c r="F27" t="s">
        <v>678</v>
      </c>
      <c r="G27" t="s">
        <v>1558</v>
      </c>
      <c r="H27" t="s">
        <v>68</v>
      </c>
      <c r="I27" s="7">
        <v>3.5</v>
      </c>
      <c r="J27" s="7" t="s">
        <v>2027</v>
      </c>
      <c r="K27" s="7" t="s">
        <v>2025</v>
      </c>
      <c r="L27" s="7" t="s">
        <v>2020</v>
      </c>
      <c r="M27" s="7" t="s">
        <v>2020</v>
      </c>
      <c r="N27" s="7" t="s">
        <v>2027</v>
      </c>
      <c r="O27" s="7" t="s">
        <v>2027</v>
      </c>
      <c r="P27" s="7" t="s">
        <v>2025</v>
      </c>
      <c r="Q27" t="s">
        <v>69</v>
      </c>
      <c r="R27" s="7" t="s">
        <v>2096</v>
      </c>
      <c r="S27" t="str">
        <f xml:space="preserve"> HYPERLINK("ReviewHtml/review_April_and_the_Extraordinary_World.html", "https://2danicritic.github.io/ReviewHtml/review_April_and_the_Extraordinary_World.html")</f>
        <v>https://2danicritic.github.io/ReviewHtml/review_April_and_the_Extraordinary_World.html</v>
      </c>
      <c r="U27" s="5">
        <f t="shared" si="0"/>
        <v>3.5</v>
      </c>
    </row>
    <row r="28" spans="2:21" x14ac:dyDescent="0.35">
      <c r="B28" s="7" t="s">
        <v>2097</v>
      </c>
      <c r="C28" t="s">
        <v>1956</v>
      </c>
      <c r="D28" s="7" t="s">
        <v>2098</v>
      </c>
      <c r="E28" t="s">
        <v>1555</v>
      </c>
      <c r="F28" t="s">
        <v>682</v>
      </c>
      <c r="G28" t="s">
        <v>1558</v>
      </c>
      <c r="H28" t="s">
        <v>1972</v>
      </c>
      <c r="I28" s="7">
        <v>2.5</v>
      </c>
      <c r="J28" s="7" t="s">
        <v>2029</v>
      </c>
      <c r="K28" s="7" t="s">
        <v>2019</v>
      </c>
      <c r="L28" s="7" t="s">
        <v>2027</v>
      </c>
      <c r="M28" s="7" t="s">
        <v>2020</v>
      </c>
      <c r="N28" s="7" t="s">
        <v>2029</v>
      </c>
      <c r="O28" s="7" t="s">
        <v>2029</v>
      </c>
      <c r="P28" s="7" t="s">
        <v>2019</v>
      </c>
      <c r="Q28" t="s">
        <v>1945</v>
      </c>
      <c r="R28" s="7" t="s">
        <v>2045</v>
      </c>
      <c r="S28" t="str">
        <f xml:space="preserve"> HYPERLINK("ReviewHtml/review_Arcadia_of_My_Youth_-_Captain_Harlock.html", "https://2danicritic.github.io/ReviewHtml/review_Arcadia_of_My_Youth_-_Captain_Harlock.html")</f>
        <v>https://2danicritic.github.io/ReviewHtml/review_Arcadia_of_My_Youth_-_Captain_Harlock.html</v>
      </c>
      <c r="U28" s="5">
        <f t="shared" si="0"/>
        <v>2.5</v>
      </c>
    </row>
    <row r="29" spans="2:21" x14ac:dyDescent="0.35">
      <c r="B29" s="7" t="s">
        <v>2099</v>
      </c>
      <c r="C29" t="s">
        <v>1957</v>
      </c>
      <c r="D29" s="7" t="s">
        <v>2095</v>
      </c>
      <c r="E29" t="s">
        <v>1555</v>
      </c>
      <c r="F29" t="s">
        <v>949</v>
      </c>
      <c r="G29" t="s">
        <v>1560</v>
      </c>
      <c r="H29" t="s">
        <v>676</v>
      </c>
      <c r="I29" s="7">
        <v>3.43</v>
      </c>
      <c r="J29" s="7" t="s">
        <v>2020</v>
      </c>
      <c r="K29" s="7" t="s">
        <v>2020</v>
      </c>
      <c r="L29" s="7" t="s">
        <v>2020</v>
      </c>
      <c r="M29" s="7" t="s">
        <v>2025</v>
      </c>
      <c r="N29" s="7" t="s">
        <v>2027</v>
      </c>
      <c r="O29" s="7" t="s">
        <v>2025</v>
      </c>
      <c r="P29" s="7" t="s">
        <v>2027</v>
      </c>
      <c r="Q29" t="s">
        <v>1542</v>
      </c>
      <c r="R29" s="7" t="s">
        <v>2100</v>
      </c>
      <c r="S29" t="str">
        <f xml:space="preserve"> HYPERLINK("ReviewHtml/review_Assassination_Classroom.html", "https://2danicritic.github.io/ReviewHtml/review_Assassination_Classroom.html")</f>
        <v>https://2danicritic.github.io/ReviewHtml/review_Assassination_Classroom.html</v>
      </c>
      <c r="U29" s="5">
        <f t="shared" si="0"/>
        <v>3.43</v>
      </c>
    </row>
    <row r="30" spans="2:21" x14ac:dyDescent="0.35">
      <c r="B30" s="7" t="s">
        <v>2101</v>
      </c>
      <c r="C30" t="s">
        <v>1367</v>
      </c>
      <c r="D30" s="7" t="s">
        <v>2102</v>
      </c>
      <c r="E30" t="s">
        <v>1555</v>
      </c>
      <c r="F30" t="s">
        <v>1086</v>
      </c>
      <c r="G30" t="s">
        <v>1560</v>
      </c>
      <c r="H30" t="s">
        <v>784</v>
      </c>
      <c r="I30" s="7">
        <v>3.86</v>
      </c>
      <c r="J30" s="7" t="s">
        <v>2025</v>
      </c>
      <c r="K30" s="7" t="s">
        <v>2027</v>
      </c>
      <c r="L30" s="7" t="s">
        <v>2025</v>
      </c>
      <c r="M30" s="7" t="s">
        <v>2027</v>
      </c>
      <c r="N30" s="7" t="s">
        <v>2025</v>
      </c>
      <c r="O30" s="7" t="s">
        <v>2025</v>
      </c>
      <c r="P30" s="7" t="s">
        <v>2025</v>
      </c>
      <c r="Q30" t="s">
        <v>1332</v>
      </c>
      <c r="R30" s="7" t="s">
        <v>2104</v>
      </c>
      <c r="S30" t="str">
        <f xml:space="preserve"> HYPERLINK("ReviewHtml/review_Attack_on_Titan_-_Season_1.html", "https://2danicritic.github.io/ReviewHtml/review_Attack_on_Titan_-_Season_1.html")</f>
        <v>https://2danicritic.github.io/ReviewHtml/review_Attack_on_Titan_-_Season_1.html</v>
      </c>
      <c r="U30" s="5">
        <f t="shared" si="0"/>
        <v>3.86</v>
      </c>
    </row>
    <row r="31" spans="2:21" x14ac:dyDescent="0.35">
      <c r="B31" s="7" t="s">
        <v>2105</v>
      </c>
      <c r="C31" t="s">
        <v>679</v>
      </c>
      <c r="D31" s="7" t="s">
        <v>2102</v>
      </c>
      <c r="E31" t="s">
        <v>1555</v>
      </c>
      <c r="F31" t="s">
        <v>680</v>
      </c>
      <c r="G31" t="s">
        <v>1558</v>
      </c>
      <c r="H31" t="s">
        <v>676</v>
      </c>
      <c r="I31" s="7">
        <v>3.14</v>
      </c>
      <c r="J31" s="7" t="s">
        <v>2020</v>
      </c>
      <c r="K31" s="7" t="s">
        <v>2020</v>
      </c>
      <c r="L31" s="7" t="s">
        <v>2025</v>
      </c>
      <c r="M31" s="7" t="s">
        <v>2019</v>
      </c>
      <c r="N31" s="7" t="s">
        <v>2027</v>
      </c>
      <c r="O31" s="7" t="s">
        <v>2020</v>
      </c>
      <c r="P31" s="7" t="s">
        <v>2020</v>
      </c>
      <c r="Q31" t="s">
        <v>70</v>
      </c>
      <c r="R31" s="7" t="s">
        <v>2106</v>
      </c>
      <c r="S31" t="str">
        <f xml:space="preserve"> HYPERLINK("ReviewHtml/review_Aura_-_Koga_Maryuin's_Last_War.html", "https://2danicritic.github.io/ReviewHtml/review_Aura_-_Koga_Maryuin's_Last_War.html")</f>
        <v>https://2danicritic.github.io/ReviewHtml/review_Aura_-_Koga_Maryuin's_Last_War.html</v>
      </c>
      <c r="U31" s="5">
        <f t="shared" si="0"/>
        <v>3.14</v>
      </c>
    </row>
    <row r="32" spans="2:21" x14ac:dyDescent="0.35">
      <c r="B32" s="7" t="s">
        <v>2107</v>
      </c>
      <c r="C32" t="s">
        <v>1712</v>
      </c>
      <c r="D32" s="7" t="s">
        <v>2102</v>
      </c>
      <c r="E32" t="s">
        <v>1559</v>
      </c>
      <c r="F32" t="s">
        <v>1121</v>
      </c>
      <c r="G32" t="s">
        <v>1558</v>
      </c>
      <c r="H32" t="s">
        <v>1664</v>
      </c>
      <c r="I32" s="7">
        <v>2.64</v>
      </c>
      <c r="J32" s="7" t="s">
        <v>2019</v>
      </c>
      <c r="K32" s="7" t="s">
        <v>2020</v>
      </c>
      <c r="L32" s="7" t="s">
        <v>2019</v>
      </c>
      <c r="M32" s="7" t="s">
        <v>2020</v>
      </c>
      <c r="N32" s="7" t="s">
        <v>2019</v>
      </c>
      <c r="O32" s="7" t="s">
        <v>2019</v>
      </c>
      <c r="P32" s="7" t="s">
        <v>2019</v>
      </c>
      <c r="Q32" t="s">
        <v>171</v>
      </c>
      <c r="R32" s="7" t="s">
        <v>2109</v>
      </c>
      <c r="S32" t="str">
        <f xml:space="preserve"> HYPERLINK("ReviewHtml/review_Aya_of_Yop_City.html", "https://2danicritic.github.io/ReviewHtml/review_Aya_of_Yop_City.html")</f>
        <v>https://2danicritic.github.io/ReviewHtml/review_Aya_of_Yop_City.html</v>
      </c>
      <c r="U32" s="5">
        <f t="shared" si="0"/>
        <v>2.64</v>
      </c>
    </row>
    <row r="33" spans="2:21" x14ac:dyDescent="0.35">
      <c r="B33" s="7" t="s">
        <v>2110</v>
      </c>
      <c r="C33" t="s">
        <v>681</v>
      </c>
      <c r="D33" s="7" t="s">
        <v>2051</v>
      </c>
      <c r="E33" t="s">
        <v>1555</v>
      </c>
      <c r="F33" t="s">
        <v>682</v>
      </c>
      <c r="G33" t="s">
        <v>1560</v>
      </c>
      <c r="H33" t="s">
        <v>683</v>
      </c>
      <c r="I33" s="7">
        <v>2.86</v>
      </c>
      <c r="J33" s="7" t="s">
        <v>2027</v>
      </c>
      <c r="K33" s="7" t="s">
        <v>2020</v>
      </c>
      <c r="L33" s="7" t="s">
        <v>2027</v>
      </c>
      <c r="M33" s="7" t="s">
        <v>2029</v>
      </c>
      <c r="N33" s="7" t="s">
        <v>2019</v>
      </c>
      <c r="O33" s="7" t="s">
        <v>2019</v>
      </c>
      <c r="P33" s="7" t="s">
        <v>2020</v>
      </c>
      <c r="Q33" t="s">
        <v>71</v>
      </c>
      <c r="R33" s="7" t="s">
        <v>2112</v>
      </c>
      <c r="S33" t="str">
        <f xml:space="preserve"> HYPERLINK("ReviewHtml/review_Ayakashi_-_Samurai_Horror_Tales_-_Goblin_Cat.html", "https://2danicritic.github.io/ReviewHtml/review_Ayakashi_-_Samurai_Horror_Tales_-_Goblin_Cat.html")</f>
        <v>https://2danicritic.github.io/ReviewHtml/review_Ayakashi_-_Samurai_Horror_Tales_-_Goblin_Cat.html</v>
      </c>
      <c r="U33" s="5">
        <f t="shared" si="0"/>
        <v>2.86</v>
      </c>
    </row>
    <row r="34" spans="2:21" x14ac:dyDescent="0.35">
      <c r="B34" s="7" t="s">
        <v>2113</v>
      </c>
      <c r="C34" t="s">
        <v>684</v>
      </c>
      <c r="D34" s="7" t="s">
        <v>2057</v>
      </c>
      <c r="E34" t="s">
        <v>1555</v>
      </c>
      <c r="F34" t="s">
        <v>671</v>
      </c>
      <c r="G34" t="s">
        <v>1560</v>
      </c>
      <c r="H34" t="s">
        <v>685</v>
      </c>
      <c r="I34" s="7">
        <v>2.93</v>
      </c>
      <c r="J34" s="7" t="s">
        <v>2029</v>
      </c>
      <c r="K34" s="7" t="s">
        <v>2029</v>
      </c>
      <c r="L34" s="7" t="s">
        <v>2027</v>
      </c>
      <c r="M34" s="7" t="s">
        <v>2020</v>
      </c>
      <c r="N34" s="7" t="s">
        <v>2029</v>
      </c>
      <c r="O34" s="7" t="s">
        <v>2025</v>
      </c>
      <c r="P34" s="7" t="s">
        <v>2025</v>
      </c>
      <c r="Q34" t="s">
        <v>72</v>
      </c>
      <c r="R34" s="7" t="s">
        <v>2114</v>
      </c>
      <c r="S34" t="str">
        <f xml:space="preserve"> HYPERLINK("ReviewHtml/review_Azumanga_Daioh.html", "https://2danicritic.github.io/ReviewHtml/review_Azumanga_Daioh.html")</f>
        <v>https://2danicritic.github.io/ReviewHtml/review_Azumanga_Daioh.html</v>
      </c>
      <c r="U34" s="5">
        <f t="shared" si="0"/>
        <v>2.93</v>
      </c>
    </row>
    <row r="35" spans="2:21" x14ac:dyDescent="0.35">
      <c r="B35" s="7" t="s">
        <v>2115</v>
      </c>
      <c r="C35" t="s">
        <v>686</v>
      </c>
      <c r="D35" s="7" t="s">
        <v>2023</v>
      </c>
      <c r="E35" t="s">
        <v>1555</v>
      </c>
      <c r="F35" t="s">
        <v>687</v>
      </c>
      <c r="G35" t="s">
        <v>1560</v>
      </c>
      <c r="H35" t="s">
        <v>688</v>
      </c>
      <c r="I35" s="7">
        <v>4.07</v>
      </c>
      <c r="J35" s="7" t="s">
        <v>2027</v>
      </c>
      <c r="K35" s="7" t="s">
        <v>2027</v>
      </c>
      <c r="L35" s="7" t="s">
        <v>2026</v>
      </c>
      <c r="M35" s="7" t="s">
        <v>2025</v>
      </c>
      <c r="N35" s="7" t="s">
        <v>2027</v>
      </c>
      <c r="O35" s="7" t="s">
        <v>2026</v>
      </c>
      <c r="P35" s="7" t="s">
        <v>2033</v>
      </c>
      <c r="Q35" t="s">
        <v>73</v>
      </c>
      <c r="R35" s="7" t="s">
        <v>2117</v>
      </c>
      <c r="S35" t="str">
        <f xml:space="preserve"> HYPERLINK("ReviewHtml/review_Baccano!.html", "https://2danicritic.github.io/ReviewHtml/review_Baccano!.html")</f>
        <v>https://2danicritic.github.io/ReviewHtml/review_Baccano!.html</v>
      </c>
      <c r="U35" s="5">
        <f t="shared" si="0"/>
        <v>4.07</v>
      </c>
    </row>
    <row r="36" spans="2:21" x14ac:dyDescent="0.35">
      <c r="B36" s="7" t="s">
        <v>2118</v>
      </c>
      <c r="C36" t="s">
        <v>1565</v>
      </c>
      <c r="D36" s="7" t="s">
        <v>2035</v>
      </c>
      <c r="E36" t="s">
        <v>1555</v>
      </c>
      <c r="F36" t="s">
        <v>799</v>
      </c>
      <c r="G36" t="s">
        <v>1560</v>
      </c>
      <c r="H36" t="s">
        <v>800</v>
      </c>
      <c r="I36" s="7">
        <v>3.14</v>
      </c>
      <c r="J36" s="7" t="s">
        <v>2019</v>
      </c>
      <c r="K36" s="7" t="s">
        <v>2019</v>
      </c>
      <c r="L36" s="7" t="s">
        <v>2027</v>
      </c>
      <c r="M36" s="7" t="s">
        <v>2027</v>
      </c>
      <c r="N36" s="7" t="s">
        <v>2019</v>
      </c>
      <c r="O36" s="7" t="s">
        <v>2025</v>
      </c>
      <c r="P36" s="7" t="s">
        <v>2027</v>
      </c>
      <c r="Q36" t="s">
        <v>162</v>
      </c>
      <c r="R36" s="7" t="s">
        <v>2119</v>
      </c>
      <c r="S36" t="str">
        <f xml:space="preserve"> HYPERLINK("ReviewHtml/review_Baka_and_Test_-_Summon_the_Beasts.html", "https://2danicritic.github.io/ReviewHtml/review_Baka_and_Test_-_Summon_the_Beasts.html")</f>
        <v>https://2danicritic.github.io/ReviewHtml/review_Baka_and_Test_-_Summon_the_Beasts.html</v>
      </c>
      <c r="U36" s="5">
        <f t="shared" si="0"/>
        <v>3.14</v>
      </c>
    </row>
    <row r="37" spans="2:21" x14ac:dyDescent="0.35">
      <c r="B37" s="7" t="s">
        <v>2120</v>
      </c>
      <c r="C37" t="s">
        <v>689</v>
      </c>
      <c r="D37" s="7" t="s">
        <v>2066</v>
      </c>
      <c r="E37" t="s">
        <v>1555</v>
      </c>
      <c r="F37" t="s">
        <v>690</v>
      </c>
      <c r="G37" t="s">
        <v>1560</v>
      </c>
      <c r="H37" t="s">
        <v>74</v>
      </c>
      <c r="I37" s="7">
        <v>4.29</v>
      </c>
      <c r="J37" s="7" t="s">
        <v>2025</v>
      </c>
      <c r="K37" s="7" t="s">
        <v>2026</v>
      </c>
      <c r="L37" s="7" t="s">
        <v>2026</v>
      </c>
      <c r="M37" s="7" t="s">
        <v>2025</v>
      </c>
      <c r="N37" s="7" t="s">
        <v>2025</v>
      </c>
      <c r="O37" s="7" t="s">
        <v>2025</v>
      </c>
      <c r="P37" s="7" t="s">
        <v>2033</v>
      </c>
      <c r="Q37" t="s">
        <v>75</v>
      </c>
      <c r="R37" s="7" t="s">
        <v>2122</v>
      </c>
      <c r="S37" t="str">
        <f xml:space="preserve"> HYPERLINK("ReviewHtml/review_Bakemonogatari.html", "https://2danicritic.github.io/ReviewHtml/review_Bakemonogatari.html")</f>
        <v>https://2danicritic.github.io/ReviewHtml/review_Bakemonogatari.html</v>
      </c>
      <c r="U37" s="5">
        <f t="shared" si="0"/>
        <v>4.29</v>
      </c>
    </row>
    <row r="38" spans="2:21" x14ac:dyDescent="0.35">
      <c r="B38" s="7" t="s">
        <v>2123</v>
      </c>
      <c r="C38" t="s">
        <v>1257</v>
      </c>
      <c r="D38" s="7" t="s">
        <v>2124</v>
      </c>
      <c r="E38" t="s">
        <v>1557</v>
      </c>
      <c r="F38" t="s">
        <v>1286</v>
      </c>
      <c r="G38" t="s">
        <v>1558</v>
      </c>
      <c r="H38" t="s">
        <v>1298</v>
      </c>
      <c r="I38" s="7">
        <v>3.57</v>
      </c>
      <c r="J38" s="7" t="s">
        <v>2025</v>
      </c>
      <c r="K38" s="7" t="s">
        <v>2027</v>
      </c>
      <c r="L38" s="7" t="s">
        <v>2020</v>
      </c>
      <c r="M38" s="7" t="s">
        <v>2025</v>
      </c>
      <c r="N38" s="7" t="s">
        <v>2027</v>
      </c>
      <c r="O38" s="7" t="s">
        <v>2027</v>
      </c>
      <c r="P38" s="7" t="s">
        <v>2027</v>
      </c>
      <c r="Q38" t="s">
        <v>1187</v>
      </c>
      <c r="R38" s="7" t="s">
        <v>2126</v>
      </c>
      <c r="S38" t="str">
        <f xml:space="preserve"> HYPERLINK("ReviewHtml/review_Balto.html", "https://2danicritic.github.io/ReviewHtml/review_Balto.html")</f>
        <v>https://2danicritic.github.io/ReviewHtml/review_Balto.html</v>
      </c>
      <c r="U38" s="5">
        <f t="shared" si="0"/>
        <v>3.57</v>
      </c>
    </row>
    <row r="39" spans="2:21" x14ac:dyDescent="0.35">
      <c r="B39" s="7" t="s">
        <v>2127</v>
      </c>
      <c r="C39" t="s">
        <v>1713</v>
      </c>
      <c r="D39" s="7" t="s">
        <v>2076</v>
      </c>
      <c r="E39" t="s">
        <v>1555</v>
      </c>
      <c r="F39" t="s">
        <v>1595</v>
      </c>
      <c r="G39" t="s">
        <v>1560</v>
      </c>
      <c r="H39" t="s">
        <v>1714</v>
      </c>
      <c r="I39" s="7">
        <v>3.36</v>
      </c>
      <c r="J39" s="7" t="s">
        <v>2020</v>
      </c>
      <c r="K39" s="7" t="s">
        <v>2027</v>
      </c>
      <c r="L39" s="7" t="s">
        <v>2020</v>
      </c>
      <c r="M39" s="7" t="s">
        <v>2027</v>
      </c>
      <c r="N39" s="7" t="s">
        <v>2027</v>
      </c>
      <c r="O39" s="7" t="s">
        <v>2027</v>
      </c>
      <c r="P39" s="7" t="s">
        <v>2027</v>
      </c>
      <c r="Q39" t="s">
        <v>111</v>
      </c>
      <c r="R39" s="7" t="s">
        <v>2049</v>
      </c>
      <c r="S39" t="str">
        <f xml:space="preserve"> HYPERLINK("ReviewHtml/review_Barakamon.html", "https://2danicritic.github.io/ReviewHtml/review_Barakamon.html")</f>
        <v>https://2danicritic.github.io/ReviewHtml/review_Barakamon.html</v>
      </c>
      <c r="U39" s="5">
        <f t="shared" si="0"/>
        <v>3.36</v>
      </c>
    </row>
    <row r="40" spans="2:21" x14ac:dyDescent="0.35">
      <c r="B40" s="7" t="s">
        <v>2128</v>
      </c>
      <c r="C40" t="s">
        <v>691</v>
      </c>
      <c r="D40" s="7" t="s">
        <v>2129</v>
      </c>
      <c r="E40" t="s">
        <v>1555</v>
      </c>
      <c r="F40" t="s">
        <v>692</v>
      </c>
      <c r="G40" t="s">
        <v>1558</v>
      </c>
      <c r="H40" t="s">
        <v>693</v>
      </c>
      <c r="I40" s="7">
        <v>2.5</v>
      </c>
      <c r="J40" s="7" t="s">
        <v>2019</v>
      </c>
      <c r="K40" s="7" t="s">
        <v>2019</v>
      </c>
      <c r="L40" s="7" t="s">
        <v>2019</v>
      </c>
      <c r="M40" s="7" t="s">
        <v>2022</v>
      </c>
      <c r="N40" s="7" t="s">
        <v>2020</v>
      </c>
      <c r="O40" s="7" t="s">
        <v>2019</v>
      </c>
      <c r="P40" s="7" t="s">
        <v>2027</v>
      </c>
      <c r="Q40" t="s">
        <v>336</v>
      </c>
      <c r="R40" s="7" t="s">
        <v>2043</v>
      </c>
      <c r="S40" t="str">
        <f xml:space="preserve"> HYPERLINK("ReviewHtml/review_Barefoot_Gen.html", "https://2danicritic.github.io/ReviewHtml/review_Barefoot_Gen.html")</f>
        <v>https://2danicritic.github.io/ReviewHtml/review_Barefoot_Gen.html</v>
      </c>
      <c r="U40" s="5">
        <f t="shared" si="0"/>
        <v>2.5</v>
      </c>
    </row>
    <row r="41" spans="2:21" x14ac:dyDescent="0.35">
      <c r="B41" s="7" t="s">
        <v>2130</v>
      </c>
      <c r="C41" t="s">
        <v>694</v>
      </c>
      <c r="D41" s="7" t="s">
        <v>2084</v>
      </c>
      <c r="E41" t="s">
        <v>1555</v>
      </c>
      <c r="F41" t="s">
        <v>695</v>
      </c>
      <c r="G41" t="s">
        <v>1558</v>
      </c>
      <c r="H41" t="s">
        <v>696</v>
      </c>
      <c r="I41" s="7">
        <v>2.29</v>
      </c>
      <c r="J41" s="7" t="s">
        <v>2029</v>
      </c>
      <c r="K41" s="7" t="s">
        <v>2019</v>
      </c>
      <c r="L41" s="7" t="s">
        <v>2029</v>
      </c>
      <c r="M41" s="7" t="s">
        <v>2022</v>
      </c>
      <c r="N41" s="7" t="s">
        <v>2020</v>
      </c>
      <c r="O41" s="7" t="s">
        <v>2019</v>
      </c>
      <c r="P41" s="7" t="s">
        <v>2020</v>
      </c>
      <c r="Q41" t="s">
        <v>337</v>
      </c>
      <c r="R41" s="7" t="s">
        <v>2043</v>
      </c>
      <c r="S41" t="str">
        <f xml:space="preserve"> HYPERLINK("ReviewHtml/review_Barefoot_Gen_2.html", "https://2danicritic.github.io/ReviewHtml/review_Barefoot_Gen_2.html")</f>
        <v>https://2danicritic.github.io/ReviewHtml/review_Barefoot_Gen_2.html</v>
      </c>
      <c r="U41" s="5">
        <f t="shared" si="0"/>
        <v>2.29</v>
      </c>
    </row>
    <row r="42" spans="2:21" x14ac:dyDescent="0.35">
      <c r="B42" s="7" t="s">
        <v>2132</v>
      </c>
      <c r="C42" t="s">
        <v>1958</v>
      </c>
      <c r="D42" s="7" t="s">
        <v>2051</v>
      </c>
      <c r="E42" t="s">
        <v>1555</v>
      </c>
      <c r="F42" t="s">
        <v>662</v>
      </c>
      <c r="G42" t="s">
        <v>1560</v>
      </c>
      <c r="H42" t="s">
        <v>1973</v>
      </c>
      <c r="I42" s="7">
        <v>3.14</v>
      </c>
      <c r="J42" s="7" t="s">
        <v>2019</v>
      </c>
      <c r="K42" s="7" t="s">
        <v>2020</v>
      </c>
      <c r="L42" s="7" t="s">
        <v>2027</v>
      </c>
      <c r="M42" s="7" t="s">
        <v>2020</v>
      </c>
      <c r="N42" s="7" t="s">
        <v>2027</v>
      </c>
      <c r="O42" s="7" t="s">
        <v>2020</v>
      </c>
      <c r="P42" s="7" t="s">
        <v>2027</v>
      </c>
      <c r="Q42" t="s">
        <v>292</v>
      </c>
      <c r="R42" s="7" t="s">
        <v>2133</v>
      </c>
      <c r="S42" t="str">
        <f xml:space="preserve"> HYPERLINK("ReviewHtml/review_Bartender.html", "https://2danicritic.github.io/ReviewHtml/review_Bartender.html")</f>
        <v>https://2danicritic.github.io/ReviewHtml/review_Bartender.html</v>
      </c>
      <c r="U42" s="5">
        <f t="shared" si="0"/>
        <v>3.14</v>
      </c>
    </row>
    <row r="43" spans="2:21" x14ac:dyDescent="0.35">
      <c r="B43" s="7" t="s">
        <v>2134</v>
      </c>
      <c r="C43" t="s">
        <v>697</v>
      </c>
      <c r="D43" s="7" t="s">
        <v>2135</v>
      </c>
      <c r="E43" t="s">
        <v>1555</v>
      </c>
      <c r="F43" t="s">
        <v>698</v>
      </c>
      <c r="G43" t="s">
        <v>1558</v>
      </c>
      <c r="H43" t="s">
        <v>699</v>
      </c>
      <c r="I43" s="7">
        <v>3.57</v>
      </c>
      <c r="J43" s="7" t="s">
        <v>2025</v>
      </c>
      <c r="K43" s="7" t="s">
        <v>2025</v>
      </c>
      <c r="L43" s="7" t="s">
        <v>2025</v>
      </c>
      <c r="M43" s="7" t="s">
        <v>2027</v>
      </c>
      <c r="N43" s="7" t="s">
        <v>2029</v>
      </c>
      <c r="O43" s="7" t="s">
        <v>2025</v>
      </c>
      <c r="P43" s="7" t="s">
        <v>2027</v>
      </c>
      <c r="Q43" t="s">
        <v>338</v>
      </c>
      <c r="R43" s="7" t="s">
        <v>2043</v>
      </c>
      <c r="S43" t="str">
        <f xml:space="preserve"> HYPERLINK("ReviewHtml/review_Batman_Ninja.html", "https://2danicritic.github.io/ReviewHtml/review_Batman_Ninja.html")</f>
        <v>https://2danicritic.github.io/ReviewHtml/review_Batman_Ninja.html</v>
      </c>
      <c r="U43" s="5">
        <f t="shared" si="0"/>
        <v>3.57</v>
      </c>
    </row>
    <row r="44" spans="2:21" x14ac:dyDescent="0.35">
      <c r="B44" s="7" t="s">
        <v>2136</v>
      </c>
      <c r="C44" t="s">
        <v>1368</v>
      </c>
      <c r="D44" s="7" t="s">
        <v>2102</v>
      </c>
      <c r="E44" t="s">
        <v>1555</v>
      </c>
      <c r="F44" t="s">
        <v>665</v>
      </c>
      <c r="G44" t="s">
        <v>1558</v>
      </c>
      <c r="H44" t="s">
        <v>1436</v>
      </c>
      <c r="I44" s="7">
        <v>2.93</v>
      </c>
      <c r="J44" s="7" t="s">
        <v>2027</v>
      </c>
      <c r="K44" s="7" t="s">
        <v>2027</v>
      </c>
      <c r="L44" s="7" t="s">
        <v>2027</v>
      </c>
      <c r="M44" s="7" t="s">
        <v>2027</v>
      </c>
      <c r="N44" s="7" t="s">
        <v>2029</v>
      </c>
      <c r="O44" s="7" t="s">
        <v>2019</v>
      </c>
      <c r="P44" s="7" t="s">
        <v>2029</v>
      </c>
      <c r="Q44" t="s">
        <v>1333</v>
      </c>
      <c r="R44" s="7" t="s">
        <v>2137</v>
      </c>
      <c r="S44" t="str">
        <f xml:space="preserve"> HYPERLINK("ReviewHtml/review_Bayonetta_-_Bloody_Fate.html", "https://2danicritic.github.io/ReviewHtml/review_Bayonetta_-_Bloody_Fate.html")</f>
        <v>https://2danicritic.github.io/ReviewHtml/review_Bayonetta_-_Bloody_Fate.html</v>
      </c>
      <c r="U44" s="5">
        <f t="shared" si="0"/>
        <v>2.93</v>
      </c>
    </row>
    <row r="45" spans="2:21" x14ac:dyDescent="0.35">
      <c r="B45" s="7" t="s">
        <v>2138</v>
      </c>
      <c r="C45" t="s">
        <v>1782</v>
      </c>
      <c r="D45" s="7" t="s">
        <v>2095</v>
      </c>
      <c r="E45" t="s">
        <v>1555</v>
      </c>
      <c r="F45" t="s">
        <v>1783</v>
      </c>
      <c r="G45" t="s">
        <v>1560</v>
      </c>
      <c r="H45" t="s">
        <v>1784</v>
      </c>
      <c r="I45" s="7">
        <v>3.36</v>
      </c>
      <c r="J45" s="7" t="s">
        <v>2019</v>
      </c>
      <c r="K45" s="7" t="s">
        <v>2027</v>
      </c>
      <c r="L45" s="7" t="s">
        <v>2027</v>
      </c>
      <c r="M45" s="7" t="s">
        <v>2027</v>
      </c>
      <c r="N45" s="7" t="s">
        <v>2027</v>
      </c>
      <c r="O45" s="7" t="s">
        <v>2027</v>
      </c>
      <c r="P45" s="7" t="s">
        <v>2027</v>
      </c>
      <c r="Q45" t="s">
        <v>1757</v>
      </c>
      <c r="R45" s="7" t="s">
        <v>2049</v>
      </c>
      <c r="S45" t="str">
        <f xml:space="preserve"> HYPERLINK("ReviewHtml/review_Beautiful_Bones_-_Sakurako's_Investigation.html", "https://2danicritic.github.io/ReviewHtml/review_Beautiful_Bones_-_Sakurako's_Investigation.html")</f>
        <v>https://2danicritic.github.io/ReviewHtml/review_Beautiful_Bones_-_Sakurako's_Investigation.html</v>
      </c>
      <c r="U45" s="5">
        <f t="shared" si="0"/>
        <v>3.36</v>
      </c>
    </row>
    <row r="46" spans="2:21" x14ac:dyDescent="0.35">
      <c r="B46" s="7" t="s">
        <v>2139</v>
      </c>
      <c r="C46" t="s">
        <v>700</v>
      </c>
      <c r="D46" s="7" t="s">
        <v>2140</v>
      </c>
      <c r="E46" t="s">
        <v>1555</v>
      </c>
      <c r="F46" t="s">
        <v>701</v>
      </c>
      <c r="G46" t="s">
        <v>1558</v>
      </c>
      <c r="H46" t="s">
        <v>702</v>
      </c>
      <c r="I46" s="7">
        <v>2.93</v>
      </c>
      <c r="J46" s="7" t="s">
        <v>2141</v>
      </c>
      <c r="K46" s="7" t="s">
        <v>2020</v>
      </c>
      <c r="L46" s="7" t="s">
        <v>2027</v>
      </c>
      <c r="M46" s="7" t="s">
        <v>2025</v>
      </c>
      <c r="N46" s="7" t="s">
        <v>2027</v>
      </c>
      <c r="O46" s="7" t="s">
        <v>2019</v>
      </c>
      <c r="P46" s="7" t="s">
        <v>2019</v>
      </c>
      <c r="Q46" t="s">
        <v>76</v>
      </c>
      <c r="R46" s="7" t="s">
        <v>2034</v>
      </c>
      <c r="S46" t="str">
        <f xml:space="preserve"> HYPERLINK("ReviewHtml/review_Belladonna_of_Sadness.html", "https://2danicritic.github.io/ReviewHtml/review_Belladonna_of_Sadness.html")</f>
        <v>https://2danicritic.github.io/ReviewHtml/review_Belladonna_of_Sadness.html</v>
      </c>
      <c r="U46" s="5">
        <f t="shared" si="0"/>
        <v>2.93</v>
      </c>
    </row>
    <row r="47" spans="2:21" x14ac:dyDescent="0.35">
      <c r="B47" s="7" t="s">
        <v>2142</v>
      </c>
      <c r="C47" t="s">
        <v>77</v>
      </c>
      <c r="D47" s="7" t="s">
        <v>2041</v>
      </c>
      <c r="E47" t="s">
        <v>1555</v>
      </c>
      <c r="F47" t="s">
        <v>703</v>
      </c>
      <c r="G47" t="s">
        <v>1558</v>
      </c>
      <c r="H47" t="s">
        <v>704</v>
      </c>
      <c r="I47" s="7">
        <v>4.3600000000000003</v>
      </c>
      <c r="J47" s="7" t="s">
        <v>2025</v>
      </c>
      <c r="K47" s="7" t="s">
        <v>2026</v>
      </c>
      <c r="L47" s="7" t="s">
        <v>2026</v>
      </c>
      <c r="M47" s="7" t="s">
        <v>2027</v>
      </c>
      <c r="N47" s="7" t="s">
        <v>2033</v>
      </c>
      <c r="O47" s="7" t="s">
        <v>2025</v>
      </c>
      <c r="P47" s="7" t="s">
        <v>2033</v>
      </c>
      <c r="Q47" t="s">
        <v>78</v>
      </c>
      <c r="R47" s="7" t="s">
        <v>2144</v>
      </c>
      <c r="S47" t="str">
        <f xml:space="preserve"> HYPERLINK("ReviewHtml/review_Berserk_-_The_Golden_Age_Arc_(The_Egg_of_the_King,_The_Battle_for_Doldrey,_The_Advent).html", "https://2danicritic.github.io/ReviewHtml/review_Berserk_-_The_Golden_Age_Arc_(The_Egg_of_the_King,_The_Battle_for_Doldrey,_The_Advent).html")</f>
        <v>https://2danicritic.github.io/ReviewHtml/review_Berserk_-_The_Golden_Age_Arc_(The_Egg_of_the_King,_The_Battle_for_Doldrey,_The_Advent).html</v>
      </c>
      <c r="U47" s="5">
        <f t="shared" si="0"/>
        <v>4.3600000000000003</v>
      </c>
    </row>
    <row r="48" spans="2:21" x14ac:dyDescent="0.35">
      <c r="B48" s="7" t="s">
        <v>2145</v>
      </c>
      <c r="C48" t="s">
        <v>705</v>
      </c>
      <c r="D48" s="7" t="s">
        <v>2102</v>
      </c>
      <c r="E48" t="s">
        <v>1555</v>
      </c>
      <c r="F48" t="s">
        <v>659</v>
      </c>
      <c r="G48" t="s">
        <v>1560</v>
      </c>
      <c r="H48" t="s">
        <v>706</v>
      </c>
      <c r="I48" s="7">
        <v>3.5</v>
      </c>
      <c r="J48" s="7" t="s">
        <v>2025</v>
      </c>
      <c r="K48" s="7" t="s">
        <v>2025</v>
      </c>
      <c r="L48" s="7" t="s">
        <v>2027</v>
      </c>
      <c r="M48" s="7" t="s">
        <v>2020</v>
      </c>
      <c r="N48" s="7" t="s">
        <v>2025</v>
      </c>
      <c r="O48" s="7" t="s">
        <v>2020</v>
      </c>
      <c r="P48" s="7" t="s">
        <v>2020</v>
      </c>
      <c r="Q48" t="s">
        <v>79</v>
      </c>
      <c r="R48" s="7" t="s">
        <v>2021</v>
      </c>
      <c r="S48" t="str">
        <f xml:space="preserve"> HYPERLINK("ReviewHtml/review_Beyond_the_Boundary.html", "https://2danicritic.github.io/ReviewHtml/review_Beyond_the_Boundary.html")</f>
        <v>https://2danicritic.github.io/ReviewHtml/review_Beyond_the_Boundary.html</v>
      </c>
      <c r="U48" s="5">
        <f t="shared" si="0"/>
        <v>3.5</v>
      </c>
    </row>
    <row r="49" spans="2:21" x14ac:dyDescent="0.35">
      <c r="B49" s="7" t="s">
        <v>2146</v>
      </c>
      <c r="C49" t="s">
        <v>707</v>
      </c>
      <c r="D49" s="7" t="s">
        <v>2095</v>
      </c>
      <c r="E49" t="s">
        <v>1555</v>
      </c>
      <c r="F49" t="s">
        <v>659</v>
      </c>
      <c r="G49" t="s">
        <v>1558</v>
      </c>
      <c r="H49" t="s">
        <v>706</v>
      </c>
      <c r="I49" s="7">
        <v>3.29</v>
      </c>
      <c r="J49" s="7" t="s">
        <v>2025</v>
      </c>
      <c r="K49" s="7" t="s">
        <v>2027</v>
      </c>
      <c r="L49" s="7" t="s">
        <v>2020</v>
      </c>
      <c r="M49" s="7" t="s">
        <v>2020</v>
      </c>
      <c r="N49" s="7" t="s">
        <v>2020</v>
      </c>
      <c r="O49" s="7" t="s">
        <v>2027</v>
      </c>
      <c r="P49" s="7" t="s">
        <v>2020</v>
      </c>
      <c r="Q49" t="s">
        <v>79</v>
      </c>
      <c r="R49" s="7" t="s">
        <v>2147</v>
      </c>
      <c r="S49" t="str">
        <f xml:space="preserve"> HYPERLINK("ReviewHtml/review_Beyond_the_Boundary_-_I'll_Be_Here.html", "https://2danicritic.github.io/ReviewHtml/review_Beyond_the_Boundary_-_I'll_Be_Here.html")</f>
        <v>https://2danicritic.github.io/ReviewHtml/review_Beyond_the_Boundary_-_I'll_Be_Here.html</v>
      </c>
      <c r="U49" s="5">
        <f t="shared" si="0"/>
        <v>3.29</v>
      </c>
    </row>
    <row r="50" spans="2:21" x14ac:dyDescent="0.35">
      <c r="B50" s="7" t="s">
        <v>2148</v>
      </c>
      <c r="C50" t="s">
        <v>708</v>
      </c>
      <c r="D50" s="7" t="s">
        <v>2030</v>
      </c>
      <c r="E50" t="s">
        <v>1566</v>
      </c>
      <c r="F50" t="s">
        <v>709</v>
      </c>
      <c r="G50" t="s">
        <v>1558</v>
      </c>
      <c r="H50" t="s">
        <v>80</v>
      </c>
      <c r="I50" s="7">
        <v>3.57</v>
      </c>
      <c r="J50" s="7" t="s">
        <v>2020</v>
      </c>
      <c r="K50" s="7" t="s">
        <v>2025</v>
      </c>
      <c r="L50" s="7" t="s">
        <v>2020</v>
      </c>
      <c r="M50" s="7" t="s">
        <v>2020</v>
      </c>
      <c r="N50" s="7" t="s">
        <v>2025</v>
      </c>
      <c r="O50" s="7" t="s">
        <v>2027</v>
      </c>
      <c r="P50" s="7" t="s">
        <v>2026</v>
      </c>
      <c r="Q50" t="s">
        <v>81</v>
      </c>
      <c r="R50" s="7" t="s">
        <v>2149</v>
      </c>
      <c r="S50" t="str">
        <f xml:space="preserve"> HYPERLINK("ReviewHtml/review_Big_Fish_and_Begonia.html", "https://2danicritic.github.io/ReviewHtml/review_Big_Fish_and_Begonia.html")</f>
        <v>https://2danicritic.github.io/ReviewHtml/review_Big_Fish_and_Begonia.html</v>
      </c>
      <c r="U50" s="5">
        <f t="shared" si="0"/>
        <v>3.57</v>
      </c>
    </row>
    <row r="51" spans="2:21" x14ac:dyDescent="0.35">
      <c r="B51" s="7" t="s">
        <v>2150</v>
      </c>
      <c r="C51" t="s">
        <v>710</v>
      </c>
      <c r="D51" s="7" t="s">
        <v>2095</v>
      </c>
      <c r="E51" t="s">
        <v>1567</v>
      </c>
      <c r="F51" t="s">
        <v>711</v>
      </c>
      <c r="G51" t="s">
        <v>1558</v>
      </c>
      <c r="H51" t="s">
        <v>82</v>
      </c>
      <c r="I51" s="7">
        <v>2.86</v>
      </c>
      <c r="J51" s="7" t="s">
        <v>2020</v>
      </c>
      <c r="K51" s="7" t="s">
        <v>2027</v>
      </c>
      <c r="L51" s="7" t="s">
        <v>2020</v>
      </c>
      <c r="M51" s="7" t="s">
        <v>2020</v>
      </c>
      <c r="N51" s="7" t="s">
        <v>2020</v>
      </c>
      <c r="O51" s="7" t="s">
        <v>2019</v>
      </c>
      <c r="P51" s="7" t="s">
        <v>2029</v>
      </c>
      <c r="Q51" t="s">
        <v>83</v>
      </c>
      <c r="R51" s="7" t="s">
        <v>2151</v>
      </c>
      <c r="S51" t="str">
        <f xml:space="preserve"> HYPERLINK("ReviewHtml/review_Birdboy_-_The_Forgotten_Children.html", "https://2danicritic.github.io/ReviewHtml/review_Birdboy_-_The_Forgotten_Children.html")</f>
        <v>https://2danicritic.github.io/ReviewHtml/review_Birdboy_-_The_Forgotten_Children.html</v>
      </c>
      <c r="U51" s="5">
        <f t="shared" si="0"/>
        <v>2.86</v>
      </c>
    </row>
    <row r="52" spans="2:21" x14ac:dyDescent="0.35">
      <c r="B52" s="7" t="s">
        <v>2152</v>
      </c>
      <c r="C52" t="s">
        <v>712</v>
      </c>
      <c r="D52" s="7" t="s">
        <v>2076</v>
      </c>
      <c r="E52" t="s">
        <v>1555</v>
      </c>
      <c r="F52" t="s">
        <v>713</v>
      </c>
      <c r="G52" t="s">
        <v>1560</v>
      </c>
      <c r="H52" t="s">
        <v>714</v>
      </c>
      <c r="I52" s="7">
        <v>2.71</v>
      </c>
      <c r="J52" s="7" t="s">
        <v>2019</v>
      </c>
      <c r="K52" s="7" t="s">
        <v>2020</v>
      </c>
      <c r="L52" s="7" t="s">
        <v>2020</v>
      </c>
      <c r="M52" s="7" t="s">
        <v>2025</v>
      </c>
      <c r="N52" s="7" t="s">
        <v>2141</v>
      </c>
      <c r="O52" s="7" t="s">
        <v>2020</v>
      </c>
      <c r="P52" s="7" t="s">
        <v>2029</v>
      </c>
      <c r="Q52" t="s">
        <v>84</v>
      </c>
      <c r="R52" s="7" t="s">
        <v>2021</v>
      </c>
      <c r="S52" t="str">
        <f xml:space="preserve"> HYPERLINK("ReviewHtml/review_Black_Bullet.html", "https://2danicritic.github.io/ReviewHtml/review_Black_Bullet.html")</f>
        <v>https://2danicritic.github.io/ReviewHtml/review_Black_Bullet.html</v>
      </c>
      <c r="U52" s="5">
        <f t="shared" si="0"/>
        <v>2.71</v>
      </c>
    </row>
    <row r="53" spans="2:21" x14ac:dyDescent="0.35">
      <c r="B53" s="7" t="s">
        <v>2153</v>
      </c>
      <c r="C53" t="s">
        <v>715</v>
      </c>
      <c r="D53" s="7" t="s">
        <v>2154</v>
      </c>
      <c r="E53" t="s">
        <v>1555</v>
      </c>
      <c r="F53" t="s">
        <v>716</v>
      </c>
      <c r="G53" t="s">
        <v>1560</v>
      </c>
      <c r="H53" t="s">
        <v>717</v>
      </c>
      <c r="I53" s="7">
        <v>3.5</v>
      </c>
      <c r="J53" s="7" t="s">
        <v>2020</v>
      </c>
      <c r="K53" s="7" t="s">
        <v>2027</v>
      </c>
      <c r="L53" s="7" t="s">
        <v>2027</v>
      </c>
      <c r="M53" s="7" t="s">
        <v>2027</v>
      </c>
      <c r="N53" s="7" t="s">
        <v>2027</v>
      </c>
      <c r="O53" s="7" t="s">
        <v>2027</v>
      </c>
      <c r="P53" s="7" t="s">
        <v>2025</v>
      </c>
      <c r="Q53" t="s">
        <v>85</v>
      </c>
      <c r="R53" s="7" t="s">
        <v>2155</v>
      </c>
      <c r="S53" t="str">
        <f xml:space="preserve"> HYPERLINK("ReviewHtml/review_Black_Butler.html", "https://2danicritic.github.io/ReviewHtml/review_Black_Butler.html")</f>
        <v>https://2danicritic.github.io/ReviewHtml/review_Black_Butler.html</v>
      </c>
      <c r="U53" s="5">
        <f t="shared" si="0"/>
        <v>3.5</v>
      </c>
    </row>
    <row r="54" spans="2:21" x14ac:dyDescent="0.35">
      <c r="B54" s="7" t="s">
        <v>2156</v>
      </c>
      <c r="C54" t="s">
        <v>718</v>
      </c>
      <c r="D54" s="7" t="s">
        <v>2076</v>
      </c>
      <c r="E54" t="s">
        <v>1555</v>
      </c>
      <c r="F54" t="s">
        <v>716</v>
      </c>
      <c r="G54" t="s">
        <v>1560</v>
      </c>
      <c r="H54" t="s">
        <v>719</v>
      </c>
      <c r="I54" s="7">
        <v>3.5</v>
      </c>
      <c r="J54" s="7" t="s">
        <v>2027</v>
      </c>
      <c r="K54" s="7" t="s">
        <v>2027</v>
      </c>
      <c r="L54" s="7" t="s">
        <v>2027</v>
      </c>
      <c r="M54" s="7" t="s">
        <v>2027</v>
      </c>
      <c r="N54" s="7" t="s">
        <v>2020</v>
      </c>
      <c r="O54" s="7" t="s">
        <v>2027</v>
      </c>
      <c r="P54" s="7" t="s">
        <v>2025</v>
      </c>
      <c r="Q54" t="s">
        <v>85</v>
      </c>
      <c r="R54" s="7" t="s">
        <v>2157</v>
      </c>
      <c r="S54" t="str">
        <f xml:space="preserve"> HYPERLINK("ReviewHtml/review_Black_Butler_-_Book_of_Circus.html", "https://2danicritic.github.io/ReviewHtml/review_Black_Butler_-_Book_of_Circus.html")</f>
        <v>https://2danicritic.github.io/ReviewHtml/review_Black_Butler_-_Book_of_Circus.html</v>
      </c>
      <c r="U54" s="5">
        <f t="shared" si="0"/>
        <v>3.5</v>
      </c>
    </row>
    <row r="55" spans="2:21" x14ac:dyDescent="0.35">
      <c r="B55" s="7" t="s">
        <v>2158</v>
      </c>
      <c r="C55" t="s">
        <v>720</v>
      </c>
      <c r="D55" s="7" t="s">
        <v>2076</v>
      </c>
      <c r="E55" t="s">
        <v>1555</v>
      </c>
      <c r="F55" t="s">
        <v>716</v>
      </c>
      <c r="G55" t="s">
        <v>1561</v>
      </c>
      <c r="H55" t="s">
        <v>719</v>
      </c>
      <c r="I55" s="7">
        <v>3.71</v>
      </c>
      <c r="J55" s="7" t="s">
        <v>2027</v>
      </c>
      <c r="K55" s="7" t="s">
        <v>2027</v>
      </c>
      <c r="L55" s="7" t="s">
        <v>2027</v>
      </c>
      <c r="M55" s="7" t="s">
        <v>2027</v>
      </c>
      <c r="N55" s="7" t="s">
        <v>2025</v>
      </c>
      <c r="O55" s="7" t="s">
        <v>2025</v>
      </c>
      <c r="P55" s="7" t="s">
        <v>2025</v>
      </c>
      <c r="Q55" t="s">
        <v>86</v>
      </c>
      <c r="R55" s="7" t="s">
        <v>2039</v>
      </c>
      <c r="S55" t="str">
        <f xml:space="preserve"> HYPERLINK("ReviewHtml/review_Black_Butler_-_Book_of_Murder.html", "https://2danicritic.github.io/ReviewHtml/review_Black_Butler_-_Book_of_Murder.html")</f>
        <v>https://2danicritic.github.io/ReviewHtml/review_Black_Butler_-_Book_of_Murder.html</v>
      </c>
      <c r="U55" s="5">
        <f t="shared" si="0"/>
        <v>3.71</v>
      </c>
    </row>
    <row r="56" spans="2:21" x14ac:dyDescent="0.35">
      <c r="B56" s="7" t="s">
        <v>2160</v>
      </c>
      <c r="C56" t="s">
        <v>721</v>
      </c>
      <c r="D56" s="7" t="s">
        <v>2017</v>
      </c>
      <c r="E56" t="s">
        <v>1555</v>
      </c>
      <c r="F56" t="s">
        <v>716</v>
      </c>
      <c r="G56" t="s">
        <v>1558</v>
      </c>
      <c r="H56" t="s">
        <v>719</v>
      </c>
      <c r="I56" s="7">
        <v>3.5</v>
      </c>
      <c r="J56" s="7" t="s">
        <v>2027</v>
      </c>
      <c r="K56" s="7" t="s">
        <v>2027</v>
      </c>
      <c r="L56" s="7" t="s">
        <v>2027</v>
      </c>
      <c r="M56" s="7" t="s">
        <v>2027</v>
      </c>
      <c r="N56" s="7" t="s">
        <v>2019</v>
      </c>
      <c r="O56" s="7" t="s">
        <v>2026</v>
      </c>
      <c r="P56" s="7" t="s">
        <v>2027</v>
      </c>
      <c r="Q56" t="s">
        <v>339</v>
      </c>
      <c r="R56" s="7" t="s">
        <v>2067</v>
      </c>
      <c r="S56" t="str">
        <f xml:space="preserve"> HYPERLINK("ReviewHtml/review_Black_Butler_-_Book_of_the_Atlantic.html", "https://2danicritic.github.io/ReviewHtml/review_Black_Butler_-_Book_of_the_Atlantic.html")</f>
        <v>https://2danicritic.github.io/ReviewHtml/review_Black_Butler_-_Book_of_the_Atlantic.html</v>
      </c>
      <c r="U56" s="5">
        <f t="shared" si="0"/>
        <v>3.5</v>
      </c>
    </row>
    <row r="57" spans="2:21" x14ac:dyDescent="0.35">
      <c r="B57" s="7" t="s">
        <v>2161</v>
      </c>
      <c r="C57" t="s">
        <v>722</v>
      </c>
      <c r="D57" s="7" t="s">
        <v>2035</v>
      </c>
      <c r="E57" t="s">
        <v>1555</v>
      </c>
      <c r="F57" t="s">
        <v>716</v>
      </c>
      <c r="G57" t="s">
        <v>1560</v>
      </c>
      <c r="H57" t="s">
        <v>723</v>
      </c>
      <c r="I57" s="7">
        <v>3.07</v>
      </c>
      <c r="J57" s="7" t="s">
        <v>2019</v>
      </c>
      <c r="K57" s="7" t="s">
        <v>2020</v>
      </c>
      <c r="L57" s="7" t="s">
        <v>2027</v>
      </c>
      <c r="M57" s="7" t="s">
        <v>2027</v>
      </c>
      <c r="N57" s="7" t="s">
        <v>2019</v>
      </c>
      <c r="O57" s="7" t="s">
        <v>2027</v>
      </c>
      <c r="P57" s="7" t="s">
        <v>2020</v>
      </c>
      <c r="Q57" t="s">
        <v>87</v>
      </c>
      <c r="R57" s="7" t="s">
        <v>2162</v>
      </c>
      <c r="S57" t="str">
        <f xml:space="preserve"> HYPERLINK("ReviewHtml/review_Black_Butler_II.html", "https://2danicritic.github.io/ReviewHtml/review_Black_Butler_II.html")</f>
        <v>https://2danicritic.github.io/ReviewHtml/review_Black_Butler_II.html</v>
      </c>
      <c r="U57" s="5">
        <f t="shared" si="0"/>
        <v>3.07</v>
      </c>
    </row>
    <row r="58" spans="2:21" x14ac:dyDescent="0.35">
      <c r="B58" s="7" t="s">
        <v>2163</v>
      </c>
      <c r="C58" t="s">
        <v>724</v>
      </c>
      <c r="D58" s="7" t="s">
        <v>2051</v>
      </c>
      <c r="E58" t="s">
        <v>1555</v>
      </c>
      <c r="F58" t="s">
        <v>695</v>
      </c>
      <c r="G58" t="s">
        <v>1560</v>
      </c>
      <c r="H58" t="s">
        <v>725</v>
      </c>
      <c r="I58" s="7">
        <v>4.29</v>
      </c>
      <c r="J58" s="7" t="s">
        <v>2020</v>
      </c>
      <c r="K58" s="7" t="s">
        <v>2027</v>
      </c>
      <c r="L58" s="7" t="s">
        <v>2026</v>
      </c>
      <c r="M58" s="7" t="s">
        <v>2026</v>
      </c>
      <c r="N58" s="7" t="s">
        <v>2033</v>
      </c>
      <c r="O58" s="7" t="s">
        <v>2026</v>
      </c>
      <c r="P58" s="7" t="s">
        <v>2033</v>
      </c>
      <c r="Q58" t="s">
        <v>88</v>
      </c>
      <c r="R58" s="7" t="s">
        <v>2155</v>
      </c>
      <c r="S58" t="str">
        <f xml:space="preserve"> HYPERLINK("ReviewHtml/review_Black_Lagoon.html", "https://2danicritic.github.io/ReviewHtml/review_Black_Lagoon.html")</f>
        <v>https://2danicritic.github.io/ReviewHtml/review_Black_Lagoon.html</v>
      </c>
      <c r="U58" s="5">
        <f t="shared" si="0"/>
        <v>4.29</v>
      </c>
    </row>
    <row r="59" spans="2:21" x14ac:dyDescent="0.35">
      <c r="B59" s="7" t="s">
        <v>2164</v>
      </c>
      <c r="C59" t="s">
        <v>726</v>
      </c>
      <c r="D59" s="7" t="s">
        <v>2035</v>
      </c>
      <c r="E59" t="s">
        <v>1555</v>
      </c>
      <c r="F59" t="s">
        <v>695</v>
      </c>
      <c r="G59" t="s">
        <v>1561</v>
      </c>
      <c r="H59" t="s">
        <v>725</v>
      </c>
      <c r="I59" s="7">
        <v>3.57</v>
      </c>
      <c r="J59" s="7" t="s">
        <v>2020</v>
      </c>
      <c r="K59" s="7" t="s">
        <v>2020</v>
      </c>
      <c r="L59" s="7" t="s">
        <v>2026</v>
      </c>
      <c r="M59" s="7" t="s">
        <v>2026</v>
      </c>
      <c r="N59" s="7" t="s">
        <v>2019</v>
      </c>
      <c r="O59" s="7" t="s">
        <v>2027</v>
      </c>
      <c r="P59" s="7" t="s">
        <v>2025</v>
      </c>
      <c r="Q59" t="s">
        <v>88</v>
      </c>
      <c r="R59" s="7" t="s">
        <v>2165</v>
      </c>
      <c r="S59" t="str">
        <f xml:space="preserve"> HYPERLINK("ReviewHtml/review_Black_Lagoon_-_Roberta's_Blood_Trail.html", "https://2danicritic.github.io/ReviewHtml/review_Black_Lagoon_-_Roberta's_Blood_Trail.html")</f>
        <v>https://2danicritic.github.io/ReviewHtml/review_Black_Lagoon_-_Roberta's_Blood_Trail.html</v>
      </c>
      <c r="U59" s="5">
        <f t="shared" si="0"/>
        <v>3.57</v>
      </c>
    </row>
    <row r="60" spans="2:21" x14ac:dyDescent="0.35">
      <c r="B60" s="7" t="s">
        <v>2166</v>
      </c>
      <c r="C60" t="s">
        <v>727</v>
      </c>
      <c r="D60" s="7" t="s">
        <v>2167</v>
      </c>
      <c r="E60" t="s">
        <v>1568</v>
      </c>
      <c r="F60" t="s">
        <v>89</v>
      </c>
      <c r="G60" t="s">
        <v>1558</v>
      </c>
      <c r="H60" t="s">
        <v>90</v>
      </c>
      <c r="I60" s="7">
        <v>1.57</v>
      </c>
      <c r="J60" s="7" t="s">
        <v>2029</v>
      </c>
      <c r="K60" s="7" t="s">
        <v>2029</v>
      </c>
      <c r="L60" s="7" t="s">
        <v>2141</v>
      </c>
      <c r="M60" s="7" t="s">
        <v>2141</v>
      </c>
      <c r="N60" s="7" t="s">
        <v>2141</v>
      </c>
      <c r="O60" s="7" t="s">
        <v>2141</v>
      </c>
      <c r="P60" s="7" t="s">
        <v>2022</v>
      </c>
      <c r="Q60" t="s">
        <v>91</v>
      </c>
      <c r="R60" s="7" t="s">
        <v>2169</v>
      </c>
      <c r="S60" t="str">
        <f xml:space="preserve"> HYPERLINK("ReviewHtml/review_Blade_of_the_Phantom_Master.html", "https://2danicritic.github.io/ReviewHtml/review_Blade_of_the_Phantom_Master.html")</f>
        <v>https://2danicritic.github.io/ReviewHtml/review_Blade_of_the_Phantom_Master.html</v>
      </c>
      <c r="U60" s="5">
        <f t="shared" si="0"/>
        <v>1.57</v>
      </c>
    </row>
    <row r="61" spans="2:21" x14ac:dyDescent="0.35">
      <c r="B61" s="7" t="s">
        <v>2170</v>
      </c>
      <c r="C61" t="s">
        <v>728</v>
      </c>
      <c r="D61" s="7" t="s">
        <v>2171</v>
      </c>
      <c r="E61" t="s">
        <v>1555</v>
      </c>
      <c r="F61" t="s">
        <v>729</v>
      </c>
      <c r="G61" t="s">
        <v>1569</v>
      </c>
      <c r="H61" t="s">
        <v>730</v>
      </c>
      <c r="I61" s="7">
        <v>2.5</v>
      </c>
      <c r="J61" s="7" t="s">
        <v>2029</v>
      </c>
      <c r="K61" s="7" t="s">
        <v>2019</v>
      </c>
      <c r="L61" s="7" t="s">
        <v>2027</v>
      </c>
      <c r="M61" s="7" t="s">
        <v>2029</v>
      </c>
      <c r="N61" s="7" t="s">
        <v>2141</v>
      </c>
      <c r="O61" s="7" t="s">
        <v>2029</v>
      </c>
      <c r="P61" s="7" t="s">
        <v>2025</v>
      </c>
      <c r="Q61" t="s">
        <v>92</v>
      </c>
      <c r="R61" s="7" t="s">
        <v>2138</v>
      </c>
      <c r="S61" t="str">
        <f xml:space="preserve"> HYPERLINK("ReviewHtml/review_Blame!.html", "https://2danicritic.github.io/ReviewHtml/review_Blame!.html")</f>
        <v>https://2danicritic.github.io/ReviewHtml/review_Blame!.html</v>
      </c>
      <c r="U61" s="5">
        <f t="shared" si="0"/>
        <v>2.5</v>
      </c>
    </row>
    <row r="62" spans="2:21" x14ac:dyDescent="0.35">
      <c r="B62" s="7" t="s">
        <v>2172</v>
      </c>
      <c r="C62" t="s">
        <v>1369</v>
      </c>
      <c r="D62" s="7" t="s">
        <v>2102</v>
      </c>
      <c r="E62" t="s">
        <v>1555</v>
      </c>
      <c r="F62" t="s">
        <v>1423</v>
      </c>
      <c r="G62" t="s">
        <v>1560</v>
      </c>
      <c r="H62" t="s">
        <v>1437</v>
      </c>
      <c r="I62" s="7">
        <v>2.5</v>
      </c>
      <c r="J62" s="7" t="s">
        <v>2029</v>
      </c>
      <c r="K62" s="7" t="s">
        <v>2029</v>
      </c>
      <c r="L62" s="7" t="s">
        <v>2020</v>
      </c>
      <c r="M62" s="7" t="s">
        <v>2027</v>
      </c>
      <c r="N62" s="7" t="s">
        <v>2019</v>
      </c>
      <c r="O62" s="7" t="s">
        <v>2019</v>
      </c>
      <c r="P62" s="7" t="s">
        <v>2029</v>
      </c>
      <c r="Q62" t="s">
        <v>1334</v>
      </c>
      <c r="R62" s="7" t="s">
        <v>2049</v>
      </c>
      <c r="S62" t="str">
        <f xml:space="preserve"> HYPERLINK("ReviewHtml/review_Blazblue_-_Alter_Memory.html", "https://2danicritic.github.io/ReviewHtml/review_Blazblue_-_Alter_Memory.html")</f>
        <v>https://2danicritic.github.io/ReviewHtml/review_Blazblue_-_Alter_Memory.html</v>
      </c>
      <c r="U62" s="5">
        <f t="shared" si="0"/>
        <v>2.5</v>
      </c>
    </row>
    <row r="63" spans="2:21" x14ac:dyDescent="0.35">
      <c r="B63" s="7" t="s">
        <v>2173</v>
      </c>
      <c r="C63" t="s">
        <v>731</v>
      </c>
      <c r="D63" s="7" t="s">
        <v>2174</v>
      </c>
      <c r="E63" t="s">
        <v>1555</v>
      </c>
      <c r="F63" t="s">
        <v>732</v>
      </c>
      <c r="G63" t="s">
        <v>1558</v>
      </c>
      <c r="H63" t="s">
        <v>733</v>
      </c>
      <c r="I63" s="7">
        <v>2.57</v>
      </c>
      <c r="J63" s="7" t="s">
        <v>2020</v>
      </c>
      <c r="K63" s="7" t="s">
        <v>2029</v>
      </c>
      <c r="L63" s="7" t="s">
        <v>2020</v>
      </c>
      <c r="M63" s="7" t="s">
        <v>2029</v>
      </c>
      <c r="N63" s="7" t="s">
        <v>2029</v>
      </c>
      <c r="O63" s="7" t="s">
        <v>2020</v>
      </c>
      <c r="P63" s="7" t="s">
        <v>2020</v>
      </c>
      <c r="Q63" t="s">
        <v>93</v>
      </c>
      <c r="R63" s="7" t="s">
        <v>2145</v>
      </c>
      <c r="S63" t="str">
        <f xml:space="preserve"> HYPERLINK("ReviewHtml/review_Blood_-_The_Last_Vampire.html", "https://2danicritic.github.io/ReviewHtml/review_Blood_-_The_Last_Vampire.html")</f>
        <v>https://2danicritic.github.io/ReviewHtml/review_Blood_-_The_Last_Vampire.html</v>
      </c>
      <c r="U63" s="5">
        <f t="shared" si="0"/>
        <v>2.57</v>
      </c>
    </row>
    <row r="64" spans="2:21" x14ac:dyDescent="0.35">
      <c r="B64" s="7" t="s">
        <v>2175</v>
      </c>
      <c r="C64" t="s">
        <v>734</v>
      </c>
      <c r="D64" s="7" t="s">
        <v>2095</v>
      </c>
      <c r="E64" t="s">
        <v>1555</v>
      </c>
      <c r="F64" t="s">
        <v>735</v>
      </c>
      <c r="G64" t="s">
        <v>1560</v>
      </c>
      <c r="H64" t="s">
        <v>736</v>
      </c>
      <c r="I64" s="7">
        <v>4.1399999999999997</v>
      </c>
      <c r="J64" s="7" t="s">
        <v>2027</v>
      </c>
      <c r="K64" s="7" t="s">
        <v>2025</v>
      </c>
      <c r="L64" s="7" t="s">
        <v>2025</v>
      </c>
      <c r="M64" s="7" t="s">
        <v>2025</v>
      </c>
      <c r="N64" s="7" t="s">
        <v>2025</v>
      </c>
      <c r="O64" s="7" t="s">
        <v>2026</v>
      </c>
      <c r="P64" s="7" t="s">
        <v>2033</v>
      </c>
      <c r="Q64" t="s">
        <v>94</v>
      </c>
      <c r="R64" s="7" t="s">
        <v>2021</v>
      </c>
      <c r="S64" t="str">
        <f xml:space="preserve"> HYPERLINK("ReviewHtml/review_Blood_Blockade_Battlefront.html", "https://2danicritic.github.io/ReviewHtml/review_Blood_Blockade_Battlefront.html")</f>
        <v>https://2danicritic.github.io/ReviewHtml/review_Blood_Blockade_Battlefront.html</v>
      </c>
      <c r="U64" s="5">
        <f t="shared" si="0"/>
        <v>4.1399999999999997</v>
      </c>
    </row>
    <row r="65" spans="2:21" x14ac:dyDescent="0.35">
      <c r="B65" s="7" t="s">
        <v>2176</v>
      </c>
      <c r="C65" t="s">
        <v>737</v>
      </c>
      <c r="D65" s="7" t="s">
        <v>2017</v>
      </c>
      <c r="E65" t="s">
        <v>1555</v>
      </c>
      <c r="F65" t="s">
        <v>735</v>
      </c>
      <c r="G65" t="s">
        <v>1560</v>
      </c>
      <c r="H65" t="s">
        <v>112</v>
      </c>
      <c r="I65" s="7">
        <v>4.29</v>
      </c>
      <c r="J65" s="7" t="s">
        <v>2025</v>
      </c>
      <c r="K65" s="7" t="s">
        <v>2025</v>
      </c>
      <c r="L65" s="7" t="s">
        <v>2026</v>
      </c>
      <c r="M65" s="7" t="s">
        <v>2025</v>
      </c>
      <c r="N65" s="7" t="s">
        <v>2025</v>
      </c>
      <c r="O65" s="7" t="s">
        <v>2026</v>
      </c>
      <c r="P65" s="7" t="s">
        <v>2033</v>
      </c>
      <c r="Q65" t="s">
        <v>340</v>
      </c>
      <c r="R65" s="7" t="s">
        <v>2049</v>
      </c>
      <c r="S65" t="str">
        <f xml:space="preserve"> HYPERLINK("ReviewHtml/review_Blood_Blockade_Battlefront_&amp;_Beyond.html", "https://2danicritic.github.io/ReviewHtml/review_Blood_Blockade_Battlefront_&amp;_Beyond.html")</f>
        <v>https://2danicritic.github.io/ReviewHtml/review_Blood_Blockade_Battlefront_&amp;_Beyond.html</v>
      </c>
      <c r="U65" s="5">
        <f t="shared" si="0"/>
        <v>4.29</v>
      </c>
    </row>
    <row r="66" spans="2:21" x14ac:dyDescent="0.35">
      <c r="B66" s="7" t="s">
        <v>2028</v>
      </c>
      <c r="C66" t="s">
        <v>738</v>
      </c>
      <c r="D66" s="7" t="s">
        <v>2041</v>
      </c>
      <c r="E66" t="s">
        <v>1555</v>
      </c>
      <c r="F66" t="s">
        <v>732</v>
      </c>
      <c r="G66" t="s">
        <v>1558</v>
      </c>
      <c r="H66" t="s">
        <v>739</v>
      </c>
      <c r="I66" s="7">
        <v>2.36</v>
      </c>
      <c r="J66" s="7" t="s">
        <v>2027</v>
      </c>
      <c r="K66" s="7" t="s">
        <v>2027</v>
      </c>
      <c r="L66" s="7" t="s">
        <v>2029</v>
      </c>
      <c r="M66" s="7" t="s">
        <v>2141</v>
      </c>
      <c r="N66" s="7" t="s">
        <v>2029</v>
      </c>
      <c r="O66" s="7" t="s">
        <v>2029</v>
      </c>
      <c r="P66" s="7" t="s">
        <v>2029</v>
      </c>
      <c r="Q66" t="s">
        <v>95</v>
      </c>
      <c r="R66" s="7" t="s">
        <v>2178</v>
      </c>
      <c r="S66" t="str">
        <f xml:space="preserve"> HYPERLINK("ReviewHtml/review_Blood-C_-_The_Last_Dark.html", "https://2danicritic.github.io/ReviewHtml/review_Blood-C_-_The_Last_Dark.html")</f>
        <v>https://2danicritic.github.io/ReviewHtml/review_Blood-C_-_The_Last_Dark.html</v>
      </c>
      <c r="U66" s="5">
        <f t="shared" si="0"/>
        <v>2.36</v>
      </c>
    </row>
    <row r="67" spans="2:21" x14ac:dyDescent="0.35">
      <c r="B67" s="7" t="s">
        <v>2179</v>
      </c>
      <c r="C67" t="s">
        <v>1370</v>
      </c>
      <c r="D67" s="7" t="s">
        <v>2180</v>
      </c>
      <c r="E67" t="s">
        <v>1555</v>
      </c>
      <c r="F67" t="s">
        <v>1424</v>
      </c>
      <c r="G67" t="s">
        <v>1560</v>
      </c>
      <c r="H67" t="s">
        <v>1019</v>
      </c>
      <c r="I67" s="7">
        <v>2.21</v>
      </c>
      <c r="J67" s="7" t="s">
        <v>2019</v>
      </c>
      <c r="K67" s="7" t="s">
        <v>2029</v>
      </c>
      <c r="L67" s="7" t="s">
        <v>2019</v>
      </c>
      <c r="M67" s="7" t="s">
        <v>2019</v>
      </c>
      <c r="N67" s="7" t="s">
        <v>2141</v>
      </c>
      <c r="O67" s="7" t="s">
        <v>2019</v>
      </c>
      <c r="P67" s="7" t="s">
        <v>2029</v>
      </c>
      <c r="Q67" t="s">
        <v>1335</v>
      </c>
      <c r="R67" s="7" t="s">
        <v>2182</v>
      </c>
      <c r="S67" t="str">
        <f xml:space="preserve"> HYPERLINK("ReviewHtml/review_Bludgeoning_Angel_Dokuro-Chan.html", "https://2danicritic.github.io/ReviewHtml/review_Bludgeoning_Angel_Dokuro-Chan.html")</f>
        <v>https://2danicritic.github.io/ReviewHtml/review_Bludgeoning_Angel_Dokuro-Chan.html</v>
      </c>
      <c r="U67" s="5">
        <f t="shared" si="0"/>
        <v>2.21</v>
      </c>
    </row>
    <row r="68" spans="2:21" x14ac:dyDescent="0.35">
      <c r="B68" s="7" t="s">
        <v>2036</v>
      </c>
      <c r="C68" t="s">
        <v>1785</v>
      </c>
      <c r="D68" s="7" t="s">
        <v>2023</v>
      </c>
      <c r="E68" t="s">
        <v>1555</v>
      </c>
      <c r="F68" t="s">
        <v>1157</v>
      </c>
      <c r="G68" t="s">
        <v>1560</v>
      </c>
      <c r="H68" t="s">
        <v>1786</v>
      </c>
      <c r="I68" s="7">
        <v>2.57</v>
      </c>
      <c r="J68" s="7" t="s">
        <v>2019</v>
      </c>
      <c r="K68" s="7" t="s">
        <v>2019</v>
      </c>
      <c r="L68" s="7" t="s">
        <v>2019</v>
      </c>
      <c r="M68" s="7" t="s">
        <v>2020</v>
      </c>
      <c r="N68" s="7" t="s">
        <v>2019</v>
      </c>
      <c r="O68" s="7" t="s">
        <v>2019</v>
      </c>
      <c r="P68" s="7" t="s">
        <v>2019</v>
      </c>
      <c r="Q68" t="s">
        <v>1758</v>
      </c>
      <c r="R68" s="7" t="s">
        <v>2021</v>
      </c>
      <c r="S68" t="str">
        <f xml:space="preserve"> HYPERLINK("ReviewHtml/review_Blue_Drop.html", "https://2danicritic.github.io/ReviewHtml/review_Blue_Drop.html")</f>
        <v>https://2danicritic.github.io/ReviewHtml/review_Blue_Drop.html</v>
      </c>
      <c r="U68" s="5">
        <f t="shared" ref="U68:U131" si="1">VALUE(I68)</f>
        <v>2.57</v>
      </c>
    </row>
    <row r="69" spans="2:21" x14ac:dyDescent="0.35">
      <c r="B69" s="7" t="s">
        <v>2183</v>
      </c>
      <c r="C69" t="s">
        <v>740</v>
      </c>
      <c r="D69" s="7" t="s">
        <v>2102</v>
      </c>
      <c r="E69" t="s">
        <v>1570</v>
      </c>
      <c r="F69" t="s">
        <v>741</v>
      </c>
      <c r="G69" t="s">
        <v>1558</v>
      </c>
      <c r="H69" t="s">
        <v>742</v>
      </c>
      <c r="I69" s="7">
        <v>2.93</v>
      </c>
      <c r="J69" s="7" t="s">
        <v>2020</v>
      </c>
      <c r="K69" s="7" t="s">
        <v>2025</v>
      </c>
      <c r="L69" s="7" t="s">
        <v>2019</v>
      </c>
      <c r="M69" s="7" t="s">
        <v>2019</v>
      </c>
      <c r="N69" s="7" t="s">
        <v>2027</v>
      </c>
      <c r="O69" s="7" t="s">
        <v>2029</v>
      </c>
      <c r="P69" s="7" t="s">
        <v>2020</v>
      </c>
      <c r="Q69" t="s">
        <v>96</v>
      </c>
      <c r="R69" s="7" t="s">
        <v>2085</v>
      </c>
      <c r="S69" t="str">
        <f xml:space="preserve"> HYPERLINK("ReviewHtml/review_Boy_and_the_World.html", "https://2danicritic.github.io/ReviewHtml/review_Boy_and_the_World.html")</f>
        <v>https://2danicritic.github.io/ReviewHtml/review_Boy_and_the_World.html</v>
      </c>
      <c r="U69" s="5">
        <f t="shared" si="1"/>
        <v>2.93</v>
      </c>
    </row>
    <row r="70" spans="2:21" x14ac:dyDescent="0.35">
      <c r="B70" s="7" t="s">
        <v>2184</v>
      </c>
      <c r="C70" t="s">
        <v>743</v>
      </c>
      <c r="D70" s="7" t="s">
        <v>2041</v>
      </c>
      <c r="E70" t="s">
        <v>1555</v>
      </c>
      <c r="F70" t="s">
        <v>695</v>
      </c>
      <c r="G70" t="s">
        <v>1560</v>
      </c>
      <c r="H70" t="s">
        <v>744</v>
      </c>
      <c r="I70" s="7">
        <v>3.43</v>
      </c>
      <c r="J70" s="7" t="s">
        <v>2027</v>
      </c>
      <c r="K70" s="7" t="s">
        <v>2027</v>
      </c>
      <c r="L70" s="7" t="s">
        <v>2027</v>
      </c>
      <c r="M70" s="7" t="s">
        <v>2020</v>
      </c>
      <c r="N70" s="7" t="s">
        <v>2020</v>
      </c>
      <c r="O70" s="7" t="s">
        <v>2027</v>
      </c>
      <c r="P70" s="7" t="s">
        <v>2025</v>
      </c>
      <c r="Q70" t="s">
        <v>93</v>
      </c>
      <c r="R70" s="7" t="s">
        <v>2049</v>
      </c>
      <c r="S70" t="str">
        <f xml:space="preserve"> HYPERLINK("ReviewHtml/review_Btooom!.html", "https://2danicritic.github.io/ReviewHtml/review_Btooom!.html")</f>
        <v>https://2danicritic.github.io/ReviewHtml/review_Btooom!.html</v>
      </c>
      <c r="U70" s="5">
        <f t="shared" si="1"/>
        <v>3.43</v>
      </c>
    </row>
    <row r="71" spans="2:21" x14ac:dyDescent="0.35">
      <c r="B71" s="7" t="s">
        <v>2185</v>
      </c>
      <c r="C71" t="s">
        <v>1715</v>
      </c>
      <c r="D71" s="7" t="s">
        <v>2135</v>
      </c>
      <c r="E71" t="s">
        <v>1567</v>
      </c>
      <c r="F71" t="s">
        <v>1716</v>
      </c>
      <c r="G71" t="s">
        <v>1558</v>
      </c>
      <c r="H71" t="s">
        <v>1717</v>
      </c>
      <c r="I71" s="7">
        <v>3.14</v>
      </c>
      <c r="J71" s="7" t="s">
        <v>2029</v>
      </c>
      <c r="K71" s="7" t="s">
        <v>2020</v>
      </c>
      <c r="L71" s="7" t="s">
        <v>2027</v>
      </c>
      <c r="M71" s="7" t="s">
        <v>2027</v>
      </c>
      <c r="N71" s="7" t="s">
        <v>2027</v>
      </c>
      <c r="O71" s="7" t="s">
        <v>2027</v>
      </c>
      <c r="P71" s="7" t="s">
        <v>2020</v>
      </c>
      <c r="Q71" t="s">
        <v>337</v>
      </c>
      <c r="R71" s="7" t="s">
        <v>2126</v>
      </c>
      <c r="S71" t="str">
        <f xml:space="preserve"> HYPERLINK("ReviewHtml/review_Bunuel_in_the_Labyrinth_of_the_Turtles.html", "https://2danicritic.github.io/ReviewHtml/review_Bunuel_in_the_Labyrinth_of_the_Turtles.html")</f>
        <v>https://2danicritic.github.io/ReviewHtml/review_Bunuel_in_the_Labyrinth_of_the_Turtles.html</v>
      </c>
      <c r="U71" s="5">
        <f t="shared" si="1"/>
        <v>3.14</v>
      </c>
    </row>
    <row r="72" spans="2:21" x14ac:dyDescent="0.35">
      <c r="B72" s="7" t="s">
        <v>2186</v>
      </c>
      <c r="C72" t="s">
        <v>1371</v>
      </c>
      <c r="D72" s="7" t="s">
        <v>2037</v>
      </c>
      <c r="E72" t="s">
        <v>1555</v>
      </c>
      <c r="F72" t="s">
        <v>1011</v>
      </c>
      <c r="G72" t="s">
        <v>1560</v>
      </c>
      <c r="H72" t="s">
        <v>683</v>
      </c>
      <c r="I72" s="7">
        <v>3.14</v>
      </c>
      <c r="J72" s="7" t="s">
        <v>2020</v>
      </c>
      <c r="K72" s="7" t="s">
        <v>2027</v>
      </c>
      <c r="L72" s="7" t="s">
        <v>2027</v>
      </c>
      <c r="M72" s="7" t="s">
        <v>2020</v>
      </c>
      <c r="N72" s="7" t="s">
        <v>2020</v>
      </c>
      <c r="O72" s="7" t="s">
        <v>2027</v>
      </c>
      <c r="P72" s="7" t="s">
        <v>2019</v>
      </c>
      <c r="Q72" t="s">
        <v>193</v>
      </c>
      <c r="R72" s="7" t="s">
        <v>2133</v>
      </c>
      <c r="S72" t="str">
        <f xml:space="preserve"> HYPERLINK("ReviewHtml/review_C_-_Control_-_Money_of_Soul_and_Possibility.html", "https://2danicritic.github.io/ReviewHtml/review_C_-_Control_-_Money_of_Soul_and_Possibility.html")</f>
        <v>https://2danicritic.github.io/ReviewHtml/review_C_-_Control_-_Money_of_Soul_and_Possibility.html</v>
      </c>
      <c r="U72" s="5">
        <f t="shared" si="1"/>
        <v>3.14</v>
      </c>
    </row>
    <row r="73" spans="2:21" x14ac:dyDescent="0.35">
      <c r="B73" s="7" t="s">
        <v>2093</v>
      </c>
      <c r="C73" t="s">
        <v>2187</v>
      </c>
      <c r="D73" s="7" t="s">
        <v>2188</v>
      </c>
      <c r="E73" t="s">
        <v>1559</v>
      </c>
      <c r="F73" t="s">
        <v>2189</v>
      </c>
      <c r="G73" t="s">
        <v>1558</v>
      </c>
      <c r="H73" t="s">
        <v>1447</v>
      </c>
      <c r="I73" s="7">
        <v>3.43</v>
      </c>
      <c r="J73" s="7" t="s">
        <v>2020</v>
      </c>
      <c r="K73" s="7" t="s">
        <v>2027</v>
      </c>
      <c r="L73" s="7" t="s">
        <v>2027</v>
      </c>
      <c r="M73" s="7" t="s">
        <v>2027</v>
      </c>
      <c r="N73" s="7" t="s">
        <v>2027</v>
      </c>
      <c r="O73" s="7" t="s">
        <v>2027</v>
      </c>
      <c r="P73" s="7" t="s">
        <v>2027</v>
      </c>
      <c r="Q73" t="s">
        <v>1318</v>
      </c>
      <c r="R73" s="7" t="s">
        <v>2190</v>
      </c>
      <c r="S73" t="str">
        <f xml:space="preserve"> HYPERLINK("ReviewHtml/review_Calamity_-_A_Childhood_of_Martha_Jane_Cannary.html", "https://2danicritic.github.io/ReviewHtml/review_Calamity_-_A_Childhood_of_Martha_Jane_Cannary.html")</f>
        <v>https://2danicritic.github.io/ReviewHtml/review_Calamity_-_A_Childhood_of_Martha_Jane_Cannary.html</v>
      </c>
      <c r="U73" s="5">
        <f t="shared" si="1"/>
        <v>3.43</v>
      </c>
    </row>
    <row r="74" spans="2:21" x14ac:dyDescent="0.35">
      <c r="B74" s="7" t="s">
        <v>2191</v>
      </c>
      <c r="C74" t="s">
        <v>745</v>
      </c>
      <c r="D74" s="7" t="s">
        <v>2066</v>
      </c>
      <c r="E74" t="s">
        <v>1555</v>
      </c>
      <c r="F74" t="s">
        <v>675</v>
      </c>
      <c r="G74" t="s">
        <v>1560</v>
      </c>
      <c r="H74" t="s">
        <v>746</v>
      </c>
      <c r="I74" s="7">
        <v>3.14</v>
      </c>
      <c r="J74" s="7" t="s">
        <v>2027</v>
      </c>
      <c r="K74" s="7" t="s">
        <v>2027</v>
      </c>
      <c r="L74" s="7" t="s">
        <v>2020</v>
      </c>
      <c r="M74" s="7" t="s">
        <v>2019</v>
      </c>
      <c r="N74" s="7" t="s">
        <v>2019</v>
      </c>
      <c r="O74" s="7" t="s">
        <v>2020</v>
      </c>
      <c r="P74" s="7" t="s">
        <v>2025</v>
      </c>
      <c r="Q74" t="s">
        <v>97</v>
      </c>
      <c r="R74" s="7" t="s">
        <v>2021</v>
      </c>
      <c r="S74" t="str">
        <f xml:space="preserve"> HYPERLINK("ReviewHtml/review_Canaan.html", "https://2danicritic.github.io/ReviewHtml/review_Canaan.html")</f>
        <v>https://2danicritic.github.io/ReviewHtml/review_Canaan.html</v>
      </c>
      <c r="U74" s="5">
        <f t="shared" si="1"/>
        <v>3.14</v>
      </c>
    </row>
    <row r="75" spans="2:21" x14ac:dyDescent="0.35">
      <c r="B75" s="7" t="s">
        <v>2192</v>
      </c>
      <c r="C75" t="s">
        <v>747</v>
      </c>
      <c r="D75" s="7" t="s">
        <v>2084</v>
      </c>
      <c r="E75" t="s">
        <v>1555</v>
      </c>
      <c r="F75" t="s">
        <v>748</v>
      </c>
      <c r="G75" t="s">
        <v>1558</v>
      </c>
      <c r="H75" t="s">
        <v>749</v>
      </c>
      <c r="I75" s="7">
        <v>4</v>
      </c>
      <c r="J75" s="7" t="s">
        <v>2027</v>
      </c>
      <c r="K75" s="7" t="s">
        <v>2027</v>
      </c>
      <c r="L75" s="7" t="s">
        <v>2026</v>
      </c>
      <c r="M75" s="7" t="s">
        <v>2027</v>
      </c>
      <c r="N75" s="7" t="s">
        <v>2025</v>
      </c>
      <c r="O75" s="7" t="s">
        <v>2025</v>
      </c>
      <c r="P75" s="7" t="s">
        <v>2033</v>
      </c>
      <c r="Q75" t="s">
        <v>98</v>
      </c>
      <c r="R75" s="7" t="s">
        <v>2193</v>
      </c>
      <c r="S75" t="str">
        <f xml:space="preserve"> HYPERLINK("ReviewHtml/review_Castle_in_the_Sky.html", "https://2danicritic.github.io/ReviewHtml/review_Castle_in_the_Sky.html")</f>
        <v>https://2danicritic.github.io/ReviewHtml/review_Castle_in_the_Sky.html</v>
      </c>
      <c r="U75" s="5">
        <f t="shared" si="1"/>
        <v>4</v>
      </c>
    </row>
    <row r="76" spans="2:21" x14ac:dyDescent="0.35">
      <c r="B76" s="7" t="s">
        <v>2194</v>
      </c>
      <c r="C76" t="s">
        <v>1891</v>
      </c>
      <c r="D76" s="7" t="s">
        <v>2095</v>
      </c>
      <c r="E76" t="s">
        <v>1555</v>
      </c>
      <c r="F76" t="s">
        <v>1892</v>
      </c>
      <c r="G76" t="s">
        <v>1560</v>
      </c>
      <c r="H76" t="s">
        <v>1893</v>
      </c>
      <c r="I76" s="7">
        <v>3.21</v>
      </c>
      <c r="J76" s="7" t="s">
        <v>2019</v>
      </c>
      <c r="K76" s="7" t="s">
        <v>2020</v>
      </c>
      <c r="L76" s="7" t="s">
        <v>2027</v>
      </c>
      <c r="M76" s="7" t="s">
        <v>2020</v>
      </c>
      <c r="N76" s="7" t="s">
        <v>2020</v>
      </c>
      <c r="O76" s="7" t="s">
        <v>2025</v>
      </c>
      <c r="P76" s="7" t="s">
        <v>2027</v>
      </c>
      <c r="Q76" t="s">
        <v>1868</v>
      </c>
      <c r="R76" s="7" t="s">
        <v>2049</v>
      </c>
      <c r="S76" t="str">
        <f xml:space="preserve"> HYPERLINK("ReviewHtml/review_Castle_Town_Dandelion.html", "https://2danicritic.github.io/ReviewHtml/review_Castle_Town_Dandelion.html")</f>
        <v>https://2danicritic.github.io/ReviewHtml/review_Castle_Town_Dandelion.html</v>
      </c>
      <c r="U76" s="5">
        <f t="shared" si="1"/>
        <v>3.21</v>
      </c>
    </row>
    <row r="77" spans="2:21" x14ac:dyDescent="0.35">
      <c r="B77" s="7" t="s">
        <v>2088</v>
      </c>
      <c r="C77" t="s">
        <v>750</v>
      </c>
      <c r="D77" s="7" t="s">
        <v>2035</v>
      </c>
      <c r="E77" t="s">
        <v>1555</v>
      </c>
      <c r="F77" t="s">
        <v>751</v>
      </c>
      <c r="G77" t="s">
        <v>1560</v>
      </c>
      <c r="H77" t="s">
        <v>752</v>
      </c>
      <c r="I77" s="7">
        <v>3.43</v>
      </c>
      <c r="J77" s="7" t="s">
        <v>2020</v>
      </c>
      <c r="K77" s="7" t="s">
        <v>2027</v>
      </c>
      <c r="L77" s="7" t="s">
        <v>2027</v>
      </c>
      <c r="M77" s="7" t="s">
        <v>2027</v>
      </c>
      <c r="N77" s="7" t="s">
        <v>2019</v>
      </c>
      <c r="O77" s="7" t="s">
        <v>2025</v>
      </c>
      <c r="P77" s="7" t="s">
        <v>2025</v>
      </c>
      <c r="Q77" t="s">
        <v>99</v>
      </c>
      <c r="R77" s="7" t="s">
        <v>2021</v>
      </c>
      <c r="S77" t="str">
        <f xml:space="preserve"> HYPERLINK("ReviewHtml/review_Cat_Planet_Cuties.html", "https://2danicritic.github.io/ReviewHtml/review_Cat_Planet_Cuties.html")</f>
        <v>https://2danicritic.github.io/ReviewHtml/review_Cat_Planet_Cuties.html</v>
      </c>
      <c r="U77" s="5">
        <f t="shared" si="1"/>
        <v>3.43</v>
      </c>
    </row>
    <row r="78" spans="2:21" x14ac:dyDescent="0.35">
      <c r="B78" s="7" t="s">
        <v>2195</v>
      </c>
      <c r="C78" t="s">
        <v>753</v>
      </c>
      <c r="D78" s="7" t="s">
        <v>2074</v>
      </c>
      <c r="E78" t="s">
        <v>1555</v>
      </c>
      <c r="F78" t="s">
        <v>671</v>
      </c>
      <c r="G78" t="s">
        <v>1561</v>
      </c>
      <c r="H78" t="s">
        <v>754</v>
      </c>
      <c r="I78" s="7">
        <v>3.5</v>
      </c>
      <c r="J78" s="7" t="s">
        <v>2025</v>
      </c>
      <c r="K78" s="7" t="s">
        <v>2025</v>
      </c>
      <c r="L78" s="7" t="s">
        <v>2029</v>
      </c>
      <c r="M78" s="7" t="s">
        <v>2020</v>
      </c>
      <c r="N78" s="7" t="s">
        <v>2020</v>
      </c>
      <c r="O78" s="7" t="s">
        <v>2025</v>
      </c>
      <c r="P78" s="7" t="s">
        <v>2026</v>
      </c>
      <c r="Q78" t="s">
        <v>100</v>
      </c>
      <c r="R78" s="7" t="s">
        <v>2120</v>
      </c>
      <c r="S78" t="str">
        <f xml:space="preserve"> HYPERLINK("ReviewHtml/review_Cat_Soup.html", "https://2danicritic.github.io/ReviewHtml/review_Cat_Soup.html")</f>
        <v>https://2danicritic.github.io/ReviewHtml/review_Cat_Soup.html</v>
      </c>
      <c r="U78" s="5">
        <f t="shared" si="1"/>
        <v>3.5</v>
      </c>
    </row>
    <row r="79" spans="2:21" x14ac:dyDescent="0.35">
      <c r="B79" s="7" t="s">
        <v>2151</v>
      </c>
      <c r="C79" t="s">
        <v>755</v>
      </c>
      <c r="D79" s="7" t="s">
        <v>2035</v>
      </c>
      <c r="E79" t="s">
        <v>1567</v>
      </c>
      <c r="F79" t="s">
        <v>756</v>
      </c>
      <c r="G79" t="s">
        <v>1558</v>
      </c>
      <c r="H79" t="s">
        <v>757</v>
      </c>
      <c r="I79" s="7">
        <v>3.57</v>
      </c>
      <c r="J79" s="7" t="s">
        <v>2025</v>
      </c>
      <c r="K79" s="7" t="s">
        <v>2025</v>
      </c>
      <c r="L79" s="7" t="s">
        <v>2026</v>
      </c>
      <c r="M79" s="7" t="s">
        <v>2027</v>
      </c>
      <c r="N79" s="7" t="s">
        <v>2020</v>
      </c>
      <c r="O79" s="7" t="s">
        <v>2020</v>
      </c>
      <c r="P79" s="7" t="s">
        <v>2020</v>
      </c>
      <c r="Q79" t="s">
        <v>101</v>
      </c>
      <c r="R79" s="7" t="s">
        <v>2196</v>
      </c>
      <c r="S79" t="str">
        <f xml:space="preserve"> HYPERLINK("ReviewHtml/review_Chico_and_Rita.html", "https://2danicritic.github.io/ReviewHtml/review_Chico_and_Rita.html")</f>
        <v>https://2danicritic.github.io/ReviewHtml/review_Chico_and_Rita.html</v>
      </c>
      <c r="U79" s="5">
        <f t="shared" si="1"/>
        <v>3.57</v>
      </c>
    </row>
    <row r="80" spans="2:21" x14ac:dyDescent="0.35">
      <c r="B80" s="7" t="s">
        <v>2126</v>
      </c>
      <c r="C80" t="s">
        <v>1894</v>
      </c>
      <c r="D80" s="7" t="s">
        <v>2197</v>
      </c>
      <c r="E80" t="s">
        <v>1555</v>
      </c>
      <c r="F80" t="s">
        <v>703</v>
      </c>
      <c r="G80" t="s">
        <v>1558</v>
      </c>
      <c r="H80" t="s">
        <v>1895</v>
      </c>
      <c r="I80" s="7">
        <v>3.36</v>
      </c>
      <c r="J80" s="7" t="s">
        <v>2027</v>
      </c>
      <c r="K80" s="7" t="s">
        <v>2026</v>
      </c>
      <c r="L80" s="7" t="s">
        <v>2025</v>
      </c>
      <c r="M80" s="7" t="s">
        <v>2020</v>
      </c>
      <c r="N80" s="7" t="s">
        <v>2019</v>
      </c>
      <c r="O80" s="7" t="s">
        <v>2019</v>
      </c>
      <c r="P80" s="7" t="s">
        <v>2027</v>
      </c>
      <c r="Q80" t="s">
        <v>1869</v>
      </c>
      <c r="R80" s="7" t="s">
        <v>2198</v>
      </c>
      <c r="S80" t="str">
        <f xml:space="preserve"> HYPERLINK("ReviewHtml/review_Children_of_the_Sea.html", "https://2danicritic.github.io/ReviewHtml/review_Children_of_the_Sea.html")</f>
        <v>https://2danicritic.github.io/ReviewHtml/review_Children_of_the_Sea.html</v>
      </c>
      <c r="U80" s="5">
        <f t="shared" si="1"/>
        <v>3.36</v>
      </c>
    </row>
    <row r="81" spans="2:21" x14ac:dyDescent="0.35">
      <c r="B81" s="7" t="s">
        <v>2199</v>
      </c>
      <c r="C81" t="s">
        <v>758</v>
      </c>
      <c r="D81" s="7" t="s">
        <v>2037</v>
      </c>
      <c r="E81" t="s">
        <v>1555</v>
      </c>
      <c r="F81" t="s">
        <v>653</v>
      </c>
      <c r="G81" t="s">
        <v>1558</v>
      </c>
      <c r="H81" t="s">
        <v>654</v>
      </c>
      <c r="I81" s="7">
        <v>3.57</v>
      </c>
      <c r="J81" s="7" t="s">
        <v>2027</v>
      </c>
      <c r="K81" s="7" t="s">
        <v>2025</v>
      </c>
      <c r="L81" s="7" t="s">
        <v>2027</v>
      </c>
      <c r="M81" s="7" t="s">
        <v>2020</v>
      </c>
      <c r="N81" s="7" t="s">
        <v>2027</v>
      </c>
      <c r="O81" s="7" t="s">
        <v>2027</v>
      </c>
      <c r="P81" s="7" t="s">
        <v>2025</v>
      </c>
      <c r="Q81" t="s">
        <v>102</v>
      </c>
      <c r="R81" s="7" t="s">
        <v>2200</v>
      </c>
      <c r="S81" t="str">
        <f xml:space="preserve"> HYPERLINK("ReviewHtml/review_Children_Who_Chase_Lost_Voices.html", "https://2danicritic.github.io/ReviewHtml/review_Children_Who_Chase_Lost_Voices.html")</f>
        <v>https://2danicritic.github.io/ReviewHtml/review_Children_Who_Chase_Lost_Voices.html</v>
      </c>
      <c r="U81" s="5">
        <f t="shared" si="1"/>
        <v>3.57</v>
      </c>
    </row>
    <row r="82" spans="2:21" x14ac:dyDescent="0.35">
      <c r="B82" s="7" t="s">
        <v>2201</v>
      </c>
      <c r="C82" t="s">
        <v>1787</v>
      </c>
      <c r="D82" s="7" t="s">
        <v>2095</v>
      </c>
      <c r="E82" t="s">
        <v>1555</v>
      </c>
      <c r="F82" t="s">
        <v>799</v>
      </c>
      <c r="G82" t="s">
        <v>1560</v>
      </c>
      <c r="H82" t="s">
        <v>1759</v>
      </c>
      <c r="I82" s="7">
        <v>3.07</v>
      </c>
      <c r="J82" s="7" t="s">
        <v>2020</v>
      </c>
      <c r="K82" s="7" t="s">
        <v>2020</v>
      </c>
      <c r="L82" s="7" t="s">
        <v>2020</v>
      </c>
      <c r="M82" s="7" t="s">
        <v>2020</v>
      </c>
      <c r="N82" s="7" t="s">
        <v>2020</v>
      </c>
      <c r="O82" s="7" t="s">
        <v>2027</v>
      </c>
      <c r="P82" s="7" t="s">
        <v>2020</v>
      </c>
      <c r="Q82" t="s">
        <v>157</v>
      </c>
      <c r="R82" s="7" t="s">
        <v>2049</v>
      </c>
      <c r="S82" t="str">
        <f xml:space="preserve"> HYPERLINK("ReviewHtml/review_Chivalry_of_a_Failed_Knight.html", "https://2danicritic.github.io/ReviewHtml/review_Chivalry_of_a_Failed_Knight.html")</f>
        <v>https://2danicritic.github.io/ReviewHtml/review_Chivalry_of_a_Failed_Knight.html</v>
      </c>
      <c r="U82" s="5">
        <f t="shared" si="1"/>
        <v>3.07</v>
      </c>
    </row>
    <row r="83" spans="2:21" x14ac:dyDescent="0.35">
      <c r="B83" s="7" t="s">
        <v>2085</v>
      </c>
      <c r="C83" t="s">
        <v>1896</v>
      </c>
      <c r="D83" s="7" t="s">
        <v>2197</v>
      </c>
      <c r="E83" t="s">
        <v>1555</v>
      </c>
      <c r="F83" t="s">
        <v>760</v>
      </c>
      <c r="G83" t="s">
        <v>1558</v>
      </c>
      <c r="H83" t="s">
        <v>1897</v>
      </c>
      <c r="I83" s="7">
        <v>3.07</v>
      </c>
      <c r="J83" s="7" t="s">
        <v>2020</v>
      </c>
      <c r="K83" s="7" t="s">
        <v>2020</v>
      </c>
      <c r="L83" s="7" t="s">
        <v>2025</v>
      </c>
      <c r="M83" s="7" t="s">
        <v>2027</v>
      </c>
      <c r="N83" s="7" t="s">
        <v>2029</v>
      </c>
      <c r="O83" s="7" t="s">
        <v>2027</v>
      </c>
      <c r="P83" s="7" t="s">
        <v>2019</v>
      </c>
      <c r="Q83" t="s">
        <v>1870</v>
      </c>
      <c r="R83" s="7" t="s">
        <v>2112</v>
      </c>
      <c r="S83" t="str">
        <f xml:space="preserve"> HYPERLINK("ReviewHtml/review_City_Hunter_-_Shinjuku_Private_Eyes.html", "https://2danicritic.github.io/ReviewHtml/review_City_Hunter_-_Shinjuku_Private_Eyes.html")</f>
        <v>https://2danicritic.github.io/ReviewHtml/review_City_Hunter_-_Shinjuku_Private_Eyes.html</v>
      </c>
      <c r="U83" s="5">
        <f t="shared" si="1"/>
        <v>3.07</v>
      </c>
    </row>
    <row r="84" spans="2:21" x14ac:dyDescent="0.35">
      <c r="B84" s="7" t="s">
        <v>2202</v>
      </c>
      <c r="C84" t="s">
        <v>1959</v>
      </c>
      <c r="D84" s="7" t="s">
        <v>2023</v>
      </c>
      <c r="E84" t="s">
        <v>1555</v>
      </c>
      <c r="F84" t="s">
        <v>695</v>
      </c>
      <c r="G84" t="s">
        <v>1560</v>
      </c>
      <c r="H84" t="s">
        <v>1974</v>
      </c>
      <c r="I84" s="7">
        <v>3.14</v>
      </c>
      <c r="J84" s="7" t="s">
        <v>2029</v>
      </c>
      <c r="K84" s="7" t="s">
        <v>2020</v>
      </c>
      <c r="L84" s="7" t="s">
        <v>2027</v>
      </c>
      <c r="M84" s="7" t="s">
        <v>2020</v>
      </c>
      <c r="N84" s="7" t="s">
        <v>2027</v>
      </c>
      <c r="O84" s="7" t="s">
        <v>2027</v>
      </c>
      <c r="P84" s="7" t="s">
        <v>2027</v>
      </c>
      <c r="Q84" t="s">
        <v>1342</v>
      </c>
      <c r="R84" s="7" t="s">
        <v>2114</v>
      </c>
      <c r="S84" t="str">
        <f xml:space="preserve"> HYPERLINK("ReviewHtml/review_Claymore.html", "https://2danicritic.github.io/ReviewHtml/review_Claymore.html")</f>
        <v>https://2danicritic.github.io/ReviewHtml/review_Claymore.html</v>
      </c>
      <c r="U84" s="5">
        <f t="shared" si="1"/>
        <v>3.14</v>
      </c>
    </row>
    <row r="85" spans="2:21" x14ac:dyDescent="0.35">
      <c r="B85" s="7" t="s">
        <v>2190</v>
      </c>
      <c r="C85" t="s">
        <v>1898</v>
      </c>
      <c r="D85" s="7" t="s">
        <v>2203</v>
      </c>
      <c r="E85" t="s">
        <v>1555</v>
      </c>
      <c r="F85" t="s">
        <v>1889</v>
      </c>
      <c r="G85" t="s">
        <v>1558</v>
      </c>
      <c r="H85" t="s">
        <v>1871</v>
      </c>
      <c r="I85" s="7">
        <v>2.5</v>
      </c>
      <c r="J85" s="7" t="s">
        <v>2029</v>
      </c>
      <c r="K85" s="7" t="s">
        <v>2019</v>
      </c>
      <c r="L85" s="7" t="s">
        <v>2019</v>
      </c>
      <c r="M85" s="7" t="s">
        <v>2020</v>
      </c>
      <c r="N85" s="7" t="s">
        <v>2019</v>
      </c>
      <c r="O85" s="7" t="s">
        <v>2019</v>
      </c>
      <c r="P85" s="7" t="s">
        <v>2019</v>
      </c>
      <c r="Q85" t="s">
        <v>1872</v>
      </c>
      <c r="R85" s="7" t="s">
        <v>2204</v>
      </c>
      <c r="S85" t="str">
        <f xml:space="preserve"> HYPERLINK("ReviewHtml/review_Cleopatra.html", "https://2danicritic.github.io/ReviewHtml/review_Cleopatra.html")</f>
        <v>https://2danicritic.github.io/ReviewHtml/review_Cleopatra.html</v>
      </c>
      <c r="U85" s="5">
        <f t="shared" si="1"/>
        <v>2.5</v>
      </c>
    </row>
    <row r="86" spans="2:21" x14ac:dyDescent="0.35">
      <c r="B86" s="7" t="s">
        <v>2106</v>
      </c>
      <c r="C86" t="s">
        <v>759</v>
      </c>
      <c r="D86" s="7" t="s">
        <v>2095</v>
      </c>
      <c r="E86" t="s">
        <v>1555</v>
      </c>
      <c r="F86" t="s">
        <v>760</v>
      </c>
      <c r="G86" t="s">
        <v>1561</v>
      </c>
      <c r="H86" t="s">
        <v>761</v>
      </c>
      <c r="I86" s="7">
        <v>3.86</v>
      </c>
      <c r="J86" s="7" t="s">
        <v>2025</v>
      </c>
      <c r="K86" s="7" t="s">
        <v>2025</v>
      </c>
      <c r="L86" s="7" t="s">
        <v>2025</v>
      </c>
      <c r="M86" s="7" t="s">
        <v>2025</v>
      </c>
      <c r="N86" s="7" t="s">
        <v>2027</v>
      </c>
      <c r="O86" s="7" t="s">
        <v>2027</v>
      </c>
      <c r="P86" s="7" t="s">
        <v>2025</v>
      </c>
      <c r="Q86" t="s">
        <v>103</v>
      </c>
      <c r="R86" s="7" t="s">
        <v>2205</v>
      </c>
      <c r="S86" t="str">
        <f xml:space="preserve"> HYPERLINK("ReviewHtml/review_Code_Geass_-_Akito_the_Exiled.html", "https://2danicritic.github.io/ReviewHtml/review_Code_Geass_-_Akito_the_Exiled.html")</f>
        <v>https://2danicritic.github.io/ReviewHtml/review_Code_Geass_-_Akito_the_Exiled.html</v>
      </c>
      <c r="U86" s="5">
        <f t="shared" si="1"/>
        <v>3.86</v>
      </c>
    </row>
    <row r="87" spans="2:21" x14ac:dyDescent="0.35">
      <c r="B87" s="7" t="s">
        <v>2109</v>
      </c>
      <c r="C87" t="s">
        <v>762</v>
      </c>
      <c r="D87" s="7" t="s">
        <v>2051</v>
      </c>
      <c r="E87" t="s">
        <v>1555</v>
      </c>
      <c r="F87" t="s">
        <v>760</v>
      </c>
      <c r="G87" t="s">
        <v>1560</v>
      </c>
      <c r="H87" t="s">
        <v>763</v>
      </c>
      <c r="I87" s="7">
        <v>4.3600000000000003</v>
      </c>
      <c r="J87" s="7" t="s">
        <v>2027</v>
      </c>
      <c r="K87" s="7" t="s">
        <v>2025</v>
      </c>
      <c r="L87" s="7" t="s">
        <v>2026</v>
      </c>
      <c r="M87" s="7" t="s">
        <v>2026</v>
      </c>
      <c r="N87" s="7" t="s">
        <v>2026</v>
      </c>
      <c r="O87" s="7" t="s">
        <v>2026</v>
      </c>
      <c r="P87" s="7" t="s">
        <v>2033</v>
      </c>
      <c r="Q87" t="s">
        <v>104</v>
      </c>
      <c r="R87" s="7" t="s">
        <v>2206</v>
      </c>
      <c r="S87" t="str">
        <f xml:space="preserve"> HYPERLINK("ReviewHtml/review_Code_Geass_-_Lelouch_of_the_Rebellion.html", "https://2danicritic.github.io/ReviewHtml/review_Code_Geass_-_Lelouch_of_the_Rebellion.html")</f>
        <v>https://2danicritic.github.io/ReviewHtml/review_Code_Geass_-_Lelouch_of_the_Rebellion.html</v>
      </c>
      <c r="U87" s="5">
        <f t="shared" si="1"/>
        <v>4.3600000000000003</v>
      </c>
    </row>
    <row r="88" spans="2:21" x14ac:dyDescent="0.35">
      <c r="B88" s="7" t="s">
        <v>2043</v>
      </c>
      <c r="C88" t="s">
        <v>1258</v>
      </c>
      <c r="D88" s="7" t="s">
        <v>2017</v>
      </c>
      <c r="E88" t="s">
        <v>1555</v>
      </c>
      <c r="F88" t="s">
        <v>760</v>
      </c>
      <c r="G88" t="s">
        <v>1558</v>
      </c>
      <c r="H88" t="s">
        <v>763</v>
      </c>
      <c r="I88" s="7">
        <v>3.64</v>
      </c>
      <c r="J88" s="7" t="s">
        <v>2027</v>
      </c>
      <c r="K88" s="7" t="s">
        <v>2027</v>
      </c>
      <c r="L88" s="7" t="s">
        <v>2027</v>
      </c>
      <c r="M88" s="7" t="s">
        <v>2027</v>
      </c>
      <c r="N88" s="7" t="s">
        <v>2025</v>
      </c>
      <c r="O88" s="7" t="s">
        <v>2025</v>
      </c>
      <c r="P88" s="7" t="s">
        <v>2027</v>
      </c>
      <c r="Q88" t="s">
        <v>1188</v>
      </c>
      <c r="R88" s="7" t="s">
        <v>2207</v>
      </c>
      <c r="S88" t="str">
        <f xml:space="preserve"> HYPERLINK("ReviewHtml/review_Code_Geass_-_Lelouch_of_the_Rebellion_-_Movie_Trilogy.html", "https://2danicritic.github.io/ReviewHtml/review_Code_Geass_-_Lelouch_of_the_Rebellion_-_Movie_Trilogy.html")</f>
        <v>https://2danicritic.github.io/ReviewHtml/review_Code_Geass_-_Lelouch_of_the_Rebellion_-_Movie_Trilogy.html</v>
      </c>
      <c r="U88" s="5">
        <f t="shared" si="1"/>
        <v>3.64</v>
      </c>
    </row>
    <row r="89" spans="2:21" x14ac:dyDescent="0.35">
      <c r="B89" s="7" t="s">
        <v>2034</v>
      </c>
      <c r="C89" t="s">
        <v>1372</v>
      </c>
      <c r="D89" s="7" t="s">
        <v>2197</v>
      </c>
      <c r="E89" t="s">
        <v>1555</v>
      </c>
      <c r="F89" t="s">
        <v>760</v>
      </c>
      <c r="G89" t="s">
        <v>1558</v>
      </c>
      <c r="H89" t="s">
        <v>763</v>
      </c>
      <c r="I89" s="7">
        <v>3.07</v>
      </c>
      <c r="J89" s="7" t="s">
        <v>2027</v>
      </c>
      <c r="K89" s="7" t="s">
        <v>2027</v>
      </c>
      <c r="L89" s="7" t="s">
        <v>2027</v>
      </c>
      <c r="M89" s="7" t="s">
        <v>2025</v>
      </c>
      <c r="N89" s="7" t="s">
        <v>2141</v>
      </c>
      <c r="O89" s="7" t="s">
        <v>2027</v>
      </c>
      <c r="P89" s="7" t="s">
        <v>2029</v>
      </c>
      <c r="Q89" t="s">
        <v>1307</v>
      </c>
      <c r="R89" s="7" t="s">
        <v>2208</v>
      </c>
      <c r="S89" t="str">
        <f xml:space="preserve"> HYPERLINK("ReviewHtml/review_Code_Geass_-_Lelouch_of_the_Resurrection.html", "https://2danicritic.github.io/ReviewHtml/review_Code_Geass_-_Lelouch_of_the_Resurrection.html")</f>
        <v>https://2danicritic.github.io/ReviewHtml/review_Code_Geass_-_Lelouch_of_the_Resurrection.html</v>
      </c>
      <c r="U89" s="5">
        <f t="shared" si="1"/>
        <v>3.07</v>
      </c>
    </row>
    <row r="90" spans="2:21" x14ac:dyDescent="0.35">
      <c r="B90" s="7" t="s">
        <v>2169</v>
      </c>
      <c r="C90" t="s">
        <v>764</v>
      </c>
      <c r="D90" s="7" t="s">
        <v>2051</v>
      </c>
      <c r="E90" t="s">
        <v>1555</v>
      </c>
      <c r="F90" t="s">
        <v>653</v>
      </c>
      <c r="G90" t="s">
        <v>1561</v>
      </c>
      <c r="H90" t="s">
        <v>105</v>
      </c>
      <c r="I90" s="7">
        <v>2.93</v>
      </c>
      <c r="J90" s="7" t="s">
        <v>2019</v>
      </c>
      <c r="K90" s="7" t="s">
        <v>2020</v>
      </c>
      <c r="L90" s="7" t="s">
        <v>2020</v>
      </c>
      <c r="M90" s="7" t="s">
        <v>2020</v>
      </c>
      <c r="N90" s="7" t="s">
        <v>2027</v>
      </c>
      <c r="O90" s="7" t="s">
        <v>2019</v>
      </c>
      <c r="P90" s="7" t="s">
        <v>2020</v>
      </c>
      <c r="Q90" t="s">
        <v>106</v>
      </c>
      <c r="R90" s="7" t="s">
        <v>2166</v>
      </c>
      <c r="S90" t="str">
        <f xml:space="preserve"> HYPERLINK("ReviewHtml/review_Coffee_Samurai_&amp;_Hoshizora_Kiseki.html", "https://2danicritic.github.io/ReviewHtml/review_Coffee_Samurai_&amp;_Hoshizora_Kiseki.html")</f>
        <v>https://2danicritic.github.io/ReviewHtml/review_Coffee_Samurai_&amp;_Hoshizora_Kiseki.html</v>
      </c>
      <c r="U90" s="5">
        <f t="shared" si="1"/>
        <v>2.93</v>
      </c>
    </row>
    <row r="91" spans="2:21" x14ac:dyDescent="0.35">
      <c r="B91" s="7" t="s">
        <v>2209</v>
      </c>
      <c r="C91" t="s">
        <v>765</v>
      </c>
      <c r="D91" s="7" t="s">
        <v>2037</v>
      </c>
      <c r="E91" t="s">
        <v>1555</v>
      </c>
      <c r="F91" t="s">
        <v>760</v>
      </c>
      <c r="G91" t="s">
        <v>1561</v>
      </c>
      <c r="H91" t="s">
        <v>107</v>
      </c>
      <c r="I91" s="7">
        <v>2.57</v>
      </c>
      <c r="J91" s="7" t="s">
        <v>2020</v>
      </c>
      <c r="K91" s="7" t="s">
        <v>2020</v>
      </c>
      <c r="L91" s="7" t="s">
        <v>2029</v>
      </c>
      <c r="M91" s="7" t="s">
        <v>2029</v>
      </c>
      <c r="N91" s="7" t="s">
        <v>2020</v>
      </c>
      <c r="O91" s="7" t="s">
        <v>2029</v>
      </c>
      <c r="P91" s="7" t="s">
        <v>2020</v>
      </c>
      <c r="Q91" t="s">
        <v>108</v>
      </c>
      <c r="R91" s="7" t="s">
        <v>2173</v>
      </c>
      <c r="S91" t="str">
        <f xml:space="preserve"> HYPERLINK("ReviewHtml/review_Coicent_&amp;_Five_Numbers.html", "https://2danicritic.github.io/ReviewHtml/review_Coicent_&amp;_Five_Numbers.html")</f>
        <v>https://2danicritic.github.io/ReviewHtml/review_Coicent_&amp;_Five_Numbers.html</v>
      </c>
      <c r="U91" s="5">
        <f t="shared" si="1"/>
        <v>2.57</v>
      </c>
    </row>
    <row r="92" spans="2:21" x14ac:dyDescent="0.35">
      <c r="B92" s="7" t="s">
        <v>2210</v>
      </c>
      <c r="C92" t="s">
        <v>766</v>
      </c>
      <c r="D92" s="7" t="s">
        <v>2035</v>
      </c>
      <c r="E92" t="s">
        <v>1555</v>
      </c>
      <c r="F92" t="s">
        <v>767</v>
      </c>
      <c r="G92" t="s">
        <v>1558</v>
      </c>
      <c r="H92" t="s">
        <v>768</v>
      </c>
      <c r="I92" s="7">
        <v>3.43</v>
      </c>
      <c r="J92" s="7" t="s">
        <v>2027</v>
      </c>
      <c r="K92" s="7" t="s">
        <v>2025</v>
      </c>
      <c r="L92" s="7" t="s">
        <v>2027</v>
      </c>
      <c r="M92" s="7" t="s">
        <v>2019</v>
      </c>
      <c r="N92" s="7" t="s">
        <v>2026</v>
      </c>
      <c r="O92" s="7" t="s">
        <v>2019</v>
      </c>
      <c r="P92" s="7" t="s">
        <v>2027</v>
      </c>
      <c r="Q92" t="s">
        <v>109</v>
      </c>
      <c r="R92" s="7" t="s">
        <v>2211</v>
      </c>
      <c r="S92" t="str">
        <f xml:space="preserve"> HYPERLINK("ReviewHtml/review_Colorful_-_The_Motion_Picture.html", "https://2danicritic.github.io/ReviewHtml/review_Colorful_-_The_Motion_Picture.html")</f>
        <v>https://2danicritic.github.io/ReviewHtml/review_Colorful_-_The_Motion_Picture.html</v>
      </c>
      <c r="U92" s="5">
        <f t="shared" si="1"/>
        <v>3.43</v>
      </c>
    </row>
    <row r="93" spans="2:21" x14ac:dyDescent="0.35">
      <c r="B93" s="7" t="s">
        <v>2212</v>
      </c>
      <c r="C93" t="s">
        <v>769</v>
      </c>
      <c r="D93" s="7" t="s">
        <v>2154</v>
      </c>
      <c r="E93" t="s">
        <v>1555</v>
      </c>
      <c r="F93" t="s">
        <v>770</v>
      </c>
      <c r="G93" t="s">
        <v>1560</v>
      </c>
      <c r="H93" t="s">
        <v>771</v>
      </c>
      <c r="I93" s="7">
        <v>3.29</v>
      </c>
      <c r="J93" s="7" t="s">
        <v>2020</v>
      </c>
      <c r="K93" s="7" t="s">
        <v>2027</v>
      </c>
      <c r="L93" s="7" t="s">
        <v>2020</v>
      </c>
      <c r="M93" s="7" t="s">
        <v>2020</v>
      </c>
      <c r="N93" s="7" t="s">
        <v>2025</v>
      </c>
      <c r="O93" s="7" t="s">
        <v>2027</v>
      </c>
      <c r="P93" s="7" t="s">
        <v>2020</v>
      </c>
      <c r="Q93" t="s">
        <v>110</v>
      </c>
      <c r="R93" s="7" t="s">
        <v>2114</v>
      </c>
      <c r="S93" t="str">
        <f xml:space="preserve"> HYPERLINK("ReviewHtml/review_Corpse_Princess.html", "https://2danicritic.github.io/ReviewHtml/review_Corpse_Princess.html")</f>
        <v>https://2danicritic.github.io/ReviewHtml/review_Corpse_Princess.html</v>
      </c>
      <c r="U93" s="5">
        <f t="shared" si="1"/>
        <v>3.29</v>
      </c>
    </row>
    <row r="94" spans="2:21" x14ac:dyDescent="0.35">
      <c r="B94" s="7" t="s">
        <v>2137</v>
      </c>
      <c r="C94" t="s">
        <v>1259</v>
      </c>
      <c r="D94" s="7" t="s">
        <v>2074</v>
      </c>
      <c r="E94" t="s">
        <v>1555</v>
      </c>
      <c r="F94" t="s">
        <v>735</v>
      </c>
      <c r="G94" t="s">
        <v>1558</v>
      </c>
      <c r="H94" t="s">
        <v>1299</v>
      </c>
      <c r="I94" s="7">
        <v>3.93</v>
      </c>
      <c r="J94" s="7" t="s">
        <v>2025</v>
      </c>
      <c r="K94" s="7" t="s">
        <v>2027</v>
      </c>
      <c r="L94" s="7" t="s">
        <v>2026</v>
      </c>
      <c r="M94" s="7" t="s">
        <v>2026</v>
      </c>
      <c r="N94" s="7" t="s">
        <v>2027</v>
      </c>
      <c r="O94" s="7" t="s">
        <v>2027</v>
      </c>
      <c r="P94" s="7" t="s">
        <v>2025</v>
      </c>
      <c r="Q94" t="s">
        <v>1189</v>
      </c>
      <c r="R94" s="7" t="s">
        <v>2213</v>
      </c>
      <c r="S94" t="str">
        <f xml:space="preserve"> HYPERLINK("ReviewHtml/review_Cowboy_Bebop_-_The_Movie.html", "https://2danicritic.github.io/ReviewHtml/review_Cowboy_Bebop_-_The_Movie.html")</f>
        <v>https://2danicritic.github.io/ReviewHtml/review_Cowboy_Bebop_-_The_Movie.html</v>
      </c>
      <c r="U94" s="5">
        <f t="shared" si="1"/>
        <v>3.93</v>
      </c>
    </row>
    <row r="95" spans="2:21" x14ac:dyDescent="0.35">
      <c r="B95" s="7" t="s">
        <v>2214</v>
      </c>
      <c r="C95" t="s">
        <v>1571</v>
      </c>
      <c r="D95" s="7" t="s">
        <v>2051</v>
      </c>
      <c r="E95" t="s">
        <v>1555</v>
      </c>
      <c r="F95" t="s">
        <v>815</v>
      </c>
      <c r="G95" t="s">
        <v>1560</v>
      </c>
      <c r="H95" t="s">
        <v>1572</v>
      </c>
      <c r="I95" s="7">
        <v>2.79</v>
      </c>
      <c r="J95" s="7" t="s">
        <v>2019</v>
      </c>
      <c r="K95" s="7" t="s">
        <v>2019</v>
      </c>
      <c r="L95" s="7" t="s">
        <v>2027</v>
      </c>
      <c r="M95" s="7" t="s">
        <v>2020</v>
      </c>
      <c r="N95" s="7" t="s">
        <v>2019</v>
      </c>
      <c r="O95" s="7" t="s">
        <v>2020</v>
      </c>
      <c r="P95" s="7" t="s">
        <v>2019</v>
      </c>
      <c r="Q95" t="s">
        <v>189</v>
      </c>
      <c r="R95" s="7" t="s">
        <v>2049</v>
      </c>
      <c r="S95" t="str">
        <f xml:space="preserve"> HYPERLINK("ReviewHtml/review_Coyote_Ragtime_Show.html", "https://2danicritic.github.io/ReviewHtml/review_Coyote_Ragtime_Show.html")</f>
        <v>https://2danicritic.github.io/ReviewHtml/review_Coyote_Ragtime_Show.html</v>
      </c>
      <c r="U95" s="5">
        <f t="shared" si="1"/>
        <v>2.79</v>
      </c>
    </row>
    <row r="96" spans="2:21" x14ac:dyDescent="0.35">
      <c r="B96" s="7" t="s">
        <v>2216</v>
      </c>
      <c r="C96" t="s">
        <v>772</v>
      </c>
      <c r="D96" s="7" t="s">
        <v>2037</v>
      </c>
      <c r="E96" t="s">
        <v>1555</v>
      </c>
      <c r="F96" t="s">
        <v>773</v>
      </c>
      <c r="G96" t="s">
        <v>1560</v>
      </c>
      <c r="H96" t="s">
        <v>774</v>
      </c>
      <c r="I96" s="7">
        <v>3.14</v>
      </c>
      <c r="J96" s="7" t="s">
        <v>2019</v>
      </c>
      <c r="K96" s="7" t="s">
        <v>2027</v>
      </c>
      <c r="L96" s="7" t="s">
        <v>2027</v>
      </c>
      <c r="M96" s="7" t="s">
        <v>2019</v>
      </c>
      <c r="N96" s="7" t="s">
        <v>2020</v>
      </c>
      <c r="O96" s="7" t="s">
        <v>2020</v>
      </c>
      <c r="P96" s="7" t="s">
        <v>2025</v>
      </c>
      <c r="Q96" t="s">
        <v>111</v>
      </c>
      <c r="R96" s="7" t="s">
        <v>2021</v>
      </c>
      <c r="S96" t="str">
        <f xml:space="preserve"> HYPERLINK("ReviewHtml/review_Croisee_in_a_Foreign_Labyrinth.html", "https://2danicritic.github.io/ReviewHtml/review_Croisee_in_a_Foreign_Labyrinth.html")</f>
        <v>https://2danicritic.github.io/ReviewHtml/review_Croisee_in_a_Foreign_Labyrinth.html</v>
      </c>
      <c r="U96" s="5">
        <f t="shared" si="1"/>
        <v>3.14</v>
      </c>
    </row>
    <row r="97" spans="2:21" x14ac:dyDescent="0.35">
      <c r="B97" s="7" t="s">
        <v>2217</v>
      </c>
      <c r="C97" t="s">
        <v>2218</v>
      </c>
      <c r="D97" s="7" t="s">
        <v>2219</v>
      </c>
      <c r="E97" t="s">
        <v>1557</v>
      </c>
      <c r="F97" t="s">
        <v>961</v>
      </c>
      <c r="G97" t="s">
        <v>1558</v>
      </c>
      <c r="H97" t="s">
        <v>962</v>
      </c>
      <c r="I97" s="7">
        <v>2.5</v>
      </c>
      <c r="J97" s="7" t="s">
        <v>2141</v>
      </c>
      <c r="K97" s="7" t="s">
        <v>2029</v>
      </c>
      <c r="L97" s="7" t="s">
        <v>2019</v>
      </c>
      <c r="M97" s="7" t="s">
        <v>2019</v>
      </c>
      <c r="N97" s="7" t="s">
        <v>2027</v>
      </c>
      <c r="O97" s="7" t="s">
        <v>2020</v>
      </c>
      <c r="P97" s="7" t="s">
        <v>2019</v>
      </c>
      <c r="Q97" t="s">
        <v>2005</v>
      </c>
      <c r="R97" s="7" t="s">
        <v>2112</v>
      </c>
      <c r="S97" t="str">
        <f xml:space="preserve"> HYPERLINK("ReviewHtml/review_Cryptozoo.html", "https://2danicritic.github.io/ReviewHtml/review_Cryptozoo.html")</f>
        <v>https://2danicritic.github.io/ReviewHtml/review_Cryptozoo.html</v>
      </c>
      <c r="U97" s="5">
        <f t="shared" si="1"/>
        <v>2.5</v>
      </c>
    </row>
    <row r="98" spans="2:21" x14ac:dyDescent="0.35">
      <c r="B98" s="7" t="s">
        <v>2112</v>
      </c>
      <c r="C98" t="s">
        <v>775</v>
      </c>
      <c r="D98" s="7" t="s">
        <v>2030</v>
      </c>
      <c r="E98" t="s">
        <v>1555</v>
      </c>
      <c r="F98" t="s">
        <v>776</v>
      </c>
      <c r="G98" t="s">
        <v>1560</v>
      </c>
      <c r="H98" t="s">
        <v>112</v>
      </c>
      <c r="I98" s="7">
        <v>2.57</v>
      </c>
      <c r="J98" s="7" t="s">
        <v>2019</v>
      </c>
      <c r="K98" s="7" t="s">
        <v>2020</v>
      </c>
      <c r="L98" s="7" t="s">
        <v>2019</v>
      </c>
      <c r="M98" s="7" t="s">
        <v>2029</v>
      </c>
      <c r="N98" s="7" t="s">
        <v>2029</v>
      </c>
      <c r="O98" s="7" t="s">
        <v>2020</v>
      </c>
      <c r="P98" s="7" t="s">
        <v>2020</v>
      </c>
      <c r="Q98" t="s">
        <v>113</v>
      </c>
      <c r="R98" s="7" t="s">
        <v>2049</v>
      </c>
      <c r="S98" t="str">
        <f xml:space="preserve"> HYPERLINK("ReviewHtml/review_Dagashi_Kashi.html", "https://2danicritic.github.io/ReviewHtml/review_Dagashi_Kashi.html")</f>
        <v>https://2danicritic.github.io/ReviewHtml/review_Dagashi_Kashi.html</v>
      </c>
      <c r="U98" s="5">
        <f t="shared" si="1"/>
        <v>2.57</v>
      </c>
    </row>
    <row r="99" spans="2:21" x14ac:dyDescent="0.35">
      <c r="B99" s="7" t="s">
        <v>2082</v>
      </c>
      <c r="C99" t="s">
        <v>777</v>
      </c>
      <c r="D99" s="7" t="s">
        <v>2035</v>
      </c>
      <c r="E99" t="s">
        <v>1555</v>
      </c>
      <c r="F99" t="s">
        <v>690</v>
      </c>
      <c r="G99" t="s">
        <v>1560</v>
      </c>
      <c r="H99" t="s">
        <v>778</v>
      </c>
      <c r="I99" s="7">
        <v>3.14</v>
      </c>
      <c r="J99" s="7" t="s">
        <v>2020</v>
      </c>
      <c r="K99" s="7" t="s">
        <v>2027</v>
      </c>
      <c r="L99" s="7" t="s">
        <v>2029</v>
      </c>
      <c r="M99" s="7" t="s">
        <v>2020</v>
      </c>
      <c r="N99" s="7" t="s">
        <v>2025</v>
      </c>
      <c r="O99" s="7" t="s">
        <v>2027</v>
      </c>
      <c r="P99" s="7" t="s">
        <v>2020</v>
      </c>
      <c r="Q99" t="s">
        <v>114</v>
      </c>
      <c r="R99" s="7" t="s">
        <v>2049</v>
      </c>
      <c r="S99" t="str">
        <f xml:space="preserve"> HYPERLINK("ReviewHtml/review_Dance_in_the_Vampire_Bund.html", "https://2danicritic.github.io/ReviewHtml/review_Dance_in_the_Vampire_Bund.html")</f>
        <v>https://2danicritic.github.io/ReviewHtml/review_Dance_in_the_Vampire_Bund.html</v>
      </c>
      <c r="U99" s="5">
        <f t="shared" si="1"/>
        <v>3.14</v>
      </c>
    </row>
    <row r="100" spans="2:21" x14ac:dyDescent="0.35">
      <c r="B100" s="7" t="s">
        <v>2196</v>
      </c>
      <c r="C100" t="s">
        <v>779</v>
      </c>
      <c r="D100" s="7" t="s">
        <v>2035</v>
      </c>
      <c r="E100" t="s">
        <v>1555</v>
      </c>
      <c r="F100" t="s">
        <v>115</v>
      </c>
      <c r="G100" t="s">
        <v>1558</v>
      </c>
      <c r="H100" t="s">
        <v>116</v>
      </c>
      <c r="I100" s="7">
        <v>2.4300000000000002</v>
      </c>
      <c r="J100" s="7" t="s">
        <v>2029</v>
      </c>
      <c r="K100" s="7" t="s">
        <v>2027</v>
      </c>
      <c r="L100" s="7" t="s">
        <v>2020</v>
      </c>
      <c r="M100" s="7" t="s">
        <v>2019</v>
      </c>
      <c r="N100" s="7" t="s">
        <v>2029</v>
      </c>
      <c r="O100" s="7" t="s">
        <v>2029</v>
      </c>
      <c r="P100" s="7" t="s">
        <v>2029</v>
      </c>
      <c r="Q100" t="s">
        <v>117</v>
      </c>
      <c r="R100" s="7" t="s">
        <v>2209</v>
      </c>
      <c r="S100" t="str">
        <f xml:space="preserve"> HYPERLINK("ReviewHtml/review_Dante's_Inferno_-_An_Animated_Epic.html", "https://2danicritic.github.io/ReviewHtml/review_Dante's_Inferno_-_An_Animated_Epic.html")</f>
        <v>https://2danicritic.github.io/ReviewHtml/review_Dante's_Inferno_-_An_Animated_Epic.html</v>
      </c>
      <c r="U100" s="5">
        <f t="shared" si="1"/>
        <v>2.4300000000000002</v>
      </c>
    </row>
    <row r="101" spans="2:21" x14ac:dyDescent="0.35">
      <c r="B101" s="7" t="s">
        <v>2220</v>
      </c>
      <c r="C101" t="s">
        <v>1573</v>
      </c>
      <c r="D101" s="7" t="s">
        <v>2102</v>
      </c>
      <c r="E101" t="s">
        <v>1555</v>
      </c>
      <c r="F101" t="s">
        <v>751</v>
      </c>
      <c r="G101" t="s">
        <v>1560</v>
      </c>
      <c r="H101" t="s">
        <v>881</v>
      </c>
      <c r="I101" s="7">
        <v>2.86</v>
      </c>
      <c r="J101" s="7" t="s">
        <v>2019</v>
      </c>
      <c r="K101" s="7" t="s">
        <v>2019</v>
      </c>
      <c r="L101" s="7" t="s">
        <v>2020</v>
      </c>
      <c r="M101" s="7" t="s">
        <v>2027</v>
      </c>
      <c r="N101" s="7" t="s">
        <v>2029</v>
      </c>
      <c r="O101" s="7" t="s">
        <v>2027</v>
      </c>
      <c r="P101" s="7" t="s">
        <v>2020</v>
      </c>
      <c r="Q101" t="s">
        <v>200</v>
      </c>
      <c r="R101" s="7" t="s">
        <v>2021</v>
      </c>
      <c r="S101" t="str">
        <f xml:space="preserve"> HYPERLINK("ReviewHtml/review_Date_A_Live.html", "https://2danicritic.github.io/ReviewHtml/review_Date_A_Live.html")</f>
        <v>https://2danicritic.github.io/ReviewHtml/review_Date_A_Live.html</v>
      </c>
      <c r="U101" s="5">
        <f t="shared" si="1"/>
        <v>2.86</v>
      </c>
    </row>
    <row r="102" spans="2:21" x14ac:dyDescent="0.35">
      <c r="B102" s="7" t="s">
        <v>2221</v>
      </c>
      <c r="C102" t="s">
        <v>780</v>
      </c>
      <c r="D102" s="7" t="s">
        <v>2037</v>
      </c>
      <c r="E102" t="s">
        <v>1555</v>
      </c>
      <c r="F102" t="s">
        <v>781</v>
      </c>
      <c r="G102" t="s">
        <v>1560</v>
      </c>
      <c r="H102" t="s">
        <v>782</v>
      </c>
      <c r="I102" s="7">
        <v>3.86</v>
      </c>
      <c r="J102" s="7" t="s">
        <v>2027</v>
      </c>
      <c r="K102" s="7" t="s">
        <v>2027</v>
      </c>
      <c r="L102" s="7" t="s">
        <v>2025</v>
      </c>
      <c r="M102" s="7" t="s">
        <v>2025</v>
      </c>
      <c r="N102" s="7" t="s">
        <v>2020</v>
      </c>
      <c r="O102" s="7" t="s">
        <v>2025</v>
      </c>
      <c r="P102" s="7" t="s">
        <v>2033</v>
      </c>
      <c r="Q102" t="s">
        <v>118</v>
      </c>
      <c r="R102" s="7" t="s">
        <v>2049</v>
      </c>
      <c r="S102" t="str">
        <f xml:space="preserve"> HYPERLINK("ReviewHtml/review_Deadman_Wonderland.html", "https://2danicritic.github.io/ReviewHtml/review_Deadman_Wonderland.html")</f>
        <v>https://2danicritic.github.io/ReviewHtml/review_Deadman_Wonderland.html</v>
      </c>
      <c r="U102" s="5">
        <f t="shared" si="1"/>
        <v>3.86</v>
      </c>
    </row>
    <row r="103" spans="2:21" x14ac:dyDescent="0.35">
      <c r="B103" s="7" t="s">
        <v>2067</v>
      </c>
      <c r="C103" t="s">
        <v>783</v>
      </c>
      <c r="D103" s="7" t="s">
        <v>2051</v>
      </c>
      <c r="E103" t="s">
        <v>1555</v>
      </c>
      <c r="F103" t="s">
        <v>695</v>
      </c>
      <c r="G103" t="s">
        <v>1560</v>
      </c>
      <c r="H103" t="s">
        <v>784</v>
      </c>
      <c r="I103" s="7">
        <v>4.71</v>
      </c>
      <c r="J103" s="7" t="s">
        <v>2025</v>
      </c>
      <c r="K103" s="7" t="s">
        <v>2026</v>
      </c>
      <c r="L103" s="7" t="s">
        <v>2033</v>
      </c>
      <c r="M103" s="7" t="s">
        <v>2033</v>
      </c>
      <c r="N103" s="7" t="s">
        <v>2026</v>
      </c>
      <c r="O103" s="7" t="s">
        <v>2033</v>
      </c>
      <c r="P103" s="7" t="s">
        <v>2033</v>
      </c>
      <c r="Q103" t="s">
        <v>119</v>
      </c>
      <c r="R103" s="7" t="s">
        <v>2223</v>
      </c>
      <c r="S103" t="str">
        <f xml:space="preserve"> HYPERLINK("ReviewHtml/review_Death_Note.html", "https://2danicritic.github.io/ReviewHtml/review_Death_Note.html")</f>
        <v>https://2danicritic.github.io/ReviewHtml/review_Death_Note.html</v>
      </c>
      <c r="U103" s="5">
        <f t="shared" si="1"/>
        <v>4.71</v>
      </c>
    </row>
    <row r="104" spans="2:21" x14ac:dyDescent="0.35">
      <c r="B104" s="7" t="s">
        <v>2224</v>
      </c>
      <c r="C104" t="s">
        <v>1530</v>
      </c>
      <c r="D104" s="7" t="s">
        <v>2023</v>
      </c>
      <c r="E104" t="s">
        <v>1555</v>
      </c>
      <c r="F104" t="s">
        <v>695</v>
      </c>
      <c r="G104" t="s">
        <v>1558</v>
      </c>
      <c r="H104" t="s">
        <v>784</v>
      </c>
      <c r="I104" s="7">
        <v>3.71</v>
      </c>
      <c r="J104" s="7" t="s">
        <v>2027</v>
      </c>
      <c r="K104" s="7" t="s">
        <v>2025</v>
      </c>
      <c r="L104" s="7" t="s">
        <v>2025</v>
      </c>
      <c r="M104" s="7" t="s">
        <v>2026</v>
      </c>
      <c r="N104" s="7" t="s">
        <v>2027</v>
      </c>
      <c r="O104" s="7" t="s">
        <v>2027</v>
      </c>
      <c r="P104" s="7" t="s">
        <v>2020</v>
      </c>
      <c r="Q104" t="s">
        <v>119</v>
      </c>
      <c r="R104" s="7" t="s">
        <v>2225</v>
      </c>
      <c r="S104" t="str">
        <f xml:space="preserve"> HYPERLINK("ReviewHtml/review_Death_Note_-_R_(Relight),_Visions_of_a_God,_R2_(Relight2),_L's_Successors.html", "https://2danicritic.github.io/ReviewHtml/review_Death_Note_-_R_(Relight),_Visions_of_a_God,_R2_(Relight2),_L's_Successors.html")</f>
        <v>https://2danicritic.github.io/ReviewHtml/review_Death_Note_-_R_(Relight),_Visions_of_a_God,_R2_(Relight2),_L's_Successors.html</v>
      </c>
      <c r="U104" s="5">
        <f t="shared" si="1"/>
        <v>3.71</v>
      </c>
    </row>
    <row r="105" spans="2:21" x14ac:dyDescent="0.35">
      <c r="B105" s="7" t="s">
        <v>2226</v>
      </c>
      <c r="C105" t="s">
        <v>785</v>
      </c>
      <c r="D105" s="7" t="s">
        <v>2095</v>
      </c>
      <c r="E105" t="s">
        <v>1555</v>
      </c>
      <c r="F105" t="s">
        <v>695</v>
      </c>
      <c r="G105" t="s">
        <v>1560</v>
      </c>
      <c r="H105" t="s">
        <v>786</v>
      </c>
      <c r="I105" s="7">
        <v>3.64</v>
      </c>
      <c r="J105" s="7" t="s">
        <v>2027</v>
      </c>
      <c r="K105" s="7" t="s">
        <v>2025</v>
      </c>
      <c r="L105" s="7" t="s">
        <v>2027</v>
      </c>
      <c r="M105" s="7" t="s">
        <v>2027</v>
      </c>
      <c r="N105" s="7" t="s">
        <v>2027</v>
      </c>
      <c r="O105" s="7" t="s">
        <v>2027</v>
      </c>
      <c r="P105" s="7" t="s">
        <v>2025</v>
      </c>
      <c r="Q105" t="s">
        <v>120</v>
      </c>
      <c r="R105" s="7" t="s">
        <v>2049</v>
      </c>
      <c r="S105" t="str">
        <f xml:space="preserve"> HYPERLINK("ReviewHtml/review_Death_Parade.html", "https://2danicritic.github.io/ReviewHtml/review_Death_Parade.html")</f>
        <v>https://2danicritic.github.io/ReviewHtml/review_Death_Parade.html</v>
      </c>
      <c r="U105" s="5">
        <f t="shared" si="1"/>
        <v>3.64</v>
      </c>
    </row>
    <row r="106" spans="2:21" x14ac:dyDescent="0.35">
      <c r="B106" s="7" t="s">
        <v>2227</v>
      </c>
      <c r="C106" t="s">
        <v>1899</v>
      </c>
      <c r="D106" s="7" t="s">
        <v>2197</v>
      </c>
      <c r="E106" t="s">
        <v>1555</v>
      </c>
      <c r="F106" t="s">
        <v>815</v>
      </c>
      <c r="G106" t="s">
        <v>1560</v>
      </c>
      <c r="H106" t="s">
        <v>1900</v>
      </c>
      <c r="I106" s="7">
        <v>3.79</v>
      </c>
      <c r="J106" s="7" t="s">
        <v>2025</v>
      </c>
      <c r="K106" s="7" t="s">
        <v>2025</v>
      </c>
      <c r="L106" s="7" t="s">
        <v>2025</v>
      </c>
      <c r="M106" s="7" t="s">
        <v>2020</v>
      </c>
      <c r="N106" s="7" t="s">
        <v>2020</v>
      </c>
      <c r="O106" s="7" t="s">
        <v>2026</v>
      </c>
      <c r="P106" s="7" t="s">
        <v>2025</v>
      </c>
      <c r="Q106" t="s">
        <v>249</v>
      </c>
      <c r="R106" s="7" t="s">
        <v>2114</v>
      </c>
      <c r="S106" t="str">
        <f xml:space="preserve"> HYPERLINK("ReviewHtml/review_Demon_Slayer_-_Kimetsu_No_Yaiba.html", "https://2danicritic.github.io/ReviewHtml/review_Demon_Slayer_-_Kimetsu_No_Yaiba.html")</f>
        <v>https://2danicritic.github.io/ReviewHtml/review_Demon_Slayer_-_Kimetsu_No_Yaiba.html</v>
      </c>
      <c r="U106" s="5">
        <f t="shared" si="1"/>
        <v>3.79</v>
      </c>
    </row>
    <row r="107" spans="2:21" x14ac:dyDescent="0.35">
      <c r="B107" s="7" t="s">
        <v>2228</v>
      </c>
      <c r="C107" t="s">
        <v>1960</v>
      </c>
      <c r="D107" s="7" t="s">
        <v>2188</v>
      </c>
      <c r="E107" t="s">
        <v>1555</v>
      </c>
      <c r="F107" t="s">
        <v>815</v>
      </c>
      <c r="G107" t="s">
        <v>1558</v>
      </c>
      <c r="H107" t="s">
        <v>1900</v>
      </c>
      <c r="I107" s="7">
        <v>3.5</v>
      </c>
      <c r="J107" s="7" t="s">
        <v>2025</v>
      </c>
      <c r="K107" s="7" t="s">
        <v>2025</v>
      </c>
      <c r="L107" s="7" t="s">
        <v>2025</v>
      </c>
      <c r="M107" s="7" t="s">
        <v>2020</v>
      </c>
      <c r="N107" s="7" t="s">
        <v>2019</v>
      </c>
      <c r="O107" s="7" t="s">
        <v>2025</v>
      </c>
      <c r="P107" s="7" t="s">
        <v>2020</v>
      </c>
      <c r="Q107" t="s">
        <v>1946</v>
      </c>
      <c r="R107" s="7" t="s">
        <v>2229</v>
      </c>
      <c r="S107" t="str">
        <f xml:space="preserve"> HYPERLINK("ReviewHtml/review_Demon_Slayer_-_Mugen_Train.html", "https://2danicritic.github.io/ReviewHtml/review_Demon_Slayer_-_Mugen_Train.html")</f>
        <v>https://2danicritic.github.io/ReviewHtml/review_Demon_Slayer_-_Mugen_Train.html</v>
      </c>
      <c r="U107" s="5">
        <f t="shared" si="1"/>
        <v>3.5</v>
      </c>
    </row>
    <row r="108" spans="2:21" x14ac:dyDescent="0.35">
      <c r="B108" s="7" t="s">
        <v>2149</v>
      </c>
      <c r="C108" t="s">
        <v>787</v>
      </c>
      <c r="D108" s="7" t="s">
        <v>2135</v>
      </c>
      <c r="E108" t="s">
        <v>1555</v>
      </c>
      <c r="F108" t="s">
        <v>788</v>
      </c>
      <c r="G108" t="s">
        <v>1569</v>
      </c>
      <c r="H108" t="s">
        <v>789</v>
      </c>
      <c r="I108" s="7">
        <v>3.29</v>
      </c>
      <c r="J108" s="7" t="s">
        <v>2019</v>
      </c>
      <c r="K108" s="7" t="s">
        <v>2020</v>
      </c>
      <c r="L108" s="7" t="s">
        <v>2027</v>
      </c>
      <c r="M108" s="7" t="s">
        <v>2020</v>
      </c>
      <c r="N108" s="7" t="s">
        <v>2027</v>
      </c>
      <c r="O108" s="7" t="s">
        <v>2027</v>
      </c>
      <c r="P108" s="7" t="s">
        <v>2025</v>
      </c>
      <c r="Q108" t="s">
        <v>121</v>
      </c>
      <c r="R108" s="7" t="s">
        <v>2157</v>
      </c>
      <c r="S108" t="str">
        <f xml:space="preserve"> HYPERLINK("ReviewHtml/review_Devilman_-_Crybaby.html", "https://2danicritic.github.io/ReviewHtml/review_Devilman_-_Crybaby.html")</f>
        <v>https://2danicritic.github.io/ReviewHtml/review_Devilman_-_Crybaby.html</v>
      </c>
      <c r="U108" s="5">
        <f t="shared" si="1"/>
        <v>3.29</v>
      </c>
    </row>
    <row r="109" spans="2:21" x14ac:dyDescent="0.35">
      <c r="B109" s="7" t="s">
        <v>2096</v>
      </c>
      <c r="C109" t="s">
        <v>790</v>
      </c>
      <c r="D109" s="7" t="s">
        <v>2230</v>
      </c>
      <c r="E109" t="s">
        <v>1555</v>
      </c>
      <c r="F109" t="s">
        <v>791</v>
      </c>
      <c r="G109" t="s">
        <v>1561</v>
      </c>
      <c r="H109" t="s">
        <v>792</v>
      </c>
      <c r="I109" s="7">
        <v>2.14</v>
      </c>
      <c r="J109" s="7" t="s">
        <v>2029</v>
      </c>
      <c r="K109" s="7" t="s">
        <v>2019</v>
      </c>
      <c r="L109" s="7" t="s">
        <v>2029</v>
      </c>
      <c r="M109" s="7" t="s">
        <v>2141</v>
      </c>
      <c r="N109" s="7" t="s">
        <v>2141</v>
      </c>
      <c r="O109" s="7" t="s">
        <v>2020</v>
      </c>
      <c r="P109" s="7" t="s">
        <v>2019</v>
      </c>
      <c r="Q109" t="s">
        <v>122</v>
      </c>
      <c r="R109" s="7" t="s">
        <v>2178</v>
      </c>
      <c r="S109" t="str">
        <f xml:space="preserve"> HYPERLINK("ReviewHtml/review_Devilman_-_The_Birth,_Demon_Bird_Sirene.html", "https://2danicritic.github.io/ReviewHtml/review_Devilman_-_The_Birth,_Demon_Bird_Sirene.html")</f>
        <v>https://2danicritic.github.io/ReviewHtml/review_Devilman_-_The_Birth,_Demon_Bird_Sirene.html</v>
      </c>
      <c r="U109" s="5">
        <f t="shared" si="1"/>
        <v>2.14</v>
      </c>
    </row>
    <row r="110" spans="2:21" x14ac:dyDescent="0.35">
      <c r="B110" s="7" t="s">
        <v>2232</v>
      </c>
      <c r="C110" t="s">
        <v>1718</v>
      </c>
      <c r="D110" s="7" t="s">
        <v>2076</v>
      </c>
      <c r="E110" t="s">
        <v>1555</v>
      </c>
      <c r="F110" t="s">
        <v>687</v>
      </c>
      <c r="G110" t="s">
        <v>1560</v>
      </c>
      <c r="H110" t="s">
        <v>1719</v>
      </c>
      <c r="I110" s="7">
        <v>3.21</v>
      </c>
      <c r="J110" s="7" t="s">
        <v>2020</v>
      </c>
      <c r="K110" s="7" t="s">
        <v>2020</v>
      </c>
      <c r="L110" s="7" t="s">
        <v>2027</v>
      </c>
      <c r="M110" s="7" t="s">
        <v>2027</v>
      </c>
      <c r="N110" s="7" t="s">
        <v>2029</v>
      </c>
      <c r="O110" s="7" t="s">
        <v>2025</v>
      </c>
      <c r="P110" s="7" t="s">
        <v>2027</v>
      </c>
      <c r="Q110" t="s">
        <v>145</v>
      </c>
      <c r="R110" s="7" t="s">
        <v>2049</v>
      </c>
      <c r="S110" t="str">
        <f xml:space="preserve"> HYPERLINK("ReviewHtml/review_D-Frag!.html", "https://2danicritic.github.io/ReviewHtml/review_D-Frag!.html")</f>
        <v>https://2danicritic.github.io/ReviewHtml/review_D-Frag!.html</v>
      </c>
      <c r="U110" s="5">
        <f t="shared" si="1"/>
        <v>3.21</v>
      </c>
    </row>
    <row r="111" spans="2:21" x14ac:dyDescent="0.35">
      <c r="B111" s="7" t="s">
        <v>2233</v>
      </c>
      <c r="C111" t="s">
        <v>1961</v>
      </c>
      <c r="D111" s="7" t="s">
        <v>2188</v>
      </c>
      <c r="E111" t="s">
        <v>1555</v>
      </c>
      <c r="F111" t="s">
        <v>682</v>
      </c>
      <c r="G111" t="s">
        <v>1558</v>
      </c>
      <c r="H111" t="s">
        <v>1975</v>
      </c>
      <c r="I111" s="7">
        <v>2.93</v>
      </c>
      <c r="J111" s="7" t="s">
        <v>2020</v>
      </c>
      <c r="K111" s="7" t="s">
        <v>2020</v>
      </c>
      <c r="L111" s="7" t="s">
        <v>2019</v>
      </c>
      <c r="M111" s="7" t="s">
        <v>2020</v>
      </c>
      <c r="N111" s="7" t="s">
        <v>2020</v>
      </c>
      <c r="O111" s="7" t="s">
        <v>2020</v>
      </c>
      <c r="P111" s="7" t="s">
        <v>2020</v>
      </c>
      <c r="Q111" t="s">
        <v>1947</v>
      </c>
      <c r="R111" s="7" t="s">
        <v>2217</v>
      </c>
      <c r="S111" t="str">
        <f xml:space="preserve"> HYPERLINK("ReviewHtml/review_Digimon_Adventure_-_Last_Evolution_Kizuna.html", "https://2danicritic.github.io/ReviewHtml/review_Digimon_Adventure_-_Last_Evolution_Kizuna.html")</f>
        <v>https://2danicritic.github.io/ReviewHtml/review_Digimon_Adventure_-_Last_Evolution_Kizuna.html</v>
      </c>
      <c r="U111" s="5">
        <f t="shared" si="1"/>
        <v>2.93</v>
      </c>
    </row>
    <row r="112" spans="2:21" x14ac:dyDescent="0.35">
      <c r="B112" s="7" t="s">
        <v>2234</v>
      </c>
      <c r="C112" t="s">
        <v>1901</v>
      </c>
      <c r="D112" s="7" t="s">
        <v>2095</v>
      </c>
      <c r="E112" t="s">
        <v>1555</v>
      </c>
      <c r="F112" t="s">
        <v>682</v>
      </c>
      <c r="G112" t="s">
        <v>1558</v>
      </c>
      <c r="H112" t="s">
        <v>881</v>
      </c>
      <c r="I112" s="7">
        <v>2.57</v>
      </c>
      <c r="J112" s="7" t="s">
        <v>2029</v>
      </c>
      <c r="K112" s="7" t="s">
        <v>2020</v>
      </c>
      <c r="L112" s="7" t="s">
        <v>2019</v>
      </c>
      <c r="M112" s="7" t="s">
        <v>2027</v>
      </c>
      <c r="N112" s="7" t="s">
        <v>2029</v>
      </c>
      <c r="O112" s="7" t="s">
        <v>2020</v>
      </c>
      <c r="P112" s="7" t="s">
        <v>2029</v>
      </c>
      <c r="Q112" t="s">
        <v>1873</v>
      </c>
      <c r="R112" s="7" t="s">
        <v>2235</v>
      </c>
      <c r="S112" t="str">
        <f xml:space="preserve"> HYPERLINK("ReviewHtml/review_Digimon_Adventure_Tri.html", "https://2danicritic.github.io/ReviewHtml/review_Digimon_Adventure_Tri.html")</f>
        <v>https://2danicritic.github.io/ReviewHtml/review_Digimon_Adventure_Tri.html</v>
      </c>
      <c r="U112" s="5">
        <f t="shared" si="1"/>
        <v>2.57</v>
      </c>
    </row>
    <row r="113" spans="2:21" x14ac:dyDescent="0.35">
      <c r="B113" s="7" t="s">
        <v>2178</v>
      </c>
      <c r="C113" t="s">
        <v>793</v>
      </c>
      <c r="D113" s="7" t="s">
        <v>2102</v>
      </c>
      <c r="E113" t="s">
        <v>1555</v>
      </c>
      <c r="F113" t="s">
        <v>665</v>
      </c>
      <c r="G113" t="s">
        <v>1560</v>
      </c>
      <c r="H113" t="s">
        <v>794</v>
      </c>
      <c r="I113" s="7">
        <v>2.29</v>
      </c>
      <c r="J113" s="7" t="s">
        <v>2019</v>
      </c>
      <c r="K113" s="7" t="s">
        <v>2019</v>
      </c>
      <c r="L113" s="7" t="s">
        <v>2019</v>
      </c>
      <c r="M113" s="7" t="s">
        <v>2019</v>
      </c>
      <c r="N113" s="7" t="s">
        <v>2019</v>
      </c>
      <c r="O113" s="7" t="s">
        <v>2019</v>
      </c>
      <c r="P113" s="7" t="s">
        <v>2022</v>
      </c>
      <c r="Q113" t="s">
        <v>123</v>
      </c>
      <c r="R113" s="7" t="s">
        <v>2049</v>
      </c>
      <c r="S113" t="str">
        <f xml:space="preserve"> HYPERLINK("ReviewHtml/review_Dog_and_Scissors.html", "https://2danicritic.github.io/ReviewHtml/review_Dog_and_Scissors.html")</f>
        <v>https://2danicritic.github.io/ReviewHtml/review_Dog_and_Scissors.html</v>
      </c>
      <c r="U113" s="5">
        <f t="shared" si="1"/>
        <v>2.29</v>
      </c>
    </row>
    <row r="114" spans="2:21" x14ac:dyDescent="0.35">
      <c r="B114" s="7" t="s">
        <v>2198</v>
      </c>
      <c r="C114" t="s">
        <v>1720</v>
      </c>
      <c r="D114" s="7" t="s">
        <v>2135</v>
      </c>
      <c r="E114" t="s">
        <v>1555</v>
      </c>
      <c r="F114" t="s">
        <v>1721</v>
      </c>
      <c r="G114" t="s">
        <v>1560</v>
      </c>
      <c r="H114" t="s">
        <v>1722</v>
      </c>
      <c r="I114" s="7">
        <v>2.57</v>
      </c>
      <c r="J114" s="7" t="s">
        <v>2019</v>
      </c>
      <c r="K114" s="7" t="s">
        <v>2019</v>
      </c>
      <c r="L114" s="7" t="s">
        <v>2020</v>
      </c>
      <c r="M114" s="7" t="s">
        <v>2020</v>
      </c>
      <c r="N114" s="7" t="s">
        <v>2029</v>
      </c>
      <c r="O114" s="7" t="s">
        <v>2019</v>
      </c>
      <c r="P114" s="7" t="s">
        <v>2019</v>
      </c>
      <c r="Q114" t="s">
        <v>1665</v>
      </c>
      <c r="R114" s="7" t="s">
        <v>2049</v>
      </c>
      <c r="S114" t="str">
        <f xml:space="preserve"> HYPERLINK("ReviewHtml/review_Doreiku_-_The_Animation.html", "https://2danicritic.github.io/ReviewHtml/review_Doreiku_-_The_Animation.html")</f>
        <v>https://2danicritic.github.io/ReviewHtml/review_Doreiku_-_The_Animation.html</v>
      </c>
      <c r="U114" s="5">
        <f t="shared" si="1"/>
        <v>2.57</v>
      </c>
    </row>
    <row r="115" spans="2:21" x14ac:dyDescent="0.35">
      <c r="B115" s="7" t="s">
        <v>2204</v>
      </c>
      <c r="C115" t="s">
        <v>1788</v>
      </c>
      <c r="D115" s="7" t="s">
        <v>2135</v>
      </c>
      <c r="E115" t="s">
        <v>1555</v>
      </c>
      <c r="F115" t="s">
        <v>682</v>
      </c>
      <c r="G115" t="s">
        <v>1558</v>
      </c>
      <c r="H115" t="s">
        <v>1451</v>
      </c>
      <c r="I115" s="7">
        <v>3.36</v>
      </c>
      <c r="J115" s="7" t="s">
        <v>2027</v>
      </c>
      <c r="K115" s="7" t="s">
        <v>2027</v>
      </c>
      <c r="L115" s="7" t="s">
        <v>2027</v>
      </c>
      <c r="M115" s="7" t="s">
        <v>2027</v>
      </c>
      <c r="N115" s="7" t="s">
        <v>2019</v>
      </c>
      <c r="O115" s="7" t="s">
        <v>2025</v>
      </c>
      <c r="P115" s="7" t="s">
        <v>2020</v>
      </c>
      <c r="Q115" t="s">
        <v>1760</v>
      </c>
      <c r="R115" s="7" t="s">
        <v>2067</v>
      </c>
      <c r="S115" t="str">
        <f xml:space="preserve"> HYPERLINK("ReviewHtml/review_Dragon_Ball_Super_-_Broly.html", "https://2danicritic.github.io/ReviewHtml/review_Dragon_Ball_Super_-_Broly.html")</f>
        <v>https://2danicritic.github.io/ReviewHtml/review_Dragon_Ball_Super_-_Broly.html</v>
      </c>
      <c r="U115" s="5">
        <f t="shared" si="1"/>
        <v>3.36</v>
      </c>
    </row>
    <row r="116" spans="2:21" x14ac:dyDescent="0.35">
      <c r="B116" s="7" t="s">
        <v>2236</v>
      </c>
      <c r="C116" t="s">
        <v>1373</v>
      </c>
      <c r="D116" s="7" t="s">
        <v>2102</v>
      </c>
      <c r="E116" t="s">
        <v>1555</v>
      </c>
      <c r="F116" t="s">
        <v>682</v>
      </c>
      <c r="G116" t="s">
        <v>1558</v>
      </c>
      <c r="H116" t="s">
        <v>1438</v>
      </c>
      <c r="I116" s="7">
        <v>3.07</v>
      </c>
      <c r="J116" s="7" t="s">
        <v>2020</v>
      </c>
      <c r="K116" s="7" t="s">
        <v>2020</v>
      </c>
      <c r="L116" s="7" t="s">
        <v>2027</v>
      </c>
      <c r="M116" s="7" t="s">
        <v>2025</v>
      </c>
      <c r="N116" s="7" t="s">
        <v>2141</v>
      </c>
      <c r="O116" s="7" t="s">
        <v>2025</v>
      </c>
      <c r="P116" s="7" t="s">
        <v>2019</v>
      </c>
      <c r="Q116" t="s">
        <v>1308</v>
      </c>
      <c r="R116" s="7" t="s">
        <v>2149</v>
      </c>
      <c r="S116" t="str">
        <f xml:space="preserve"> HYPERLINK("ReviewHtml/review_Dragon_Ball_Z_-_Battle_of_Gods.html", "https://2danicritic.github.io/ReviewHtml/review_Dragon_Ball_Z_-_Battle_of_Gods.html")</f>
        <v>https://2danicritic.github.io/ReviewHtml/review_Dragon_Ball_Z_-_Battle_of_Gods.html</v>
      </c>
      <c r="U116" s="5">
        <f t="shared" si="1"/>
        <v>3.07</v>
      </c>
    </row>
    <row r="117" spans="2:21" x14ac:dyDescent="0.35">
      <c r="B117" s="7" t="s">
        <v>2208</v>
      </c>
      <c r="C117" t="s">
        <v>795</v>
      </c>
      <c r="D117" s="7" t="s">
        <v>2030</v>
      </c>
      <c r="E117" t="s">
        <v>1555</v>
      </c>
      <c r="F117" t="s">
        <v>796</v>
      </c>
      <c r="G117" t="s">
        <v>1560</v>
      </c>
      <c r="H117" t="s">
        <v>797</v>
      </c>
      <c r="I117" s="7">
        <v>3.71</v>
      </c>
      <c r="J117" s="7" t="s">
        <v>2020</v>
      </c>
      <c r="K117" s="7" t="s">
        <v>2025</v>
      </c>
      <c r="L117" s="7" t="s">
        <v>2027</v>
      </c>
      <c r="M117" s="7" t="s">
        <v>2025</v>
      </c>
      <c r="N117" s="7" t="s">
        <v>2020</v>
      </c>
      <c r="O117" s="7" t="s">
        <v>2026</v>
      </c>
      <c r="P117" s="7" t="s">
        <v>2025</v>
      </c>
      <c r="Q117" t="s">
        <v>124</v>
      </c>
      <c r="R117" s="7" t="s">
        <v>2049</v>
      </c>
      <c r="S117" t="str">
        <f xml:space="preserve"> HYPERLINK("ReviewHtml/review_Drifters.html", "https://2danicritic.github.io/ReviewHtml/review_Drifters.html")</f>
        <v>https://2danicritic.github.io/ReviewHtml/review_Drifters.html</v>
      </c>
      <c r="U117" s="5">
        <f t="shared" si="1"/>
        <v>3.71</v>
      </c>
    </row>
    <row r="118" spans="2:21" x14ac:dyDescent="0.35">
      <c r="B118" s="7" t="s">
        <v>2213</v>
      </c>
      <c r="C118" t="s">
        <v>798</v>
      </c>
      <c r="D118" s="7" t="s">
        <v>2041</v>
      </c>
      <c r="E118" t="s">
        <v>1555</v>
      </c>
      <c r="F118" t="s">
        <v>799</v>
      </c>
      <c r="G118" t="s">
        <v>1560</v>
      </c>
      <c r="H118" t="s">
        <v>800</v>
      </c>
      <c r="I118" s="7">
        <v>3.57</v>
      </c>
      <c r="J118" s="7" t="s">
        <v>2020</v>
      </c>
      <c r="K118" s="7" t="s">
        <v>2027</v>
      </c>
      <c r="L118" s="7" t="s">
        <v>2025</v>
      </c>
      <c r="M118" s="7" t="s">
        <v>2020</v>
      </c>
      <c r="N118" s="7" t="s">
        <v>2027</v>
      </c>
      <c r="O118" s="7" t="s">
        <v>2025</v>
      </c>
      <c r="P118" s="7" t="s">
        <v>2025</v>
      </c>
      <c r="Q118" t="s">
        <v>125</v>
      </c>
      <c r="R118" s="7" t="s">
        <v>2021</v>
      </c>
      <c r="S118" t="str">
        <f xml:space="preserve"> HYPERLINK("ReviewHtml/review_Dusk_Maiden_of_Amnesia.html", "https://2danicritic.github.io/ReviewHtml/review_Dusk_Maiden_of_Amnesia.html")</f>
        <v>https://2danicritic.github.io/ReviewHtml/review_Dusk_Maiden_of_Amnesia.html</v>
      </c>
      <c r="U118" s="5">
        <f t="shared" si="1"/>
        <v>3.57</v>
      </c>
    </row>
    <row r="119" spans="2:21" x14ac:dyDescent="0.35">
      <c r="B119" s="7" t="s">
        <v>2200</v>
      </c>
      <c r="C119" t="s">
        <v>801</v>
      </c>
      <c r="D119" s="7" t="s">
        <v>2066</v>
      </c>
      <c r="E119" t="s">
        <v>1555</v>
      </c>
      <c r="F119" t="s">
        <v>732</v>
      </c>
      <c r="G119" t="s">
        <v>1560</v>
      </c>
      <c r="H119" t="s">
        <v>802</v>
      </c>
      <c r="I119" s="7">
        <v>4.21</v>
      </c>
      <c r="J119" s="7" t="s">
        <v>2027</v>
      </c>
      <c r="K119" s="7" t="s">
        <v>2025</v>
      </c>
      <c r="L119" s="7" t="s">
        <v>2026</v>
      </c>
      <c r="M119" s="7" t="s">
        <v>2027</v>
      </c>
      <c r="N119" s="7" t="s">
        <v>2026</v>
      </c>
      <c r="O119" s="7" t="s">
        <v>2026</v>
      </c>
      <c r="P119" s="7" t="s">
        <v>2033</v>
      </c>
      <c r="Q119" t="s">
        <v>126</v>
      </c>
      <c r="R119" s="7" t="s">
        <v>2133</v>
      </c>
      <c r="S119" t="str">
        <f xml:space="preserve"> HYPERLINK("ReviewHtml/review_Eden_of_the_East.html", "https://2danicritic.github.io/ReviewHtml/review_Eden_of_the_East.html")</f>
        <v>https://2danicritic.github.io/ReviewHtml/review_Eden_of_the_East.html</v>
      </c>
      <c r="U119" s="5">
        <f t="shared" si="1"/>
        <v>4.21</v>
      </c>
    </row>
    <row r="120" spans="2:21" x14ac:dyDescent="0.35">
      <c r="B120" s="7" t="s">
        <v>2229</v>
      </c>
      <c r="C120" t="s">
        <v>803</v>
      </c>
      <c r="D120" s="7" t="s">
        <v>2066</v>
      </c>
      <c r="E120" t="s">
        <v>1555</v>
      </c>
      <c r="F120" t="s">
        <v>732</v>
      </c>
      <c r="G120" t="s">
        <v>1558</v>
      </c>
      <c r="H120" t="s">
        <v>802</v>
      </c>
      <c r="I120" s="7">
        <v>3.29</v>
      </c>
      <c r="J120" s="7" t="s">
        <v>2027</v>
      </c>
      <c r="K120" s="7" t="s">
        <v>2027</v>
      </c>
      <c r="L120" s="7" t="s">
        <v>2025</v>
      </c>
      <c r="M120" s="7" t="s">
        <v>2027</v>
      </c>
      <c r="N120" s="7" t="s">
        <v>2019</v>
      </c>
      <c r="O120" s="7" t="s">
        <v>2020</v>
      </c>
      <c r="P120" s="7" t="s">
        <v>2020</v>
      </c>
      <c r="Q120" t="s">
        <v>126</v>
      </c>
      <c r="R120" s="7" t="s">
        <v>2182</v>
      </c>
      <c r="S120" t="str">
        <f xml:space="preserve"> HYPERLINK("ReviewHtml/review_Eden_of_the_East_-_The_King_of_Eden,_Paradise_Lost.html", "https://2danicritic.github.io/ReviewHtml/review_Eden_of_the_East_-_The_King_of_Eden,_Paradise_Lost.html")</f>
        <v>https://2danicritic.github.io/ReviewHtml/review_Eden_of_the_East_-_The_King_of_Eden,_Paradise_Lost.html</v>
      </c>
      <c r="U120" s="5">
        <f t="shared" si="1"/>
        <v>3.29</v>
      </c>
    </row>
    <row r="121" spans="2:21" x14ac:dyDescent="0.35">
      <c r="B121" s="7" t="s">
        <v>2238</v>
      </c>
      <c r="C121" t="s">
        <v>1723</v>
      </c>
      <c r="D121" s="7" t="s">
        <v>2066</v>
      </c>
      <c r="E121" t="s">
        <v>1557</v>
      </c>
      <c r="F121" t="s">
        <v>1724</v>
      </c>
      <c r="G121" t="s">
        <v>1558</v>
      </c>
      <c r="H121" t="s">
        <v>1725</v>
      </c>
      <c r="I121" s="7">
        <v>2.21</v>
      </c>
      <c r="J121" s="7" t="s">
        <v>2019</v>
      </c>
      <c r="K121" s="7" t="s">
        <v>2019</v>
      </c>
      <c r="L121" s="7" t="s">
        <v>2019</v>
      </c>
      <c r="M121" s="7" t="s">
        <v>2029</v>
      </c>
      <c r="N121" s="7" t="s">
        <v>2029</v>
      </c>
      <c r="O121" s="7" t="s">
        <v>2029</v>
      </c>
      <c r="P121" s="7" t="s">
        <v>2029</v>
      </c>
      <c r="Q121" t="s">
        <v>196</v>
      </c>
      <c r="R121" s="7" t="s">
        <v>2085</v>
      </c>
      <c r="S121" t="str">
        <f xml:space="preserve"> HYPERLINK("ReviewHtml/review_Eleanor's_Secret.html", "https://2danicritic.github.io/ReviewHtml/review_Eleanor's_Secret.html")</f>
        <v>https://2danicritic.github.io/ReviewHtml/review_Eleanor's_Secret.html</v>
      </c>
      <c r="U121" s="5">
        <f t="shared" si="1"/>
        <v>2.21</v>
      </c>
    </row>
    <row r="122" spans="2:21" x14ac:dyDescent="0.35">
      <c r="B122" s="7" t="s">
        <v>2239</v>
      </c>
      <c r="C122" t="s">
        <v>2240</v>
      </c>
      <c r="D122" s="7" t="s">
        <v>2188</v>
      </c>
      <c r="E122" t="s">
        <v>1608</v>
      </c>
      <c r="F122" t="s">
        <v>989</v>
      </c>
      <c r="G122" t="s">
        <v>1558</v>
      </c>
      <c r="H122" t="s">
        <v>990</v>
      </c>
      <c r="I122" s="7">
        <v>2.21</v>
      </c>
      <c r="J122" s="7" t="s">
        <v>2019</v>
      </c>
      <c r="K122" s="7" t="s">
        <v>2019</v>
      </c>
      <c r="L122" s="7" t="s">
        <v>2029</v>
      </c>
      <c r="M122" s="7" t="s">
        <v>2141</v>
      </c>
      <c r="N122" s="7" t="s">
        <v>2029</v>
      </c>
      <c r="O122" s="7" t="s">
        <v>2019</v>
      </c>
      <c r="P122" s="7" t="s">
        <v>2019</v>
      </c>
      <c r="Q122" t="s">
        <v>1214</v>
      </c>
      <c r="R122" s="7" t="s">
        <v>2185</v>
      </c>
      <c r="S122" t="str">
        <f xml:space="preserve"> HYPERLINK("ReviewHtml/review_Empress_of_Darkness_-_The_Curse_of_Graxus.html", "https://2danicritic.github.io/ReviewHtml/review_Empress_of_Darkness_-_The_Curse_of_Graxus.html")</f>
        <v>https://2danicritic.github.io/ReviewHtml/review_Empress_of_Darkness_-_The_Curse_of_Graxus.html</v>
      </c>
      <c r="U122" s="5">
        <f t="shared" si="1"/>
        <v>2.21</v>
      </c>
    </row>
    <row r="123" spans="2:21" x14ac:dyDescent="0.35">
      <c r="B123" s="7" t="s">
        <v>2039</v>
      </c>
      <c r="C123" t="s">
        <v>1329</v>
      </c>
      <c r="D123" s="7" t="s">
        <v>2030</v>
      </c>
      <c r="E123" t="s">
        <v>1555</v>
      </c>
      <c r="F123" t="s">
        <v>716</v>
      </c>
      <c r="G123" t="s">
        <v>1560</v>
      </c>
      <c r="H123" t="s">
        <v>1439</v>
      </c>
      <c r="I123" s="7">
        <v>3.79</v>
      </c>
      <c r="J123" s="7" t="s">
        <v>2027</v>
      </c>
      <c r="K123" s="7" t="s">
        <v>2027</v>
      </c>
      <c r="L123" s="7" t="s">
        <v>2027</v>
      </c>
      <c r="M123" s="7" t="s">
        <v>2025</v>
      </c>
      <c r="N123" s="7" t="s">
        <v>2025</v>
      </c>
      <c r="O123" s="7" t="s">
        <v>2025</v>
      </c>
      <c r="P123" s="7" t="s">
        <v>2025</v>
      </c>
      <c r="Q123" t="s">
        <v>1309</v>
      </c>
      <c r="R123" s="7" t="s">
        <v>2049</v>
      </c>
      <c r="S123" t="str">
        <f xml:space="preserve"> HYPERLINK("ReviewHtml/review_Erased.html", "https://2danicritic.github.io/ReviewHtml/review_Erased.html")</f>
        <v>https://2danicritic.github.io/ReviewHtml/review_Erased.html</v>
      </c>
      <c r="U123" s="5">
        <f t="shared" si="1"/>
        <v>3.79</v>
      </c>
    </row>
    <row r="124" spans="2:21" x14ac:dyDescent="0.35">
      <c r="B124" s="7" t="s">
        <v>2241</v>
      </c>
      <c r="C124" t="s">
        <v>1327</v>
      </c>
      <c r="D124" s="7" t="s">
        <v>2051</v>
      </c>
      <c r="E124" t="s">
        <v>1555</v>
      </c>
      <c r="F124" t="s">
        <v>781</v>
      </c>
      <c r="G124" t="s">
        <v>1560</v>
      </c>
      <c r="H124" t="s">
        <v>827</v>
      </c>
      <c r="I124" s="7">
        <v>3.5</v>
      </c>
      <c r="J124" s="7" t="s">
        <v>2027</v>
      </c>
      <c r="K124" s="7" t="s">
        <v>2025</v>
      </c>
      <c r="L124" s="7" t="s">
        <v>2025</v>
      </c>
      <c r="M124" s="7" t="s">
        <v>2027</v>
      </c>
      <c r="N124" s="7" t="s">
        <v>2020</v>
      </c>
      <c r="O124" s="7" t="s">
        <v>2020</v>
      </c>
      <c r="P124" s="7" t="s">
        <v>2027</v>
      </c>
      <c r="Q124" t="s">
        <v>1310</v>
      </c>
      <c r="R124" s="7" t="s">
        <v>2242</v>
      </c>
      <c r="S124" t="str">
        <f xml:space="preserve"> HYPERLINK("ReviewHtml/review_Ergo_Proxy.html", "https://2danicritic.github.io/ReviewHtml/review_Ergo_Proxy.html")</f>
        <v>https://2danicritic.github.io/ReviewHtml/review_Ergo_Proxy.html</v>
      </c>
      <c r="U124" s="5">
        <f t="shared" si="1"/>
        <v>3.5</v>
      </c>
    </row>
    <row r="125" spans="2:21" x14ac:dyDescent="0.35">
      <c r="B125" s="7" t="s">
        <v>2243</v>
      </c>
      <c r="C125" t="s">
        <v>804</v>
      </c>
      <c r="D125" s="7" t="s">
        <v>2041</v>
      </c>
      <c r="E125" t="s">
        <v>1559</v>
      </c>
      <c r="F125" t="s">
        <v>805</v>
      </c>
      <c r="G125" t="s">
        <v>1558</v>
      </c>
      <c r="H125" t="s">
        <v>127</v>
      </c>
      <c r="I125" s="7">
        <v>3.93</v>
      </c>
      <c r="J125" s="7" t="s">
        <v>2025</v>
      </c>
      <c r="K125" s="7" t="s">
        <v>2025</v>
      </c>
      <c r="L125" s="7" t="s">
        <v>2025</v>
      </c>
      <c r="M125" s="7" t="s">
        <v>2027</v>
      </c>
      <c r="N125" s="7" t="s">
        <v>2025</v>
      </c>
      <c r="O125" s="7" t="s">
        <v>2025</v>
      </c>
      <c r="P125" s="7" t="s">
        <v>2025</v>
      </c>
      <c r="Q125" t="s">
        <v>128</v>
      </c>
      <c r="R125" s="7" t="s">
        <v>2201</v>
      </c>
      <c r="S125" t="str">
        <f xml:space="preserve"> HYPERLINK("ReviewHtml/review_Ernest_and_Celestine.html", "https://2danicritic.github.io/ReviewHtml/review_Ernest_and_Celestine.html")</f>
        <v>https://2danicritic.github.io/ReviewHtml/review_Ernest_and_Celestine.html</v>
      </c>
      <c r="U125" s="5">
        <f t="shared" si="1"/>
        <v>3.93</v>
      </c>
    </row>
    <row r="126" spans="2:21" x14ac:dyDescent="0.35">
      <c r="B126" s="7" t="s">
        <v>2244</v>
      </c>
      <c r="C126" t="s">
        <v>806</v>
      </c>
      <c r="D126" s="7" t="s">
        <v>2030</v>
      </c>
      <c r="E126" t="s">
        <v>57</v>
      </c>
      <c r="F126" t="s">
        <v>807</v>
      </c>
      <c r="G126" t="s">
        <v>1558</v>
      </c>
      <c r="H126" t="s">
        <v>808</v>
      </c>
      <c r="I126" s="7">
        <v>3.43</v>
      </c>
      <c r="J126" s="7" t="s">
        <v>2025</v>
      </c>
      <c r="K126" s="7" t="s">
        <v>2025</v>
      </c>
      <c r="L126" s="7" t="s">
        <v>2027</v>
      </c>
      <c r="M126" s="7" t="s">
        <v>2027</v>
      </c>
      <c r="N126" s="7" t="s">
        <v>2029</v>
      </c>
      <c r="O126" s="7" t="s">
        <v>2020</v>
      </c>
      <c r="P126" s="7" t="s">
        <v>2025</v>
      </c>
      <c r="Q126" t="s">
        <v>129</v>
      </c>
      <c r="R126" s="7" t="s">
        <v>2034</v>
      </c>
      <c r="S126" t="str">
        <f xml:space="preserve"> HYPERLINK("ReviewHtml/review_Ethel_&amp;_Ernest_.html", "https://2danicritic.github.io/ReviewHtml/review_Ethel_&amp;_Ernest_.html")</f>
        <v>https://2danicritic.github.io/ReviewHtml/review_Ethel_&amp;_Ernest_.html</v>
      </c>
      <c r="U126" s="5">
        <f t="shared" si="1"/>
        <v>3.43</v>
      </c>
    </row>
    <row r="127" spans="2:21" x14ac:dyDescent="0.35">
      <c r="B127" s="7" t="s">
        <v>2071</v>
      </c>
      <c r="C127" t="s">
        <v>1260</v>
      </c>
      <c r="D127" s="7" t="s">
        <v>2023</v>
      </c>
      <c r="E127" t="s">
        <v>1555</v>
      </c>
      <c r="F127" t="s">
        <v>1287</v>
      </c>
      <c r="G127" t="s">
        <v>1558</v>
      </c>
      <c r="H127" t="s">
        <v>1190</v>
      </c>
      <c r="I127" s="7">
        <v>3.64</v>
      </c>
      <c r="J127" s="7" t="s">
        <v>2027</v>
      </c>
      <c r="K127" s="7" t="s">
        <v>2027</v>
      </c>
      <c r="L127" s="7" t="s">
        <v>2025</v>
      </c>
      <c r="M127" s="7" t="s">
        <v>2027</v>
      </c>
      <c r="N127" s="7" t="s">
        <v>2027</v>
      </c>
      <c r="O127" s="7" t="s">
        <v>2027</v>
      </c>
      <c r="P127" s="7" t="s">
        <v>2025</v>
      </c>
      <c r="Q127" t="s">
        <v>1191</v>
      </c>
      <c r="R127" s="7" t="s">
        <v>2224</v>
      </c>
      <c r="S127" t="str">
        <f xml:space="preserve"> HYPERLINK("ReviewHtml/review_Evangelion_1.11_-_You_Are_(Not)_Alone.html", "https://2danicritic.github.io/ReviewHtml/review_Evangelion_1.11_-_You_Are_(Not)_Alone.html")</f>
        <v>https://2danicritic.github.io/ReviewHtml/review_Evangelion_1.11_-_You_Are_(Not)_Alone.html</v>
      </c>
      <c r="U127" s="5">
        <f t="shared" si="1"/>
        <v>3.64</v>
      </c>
    </row>
    <row r="128" spans="2:21" x14ac:dyDescent="0.35">
      <c r="B128" s="7" t="s">
        <v>2064</v>
      </c>
      <c r="C128" t="s">
        <v>1261</v>
      </c>
      <c r="D128" s="7" t="s">
        <v>2066</v>
      </c>
      <c r="E128" t="s">
        <v>1555</v>
      </c>
      <c r="F128" t="s">
        <v>1287</v>
      </c>
      <c r="G128" t="s">
        <v>1558</v>
      </c>
      <c r="H128" t="s">
        <v>1192</v>
      </c>
      <c r="I128" s="7">
        <v>4.57</v>
      </c>
      <c r="J128" s="7" t="s">
        <v>2026</v>
      </c>
      <c r="K128" s="7" t="s">
        <v>2026</v>
      </c>
      <c r="L128" s="7" t="s">
        <v>2026</v>
      </c>
      <c r="M128" s="7" t="s">
        <v>2025</v>
      </c>
      <c r="N128" s="7" t="s">
        <v>2026</v>
      </c>
      <c r="O128" s="7" t="s">
        <v>2033</v>
      </c>
      <c r="P128" s="7" t="s">
        <v>2033</v>
      </c>
      <c r="Q128" t="s">
        <v>1193</v>
      </c>
      <c r="R128" s="7" t="s">
        <v>2204</v>
      </c>
      <c r="S128" t="str">
        <f xml:space="preserve"> HYPERLINK("ReviewHtml/review_Evangelion_2.22_-_You_Can_(Not)_Advance.html", "https://2danicritic.github.io/ReviewHtml/review_Evangelion_2.22_-_You_Can_(Not)_Advance.html")</f>
        <v>https://2danicritic.github.io/ReviewHtml/review_Evangelion_2.22_-_You_Can_(Not)_Advance.html</v>
      </c>
      <c r="U128" s="5">
        <f t="shared" si="1"/>
        <v>4.57</v>
      </c>
    </row>
    <row r="129" spans="2:21" x14ac:dyDescent="0.35">
      <c r="B129" s="7" t="s">
        <v>2193</v>
      </c>
      <c r="C129" t="s">
        <v>2246</v>
      </c>
      <c r="D129" s="7" t="s">
        <v>2219</v>
      </c>
      <c r="E129" t="s">
        <v>1555</v>
      </c>
      <c r="F129" t="s">
        <v>1287</v>
      </c>
      <c r="G129" t="s">
        <v>1558</v>
      </c>
      <c r="H129" t="s">
        <v>1300</v>
      </c>
      <c r="I129" s="7">
        <v>3.71</v>
      </c>
      <c r="J129" s="7" t="s">
        <v>2027</v>
      </c>
      <c r="K129" s="7" t="s">
        <v>2025</v>
      </c>
      <c r="L129" s="7" t="s">
        <v>2025</v>
      </c>
      <c r="M129" s="7" t="s">
        <v>2027</v>
      </c>
      <c r="N129" s="7" t="s">
        <v>2027</v>
      </c>
      <c r="O129" s="7" t="s">
        <v>2027</v>
      </c>
      <c r="P129" s="7" t="s">
        <v>2025</v>
      </c>
      <c r="Q129" t="s">
        <v>1762</v>
      </c>
      <c r="R129" s="7" t="s">
        <v>2247</v>
      </c>
      <c r="S129" t="str">
        <f xml:space="preserve"> HYPERLINK("ReviewHtml/review_Evangelion_3.0_+_1.0_-_Thrice_Upon_A_Time.html", "https://2danicritic.github.io/ReviewHtml/review_Evangelion_3.0_+_1.0_-_Thrice_Upon_A_Time.html")</f>
        <v>https://2danicritic.github.io/ReviewHtml/review_Evangelion_3.0_+_1.0_-_Thrice_Upon_A_Time.html</v>
      </c>
      <c r="U129" s="5">
        <f t="shared" si="1"/>
        <v>3.71</v>
      </c>
    </row>
    <row r="130" spans="2:21" x14ac:dyDescent="0.35">
      <c r="B130" s="7" t="s">
        <v>2211</v>
      </c>
      <c r="C130" t="s">
        <v>1262</v>
      </c>
      <c r="D130" s="7" t="s">
        <v>2041</v>
      </c>
      <c r="E130" t="s">
        <v>1555</v>
      </c>
      <c r="F130" t="s">
        <v>1287</v>
      </c>
      <c r="G130" t="s">
        <v>1558</v>
      </c>
      <c r="H130" t="s">
        <v>1194</v>
      </c>
      <c r="I130" s="7">
        <v>3.57</v>
      </c>
      <c r="J130" s="7" t="s">
        <v>2026</v>
      </c>
      <c r="K130" s="7" t="s">
        <v>2025</v>
      </c>
      <c r="L130" s="7" t="s">
        <v>2027</v>
      </c>
      <c r="M130" s="7" t="s">
        <v>2027</v>
      </c>
      <c r="N130" s="7" t="s">
        <v>2020</v>
      </c>
      <c r="O130" s="7" t="s">
        <v>2020</v>
      </c>
      <c r="P130" s="7" t="s">
        <v>2027</v>
      </c>
      <c r="Q130" t="s">
        <v>224</v>
      </c>
      <c r="R130" s="7" t="s">
        <v>2082</v>
      </c>
      <c r="S130" t="str">
        <f xml:space="preserve"> HYPERLINK("ReviewHtml/review_Evangelion_3.33_-_You_Can_(Not)_Redo.html", "https://2danicritic.github.io/ReviewHtml/review_Evangelion_3.33_-_You_Can_(Not)_Redo.html")</f>
        <v>https://2danicritic.github.io/ReviewHtml/review_Evangelion_3.33_-_You_Can_(Not)_Redo.html</v>
      </c>
      <c r="U130" s="5">
        <f t="shared" si="1"/>
        <v>3.57</v>
      </c>
    </row>
    <row r="131" spans="2:21" x14ac:dyDescent="0.35">
      <c r="B131" s="7" t="s">
        <v>2055</v>
      </c>
      <c r="C131" t="s">
        <v>809</v>
      </c>
      <c r="D131" s="7" t="s">
        <v>2017</v>
      </c>
      <c r="E131" t="s">
        <v>1555</v>
      </c>
      <c r="F131" t="s">
        <v>716</v>
      </c>
      <c r="G131" t="s">
        <v>1558</v>
      </c>
      <c r="H131" t="s">
        <v>810</v>
      </c>
      <c r="I131" s="7">
        <v>2.71</v>
      </c>
      <c r="J131" s="7" t="s">
        <v>2019</v>
      </c>
      <c r="K131" s="7" t="s">
        <v>2019</v>
      </c>
      <c r="L131" s="7" t="s">
        <v>2020</v>
      </c>
      <c r="M131" s="7" t="s">
        <v>2019</v>
      </c>
      <c r="N131" s="7" t="s">
        <v>2029</v>
      </c>
      <c r="O131" s="7" t="s">
        <v>2027</v>
      </c>
      <c r="P131" s="7" t="s">
        <v>2020</v>
      </c>
      <c r="Q131" t="s">
        <v>130</v>
      </c>
      <c r="R131" s="7" t="s">
        <v>2043</v>
      </c>
      <c r="S131" t="str">
        <f xml:space="preserve"> HYPERLINK("ReviewHtml/review_Fairy_Tail_-_Dragon_Cry.html", "https://2danicritic.github.io/ReviewHtml/review_Fairy_Tail_-_Dragon_Cry.html")</f>
        <v>https://2danicritic.github.io/ReviewHtml/review_Fairy_Tail_-_Dragon_Cry.html</v>
      </c>
      <c r="U131" s="5">
        <f t="shared" si="1"/>
        <v>2.71</v>
      </c>
    </row>
    <row r="132" spans="2:21" x14ac:dyDescent="0.35">
      <c r="B132" s="7" t="s">
        <v>2248</v>
      </c>
      <c r="C132" t="s">
        <v>1374</v>
      </c>
      <c r="D132" s="7" t="s">
        <v>2041</v>
      </c>
      <c r="E132" t="s">
        <v>1555</v>
      </c>
      <c r="F132" t="s">
        <v>716</v>
      </c>
      <c r="G132" t="s">
        <v>1558</v>
      </c>
      <c r="H132" t="s">
        <v>1440</v>
      </c>
      <c r="I132" s="7">
        <v>3.21</v>
      </c>
      <c r="J132" s="7" t="s">
        <v>2020</v>
      </c>
      <c r="K132" s="7" t="s">
        <v>2020</v>
      </c>
      <c r="L132" s="7" t="s">
        <v>2020</v>
      </c>
      <c r="M132" s="7" t="s">
        <v>2020</v>
      </c>
      <c r="N132" s="7" t="s">
        <v>2027</v>
      </c>
      <c r="O132" s="7" t="s">
        <v>2025</v>
      </c>
      <c r="P132" s="7" t="s">
        <v>2020</v>
      </c>
      <c r="Q132" t="s">
        <v>231</v>
      </c>
      <c r="R132" s="7" t="s">
        <v>2034</v>
      </c>
      <c r="S132" t="str">
        <f xml:space="preserve"> HYPERLINK("ReviewHtml/review_Fairy_Tail_-_Phoenix_Priestess.html", "https://2danicritic.github.io/ReviewHtml/review_Fairy_Tail_-_Phoenix_Priestess.html")</f>
        <v>https://2danicritic.github.io/ReviewHtml/review_Fairy_Tail_-_Phoenix_Priestess.html</v>
      </c>
      <c r="U132" s="5">
        <f t="shared" ref="U132:U195" si="2">VALUE(I132)</f>
        <v>3.21</v>
      </c>
    </row>
    <row r="133" spans="2:21" x14ac:dyDescent="0.35">
      <c r="B133" s="7" t="s">
        <v>2045</v>
      </c>
      <c r="C133" t="s">
        <v>1574</v>
      </c>
      <c r="D133" s="7" t="s">
        <v>2017</v>
      </c>
      <c r="E133" t="s">
        <v>1555</v>
      </c>
      <c r="F133" t="s">
        <v>716</v>
      </c>
      <c r="G133" t="s">
        <v>1560</v>
      </c>
      <c r="H133" t="s">
        <v>1575</v>
      </c>
      <c r="I133" s="7">
        <v>3.5</v>
      </c>
      <c r="J133" s="7" t="s">
        <v>2027</v>
      </c>
      <c r="K133" s="7" t="s">
        <v>2027</v>
      </c>
      <c r="L133" s="7" t="s">
        <v>2025</v>
      </c>
      <c r="M133" s="7" t="s">
        <v>2020</v>
      </c>
      <c r="N133" s="7" t="s">
        <v>2020</v>
      </c>
      <c r="O133" s="7" t="s">
        <v>2025</v>
      </c>
      <c r="P133" s="7" t="s">
        <v>2027</v>
      </c>
      <c r="Q133" t="s">
        <v>147</v>
      </c>
      <c r="R133" s="7" t="s">
        <v>2104</v>
      </c>
      <c r="S133" t="str">
        <f xml:space="preserve"> HYPERLINK("ReviewHtml/review_Fate_-_Apocrypha.html", "https://2danicritic.github.io/ReviewHtml/review_Fate_-_Apocrypha.html")</f>
        <v>https://2danicritic.github.io/ReviewHtml/review_Fate_-_Apocrypha.html</v>
      </c>
      <c r="U133" s="5">
        <f t="shared" si="2"/>
        <v>3.5</v>
      </c>
    </row>
    <row r="134" spans="2:21" x14ac:dyDescent="0.35">
      <c r="B134" s="7" t="s">
        <v>2249</v>
      </c>
      <c r="C134" t="s">
        <v>1576</v>
      </c>
      <c r="D134" s="7" t="s">
        <v>2135</v>
      </c>
      <c r="E134" t="s">
        <v>1555</v>
      </c>
      <c r="F134" t="s">
        <v>690</v>
      </c>
      <c r="G134" t="s">
        <v>1560</v>
      </c>
      <c r="H134" t="s">
        <v>778</v>
      </c>
      <c r="I134" s="7">
        <v>3.21</v>
      </c>
      <c r="J134" s="7" t="s">
        <v>2027</v>
      </c>
      <c r="K134" s="7" t="s">
        <v>2027</v>
      </c>
      <c r="L134" s="7" t="s">
        <v>2027</v>
      </c>
      <c r="M134" s="7" t="s">
        <v>2025</v>
      </c>
      <c r="N134" s="7" t="s">
        <v>2029</v>
      </c>
      <c r="O134" s="7" t="s">
        <v>2020</v>
      </c>
      <c r="P134" s="7" t="s">
        <v>2020</v>
      </c>
      <c r="Q134" t="s">
        <v>1531</v>
      </c>
      <c r="R134" s="7" t="s">
        <v>2250</v>
      </c>
      <c r="S134" t="str">
        <f xml:space="preserve"> HYPERLINK("ReviewHtml/review_Fate_-_Extra_Last_Encore.html", "https://2danicritic.github.io/ReviewHtml/review_Fate_-_Extra_Last_Encore.html")</f>
        <v>https://2danicritic.github.io/ReviewHtml/review_Fate_-_Extra_Last_Encore.html</v>
      </c>
      <c r="U134" s="5">
        <f t="shared" si="2"/>
        <v>3.21</v>
      </c>
    </row>
    <row r="135" spans="2:21" x14ac:dyDescent="0.35">
      <c r="B135" s="7" t="s">
        <v>2251</v>
      </c>
      <c r="C135" t="s">
        <v>811</v>
      </c>
      <c r="D135" s="7" t="s">
        <v>2051</v>
      </c>
      <c r="E135" t="s">
        <v>1555</v>
      </c>
      <c r="F135" t="s">
        <v>812</v>
      </c>
      <c r="G135" t="s">
        <v>1560</v>
      </c>
      <c r="H135" t="s">
        <v>813</v>
      </c>
      <c r="I135" s="7">
        <v>2.64</v>
      </c>
      <c r="J135" s="7" t="s">
        <v>2020</v>
      </c>
      <c r="K135" s="7" t="s">
        <v>2020</v>
      </c>
      <c r="L135" s="7" t="s">
        <v>2020</v>
      </c>
      <c r="M135" s="7" t="s">
        <v>2020</v>
      </c>
      <c r="N135" s="7" t="s">
        <v>2029</v>
      </c>
      <c r="O135" s="7" t="s">
        <v>2019</v>
      </c>
      <c r="P135" s="7" t="s">
        <v>2029</v>
      </c>
      <c r="Q135" t="s">
        <v>131</v>
      </c>
      <c r="R135" s="7" t="s">
        <v>2155</v>
      </c>
      <c r="S135" t="str">
        <f xml:space="preserve"> HYPERLINK("ReviewHtml/review_Fate_-_Stay_Night.html", "https://2danicritic.github.io/ReviewHtml/review_Fate_-_Stay_Night.html")</f>
        <v>https://2danicritic.github.io/ReviewHtml/review_Fate_-_Stay_Night.html</v>
      </c>
      <c r="U135" s="5">
        <f t="shared" si="2"/>
        <v>2.64</v>
      </c>
    </row>
    <row r="136" spans="2:21" x14ac:dyDescent="0.35">
      <c r="B136" s="7" t="s">
        <v>2252</v>
      </c>
      <c r="C136" t="s">
        <v>1375</v>
      </c>
      <c r="D136" s="7" t="s">
        <v>2035</v>
      </c>
      <c r="E136" t="s">
        <v>1555</v>
      </c>
      <c r="F136" t="s">
        <v>812</v>
      </c>
      <c r="G136" t="s">
        <v>1558</v>
      </c>
      <c r="H136" t="s">
        <v>813</v>
      </c>
      <c r="I136" s="7">
        <v>3.57</v>
      </c>
      <c r="J136" s="7" t="s">
        <v>2027</v>
      </c>
      <c r="K136" s="7" t="s">
        <v>2027</v>
      </c>
      <c r="L136" s="7" t="s">
        <v>2025</v>
      </c>
      <c r="M136" s="7" t="s">
        <v>2027</v>
      </c>
      <c r="N136" s="7" t="s">
        <v>2027</v>
      </c>
      <c r="O136" s="7" t="s">
        <v>2027</v>
      </c>
      <c r="P136" s="7" t="s">
        <v>2027</v>
      </c>
      <c r="Q136" t="s">
        <v>1336</v>
      </c>
      <c r="R136" s="7" t="s">
        <v>2149</v>
      </c>
      <c r="S136" t="str">
        <f xml:space="preserve"> HYPERLINK("ReviewHtml/review_Fate_-_Stay_Night_-_Unlimited_Blade_Works.html", "https://2danicritic.github.io/ReviewHtml/review_Fate_-_Stay_Night_-_Unlimited_Blade_Works.html")</f>
        <v>https://2danicritic.github.io/ReviewHtml/review_Fate_-_Stay_Night_-_Unlimited_Blade_Works.html</v>
      </c>
      <c r="U136" s="5">
        <f t="shared" si="2"/>
        <v>3.57</v>
      </c>
    </row>
    <row r="137" spans="2:21" x14ac:dyDescent="0.35">
      <c r="B137" s="7" t="s">
        <v>2253</v>
      </c>
      <c r="C137" t="s">
        <v>1376</v>
      </c>
      <c r="D137" s="7" t="s">
        <v>2076</v>
      </c>
      <c r="E137" t="s">
        <v>1555</v>
      </c>
      <c r="F137" t="s">
        <v>815</v>
      </c>
      <c r="G137" t="s">
        <v>1560</v>
      </c>
      <c r="H137" t="s">
        <v>1441</v>
      </c>
      <c r="I137" s="7">
        <v>3.86</v>
      </c>
      <c r="J137" s="7" t="s">
        <v>2025</v>
      </c>
      <c r="K137" s="7" t="s">
        <v>2026</v>
      </c>
      <c r="L137" s="7" t="s">
        <v>2026</v>
      </c>
      <c r="M137" s="7" t="s">
        <v>2027</v>
      </c>
      <c r="N137" s="7" t="s">
        <v>2027</v>
      </c>
      <c r="O137" s="7" t="s">
        <v>2027</v>
      </c>
      <c r="P137" s="7" t="s">
        <v>2027</v>
      </c>
      <c r="Q137" t="s">
        <v>1337</v>
      </c>
      <c r="R137" s="7" t="s">
        <v>2254</v>
      </c>
      <c r="S137" t="str">
        <f xml:space="preserve"> HYPERLINK("ReviewHtml/review_Fate_-_Stay_Night_-_Unlimited_Blade_Works_(TV).html", "https://2danicritic.github.io/ReviewHtml/review_Fate_-_Stay_Night_-_Unlimited_Blade_Works_(TV).html")</f>
        <v>https://2danicritic.github.io/ReviewHtml/review_Fate_-_Stay_Night_-_Unlimited_Blade_Works_(TV).html</v>
      </c>
      <c r="U137" s="5">
        <f t="shared" si="2"/>
        <v>3.86</v>
      </c>
    </row>
    <row r="138" spans="2:21" x14ac:dyDescent="0.35">
      <c r="B138" s="7" t="s">
        <v>2255</v>
      </c>
      <c r="C138" t="s">
        <v>814</v>
      </c>
      <c r="D138" s="7" t="s">
        <v>2037</v>
      </c>
      <c r="E138" t="s">
        <v>1555</v>
      </c>
      <c r="F138" t="s">
        <v>815</v>
      </c>
      <c r="G138" t="s">
        <v>1560</v>
      </c>
      <c r="H138" t="s">
        <v>816</v>
      </c>
      <c r="I138" s="7">
        <v>4.93</v>
      </c>
      <c r="J138" s="7" t="s">
        <v>2033</v>
      </c>
      <c r="K138" s="7" t="s">
        <v>2033</v>
      </c>
      <c r="L138" s="7" t="s">
        <v>2033</v>
      </c>
      <c r="M138" s="7" t="s">
        <v>2026</v>
      </c>
      <c r="N138" s="7" t="s">
        <v>2033</v>
      </c>
      <c r="O138" s="7" t="s">
        <v>2033</v>
      </c>
      <c r="P138" s="7" t="s">
        <v>2033</v>
      </c>
      <c r="Q138" t="s">
        <v>132</v>
      </c>
      <c r="R138" s="7" t="s">
        <v>2257</v>
      </c>
      <c r="S138" t="str">
        <f xml:space="preserve"> HYPERLINK("ReviewHtml/review_Fate_-_Zero.html", "https://2danicritic.github.io/ReviewHtml/review_Fate_-_Zero.html")</f>
        <v>https://2danicritic.github.io/ReviewHtml/review_Fate_-_Zero.html</v>
      </c>
      <c r="U138" s="5">
        <f t="shared" si="2"/>
        <v>4.93</v>
      </c>
    </row>
    <row r="139" spans="2:21" x14ac:dyDescent="0.35">
      <c r="B139" s="7" t="s">
        <v>2059</v>
      </c>
      <c r="C139" t="s">
        <v>1577</v>
      </c>
      <c r="D139" s="7" t="s">
        <v>2023</v>
      </c>
      <c r="E139" t="s">
        <v>1559</v>
      </c>
      <c r="F139" t="s">
        <v>1578</v>
      </c>
      <c r="G139" t="s">
        <v>1556</v>
      </c>
      <c r="H139" t="s">
        <v>1532</v>
      </c>
      <c r="I139" s="7">
        <v>2.86</v>
      </c>
      <c r="J139" s="7" t="s">
        <v>2019</v>
      </c>
      <c r="K139" s="7" t="s">
        <v>2027</v>
      </c>
      <c r="L139" s="7" t="s">
        <v>2020</v>
      </c>
      <c r="M139" s="7" t="s">
        <v>2019</v>
      </c>
      <c r="N139" s="7" t="s">
        <v>2020</v>
      </c>
      <c r="O139" s="7" t="s">
        <v>2020</v>
      </c>
      <c r="P139" s="7" t="s">
        <v>2019</v>
      </c>
      <c r="Q139" t="s">
        <v>1533</v>
      </c>
      <c r="R139" s="7" t="s">
        <v>2043</v>
      </c>
      <c r="S139" t="str">
        <f xml:space="preserve"> HYPERLINK("ReviewHtml/review_Fear(s)_of_the_Dark.html", "https://2danicritic.github.io/ReviewHtml/review_Fear(s)_of_the_Dark.html")</f>
        <v>https://2danicritic.github.io/ReviewHtml/review_Fear(s)_of_the_Dark.html</v>
      </c>
      <c r="U139" s="5">
        <f t="shared" si="2"/>
        <v>2.86</v>
      </c>
    </row>
    <row r="140" spans="2:21" x14ac:dyDescent="0.35">
      <c r="B140" s="7" t="s">
        <v>2258</v>
      </c>
      <c r="C140" t="s">
        <v>1263</v>
      </c>
      <c r="D140" s="7" t="s">
        <v>2129</v>
      </c>
      <c r="E140" t="s">
        <v>1557</v>
      </c>
      <c r="F140" t="s">
        <v>1288</v>
      </c>
      <c r="G140" t="s">
        <v>1558</v>
      </c>
      <c r="H140" t="s">
        <v>1174</v>
      </c>
      <c r="I140" s="7">
        <v>2.93</v>
      </c>
      <c r="J140" s="7" t="s">
        <v>2019</v>
      </c>
      <c r="K140" s="7" t="s">
        <v>2019</v>
      </c>
      <c r="L140" s="7" t="s">
        <v>2020</v>
      </c>
      <c r="M140" s="7" t="s">
        <v>2019</v>
      </c>
      <c r="N140" s="7" t="s">
        <v>2020</v>
      </c>
      <c r="O140" s="7" t="s">
        <v>2027</v>
      </c>
      <c r="P140" s="7" t="s">
        <v>2027</v>
      </c>
      <c r="Q140" t="s">
        <v>1195</v>
      </c>
      <c r="R140" s="7" t="s">
        <v>2202</v>
      </c>
      <c r="S140" t="str">
        <f xml:space="preserve"> HYPERLINK("ReviewHtml/review_Fire_and_Ice.html", "https://2danicritic.github.io/ReviewHtml/review_Fire_and_Ice.html")</f>
        <v>https://2danicritic.github.io/ReviewHtml/review_Fire_and_Ice.html</v>
      </c>
      <c r="U140" s="5">
        <f t="shared" si="2"/>
        <v>2.93</v>
      </c>
    </row>
    <row r="141" spans="2:21" x14ac:dyDescent="0.35">
      <c r="B141" s="7" t="s">
        <v>2259</v>
      </c>
      <c r="C141" t="s">
        <v>817</v>
      </c>
      <c r="D141" s="7" t="s">
        <v>2017</v>
      </c>
      <c r="E141" t="s">
        <v>1555</v>
      </c>
      <c r="F141" t="s">
        <v>690</v>
      </c>
      <c r="G141" t="s">
        <v>1558</v>
      </c>
      <c r="H141" t="s">
        <v>133</v>
      </c>
      <c r="I141" s="7">
        <v>2.5</v>
      </c>
      <c r="J141" s="7" t="s">
        <v>2020</v>
      </c>
      <c r="K141" s="7" t="s">
        <v>2020</v>
      </c>
      <c r="L141" s="7" t="s">
        <v>2027</v>
      </c>
      <c r="M141" s="7" t="s">
        <v>2019</v>
      </c>
      <c r="N141" s="7" t="s">
        <v>2141</v>
      </c>
      <c r="O141" s="7" t="s">
        <v>2019</v>
      </c>
      <c r="P141" s="7" t="s">
        <v>2141</v>
      </c>
      <c r="Q141" t="s">
        <v>134</v>
      </c>
      <c r="R141" s="7" t="s">
        <v>2212</v>
      </c>
      <c r="S141" t="str">
        <f xml:space="preserve"> HYPERLINK("ReviewHtml/review_Fireworks.html", "https://2danicritic.github.io/ReviewHtml/review_Fireworks.html")</f>
        <v>https://2danicritic.github.io/ReviewHtml/review_Fireworks.html</v>
      </c>
      <c r="U141" s="5">
        <f t="shared" si="2"/>
        <v>2.5</v>
      </c>
    </row>
    <row r="142" spans="2:21" x14ac:dyDescent="0.35">
      <c r="B142" s="7" t="s">
        <v>2260</v>
      </c>
      <c r="C142" t="s">
        <v>1789</v>
      </c>
      <c r="D142" s="7" t="s">
        <v>2051</v>
      </c>
      <c r="E142" t="s">
        <v>1555</v>
      </c>
      <c r="F142" t="s">
        <v>1790</v>
      </c>
      <c r="G142" t="s">
        <v>1560</v>
      </c>
      <c r="H142" t="s">
        <v>1761</v>
      </c>
      <c r="I142" s="7">
        <v>3.29</v>
      </c>
      <c r="J142" s="7" t="s">
        <v>2020</v>
      </c>
      <c r="K142" s="7" t="s">
        <v>2027</v>
      </c>
      <c r="L142" s="7" t="s">
        <v>2020</v>
      </c>
      <c r="M142" s="7" t="s">
        <v>2027</v>
      </c>
      <c r="N142" s="7" t="s">
        <v>2025</v>
      </c>
      <c r="O142" s="7" t="s">
        <v>2029</v>
      </c>
      <c r="P142" s="7" t="s">
        <v>2025</v>
      </c>
      <c r="Q142" t="s">
        <v>1762</v>
      </c>
      <c r="R142" s="7" t="s">
        <v>2021</v>
      </c>
      <c r="S142" t="str">
        <f xml:space="preserve"> HYPERLINK("ReviewHtml/review_FLAG.html", "https://2danicritic.github.io/ReviewHtml/review_FLAG.html")</f>
        <v>https://2danicritic.github.io/ReviewHtml/review_FLAG.html</v>
      </c>
      <c r="U142" s="5">
        <f t="shared" si="2"/>
        <v>3.29</v>
      </c>
    </row>
    <row r="143" spans="2:21" x14ac:dyDescent="0.35">
      <c r="B143" s="7" t="s">
        <v>2261</v>
      </c>
      <c r="C143" t="s">
        <v>818</v>
      </c>
      <c r="D143" s="7" t="s">
        <v>2174</v>
      </c>
      <c r="E143" t="s">
        <v>1555</v>
      </c>
      <c r="F143" t="s">
        <v>819</v>
      </c>
      <c r="G143" t="s">
        <v>1561</v>
      </c>
      <c r="H143" t="s">
        <v>820</v>
      </c>
      <c r="I143" s="7">
        <v>4.57</v>
      </c>
      <c r="J143" s="7" t="s">
        <v>2025</v>
      </c>
      <c r="K143" s="7" t="s">
        <v>2025</v>
      </c>
      <c r="L143" s="7" t="s">
        <v>2033</v>
      </c>
      <c r="M143" s="7" t="s">
        <v>2025</v>
      </c>
      <c r="N143" s="7" t="s">
        <v>2033</v>
      </c>
      <c r="O143" s="7" t="s">
        <v>2033</v>
      </c>
      <c r="P143" s="7" t="s">
        <v>2033</v>
      </c>
      <c r="Q143" t="s">
        <v>135</v>
      </c>
      <c r="R143" s="7" t="s">
        <v>2262</v>
      </c>
      <c r="S143" t="str">
        <f xml:space="preserve"> HYPERLINK("ReviewHtml/review_FLCL.html", "https://2danicritic.github.io/ReviewHtml/review_FLCL.html")</f>
        <v>https://2danicritic.github.io/ReviewHtml/review_FLCL.html</v>
      </c>
      <c r="U143" s="5">
        <f t="shared" si="2"/>
        <v>4.57</v>
      </c>
    </row>
    <row r="144" spans="2:21" x14ac:dyDescent="0.35">
      <c r="B144" s="7" t="s">
        <v>2263</v>
      </c>
      <c r="C144" t="s">
        <v>1726</v>
      </c>
      <c r="D144" s="7" t="s">
        <v>2135</v>
      </c>
      <c r="E144" t="s">
        <v>1555</v>
      </c>
      <c r="F144" t="s">
        <v>732</v>
      </c>
      <c r="G144" t="s">
        <v>1560</v>
      </c>
      <c r="H144" t="s">
        <v>1727</v>
      </c>
      <c r="I144" s="7">
        <v>4</v>
      </c>
      <c r="J144" s="7" t="s">
        <v>2027</v>
      </c>
      <c r="K144" s="7" t="s">
        <v>2025</v>
      </c>
      <c r="L144" s="7" t="s">
        <v>2026</v>
      </c>
      <c r="M144" s="7" t="s">
        <v>2025</v>
      </c>
      <c r="N144" s="7" t="s">
        <v>2027</v>
      </c>
      <c r="O144" s="7" t="s">
        <v>2026</v>
      </c>
      <c r="P144" s="7" t="s">
        <v>2025</v>
      </c>
      <c r="Q144" t="s">
        <v>1666</v>
      </c>
      <c r="R144" s="7" t="s">
        <v>2264</v>
      </c>
      <c r="S144" t="str">
        <f xml:space="preserve"> HYPERLINK("ReviewHtml/review_FLCL_Progressive,_FLCL_Alternative.html", "https://2danicritic.github.io/ReviewHtml/review_FLCL_Progressive,_FLCL_Alternative.html")</f>
        <v>https://2danicritic.github.io/ReviewHtml/review_FLCL_Progressive,_FLCL_Alternative.html</v>
      </c>
      <c r="U144" s="5">
        <f t="shared" si="2"/>
        <v>4</v>
      </c>
    </row>
    <row r="145" spans="2:21" x14ac:dyDescent="0.35">
      <c r="B145" s="7" t="s">
        <v>2265</v>
      </c>
      <c r="C145" t="s">
        <v>821</v>
      </c>
      <c r="D145" s="7" t="s">
        <v>2030</v>
      </c>
      <c r="E145" t="s">
        <v>1555</v>
      </c>
      <c r="F145" t="s">
        <v>822</v>
      </c>
      <c r="G145" t="s">
        <v>1560</v>
      </c>
      <c r="H145" t="s">
        <v>823</v>
      </c>
      <c r="I145" s="7">
        <v>3.71</v>
      </c>
      <c r="J145" s="7" t="s">
        <v>2025</v>
      </c>
      <c r="K145" s="7" t="s">
        <v>2025</v>
      </c>
      <c r="L145" s="7" t="s">
        <v>2027</v>
      </c>
      <c r="M145" s="7" t="s">
        <v>2020</v>
      </c>
      <c r="N145" s="7" t="s">
        <v>2027</v>
      </c>
      <c r="O145" s="7" t="s">
        <v>2025</v>
      </c>
      <c r="P145" s="7" t="s">
        <v>2025</v>
      </c>
      <c r="Q145" t="s">
        <v>136</v>
      </c>
      <c r="R145" s="7" t="s">
        <v>2021</v>
      </c>
      <c r="S145" t="str">
        <f xml:space="preserve"> HYPERLINK("ReviewHtml/review_Flip_Flappers.html", "https://2danicritic.github.io/ReviewHtml/review_Flip_Flappers.html")</f>
        <v>https://2danicritic.github.io/ReviewHtml/review_Flip_Flappers.html</v>
      </c>
      <c r="U145" s="5">
        <f t="shared" si="2"/>
        <v>3.71</v>
      </c>
    </row>
    <row r="146" spans="2:21" x14ac:dyDescent="0.35">
      <c r="B146" s="7" t="s">
        <v>2266</v>
      </c>
      <c r="C146" t="s">
        <v>1962</v>
      </c>
      <c r="D146" s="7" t="s">
        <v>2041</v>
      </c>
      <c r="E146" t="s">
        <v>1555</v>
      </c>
      <c r="F146" t="s">
        <v>716</v>
      </c>
      <c r="G146" t="s">
        <v>1560</v>
      </c>
      <c r="H146" t="s">
        <v>1976</v>
      </c>
      <c r="I146" s="7">
        <v>4</v>
      </c>
      <c r="J146" s="7" t="s">
        <v>2020</v>
      </c>
      <c r="K146" s="7" t="s">
        <v>2025</v>
      </c>
      <c r="L146" s="7" t="s">
        <v>2026</v>
      </c>
      <c r="M146" s="7" t="s">
        <v>2020</v>
      </c>
      <c r="N146" s="7" t="s">
        <v>2026</v>
      </c>
      <c r="O146" s="7" t="s">
        <v>2025</v>
      </c>
      <c r="P146" s="7" t="s">
        <v>2033</v>
      </c>
      <c r="Q146" t="s">
        <v>1948</v>
      </c>
      <c r="R146" s="7" t="s">
        <v>2104</v>
      </c>
      <c r="S146" t="str">
        <f xml:space="preserve"> HYPERLINK("ReviewHtml/review_From_The_New_World.html", "https://2danicritic.github.io/ReviewHtml/review_From_The_New_World.html")</f>
        <v>https://2danicritic.github.io/ReviewHtml/review_From_The_New_World.html</v>
      </c>
      <c r="U146" s="5">
        <f t="shared" si="2"/>
        <v>4</v>
      </c>
    </row>
    <row r="147" spans="2:21" x14ac:dyDescent="0.35">
      <c r="B147" s="7" t="s">
        <v>2267</v>
      </c>
      <c r="C147" t="s">
        <v>824</v>
      </c>
      <c r="D147" s="7" t="s">
        <v>2037</v>
      </c>
      <c r="E147" t="s">
        <v>1555</v>
      </c>
      <c r="F147" t="s">
        <v>748</v>
      </c>
      <c r="G147" t="s">
        <v>1558</v>
      </c>
      <c r="H147" t="s">
        <v>825</v>
      </c>
      <c r="I147" s="7">
        <v>3.43</v>
      </c>
      <c r="J147" s="7" t="s">
        <v>2020</v>
      </c>
      <c r="K147" s="7" t="s">
        <v>2027</v>
      </c>
      <c r="L147" s="7" t="s">
        <v>2027</v>
      </c>
      <c r="M147" s="7" t="s">
        <v>2027</v>
      </c>
      <c r="N147" s="7" t="s">
        <v>2027</v>
      </c>
      <c r="O147" s="7" t="s">
        <v>2020</v>
      </c>
      <c r="P147" s="7" t="s">
        <v>2025</v>
      </c>
      <c r="Q147" t="s">
        <v>137</v>
      </c>
      <c r="R147" s="7" t="s">
        <v>2214</v>
      </c>
      <c r="S147" t="str">
        <f xml:space="preserve"> HYPERLINK("ReviewHtml/review_From_Up_On_Poppy_Hill.html", "https://2danicritic.github.io/ReviewHtml/review_From_Up_On_Poppy_Hill.html")</f>
        <v>https://2danicritic.github.io/ReviewHtml/review_From_Up_On_Poppy_Hill.html</v>
      </c>
      <c r="U147" s="5">
        <f t="shared" si="2"/>
        <v>3.43</v>
      </c>
    </row>
    <row r="148" spans="2:21" x14ac:dyDescent="0.35">
      <c r="B148" s="7" t="s">
        <v>2268</v>
      </c>
      <c r="C148" t="s">
        <v>1377</v>
      </c>
      <c r="D148" s="7" t="s">
        <v>2171</v>
      </c>
      <c r="E148" t="s">
        <v>1555</v>
      </c>
      <c r="F148" t="s">
        <v>659</v>
      </c>
      <c r="G148" t="s">
        <v>1560</v>
      </c>
      <c r="H148" t="s">
        <v>673</v>
      </c>
      <c r="I148" s="7">
        <v>3.07</v>
      </c>
      <c r="J148" s="7" t="s">
        <v>2019</v>
      </c>
      <c r="K148" s="7" t="s">
        <v>2019</v>
      </c>
      <c r="L148" s="7" t="s">
        <v>2020</v>
      </c>
      <c r="M148" s="7" t="s">
        <v>2020</v>
      </c>
      <c r="N148" s="7" t="s">
        <v>2020</v>
      </c>
      <c r="O148" s="7" t="s">
        <v>2025</v>
      </c>
      <c r="P148" s="7" t="s">
        <v>2027</v>
      </c>
      <c r="Q148" t="s">
        <v>1311</v>
      </c>
      <c r="R148" s="7" t="s">
        <v>2049</v>
      </c>
      <c r="S148" t="str">
        <f xml:space="preserve"> HYPERLINK("ReviewHtml/review_Full_Metal_Panic_-_Fumoffu.html", "https://2danicritic.github.io/ReviewHtml/review_Full_Metal_Panic_-_Fumoffu.html")</f>
        <v>https://2danicritic.github.io/ReviewHtml/review_Full_Metal_Panic_-_Fumoffu.html</v>
      </c>
      <c r="U148" s="5">
        <f t="shared" si="2"/>
        <v>3.07</v>
      </c>
    </row>
    <row r="149" spans="2:21" x14ac:dyDescent="0.35">
      <c r="B149" s="7" t="s">
        <v>2269</v>
      </c>
      <c r="C149" t="s">
        <v>1378</v>
      </c>
      <c r="D149" s="7" t="s">
        <v>2057</v>
      </c>
      <c r="E149" t="s">
        <v>1555</v>
      </c>
      <c r="F149" t="s">
        <v>665</v>
      </c>
      <c r="G149" t="s">
        <v>1560</v>
      </c>
      <c r="H149" t="s">
        <v>1442</v>
      </c>
      <c r="I149" s="7">
        <v>3</v>
      </c>
      <c r="J149" s="7" t="s">
        <v>2029</v>
      </c>
      <c r="K149" s="7" t="s">
        <v>2019</v>
      </c>
      <c r="L149" s="7" t="s">
        <v>2027</v>
      </c>
      <c r="M149" s="7" t="s">
        <v>2020</v>
      </c>
      <c r="N149" s="7" t="s">
        <v>2027</v>
      </c>
      <c r="O149" s="7" t="s">
        <v>2020</v>
      </c>
      <c r="P149" s="7" t="s">
        <v>2027</v>
      </c>
      <c r="Q149" t="s">
        <v>1312</v>
      </c>
      <c r="R149" s="7" t="s">
        <v>2155</v>
      </c>
      <c r="S149" t="str">
        <f xml:space="preserve"> HYPERLINK("ReviewHtml/review_Full_Metal_Panic!.html", "https://2danicritic.github.io/ReviewHtml/review_Full_Metal_Panic!.html")</f>
        <v>https://2danicritic.github.io/ReviewHtml/review_Full_Metal_Panic!.html</v>
      </c>
      <c r="U149" s="5">
        <f t="shared" si="2"/>
        <v>3</v>
      </c>
    </row>
    <row r="150" spans="2:21" x14ac:dyDescent="0.35">
      <c r="B150" s="7" t="s">
        <v>2270</v>
      </c>
      <c r="C150" t="s">
        <v>1379</v>
      </c>
      <c r="D150" s="7" t="s">
        <v>2180</v>
      </c>
      <c r="E150" t="s">
        <v>1555</v>
      </c>
      <c r="F150" t="s">
        <v>659</v>
      </c>
      <c r="G150" t="s">
        <v>1560</v>
      </c>
      <c r="H150" t="s">
        <v>673</v>
      </c>
      <c r="I150" s="7">
        <v>3.43</v>
      </c>
      <c r="J150" s="7" t="s">
        <v>2027</v>
      </c>
      <c r="K150" s="7" t="s">
        <v>2020</v>
      </c>
      <c r="L150" s="7" t="s">
        <v>2027</v>
      </c>
      <c r="M150" s="7" t="s">
        <v>2020</v>
      </c>
      <c r="N150" s="7" t="s">
        <v>2027</v>
      </c>
      <c r="O150" s="7" t="s">
        <v>2027</v>
      </c>
      <c r="P150" s="7" t="s">
        <v>2025</v>
      </c>
      <c r="Q150" t="s">
        <v>1313</v>
      </c>
      <c r="R150" s="7" t="s">
        <v>2122</v>
      </c>
      <c r="S150" t="str">
        <f xml:space="preserve"> HYPERLINK("ReviewHtml/review_Full_Metal_Panic!_-_The_Second_Raid.html", "https://2danicritic.github.io/ReviewHtml/review_Full_Metal_Panic!_-_The_Second_Raid.html")</f>
        <v>https://2danicritic.github.io/ReviewHtml/review_Full_Metal_Panic!_-_The_Second_Raid.html</v>
      </c>
      <c r="U150" s="5">
        <f t="shared" si="2"/>
        <v>3.43</v>
      </c>
    </row>
    <row r="151" spans="2:21" x14ac:dyDescent="0.35">
      <c r="B151" s="7" t="s">
        <v>2271</v>
      </c>
      <c r="C151" t="s">
        <v>1380</v>
      </c>
      <c r="D151" s="7" t="s">
        <v>2135</v>
      </c>
      <c r="E151" t="s">
        <v>1559</v>
      </c>
      <c r="F151" t="s">
        <v>1425</v>
      </c>
      <c r="G151" t="s">
        <v>1558</v>
      </c>
      <c r="H151" t="s">
        <v>1443</v>
      </c>
      <c r="I151" s="7">
        <v>3.43</v>
      </c>
      <c r="J151" s="7" t="s">
        <v>2019</v>
      </c>
      <c r="K151" s="7" t="s">
        <v>2020</v>
      </c>
      <c r="L151" s="7" t="s">
        <v>2027</v>
      </c>
      <c r="M151" s="7" t="s">
        <v>2027</v>
      </c>
      <c r="N151" s="7" t="s">
        <v>2025</v>
      </c>
      <c r="O151" s="7" t="s">
        <v>2027</v>
      </c>
      <c r="P151" s="7" t="s">
        <v>2025</v>
      </c>
      <c r="Q151" t="s">
        <v>1314</v>
      </c>
      <c r="R151" s="7" t="s">
        <v>2109</v>
      </c>
      <c r="S151" t="str">
        <f xml:space="preserve"> HYPERLINK("ReviewHtml/review_Funan.html", "https://2danicritic.github.io/ReviewHtml/review_Funan.html")</f>
        <v>https://2danicritic.github.io/ReviewHtml/review_Funan.html</v>
      </c>
      <c r="U151" s="5">
        <f t="shared" si="2"/>
        <v>3.43</v>
      </c>
    </row>
    <row r="152" spans="2:21" x14ac:dyDescent="0.35">
      <c r="B152" s="7" t="s">
        <v>2272</v>
      </c>
      <c r="C152" t="s">
        <v>826</v>
      </c>
      <c r="D152" s="7" t="s">
        <v>2095</v>
      </c>
      <c r="E152" t="s">
        <v>1555</v>
      </c>
      <c r="F152" t="s">
        <v>781</v>
      </c>
      <c r="G152" t="s">
        <v>1560</v>
      </c>
      <c r="H152" t="s">
        <v>827</v>
      </c>
      <c r="I152" s="7">
        <v>3.5</v>
      </c>
      <c r="J152" s="7" t="s">
        <v>2020</v>
      </c>
      <c r="K152" s="7" t="s">
        <v>2027</v>
      </c>
      <c r="L152" s="7" t="s">
        <v>2025</v>
      </c>
      <c r="M152" s="7" t="s">
        <v>2027</v>
      </c>
      <c r="N152" s="7" t="s">
        <v>2020</v>
      </c>
      <c r="O152" s="7" t="s">
        <v>2027</v>
      </c>
      <c r="P152" s="7" t="s">
        <v>2025</v>
      </c>
      <c r="Q152" t="s">
        <v>138</v>
      </c>
      <c r="R152" s="7" t="s">
        <v>2049</v>
      </c>
      <c r="S152" t="str">
        <f xml:space="preserve"> HYPERLINK("ReviewHtml/review_Gangsta.html", "https://2danicritic.github.io/ReviewHtml/review_Gangsta.html")</f>
        <v>https://2danicritic.github.io/ReviewHtml/review_Gangsta.html</v>
      </c>
      <c r="U152" s="5">
        <f t="shared" si="2"/>
        <v>3.5</v>
      </c>
    </row>
    <row r="153" spans="2:21" x14ac:dyDescent="0.35">
      <c r="B153" s="7" t="s">
        <v>2262</v>
      </c>
      <c r="C153" t="s">
        <v>828</v>
      </c>
      <c r="D153" s="7" t="s">
        <v>2167</v>
      </c>
      <c r="E153" t="s">
        <v>1555</v>
      </c>
      <c r="F153" t="s">
        <v>665</v>
      </c>
      <c r="G153" t="s">
        <v>1560</v>
      </c>
      <c r="H153" t="s">
        <v>829</v>
      </c>
      <c r="I153" s="7">
        <v>4.29</v>
      </c>
      <c r="J153" s="7" t="s">
        <v>2020</v>
      </c>
      <c r="K153" s="7" t="s">
        <v>2026</v>
      </c>
      <c r="L153" s="7" t="s">
        <v>2033</v>
      </c>
      <c r="M153" s="7" t="s">
        <v>2025</v>
      </c>
      <c r="N153" s="7" t="s">
        <v>2026</v>
      </c>
      <c r="O153" s="7" t="s">
        <v>2025</v>
      </c>
      <c r="P153" s="7" t="s">
        <v>2033</v>
      </c>
      <c r="Q153" t="s">
        <v>139</v>
      </c>
      <c r="R153" s="7" t="s">
        <v>2155</v>
      </c>
      <c r="S153" t="str">
        <f xml:space="preserve"> HYPERLINK("ReviewHtml/review_Gankutsuou_-_The_Count_of_Monte_Cristo.html", "https://2danicritic.github.io/ReviewHtml/review_Gankutsuou_-_The_Count_of_Monte_Cristo.html")</f>
        <v>https://2danicritic.github.io/ReviewHtml/review_Gankutsuou_-_The_Count_of_Monte_Cristo.html</v>
      </c>
      <c r="U153" s="5">
        <f t="shared" si="2"/>
        <v>4.29</v>
      </c>
    </row>
    <row r="154" spans="2:21" x14ac:dyDescent="0.35">
      <c r="B154" s="7" t="s">
        <v>2273</v>
      </c>
      <c r="C154" t="s">
        <v>830</v>
      </c>
      <c r="D154" s="7" t="s">
        <v>2167</v>
      </c>
      <c r="E154" t="s">
        <v>1555</v>
      </c>
      <c r="F154" t="s">
        <v>665</v>
      </c>
      <c r="G154" t="s">
        <v>1560</v>
      </c>
      <c r="H154" t="s">
        <v>831</v>
      </c>
      <c r="I154" s="7">
        <v>3.29</v>
      </c>
      <c r="J154" s="7" t="s">
        <v>2019</v>
      </c>
      <c r="K154" s="7" t="s">
        <v>2019</v>
      </c>
      <c r="L154" s="7" t="s">
        <v>2020</v>
      </c>
      <c r="M154" s="7" t="s">
        <v>2019</v>
      </c>
      <c r="N154" s="7" t="s">
        <v>2025</v>
      </c>
      <c r="O154" s="7" t="s">
        <v>2026</v>
      </c>
      <c r="P154" s="7" t="s">
        <v>2025</v>
      </c>
      <c r="Q154" t="s">
        <v>140</v>
      </c>
      <c r="R154" s="7" t="s">
        <v>2114</v>
      </c>
      <c r="S154" t="str">
        <f xml:space="preserve"> HYPERLINK("ReviewHtml/review_Gantz.html", "https://2danicritic.github.io/ReviewHtml/review_Gantz.html")</f>
        <v>https://2danicritic.github.io/ReviewHtml/review_Gantz.html</v>
      </c>
      <c r="U154" s="5">
        <f t="shared" si="2"/>
        <v>3.29</v>
      </c>
    </row>
    <row r="155" spans="2:21" x14ac:dyDescent="0.35">
      <c r="B155" s="7" t="s">
        <v>2274</v>
      </c>
      <c r="C155" t="s">
        <v>832</v>
      </c>
      <c r="D155" s="7" t="s">
        <v>2102</v>
      </c>
      <c r="E155" t="s">
        <v>1555</v>
      </c>
      <c r="F155" t="s">
        <v>732</v>
      </c>
      <c r="G155" t="s">
        <v>1560</v>
      </c>
      <c r="H155" t="s">
        <v>833</v>
      </c>
      <c r="I155" s="7">
        <v>3.14</v>
      </c>
      <c r="J155" s="7" t="s">
        <v>2027</v>
      </c>
      <c r="K155" s="7" t="s">
        <v>2027</v>
      </c>
      <c r="L155" s="7" t="s">
        <v>2019</v>
      </c>
      <c r="M155" s="7" t="s">
        <v>2020</v>
      </c>
      <c r="N155" s="7" t="s">
        <v>2027</v>
      </c>
      <c r="O155" s="7" t="s">
        <v>2020</v>
      </c>
      <c r="P155" s="7" t="s">
        <v>2020</v>
      </c>
      <c r="Q155" t="s">
        <v>141</v>
      </c>
      <c r="R155" s="7" t="s">
        <v>2275</v>
      </c>
      <c r="S155" t="str">
        <f xml:space="preserve"> HYPERLINK("ReviewHtml/review_Gargantia_on_the_Verdurous_Planet.html", "https://2danicritic.github.io/ReviewHtml/review_Gargantia_on_the_Verdurous_Planet.html")</f>
        <v>https://2danicritic.github.io/ReviewHtml/review_Gargantia_on_the_Verdurous_Planet.html</v>
      </c>
      <c r="U155" s="5">
        <f t="shared" si="2"/>
        <v>3.14</v>
      </c>
    </row>
    <row r="156" spans="2:21" x14ac:dyDescent="0.35">
      <c r="B156" s="7" t="s">
        <v>2276</v>
      </c>
      <c r="C156" t="s">
        <v>1579</v>
      </c>
      <c r="D156" s="7" t="s">
        <v>2023</v>
      </c>
      <c r="E156" t="s">
        <v>1555</v>
      </c>
      <c r="F156" t="s">
        <v>703</v>
      </c>
      <c r="G156" t="s">
        <v>1556</v>
      </c>
      <c r="H156" t="s">
        <v>1534</v>
      </c>
      <c r="I156" s="7">
        <v>3.57</v>
      </c>
      <c r="J156" s="7" t="s">
        <v>2025</v>
      </c>
      <c r="K156" s="7" t="s">
        <v>2025</v>
      </c>
      <c r="L156" s="7" t="s">
        <v>2020</v>
      </c>
      <c r="M156" s="7" t="s">
        <v>2020</v>
      </c>
      <c r="N156" s="7" t="s">
        <v>2027</v>
      </c>
      <c r="O156" s="7" t="s">
        <v>2027</v>
      </c>
      <c r="P156" s="7" t="s">
        <v>2025</v>
      </c>
      <c r="Q156" t="s">
        <v>1535</v>
      </c>
      <c r="R156" s="7" t="s">
        <v>2277</v>
      </c>
      <c r="S156" t="str">
        <f xml:space="preserve"> HYPERLINK("ReviewHtml/review_Genius_Party,_Genius_Party_Beyond.html", "https://2danicritic.github.io/ReviewHtml/review_Genius_Party,_Genius_Party_Beyond.html")</f>
        <v>https://2danicritic.github.io/ReviewHtml/review_Genius_Party,_Genius_Party_Beyond.html</v>
      </c>
      <c r="U156" s="5">
        <f t="shared" si="2"/>
        <v>3.57</v>
      </c>
    </row>
    <row r="157" spans="2:21" x14ac:dyDescent="0.35">
      <c r="B157" s="7" t="s">
        <v>2053</v>
      </c>
      <c r="C157" t="s">
        <v>834</v>
      </c>
      <c r="D157" s="7" t="s">
        <v>2030</v>
      </c>
      <c r="E157" t="s">
        <v>1555</v>
      </c>
      <c r="F157" t="s">
        <v>835</v>
      </c>
      <c r="G157" t="s">
        <v>1558</v>
      </c>
      <c r="H157" t="s">
        <v>827</v>
      </c>
      <c r="I157" s="7">
        <v>3.57</v>
      </c>
      <c r="J157" s="7" t="s">
        <v>2027</v>
      </c>
      <c r="K157" s="7" t="s">
        <v>2025</v>
      </c>
      <c r="L157" s="7" t="s">
        <v>2027</v>
      </c>
      <c r="M157" s="7" t="s">
        <v>2020</v>
      </c>
      <c r="N157" s="7" t="s">
        <v>2025</v>
      </c>
      <c r="O157" s="7" t="s">
        <v>2020</v>
      </c>
      <c r="P157" s="7" t="s">
        <v>2025</v>
      </c>
      <c r="Q157" t="s">
        <v>142</v>
      </c>
      <c r="R157" s="7" t="s">
        <v>2213</v>
      </c>
      <c r="S157" t="str">
        <f xml:space="preserve"> HYPERLINK("ReviewHtml/review_Genocidal_Organ.html", "https://2danicritic.github.io/ReviewHtml/review_Genocidal_Organ.html")</f>
        <v>https://2danicritic.github.io/ReviewHtml/review_Genocidal_Organ.html</v>
      </c>
      <c r="U157" s="5">
        <f t="shared" si="2"/>
        <v>3.57</v>
      </c>
    </row>
    <row r="158" spans="2:21" x14ac:dyDescent="0.35">
      <c r="B158" s="7" t="s">
        <v>2247</v>
      </c>
      <c r="C158" t="s">
        <v>836</v>
      </c>
      <c r="D158" s="7" t="s">
        <v>2124</v>
      </c>
      <c r="E158" t="s">
        <v>1555</v>
      </c>
      <c r="F158" t="s">
        <v>732</v>
      </c>
      <c r="G158" t="s">
        <v>1558</v>
      </c>
      <c r="H158" t="s">
        <v>837</v>
      </c>
      <c r="I158" s="7">
        <v>3.71</v>
      </c>
      <c r="J158" s="7" t="s">
        <v>2027</v>
      </c>
      <c r="K158" s="7" t="s">
        <v>2025</v>
      </c>
      <c r="L158" s="7" t="s">
        <v>2026</v>
      </c>
      <c r="M158" s="7" t="s">
        <v>2029</v>
      </c>
      <c r="N158" s="7" t="s">
        <v>2026</v>
      </c>
      <c r="O158" s="7" t="s">
        <v>2020</v>
      </c>
      <c r="P158" s="7" t="s">
        <v>2026</v>
      </c>
      <c r="Q158" t="s">
        <v>143</v>
      </c>
      <c r="R158" s="7" t="s">
        <v>2190</v>
      </c>
      <c r="S158" t="str">
        <f xml:space="preserve"> HYPERLINK("ReviewHtml/review_Ghost_in_the_Shell.html", "https://2danicritic.github.io/ReviewHtml/review_Ghost_in_the_Shell.html")</f>
        <v>https://2danicritic.github.io/ReviewHtml/review_Ghost_in_the_Shell.html</v>
      </c>
      <c r="U158" s="5">
        <f t="shared" si="2"/>
        <v>3.71</v>
      </c>
    </row>
    <row r="159" spans="2:21" x14ac:dyDescent="0.35">
      <c r="B159" s="7" t="s">
        <v>2278</v>
      </c>
      <c r="C159" t="s">
        <v>838</v>
      </c>
      <c r="D159" s="7" t="s">
        <v>2051</v>
      </c>
      <c r="E159" t="s">
        <v>1555</v>
      </c>
      <c r="F159" t="s">
        <v>732</v>
      </c>
      <c r="G159" t="s">
        <v>1558</v>
      </c>
      <c r="H159" t="s">
        <v>802</v>
      </c>
      <c r="I159" s="7">
        <v>3.64</v>
      </c>
      <c r="J159" s="7" t="s">
        <v>2025</v>
      </c>
      <c r="K159" s="7" t="s">
        <v>2027</v>
      </c>
      <c r="L159" s="7" t="s">
        <v>2026</v>
      </c>
      <c r="M159" s="7" t="s">
        <v>2025</v>
      </c>
      <c r="N159" s="7" t="s">
        <v>2027</v>
      </c>
      <c r="O159" s="7" t="s">
        <v>2020</v>
      </c>
      <c r="P159" s="7" t="s">
        <v>2020</v>
      </c>
      <c r="Q159" t="s">
        <v>144</v>
      </c>
      <c r="R159" s="7" t="s">
        <v>2149</v>
      </c>
      <c r="S159" t="str">
        <f xml:space="preserve"> HYPERLINK("ReviewHtml/review_Ghost_in_the_Shell_-_Solid_State_Society.html", "https://2danicritic.github.io/ReviewHtml/review_Ghost_in_the_Shell_-_Solid_State_Society.html")</f>
        <v>https://2danicritic.github.io/ReviewHtml/review_Ghost_in_the_Shell_-_Solid_State_Society.html</v>
      </c>
      <c r="U159" s="5">
        <f t="shared" si="2"/>
        <v>3.64</v>
      </c>
    </row>
    <row r="160" spans="2:21" x14ac:dyDescent="0.35">
      <c r="B160" s="7" t="s">
        <v>2279</v>
      </c>
      <c r="C160" t="s">
        <v>839</v>
      </c>
      <c r="D160" s="7" t="s">
        <v>2057</v>
      </c>
      <c r="E160" t="s">
        <v>1555</v>
      </c>
      <c r="F160" t="s">
        <v>732</v>
      </c>
      <c r="G160" t="s">
        <v>1560</v>
      </c>
      <c r="H160" t="s">
        <v>802</v>
      </c>
      <c r="I160" s="7">
        <v>4.1399999999999997</v>
      </c>
      <c r="J160" s="7" t="s">
        <v>2027</v>
      </c>
      <c r="K160" s="7" t="s">
        <v>2027</v>
      </c>
      <c r="L160" s="7" t="s">
        <v>2026</v>
      </c>
      <c r="M160" s="7" t="s">
        <v>2025</v>
      </c>
      <c r="N160" s="7" t="s">
        <v>2026</v>
      </c>
      <c r="O160" s="7" t="s">
        <v>2025</v>
      </c>
      <c r="P160" s="7" t="s">
        <v>2033</v>
      </c>
      <c r="Q160" t="s">
        <v>142</v>
      </c>
      <c r="R160" s="7" t="s">
        <v>2280</v>
      </c>
      <c r="S160" t="str">
        <f xml:space="preserve"> HYPERLINK("ReviewHtml/review_Ghost_in_the_Shell_-_Stand_Alone_Complex.html", "https://2danicritic.github.io/ReviewHtml/review_Ghost_in_the_Shell_-_Stand_Alone_Complex.html")</f>
        <v>https://2danicritic.github.io/ReviewHtml/review_Ghost_in_the_Shell_-_Stand_Alone_Complex.html</v>
      </c>
      <c r="U160" s="5">
        <f t="shared" si="2"/>
        <v>4.1399999999999997</v>
      </c>
    </row>
    <row r="161" spans="2:21" x14ac:dyDescent="0.35">
      <c r="B161" s="7" t="s">
        <v>2281</v>
      </c>
      <c r="C161" t="s">
        <v>2282</v>
      </c>
      <c r="D161" s="7" t="s">
        <v>2095</v>
      </c>
      <c r="E161" t="s">
        <v>1555</v>
      </c>
      <c r="F161" t="s">
        <v>732</v>
      </c>
      <c r="G161" t="s">
        <v>1558</v>
      </c>
      <c r="H161" t="s">
        <v>1799</v>
      </c>
      <c r="I161" s="7">
        <v>3.21</v>
      </c>
      <c r="J161" s="7" t="s">
        <v>2027</v>
      </c>
      <c r="K161" s="7" t="s">
        <v>2027</v>
      </c>
      <c r="L161" s="7" t="s">
        <v>2027</v>
      </c>
      <c r="M161" s="7" t="s">
        <v>2025</v>
      </c>
      <c r="N161" s="7" t="s">
        <v>2020</v>
      </c>
      <c r="O161" s="7" t="s">
        <v>2019</v>
      </c>
      <c r="P161" s="7" t="s">
        <v>2019</v>
      </c>
      <c r="Q161" t="s">
        <v>1189</v>
      </c>
      <c r="R161" s="7" t="s">
        <v>2067</v>
      </c>
      <c r="S161" t="str">
        <f xml:space="preserve"> HYPERLINK("ReviewHtml/review_Ghost_in_the_Shell_-_The_New_Movie.html", "https://2danicritic.github.io/ReviewHtml/review_Ghost_in_the_Shell_-_The_New_Movie.html")</f>
        <v>https://2danicritic.github.io/ReviewHtml/review_Ghost_in_the_Shell_-_The_New_Movie.html</v>
      </c>
      <c r="U161" s="5">
        <f t="shared" si="2"/>
        <v>3.21</v>
      </c>
    </row>
    <row r="162" spans="2:21" x14ac:dyDescent="0.35">
      <c r="B162" s="7" t="s">
        <v>2283</v>
      </c>
      <c r="C162" t="s">
        <v>840</v>
      </c>
      <c r="D162" s="7" t="s">
        <v>2167</v>
      </c>
      <c r="E162" t="s">
        <v>1555</v>
      </c>
      <c r="F162" t="s">
        <v>732</v>
      </c>
      <c r="G162" t="s">
        <v>1558</v>
      </c>
      <c r="H162" t="s">
        <v>837</v>
      </c>
      <c r="I162" s="7">
        <v>3.79</v>
      </c>
      <c r="J162" s="7" t="s">
        <v>2026</v>
      </c>
      <c r="K162" s="7" t="s">
        <v>2025</v>
      </c>
      <c r="L162" s="7" t="s">
        <v>2026</v>
      </c>
      <c r="M162" s="7" t="s">
        <v>2027</v>
      </c>
      <c r="N162" s="7" t="s">
        <v>2027</v>
      </c>
      <c r="O162" s="7" t="s">
        <v>2019</v>
      </c>
      <c r="P162" s="7" t="s">
        <v>2025</v>
      </c>
      <c r="Q162" t="s">
        <v>92</v>
      </c>
      <c r="R162" s="7" t="s">
        <v>2220</v>
      </c>
      <c r="S162" t="str">
        <f xml:space="preserve"> HYPERLINK("ReviewHtml/review_Ghost_in_the_Shell_2_-_Innocence.html", "https://2danicritic.github.io/ReviewHtml/review_Ghost_in_the_Shell_2_-_Innocence.html")</f>
        <v>https://2danicritic.github.io/ReviewHtml/review_Ghost_in_the_Shell_2_-_Innocence.html</v>
      </c>
      <c r="U162" s="5">
        <f t="shared" si="2"/>
        <v>3.79</v>
      </c>
    </row>
    <row r="163" spans="2:21" x14ac:dyDescent="0.35">
      <c r="B163" s="7" t="s">
        <v>2284</v>
      </c>
      <c r="C163" t="s">
        <v>1791</v>
      </c>
      <c r="D163" s="7" t="s">
        <v>2188</v>
      </c>
      <c r="E163" t="s">
        <v>1792</v>
      </c>
      <c r="F163" t="s">
        <v>1793</v>
      </c>
      <c r="G163" t="s">
        <v>1558</v>
      </c>
      <c r="H163" t="s">
        <v>1794</v>
      </c>
      <c r="I163" s="7">
        <v>3</v>
      </c>
      <c r="J163" s="7" t="s">
        <v>2027</v>
      </c>
      <c r="K163" s="7" t="s">
        <v>2020</v>
      </c>
      <c r="L163" s="7" t="s">
        <v>2027</v>
      </c>
      <c r="M163" s="7" t="s">
        <v>2020</v>
      </c>
      <c r="N163" s="7" t="s">
        <v>2019</v>
      </c>
      <c r="O163" s="7" t="s">
        <v>2020</v>
      </c>
      <c r="P163" s="7" t="s">
        <v>2019</v>
      </c>
      <c r="Q163" t="s">
        <v>1763</v>
      </c>
      <c r="R163" s="7" t="s">
        <v>2209</v>
      </c>
      <c r="S163" t="str">
        <f xml:space="preserve"> HYPERLINK("ReviewHtml/review_Ginger's_Tale.html", "https://2danicritic.github.io/ReviewHtml/review_Ginger's_Tale.html")</f>
        <v>https://2danicritic.github.io/ReviewHtml/review_Ginger's_Tale.html</v>
      </c>
      <c r="U163" s="5">
        <f t="shared" si="2"/>
        <v>3</v>
      </c>
    </row>
    <row r="164" spans="2:21" x14ac:dyDescent="0.35">
      <c r="B164" s="7" t="s">
        <v>2285</v>
      </c>
      <c r="C164" t="s">
        <v>1728</v>
      </c>
      <c r="D164" s="7" t="s">
        <v>2017</v>
      </c>
      <c r="E164" t="s">
        <v>1555</v>
      </c>
      <c r="F164" t="s">
        <v>880</v>
      </c>
      <c r="G164" t="s">
        <v>1560</v>
      </c>
      <c r="H164" t="s">
        <v>1729</v>
      </c>
      <c r="I164" s="7">
        <v>3.86</v>
      </c>
      <c r="J164" s="7" t="s">
        <v>2020</v>
      </c>
      <c r="K164" s="7" t="s">
        <v>2027</v>
      </c>
      <c r="L164" s="7" t="s">
        <v>2026</v>
      </c>
      <c r="M164" s="7" t="s">
        <v>2020</v>
      </c>
      <c r="N164" s="7" t="s">
        <v>2025</v>
      </c>
      <c r="O164" s="7" t="s">
        <v>2025</v>
      </c>
      <c r="P164" s="7" t="s">
        <v>2033</v>
      </c>
      <c r="Q164" t="s">
        <v>1667</v>
      </c>
      <c r="R164" s="7" t="s">
        <v>2049</v>
      </c>
      <c r="S164" t="str">
        <f xml:space="preserve"> HYPERLINK("ReviewHtml/review_Girls'_Last_Tour.html", "https://2danicritic.github.io/ReviewHtml/review_Girls'_Last_Tour.html")</f>
        <v>https://2danicritic.github.io/ReviewHtml/review_Girls'_Last_Tour.html</v>
      </c>
      <c r="U164" s="5">
        <f t="shared" si="2"/>
        <v>3.86</v>
      </c>
    </row>
    <row r="165" spans="2:21" x14ac:dyDescent="0.35">
      <c r="B165" s="7" t="s">
        <v>2286</v>
      </c>
      <c r="C165" t="s">
        <v>1328</v>
      </c>
      <c r="D165" s="7" t="s">
        <v>2041</v>
      </c>
      <c r="E165" t="s">
        <v>1555</v>
      </c>
      <c r="F165" t="s">
        <v>1426</v>
      </c>
      <c r="G165" t="s">
        <v>1560</v>
      </c>
      <c r="H165" t="s">
        <v>1019</v>
      </c>
      <c r="I165" s="7">
        <v>3.21</v>
      </c>
      <c r="J165" s="7" t="s">
        <v>2027</v>
      </c>
      <c r="K165" s="7" t="s">
        <v>2020</v>
      </c>
      <c r="L165" s="7" t="s">
        <v>2025</v>
      </c>
      <c r="M165" s="7" t="s">
        <v>2019</v>
      </c>
      <c r="N165" s="7" t="s">
        <v>2019</v>
      </c>
      <c r="O165" s="7" t="s">
        <v>2027</v>
      </c>
      <c r="P165" s="7" t="s">
        <v>2027</v>
      </c>
      <c r="Q165" t="s">
        <v>1315</v>
      </c>
      <c r="R165" s="7" t="s">
        <v>2049</v>
      </c>
      <c r="S165" t="str">
        <f xml:space="preserve"> HYPERLINK("ReviewHtml/review_Girls_und_Panzer.html", "https://2danicritic.github.io/ReviewHtml/review_Girls_und_Panzer.html")</f>
        <v>https://2danicritic.github.io/ReviewHtml/review_Girls_und_Panzer.html</v>
      </c>
      <c r="U165" s="5">
        <f t="shared" si="2"/>
        <v>3.21</v>
      </c>
    </row>
    <row r="166" spans="2:21" x14ac:dyDescent="0.35">
      <c r="B166" s="7" t="s">
        <v>2287</v>
      </c>
      <c r="C166" t="s">
        <v>1381</v>
      </c>
      <c r="D166" s="7" t="s">
        <v>2095</v>
      </c>
      <c r="E166" t="s">
        <v>1555</v>
      </c>
      <c r="F166" t="s">
        <v>1426</v>
      </c>
      <c r="G166" t="s">
        <v>1558</v>
      </c>
      <c r="H166" t="s">
        <v>1019</v>
      </c>
      <c r="I166" s="7">
        <v>3.43</v>
      </c>
      <c r="J166" s="7" t="s">
        <v>2025</v>
      </c>
      <c r="K166" s="7" t="s">
        <v>2027</v>
      </c>
      <c r="L166" s="7" t="s">
        <v>2025</v>
      </c>
      <c r="M166" s="7" t="s">
        <v>2020</v>
      </c>
      <c r="N166" s="7" t="s">
        <v>2029</v>
      </c>
      <c r="O166" s="7" t="s">
        <v>2025</v>
      </c>
      <c r="P166" s="7" t="s">
        <v>2027</v>
      </c>
      <c r="Q166" t="s">
        <v>1315</v>
      </c>
      <c r="R166" s="7" t="s">
        <v>2239</v>
      </c>
      <c r="S166" t="str">
        <f xml:space="preserve"> HYPERLINK("ReviewHtml/review_Girls_und_Panzer_-_Der_Film.html", "https://2danicritic.github.io/ReviewHtml/review_Girls_und_Panzer_-_Der_Film.html")</f>
        <v>https://2danicritic.github.io/ReviewHtml/review_Girls_und_Panzer_-_Der_Film.html</v>
      </c>
      <c r="U166" s="5">
        <f t="shared" si="2"/>
        <v>3.43</v>
      </c>
    </row>
    <row r="167" spans="2:21" x14ac:dyDescent="0.35">
      <c r="B167" s="7" t="s">
        <v>2288</v>
      </c>
      <c r="C167" t="s">
        <v>1382</v>
      </c>
      <c r="D167" s="7" t="s">
        <v>2041</v>
      </c>
      <c r="E167" t="s">
        <v>1555</v>
      </c>
      <c r="F167" t="s">
        <v>1426</v>
      </c>
      <c r="G167" t="s">
        <v>1561</v>
      </c>
      <c r="H167" t="s">
        <v>1019</v>
      </c>
      <c r="I167" s="7">
        <v>3.07</v>
      </c>
      <c r="J167" s="7" t="s">
        <v>2027</v>
      </c>
      <c r="K167" s="7" t="s">
        <v>2020</v>
      </c>
      <c r="L167" s="7" t="s">
        <v>2027</v>
      </c>
      <c r="M167" s="7" t="s">
        <v>2020</v>
      </c>
      <c r="N167" s="7" t="s">
        <v>2029</v>
      </c>
      <c r="O167" s="7" t="s">
        <v>2027</v>
      </c>
      <c r="P167" s="7" t="s">
        <v>2020</v>
      </c>
      <c r="Q167" t="s">
        <v>1316</v>
      </c>
      <c r="R167" s="7" t="s">
        <v>2204</v>
      </c>
      <c r="S167" t="str">
        <f xml:space="preserve"> HYPERLINK("ReviewHtml/review_Girls_und_Panzer_-_OVA.html", "https://2danicritic.github.io/ReviewHtml/review_Girls_und_Panzer_-_OVA.html")</f>
        <v>https://2danicritic.github.io/ReviewHtml/review_Girls_und_Panzer_-_OVA.html</v>
      </c>
      <c r="U167" s="5">
        <f t="shared" si="2"/>
        <v>3.07</v>
      </c>
    </row>
    <row r="168" spans="2:21" x14ac:dyDescent="0.35">
      <c r="B168" s="7" t="s">
        <v>2289</v>
      </c>
      <c r="C168" t="s">
        <v>1580</v>
      </c>
      <c r="D168" s="7" t="s">
        <v>2023</v>
      </c>
      <c r="E168" t="s">
        <v>1559</v>
      </c>
      <c r="F168" t="s">
        <v>1581</v>
      </c>
      <c r="G168" t="s">
        <v>1558</v>
      </c>
      <c r="H168" t="s">
        <v>1582</v>
      </c>
      <c r="I168" s="7">
        <v>3.36</v>
      </c>
      <c r="J168" s="7" t="s">
        <v>2025</v>
      </c>
      <c r="K168" s="7" t="s">
        <v>2027</v>
      </c>
      <c r="L168" s="7" t="s">
        <v>2025</v>
      </c>
      <c r="M168" s="7" t="s">
        <v>2019</v>
      </c>
      <c r="N168" s="7" t="s">
        <v>2020</v>
      </c>
      <c r="O168" s="7" t="s">
        <v>2027</v>
      </c>
      <c r="P168" s="7" t="s">
        <v>2020</v>
      </c>
      <c r="Q168" t="s">
        <v>185</v>
      </c>
      <c r="R168" s="7" t="s">
        <v>2212</v>
      </c>
      <c r="S168" t="str">
        <f xml:space="preserve"> HYPERLINK("ReviewHtml/review_Go_West_-_A_Lucky_Luke_Adventure.html", "https://2danicritic.github.io/ReviewHtml/review_Go_West_-_A_Lucky_Luke_Adventure.html")</f>
        <v>https://2danicritic.github.io/ReviewHtml/review_Go_West_-_A_Lucky_Luke_Adventure.html</v>
      </c>
      <c r="U168" s="5">
        <f t="shared" si="2"/>
        <v>3.36</v>
      </c>
    </row>
    <row r="169" spans="2:21" x14ac:dyDescent="0.35">
      <c r="B169" s="7" t="s">
        <v>2290</v>
      </c>
      <c r="C169" t="s">
        <v>1963</v>
      </c>
      <c r="D169" s="7" t="s">
        <v>2135</v>
      </c>
      <c r="E169" t="s">
        <v>1555</v>
      </c>
      <c r="F169" t="s">
        <v>880</v>
      </c>
      <c r="G169" t="s">
        <v>1560</v>
      </c>
      <c r="H169" t="s">
        <v>1729</v>
      </c>
      <c r="I169" s="7">
        <v>2.5</v>
      </c>
      <c r="J169" s="7" t="s">
        <v>2019</v>
      </c>
      <c r="K169" s="7" t="s">
        <v>2019</v>
      </c>
      <c r="L169" s="7" t="s">
        <v>2020</v>
      </c>
      <c r="M169" s="7" t="s">
        <v>2020</v>
      </c>
      <c r="N169" s="7" t="s">
        <v>2019</v>
      </c>
      <c r="O169" s="7" t="s">
        <v>2029</v>
      </c>
      <c r="P169" s="7" t="s">
        <v>2029</v>
      </c>
      <c r="Q169" t="s">
        <v>64</v>
      </c>
      <c r="R169" s="7" t="s">
        <v>2049</v>
      </c>
      <c r="S169" t="str">
        <f xml:space="preserve"> HYPERLINK("ReviewHtml/review_Goblin_Slayer.html", "https://2danicritic.github.io/ReviewHtml/review_Goblin_Slayer.html")</f>
        <v>https://2danicritic.github.io/ReviewHtml/review_Goblin_Slayer.html</v>
      </c>
      <c r="U169" s="5">
        <f t="shared" si="2"/>
        <v>2.5</v>
      </c>
    </row>
    <row r="170" spans="2:21" x14ac:dyDescent="0.35">
      <c r="B170" s="7" t="s">
        <v>2291</v>
      </c>
      <c r="C170" t="s">
        <v>841</v>
      </c>
      <c r="D170" s="7" t="s">
        <v>2041</v>
      </c>
      <c r="E170" t="s">
        <v>1555</v>
      </c>
      <c r="F170" t="s">
        <v>760</v>
      </c>
      <c r="G170" t="s">
        <v>1560</v>
      </c>
      <c r="H170" t="s">
        <v>842</v>
      </c>
      <c r="I170" s="7">
        <v>2.14</v>
      </c>
      <c r="J170" s="7" t="s">
        <v>2141</v>
      </c>
      <c r="K170" s="7" t="s">
        <v>2029</v>
      </c>
      <c r="L170" s="7" t="s">
        <v>2029</v>
      </c>
      <c r="M170" s="7" t="s">
        <v>2025</v>
      </c>
      <c r="N170" s="7" t="s">
        <v>2141</v>
      </c>
      <c r="O170" s="7" t="s">
        <v>2020</v>
      </c>
      <c r="P170" s="7" t="s">
        <v>2022</v>
      </c>
      <c r="Q170" t="s">
        <v>145</v>
      </c>
      <c r="R170" s="7" t="s">
        <v>2021</v>
      </c>
      <c r="S170" t="str">
        <f xml:space="preserve"> HYPERLINK("ReviewHtml/review_Good_Luck_Girl!.html", "https://2danicritic.github.io/ReviewHtml/review_Good_Luck_Girl!.html")</f>
        <v>https://2danicritic.github.io/ReviewHtml/review_Good_Luck_Girl!.html</v>
      </c>
      <c r="U170" s="5">
        <f t="shared" si="2"/>
        <v>2.14</v>
      </c>
    </row>
    <row r="171" spans="2:21" x14ac:dyDescent="0.35">
      <c r="B171" s="7" t="s">
        <v>2292</v>
      </c>
      <c r="C171" t="s">
        <v>843</v>
      </c>
      <c r="D171" s="7" t="s">
        <v>2069</v>
      </c>
      <c r="E171" t="s">
        <v>1555</v>
      </c>
      <c r="F171" t="s">
        <v>748</v>
      </c>
      <c r="G171" t="s">
        <v>1558</v>
      </c>
      <c r="H171" t="s">
        <v>844</v>
      </c>
      <c r="I171" s="7">
        <v>3.29</v>
      </c>
      <c r="J171" s="7" t="s">
        <v>2020</v>
      </c>
      <c r="K171" s="7" t="s">
        <v>2019</v>
      </c>
      <c r="L171" s="7" t="s">
        <v>2025</v>
      </c>
      <c r="M171" s="7" t="s">
        <v>2025</v>
      </c>
      <c r="N171" s="7" t="s">
        <v>2025</v>
      </c>
      <c r="O171" s="7" t="s">
        <v>2141</v>
      </c>
      <c r="P171" s="7" t="s">
        <v>2025</v>
      </c>
      <c r="Q171" t="s">
        <v>146</v>
      </c>
      <c r="R171" s="7" t="s">
        <v>2210</v>
      </c>
      <c r="S171" t="str">
        <f xml:space="preserve"> HYPERLINK("ReviewHtml/review_Grave_of_the_Fireflies.html", "https://2danicritic.github.io/ReviewHtml/review_Grave_of_the_Fireflies.html")</f>
        <v>https://2danicritic.github.io/ReviewHtml/review_Grave_of_the_Fireflies.html</v>
      </c>
      <c r="U171" s="5">
        <f t="shared" si="2"/>
        <v>3.29</v>
      </c>
    </row>
    <row r="172" spans="2:21" x14ac:dyDescent="0.35">
      <c r="B172" s="7" t="s">
        <v>2293</v>
      </c>
      <c r="C172" t="s">
        <v>1902</v>
      </c>
      <c r="D172" s="7" t="s">
        <v>2188</v>
      </c>
      <c r="E172" t="s">
        <v>1555</v>
      </c>
      <c r="F172" t="s">
        <v>1086</v>
      </c>
      <c r="G172" t="s">
        <v>1560</v>
      </c>
      <c r="H172" t="s">
        <v>1709</v>
      </c>
      <c r="I172" s="7">
        <v>4.1399999999999997</v>
      </c>
      <c r="J172" s="7" t="s">
        <v>2020</v>
      </c>
      <c r="K172" s="7" t="s">
        <v>2026</v>
      </c>
      <c r="L172" s="7" t="s">
        <v>2025</v>
      </c>
      <c r="M172" s="7" t="s">
        <v>2025</v>
      </c>
      <c r="N172" s="7" t="s">
        <v>2026</v>
      </c>
      <c r="O172" s="7" t="s">
        <v>2026</v>
      </c>
      <c r="P172" s="7" t="s">
        <v>2026</v>
      </c>
      <c r="Q172" t="s">
        <v>1874</v>
      </c>
      <c r="R172" s="7" t="s">
        <v>2242</v>
      </c>
      <c r="S172" t="str">
        <f xml:space="preserve"> HYPERLINK("ReviewHtml/review_Great_Pretender.html", "https://2danicritic.github.io/ReviewHtml/review_Great_Pretender.html")</f>
        <v>https://2danicritic.github.io/ReviewHtml/review_Great_Pretender.html</v>
      </c>
      <c r="U172" s="5">
        <f t="shared" si="2"/>
        <v>4.1399999999999997</v>
      </c>
    </row>
    <row r="173" spans="2:21" x14ac:dyDescent="0.35">
      <c r="B173" s="7" t="s">
        <v>2294</v>
      </c>
      <c r="C173" t="s">
        <v>845</v>
      </c>
      <c r="D173" s="7" t="s">
        <v>2030</v>
      </c>
      <c r="E173" t="s">
        <v>1555</v>
      </c>
      <c r="F173" t="s">
        <v>716</v>
      </c>
      <c r="G173" t="s">
        <v>1560</v>
      </c>
      <c r="H173" t="s">
        <v>846</v>
      </c>
      <c r="I173" s="7">
        <v>3.64</v>
      </c>
      <c r="J173" s="7" t="s">
        <v>2027</v>
      </c>
      <c r="K173" s="7" t="s">
        <v>2026</v>
      </c>
      <c r="L173" s="7" t="s">
        <v>2027</v>
      </c>
      <c r="M173" s="7" t="s">
        <v>2027</v>
      </c>
      <c r="N173" s="7" t="s">
        <v>2020</v>
      </c>
      <c r="O173" s="7" t="s">
        <v>2027</v>
      </c>
      <c r="P173" s="7" t="s">
        <v>2025</v>
      </c>
      <c r="Q173" t="s">
        <v>147</v>
      </c>
      <c r="R173" s="7" t="s">
        <v>2049</v>
      </c>
      <c r="S173" t="str">
        <f xml:space="preserve"> HYPERLINK("ReviewHtml/review_Grimgar_-_Ashes_and_Illusions.html", "https://2danicritic.github.io/ReviewHtml/review_Grimgar_-_Ashes_and_Illusions.html")</f>
        <v>https://2danicritic.github.io/ReviewHtml/review_Grimgar_-_Ashes_and_Illusions.html</v>
      </c>
      <c r="U173" s="5">
        <f t="shared" si="2"/>
        <v>3.64</v>
      </c>
    </row>
    <row r="174" spans="2:21" x14ac:dyDescent="0.35">
      <c r="B174" s="7" t="s">
        <v>2295</v>
      </c>
      <c r="C174" t="s">
        <v>847</v>
      </c>
      <c r="D174" s="7" t="s">
        <v>2037</v>
      </c>
      <c r="E174" t="s">
        <v>1555</v>
      </c>
      <c r="F174" t="s">
        <v>690</v>
      </c>
      <c r="G174" t="s">
        <v>1560</v>
      </c>
      <c r="H174" t="s">
        <v>148</v>
      </c>
      <c r="I174" s="7">
        <v>3.07</v>
      </c>
      <c r="J174" s="7" t="s">
        <v>2027</v>
      </c>
      <c r="K174" s="7" t="s">
        <v>2027</v>
      </c>
      <c r="L174" s="7" t="s">
        <v>2020</v>
      </c>
      <c r="M174" s="7" t="s">
        <v>2020</v>
      </c>
      <c r="N174" s="7" t="s">
        <v>2020</v>
      </c>
      <c r="O174" s="7" t="s">
        <v>2027</v>
      </c>
      <c r="P174" s="7" t="s">
        <v>2029</v>
      </c>
      <c r="Q174" t="s">
        <v>149</v>
      </c>
      <c r="R174" s="7" t="s">
        <v>2049</v>
      </c>
      <c r="S174" t="str">
        <f xml:space="preserve"> HYPERLINK("ReviewHtml/review_Ground_Control_to_Psychoelectric_Girl.html", "https://2danicritic.github.io/ReviewHtml/review_Ground_Control_to_Psychoelectric_Girl.html")</f>
        <v>https://2danicritic.github.io/ReviewHtml/review_Ground_Control_to_Psychoelectric_Girl.html</v>
      </c>
      <c r="U174" s="5">
        <f t="shared" si="2"/>
        <v>3.07</v>
      </c>
    </row>
    <row r="175" spans="2:21" x14ac:dyDescent="0.35">
      <c r="B175" s="7" t="s">
        <v>2147</v>
      </c>
      <c r="C175" t="s">
        <v>848</v>
      </c>
      <c r="D175" s="7" t="s">
        <v>2037</v>
      </c>
      <c r="E175" t="s">
        <v>1555</v>
      </c>
      <c r="F175" t="s">
        <v>732</v>
      </c>
      <c r="G175" t="s">
        <v>1560</v>
      </c>
      <c r="H175" t="s">
        <v>784</v>
      </c>
      <c r="I175" s="7">
        <v>3.21</v>
      </c>
      <c r="J175" s="7" t="s">
        <v>2027</v>
      </c>
      <c r="K175" s="7" t="s">
        <v>2027</v>
      </c>
      <c r="L175" s="7" t="s">
        <v>2025</v>
      </c>
      <c r="M175" s="7" t="s">
        <v>2027</v>
      </c>
      <c r="N175" s="7" t="s">
        <v>2141</v>
      </c>
      <c r="O175" s="7" t="s">
        <v>2019</v>
      </c>
      <c r="P175" s="7" t="s">
        <v>2025</v>
      </c>
      <c r="Q175" t="s">
        <v>150</v>
      </c>
      <c r="R175" s="7" t="s">
        <v>2296</v>
      </c>
      <c r="S175" t="str">
        <f xml:space="preserve"> HYPERLINK("ReviewHtml/review_Guilty_Crown.html", "https://2danicritic.github.io/ReviewHtml/review_Guilty_Crown.html")</f>
        <v>https://2danicritic.github.io/ReviewHtml/review_Guilty_Crown.html</v>
      </c>
      <c r="U175" s="5">
        <f t="shared" si="2"/>
        <v>3.21</v>
      </c>
    </row>
    <row r="176" spans="2:21" x14ac:dyDescent="0.35">
      <c r="B176" s="7" t="s">
        <v>2297</v>
      </c>
      <c r="C176" t="s">
        <v>1795</v>
      </c>
      <c r="D176" s="7" t="s">
        <v>2180</v>
      </c>
      <c r="E176" t="s">
        <v>1555</v>
      </c>
      <c r="F176" t="s">
        <v>680</v>
      </c>
      <c r="G176" t="s">
        <v>1560</v>
      </c>
      <c r="H176" t="s">
        <v>763</v>
      </c>
      <c r="I176" s="7">
        <v>3.07</v>
      </c>
      <c r="J176" s="7" t="s">
        <v>2020</v>
      </c>
      <c r="K176" s="7" t="s">
        <v>2027</v>
      </c>
      <c r="L176" s="7" t="s">
        <v>2027</v>
      </c>
      <c r="M176" s="7" t="s">
        <v>2020</v>
      </c>
      <c r="N176" s="7" t="s">
        <v>2019</v>
      </c>
      <c r="O176" s="7" t="s">
        <v>2020</v>
      </c>
      <c r="P176" s="7" t="s">
        <v>2020</v>
      </c>
      <c r="Q176" t="s">
        <v>301</v>
      </c>
      <c r="R176" s="7" t="s">
        <v>2114</v>
      </c>
      <c r="S176" t="str">
        <f xml:space="preserve"> HYPERLINK("ReviewHtml/review_Gun_X_Sword.html", "https://2danicritic.github.io/ReviewHtml/review_Gun_X_Sword.html")</f>
        <v>https://2danicritic.github.io/ReviewHtml/review_Gun_X_Sword.html</v>
      </c>
      <c r="U176" s="5">
        <f t="shared" si="2"/>
        <v>3.07</v>
      </c>
    </row>
    <row r="177" spans="2:21" x14ac:dyDescent="0.35">
      <c r="B177" s="7" t="s">
        <v>2298</v>
      </c>
      <c r="C177" t="s">
        <v>1383</v>
      </c>
      <c r="D177" s="7" t="s">
        <v>2167</v>
      </c>
      <c r="E177" t="s">
        <v>1555</v>
      </c>
      <c r="F177" t="s">
        <v>966</v>
      </c>
      <c r="G177" t="s">
        <v>1561</v>
      </c>
      <c r="H177" t="s">
        <v>820</v>
      </c>
      <c r="I177" s="7">
        <v>3.43</v>
      </c>
      <c r="J177" s="7" t="s">
        <v>2020</v>
      </c>
      <c r="K177" s="7" t="s">
        <v>2027</v>
      </c>
      <c r="L177" s="7" t="s">
        <v>2027</v>
      </c>
      <c r="M177" s="7" t="s">
        <v>2027</v>
      </c>
      <c r="N177" s="7" t="s">
        <v>2020</v>
      </c>
      <c r="O177" s="7" t="s">
        <v>2025</v>
      </c>
      <c r="P177" s="7" t="s">
        <v>2027</v>
      </c>
      <c r="Q177" t="s">
        <v>1338</v>
      </c>
      <c r="R177" s="7" t="s">
        <v>2165</v>
      </c>
      <c r="S177" t="str">
        <f xml:space="preserve"> HYPERLINK("ReviewHtml/review_Gunbuster_2.html", "https://2danicritic.github.io/ReviewHtml/review_Gunbuster_2.html")</f>
        <v>https://2danicritic.github.io/ReviewHtml/review_Gunbuster_2.html</v>
      </c>
      <c r="U177" s="5">
        <f t="shared" si="2"/>
        <v>3.43</v>
      </c>
    </row>
    <row r="178" spans="2:21" x14ac:dyDescent="0.35">
      <c r="B178" s="7" t="s">
        <v>2165</v>
      </c>
      <c r="C178" t="s">
        <v>1903</v>
      </c>
      <c r="D178" s="7" t="s">
        <v>2135</v>
      </c>
      <c r="E178" t="s">
        <v>1555</v>
      </c>
      <c r="F178" t="s">
        <v>949</v>
      </c>
      <c r="G178" t="s">
        <v>1560</v>
      </c>
      <c r="H178" t="s">
        <v>1827</v>
      </c>
      <c r="I178" s="7">
        <v>3.43</v>
      </c>
      <c r="J178" s="7" t="s">
        <v>2019</v>
      </c>
      <c r="K178" s="7" t="s">
        <v>2025</v>
      </c>
      <c r="L178" s="7" t="s">
        <v>2025</v>
      </c>
      <c r="M178" s="7" t="s">
        <v>2020</v>
      </c>
      <c r="N178" s="7" t="s">
        <v>2020</v>
      </c>
      <c r="O178" s="7" t="s">
        <v>2027</v>
      </c>
      <c r="P178" s="7" t="s">
        <v>2025</v>
      </c>
      <c r="Q178" t="s">
        <v>196</v>
      </c>
      <c r="R178" s="7" t="s">
        <v>2021</v>
      </c>
      <c r="S178" t="str">
        <f xml:space="preserve"> HYPERLINK("ReviewHtml/review_Hakumei_and_Mikochi.html", "https://2danicritic.github.io/ReviewHtml/review_Hakumei_and_Mikochi.html")</f>
        <v>https://2danicritic.github.io/ReviewHtml/review_Hakumei_and_Mikochi.html</v>
      </c>
      <c r="U178" s="5">
        <f t="shared" si="2"/>
        <v>3.43</v>
      </c>
    </row>
    <row r="179" spans="2:21" x14ac:dyDescent="0.35">
      <c r="B179" s="7" t="s">
        <v>2299</v>
      </c>
      <c r="C179" t="s">
        <v>849</v>
      </c>
      <c r="D179" s="7" t="s">
        <v>2095</v>
      </c>
      <c r="E179" t="s">
        <v>1555</v>
      </c>
      <c r="F179" t="s">
        <v>703</v>
      </c>
      <c r="G179" t="s">
        <v>1558</v>
      </c>
      <c r="H179" t="s">
        <v>151</v>
      </c>
      <c r="I179" s="7">
        <v>4.1399999999999997</v>
      </c>
      <c r="J179" s="7" t="s">
        <v>2025</v>
      </c>
      <c r="K179" s="7" t="s">
        <v>2026</v>
      </c>
      <c r="L179" s="7" t="s">
        <v>2025</v>
      </c>
      <c r="M179" s="7" t="s">
        <v>2025</v>
      </c>
      <c r="N179" s="7" t="s">
        <v>2026</v>
      </c>
      <c r="O179" s="7" t="s">
        <v>2027</v>
      </c>
      <c r="P179" s="7" t="s">
        <v>2026</v>
      </c>
      <c r="Q179" t="s">
        <v>152</v>
      </c>
      <c r="R179" s="7" t="s">
        <v>2239</v>
      </c>
      <c r="S179" t="str">
        <f xml:space="preserve"> HYPERLINK("ReviewHtml/review_Harmony.html", "https://2danicritic.github.io/ReviewHtml/review_Harmony.html")</f>
        <v>https://2danicritic.github.io/ReviewHtml/review_Harmony.html</v>
      </c>
      <c r="U179" s="5">
        <f t="shared" si="2"/>
        <v>4.1399999999999997</v>
      </c>
    </row>
    <row r="180" spans="2:21" x14ac:dyDescent="0.35">
      <c r="B180" s="7" t="s">
        <v>2300</v>
      </c>
      <c r="C180" t="s">
        <v>850</v>
      </c>
      <c r="D180" s="7" t="s">
        <v>2017</v>
      </c>
      <c r="E180" t="s">
        <v>1566</v>
      </c>
      <c r="F180" t="s">
        <v>851</v>
      </c>
      <c r="G180" t="s">
        <v>1558</v>
      </c>
      <c r="H180" t="s">
        <v>852</v>
      </c>
      <c r="I180" s="7">
        <v>3.57</v>
      </c>
      <c r="J180" s="7" t="s">
        <v>2022</v>
      </c>
      <c r="K180" s="7" t="s">
        <v>2025</v>
      </c>
      <c r="L180" s="7" t="s">
        <v>2025</v>
      </c>
      <c r="M180" s="7" t="s">
        <v>2025</v>
      </c>
      <c r="N180" s="7" t="s">
        <v>2025</v>
      </c>
      <c r="O180" s="7" t="s">
        <v>2025</v>
      </c>
      <c r="P180" s="7" t="s">
        <v>2025</v>
      </c>
      <c r="Q180" t="s">
        <v>153</v>
      </c>
      <c r="R180" s="7" t="s">
        <v>2195</v>
      </c>
      <c r="S180" t="str">
        <f xml:space="preserve"> HYPERLINK("ReviewHtml/review_Have_a_Nice_Day.html", "https://2danicritic.github.io/ReviewHtml/review_Have_a_Nice_Day.html")</f>
        <v>https://2danicritic.github.io/ReviewHtml/review_Have_a_Nice_Day.html</v>
      </c>
      <c r="U180" s="5">
        <f t="shared" si="2"/>
        <v>3.57</v>
      </c>
    </row>
    <row r="181" spans="2:21" x14ac:dyDescent="0.35">
      <c r="B181" s="7" t="s">
        <v>2301</v>
      </c>
      <c r="C181" t="s">
        <v>2302</v>
      </c>
      <c r="D181" s="7" t="s">
        <v>2188</v>
      </c>
      <c r="E181" t="s">
        <v>2303</v>
      </c>
      <c r="F181" t="s">
        <v>2304</v>
      </c>
      <c r="G181" t="s">
        <v>1558</v>
      </c>
      <c r="H181" t="s">
        <v>2305</v>
      </c>
      <c r="I181" s="7">
        <v>3.14</v>
      </c>
      <c r="J181" s="7" t="s">
        <v>2020</v>
      </c>
      <c r="K181" s="7" t="s">
        <v>2020</v>
      </c>
      <c r="L181" s="7" t="s">
        <v>2020</v>
      </c>
      <c r="M181" s="7" t="s">
        <v>2027</v>
      </c>
      <c r="N181" s="7" t="s">
        <v>2020</v>
      </c>
      <c r="O181" s="7" t="s">
        <v>2027</v>
      </c>
      <c r="P181" s="7" t="s">
        <v>2020</v>
      </c>
      <c r="Q181" t="s">
        <v>350</v>
      </c>
      <c r="R181" s="7" t="s">
        <v>2194</v>
      </c>
      <c r="S181" t="str">
        <f xml:space="preserve"> HYPERLINK("ReviewHtml/review_Hayop_Ka!_The_Nimfa_Dimaano_Story.html", "https://2danicritic.github.io/ReviewHtml/review_Hayop_Ka!_The_Nimfa_Dimaano_Story.html")</f>
        <v>https://2danicritic.github.io/ReviewHtml/review_Hayop_Ka!_The_Nimfa_Dimaano_Story.html</v>
      </c>
      <c r="U181" s="5">
        <f t="shared" si="2"/>
        <v>3.14</v>
      </c>
    </row>
    <row r="182" spans="2:21" x14ac:dyDescent="0.35">
      <c r="B182" s="7" t="s">
        <v>2306</v>
      </c>
      <c r="C182" t="s">
        <v>853</v>
      </c>
      <c r="D182" s="7" t="s">
        <v>2066</v>
      </c>
      <c r="E182" t="s">
        <v>1555</v>
      </c>
      <c r="F182" t="s">
        <v>751</v>
      </c>
      <c r="G182" t="s">
        <v>1560</v>
      </c>
      <c r="H182" t="s">
        <v>854</v>
      </c>
      <c r="I182" s="7">
        <v>2.86</v>
      </c>
      <c r="J182" s="7" t="s">
        <v>2020</v>
      </c>
      <c r="K182" s="7" t="s">
        <v>2027</v>
      </c>
      <c r="L182" s="7" t="s">
        <v>2020</v>
      </c>
      <c r="M182" s="7" t="s">
        <v>2019</v>
      </c>
      <c r="N182" s="7" t="s">
        <v>2019</v>
      </c>
      <c r="O182" s="7" t="s">
        <v>2019</v>
      </c>
      <c r="P182" s="7" t="s">
        <v>2020</v>
      </c>
      <c r="Q182" t="s">
        <v>154</v>
      </c>
      <c r="R182" s="7" t="s">
        <v>2114</v>
      </c>
      <c r="S182" t="str">
        <f xml:space="preserve"> HYPERLINK("ReviewHtml/review_Heaven's_Lost_Property.html", "https://2danicritic.github.io/ReviewHtml/review_Heaven's_Lost_Property.html")</f>
        <v>https://2danicritic.github.io/ReviewHtml/review_Heaven's_Lost_Property.html</v>
      </c>
      <c r="U182" s="5">
        <f t="shared" si="2"/>
        <v>2.86</v>
      </c>
    </row>
    <row r="183" spans="2:21" x14ac:dyDescent="0.35">
      <c r="B183" s="7" t="s">
        <v>2182</v>
      </c>
      <c r="C183" t="s">
        <v>155</v>
      </c>
      <c r="D183" s="7" t="s">
        <v>2037</v>
      </c>
      <c r="E183" t="s">
        <v>1555</v>
      </c>
      <c r="F183" t="s">
        <v>751</v>
      </c>
      <c r="G183" t="s">
        <v>1558</v>
      </c>
      <c r="H183" t="s">
        <v>156</v>
      </c>
      <c r="I183" s="7">
        <v>2.21</v>
      </c>
      <c r="J183" s="7" t="s">
        <v>2019</v>
      </c>
      <c r="K183" s="7" t="s">
        <v>2027</v>
      </c>
      <c r="L183" s="7" t="s">
        <v>2019</v>
      </c>
      <c r="M183" s="7" t="s">
        <v>2019</v>
      </c>
      <c r="N183" s="7" t="s">
        <v>2141</v>
      </c>
      <c r="O183" s="7" t="s">
        <v>2029</v>
      </c>
      <c r="P183" s="7" t="s">
        <v>2022</v>
      </c>
      <c r="Q183" t="s">
        <v>157</v>
      </c>
      <c r="R183" s="7" t="s">
        <v>2196</v>
      </c>
      <c r="S183" t="str">
        <f xml:space="preserve"> HYPERLINK("ReviewHtml/review_Heaven's_Lost_Property_the_Movie_-_The_Angeloid_of_Clockwork.html", "https://2danicritic.github.io/ReviewHtml/review_Heaven's_Lost_Property_the_Movie_-_The_Angeloid_of_Clockwork.html")</f>
        <v>https://2danicritic.github.io/ReviewHtml/review_Heaven's_Lost_Property_the_Movie_-_The_Angeloid_of_Clockwork.html</v>
      </c>
      <c r="U183" s="5">
        <f t="shared" si="2"/>
        <v>2.21</v>
      </c>
    </row>
    <row r="184" spans="2:21" x14ac:dyDescent="0.35">
      <c r="B184" s="7" t="s">
        <v>2307</v>
      </c>
      <c r="C184" t="s">
        <v>855</v>
      </c>
      <c r="D184" s="7" t="s">
        <v>2037</v>
      </c>
      <c r="E184" t="s">
        <v>1555</v>
      </c>
      <c r="F184" t="s">
        <v>671</v>
      </c>
      <c r="G184" t="s">
        <v>1560</v>
      </c>
      <c r="H184" t="s">
        <v>856</v>
      </c>
      <c r="I184" s="7">
        <v>2.93</v>
      </c>
      <c r="J184" s="7" t="s">
        <v>2020</v>
      </c>
      <c r="K184" s="7" t="s">
        <v>2027</v>
      </c>
      <c r="L184" s="7" t="s">
        <v>2020</v>
      </c>
      <c r="M184" s="7" t="s">
        <v>2020</v>
      </c>
      <c r="N184" s="7" t="s">
        <v>2019</v>
      </c>
      <c r="O184" s="7" t="s">
        <v>2020</v>
      </c>
      <c r="P184" s="7" t="s">
        <v>2019</v>
      </c>
      <c r="Q184" t="s">
        <v>158</v>
      </c>
      <c r="R184" s="7" t="s">
        <v>2021</v>
      </c>
      <c r="S184" t="str">
        <f xml:space="preserve"> HYPERLINK("ReviewHtml/review_Heaven's_Memo_Pad.html", "https://2danicritic.github.io/ReviewHtml/review_Heaven's_Memo_Pad.html")</f>
        <v>https://2danicritic.github.io/ReviewHtml/review_Heaven's_Memo_Pad.html</v>
      </c>
      <c r="U184" s="5">
        <f t="shared" si="2"/>
        <v>2.93</v>
      </c>
    </row>
    <row r="185" spans="2:21" x14ac:dyDescent="0.35">
      <c r="B185" s="7" t="s">
        <v>2308</v>
      </c>
      <c r="C185" t="s">
        <v>2309</v>
      </c>
      <c r="D185" s="7" t="s">
        <v>2140</v>
      </c>
      <c r="E185" t="s">
        <v>1557</v>
      </c>
      <c r="F185" t="s">
        <v>2310</v>
      </c>
      <c r="G185" t="s">
        <v>1558</v>
      </c>
      <c r="H185" t="s">
        <v>1174</v>
      </c>
      <c r="I185" s="7">
        <v>3.5</v>
      </c>
      <c r="J185" s="7" t="s">
        <v>2020</v>
      </c>
      <c r="K185" s="7" t="s">
        <v>2027</v>
      </c>
      <c r="L185" s="7" t="s">
        <v>2027</v>
      </c>
      <c r="M185" s="7" t="s">
        <v>2020</v>
      </c>
      <c r="N185" s="7" t="s">
        <v>2025</v>
      </c>
      <c r="O185" s="7" t="s">
        <v>2020</v>
      </c>
      <c r="P185" s="7" t="s">
        <v>2026</v>
      </c>
      <c r="Q185" t="s">
        <v>2006</v>
      </c>
      <c r="R185" s="7" t="s">
        <v>2151</v>
      </c>
      <c r="S185" t="str">
        <f xml:space="preserve"> HYPERLINK("ReviewHtml/review_Heavy_Traffic.html", "https://2danicritic.github.io/ReviewHtml/review_Heavy_Traffic.html")</f>
        <v>https://2danicritic.github.io/ReviewHtml/review_Heavy_Traffic.html</v>
      </c>
      <c r="U185" s="5">
        <f t="shared" si="2"/>
        <v>3.5</v>
      </c>
    </row>
    <row r="186" spans="2:21" x14ac:dyDescent="0.35">
      <c r="B186" s="7" t="s">
        <v>2277</v>
      </c>
      <c r="C186" t="s">
        <v>1264</v>
      </c>
      <c r="D186" s="7" t="s">
        <v>2154</v>
      </c>
      <c r="E186" t="s">
        <v>1555</v>
      </c>
      <c r="F186" t="s">
        <v>695</v>
      </c>
      <c r="G186" t="s">
        <v>1558</v>
      </c>
      <c r="H186" t="s">
        <v>875</v>
      </c>
      <c r="I186" s="7">
        <v>3.5</v>
      </c>
      <c r="J186" s="7" t="s">
        <v>2020</v>
      </c>
      <c r="K186" s="7" t="s">
        <v>2025</v>
      </c>
      <c r="L186" s="7" t="s">
        <v>2020</v>
      </c>
      <c r="M186" s="7" t="s">
        <v>2027</v>
      </c>
      <c r="N186" s="7" t="s">
        <v>2020</v>
      </c>
      <c r="O186" s="7" t="s">
        <v>2025</v>
      </c>
      <c r="P186" s="7" t="s">
        <v>2025</v>
      </c>
      <c r="Q186" t="s">
        <v>1196</v>
      </c>
      <c r="R186" s="7" t="s">
        <v>2229</v>
      </c>
      <c r="S186" t="str">
        <f xml:space="preserve"> HYPERLINK("ReviewHtml/review_Hells.html", "https://2danicritic.github.io/ReviewHtml/review_Hells.html")</f>
        <v>https://2danicritic.github.io/ReviewHtml/review_Hells.html</v>
      </c>
      <c r="U186" s="5">
        <f t="shared" si="2"/>
        <v>3.5</v>
      </c>
    </row>
    <row r="187" spans="2:21" x14ac:dyDescent="0.35">
      <c r="B187" s="7" t="s">
        <v>2311</v>
      </c>
      <c r="C187" t="s">
        <v>857</v>
      </c>
      <c r="D187" s="7" t="s">
        <v>2051</v>
      </c>
      <c r="E187" t="s">
        <v>1555</v>
      </c>
      <c r="F187" t="s">
        <v>159</v>
      </c>
      <c r="G187" t="s">
        <v>1561</v>
      </c>
      <c r="H187" t="s">
        <v>160</v>
      </c>
      <c r="I187" s="7">
        <v>4.21</v>
      </c>
      <c r="J187" s="7" t="s">
        <v>2020</v>
      </c>
      <c r="K187" s="7" t="s">
        <v>2033</v>
      </c>
      <c r="L187" s="7" t="s">
        <v>2027</v>
      </c>
      <c r="M187" s="7" t="s">
        <v>2033</v>
      </c>
      <c r="N187" s="7" t="s">
        <v>2020</v>
      </c>
      <c r="O187" s="7" t="s">
        <v>2033</v>
      </c>
      <c r="P187" s="7" t="s">
        <v>2033</v>
      </c>
      <c r="Q187" t="s">
        <v>161</v>
      </c>
      <c r="R187" s="7" t="s">
        <v>2312</v>
      </c>
      <c r="S187" t="str">
        <f xml:space="preserve"> HYPERLINK("ReviewHtml/review_Hellsing_Ultimate.html", "https://2danicritic.github.io/ReviewHtml/review_Hellsing_Ultimate.html")</f>
        <v>https://2danicritic.github.io/ReviewHtml/review_Hellsing_Ultimate.html</v>
      </c>
      <c r="U187" s="5">
        <f t="shared" si="2"/>
        <v>4.21</v>
      </c>
    </row>
    <row r="188" spans="2:21" x14ac:dyDescent="0.35">
      <c r="B188" s="7" t="s">
        <v>2313</v>
      </c>
      <c r="C188" t="s">
        <v>858</v>
      </c>
      <c r="D188" s="7" t="s">
        <v>2066</v>
      </c>
      <c r="E188" t="s">
        <v>1555</v>
      </c>
      <c r="F188" t="s">
        <v>812</v>
      </c>
      <c r="G188" t="s">
        <v>1569</v>
      </c>
      <c r="H188" t="s">
        <v>859</v>
      </c>
      <c r="I188" s="7">
        <v>1.79</v>
      </c>
      <c r="J188" s="7" t="s">
        <v>2141</v>
      </c>
      <c r="K188" s="7" t="s">
        <v>2029</v>
      </c>
      <c r="L188" s="7" t="s">
        <v>2029</v>
      </c>
      <c r="M188" s="7" t="s">
        <v>2020</v>
      </c>
      <c r="N188" s="7" t="s">
        <v>2022</v>
      </c>
      <c r="O188" s="7" t="s">
        <v>2029</v>
      </c>
      <c r="P188" s="7" t="s">
        <v>2022</v>
      </c>
      <c r="Q188" t="s">
        <v>162</v>
      </c>
      <c r="R188" s="7" t="s">
        <v>2315</v>
      </c>
      <c r="S188" t="str">
        <f xml:space="preserve"> HYPERLINK("ReviewHtml/review_Hetalia_-_Season_1_and_2.html", "https://2danicritic.github.io/ReviewHtml/review_Hetalia_-_Season_1_and_2.html")</f>
        <v>https://2danicritic.github.io/ReviewHtml/review_Hetalia_-_Season_1_and_2.html</v>
      </c>
      <c r="U188" s="5">
        <f t="shared" si="2"/>
        <v>1.79</v>
      </c>
    </row>
    <row r="189" spans="2:21" x14ac:dyDescent="0.35">
      <c r="B189" s="7" t="s">
        <v>2316</v>
      </c>
      <c r="C189" t="s">
        <v>860</v>
      </c>
      <c r="D189" s="7" t="s">
        <v>2041</v>
      </c>
      <c r="E189" t="s">
        <v>1555</v>
      </c>
      <c r="F189" t="s">
        <v>861</v>
      </c>
      <c r="G189" t="s">
        <v>1560</v>
      </c>
      <c r="H189" t="s">
        <v>862</v>
      </c>
      <c r="I189" s="7">
        <v>3.43</v>
      </c>
      <c r="J189" s="7" t="s">
        <v>2019</v>
      </c>
      <c r="K189" s="7" t="s">
        <v>2027</v>
      </c>
      <c r="L189" s="7" t="s">
        <v>2027</v>
      </c>
      <c r="M189" s="7" t="s">
        <v>2027</v>
      </c>
      <c r="N189" s="7" t="s">
        <v>2019</v>
      </c>
      <c r="O189" s="7" t="s">
        <v>2026</v>
      </c>
      <c r="P189" s="7" t="s">
        <v>2025</v>
      </c>
      <c r="Q189" t="s">
        <v>157</v>
      </c>
      <c r="R189" s="7" t="s">
        <v>2317</v>
      </c>
      <c r="S189" t="str">
        <f xml:space="preserve"> HYPERLINK("ReviewHtml/review_Highschool_DxD.html", "https://2danicritic.github.io/ReviewHtml/review_Highschool_DxD.html")</f>
        <v>https://2danicritic.github.io/ReviewHtml/review_Highschool_DxD.html</v>
      </c>
      <c r="U189" s="5">
        <f t="shared" si="2"/>
        <v>3.43</v>
      </c>
    </row>
    <row r="190" spans="2:21" x14ac:dyDescent="0.35">
      <c r="B190" s="7" t="s">
        <v>2318</v>
      </c>
      <c r="C190" t="s">
        <v>863</v>
      </c>
      <c r="D190" s="7" t="s">
        <v>2035</v>
      </c>
      <c r="E190" t="s">
        <v>1555</v>
      </c>
      <c r="F190" t="s">
        <v>695</v>
      </c>
      <c r="G190" t="s">
        <v>1560</v>
      </c>
      <c r="H190" t="s">
        <v>784</v>
      </c>
      <c r="I190" s="7">
        <v>4.07</v>
      </c>
      <c r="J190" s="7" t="s">
        <v>2027</v>
      </c>
      <c r="K190" s="7" t="s">
        <v>2026</v>
      </c>
      <c r="L190" s="7" t="s">
        <v>2027</v>
      </c>
      <c r="M190" s="7" t="s">
        <v>2025</v>
      </c>
      <c r="N190" s="7" t="s">
        <v>2020</v>
      </c>
      <c r="O190" s="7" t="s">
        <v>2033</v>
      </c>
      <c r="P190" s="7" t="s">
        <v>2033</v>
      </c>
      <c r="Q190" t="s">
        <v>163</v>
      </c>
      <c r="R190" s="7" t="s">
        <v>2049</v>
      </c>
      <c r="S190" t="str">
        <f xml:space="preserve"> HYPERLINK("ReviewHtml/review_Highschool_of_the_Dead.html", "https://2danicritic.github.io/ReviewHtml/review_Highschool_of_the_Dead.html")</f>
        <v>https://2danicritic.github.io/ReviewHtml/review_Highschool_of_the_Dead.html</v>
      </c>
      <c r="U190" s="5">
        <f t="shared" si="2"/>
        <v>4.07</v>
      </c>
    </row>
    <row r="191" spans="2:21" x14ac:dyDescent="0.35">
      <c r="B191" s="7" t="s">
        <v>2319</v>
      </c>
      <c r="C191" t="s">
        <v>1384</v>
      </c>
      <c r="D191" s="7" t="s">
        <v>2095</v>
      </c>
      <c r="E191" t="s">
        <v>1555</v>
      </c>
      <c r="F191" t="s">
        <v>1427</v>
      </c>
      <c r="G191" t="s">
        <v>1560</v>
      </c>
      <c r="H191" t="s">
        <v>1444</v>
      </c>
      <c r="I191" s="7">
        <v>2.93</v>
      </c>
      <c r="J191" s="7" t="s">
        <v>2020</v>
      </c>
      <c r="K191" s="7" t="s">
        <v>2020</v>
      </c>
      <c r="L191" s="7" t="s">
        <v>2020</v>
      </c>
      <c r="M191" s="7" t="s">
        <v>2020</v>
      </c>
      <c r="N191" s="7" t="s">
        <v>2029</v>
      </c>
      <c r="O191" s="7" t="s">
        <v>2027</v>
      </c>
      <c r="P191" s="7" t="s">
        <v>2020</v>
      </c>
      <c r="Q191" t="s">
        <v>72</v>
      </c>
      <c r="R191" s="7" t="s">
        <v>2049</v>
      </c>
      <c r="S191" t="str">
        <f xml:space="preserve"> HYPERLINK("ReviewHtml/review_Himouto!_Umaru-Chan.html", "https://2danicritic.github.io/ReviewHtml/review_Himouto!_Umaru-Chan.html")</f>
        <v>https://2danicritic.github.io/ReviewHtml/review_Himouto!_Umaru-Chan.html</v>
      </c>
      <c r="U191" s="5">
        <f t="shared" si="2"/>
        <v>2.93</v>
      </c>
    </row>
    <row r="192" spans="2:21" x14ac:dyDescent="0.35">
      <c r="B192" s="7" t="s">
        <v>2320</v>
      </c>
      <c r="C192" t="s">
        <v>864</v>
      </c>
      <c r="D192" s="7" t="s">
        <v>2167</v>
      </c>
      <c r="E192" t="s">
        <v>1555</v>
      </c>
      <c r="F192" t="s">
        <v>748</v>
      </c>
      <c r="G192" t="s">
        <v>1558</v>
      </c>
      <c r="H192" t="s">
        <v>749</v>
      </c>
      <c r="I192" s="7">
        <v>4.1399999999999997</v>
      </c>
      <c r="J192" s="7" t="s">
        <v>2025</v>
      </c>
      <c r="K192" s="7" t="s">
        <v>2026</v>
      </c>
      <c r="L192" s="7" t="s">
        <v>2027</v>
      </c>
      <c r="M192" s="7" t="s">
        <v>2025</v>
      </c>
      <c r="N192" s="7" t="s">
        <v>2025</v>
      </c>
      <c r="O192" s="7" t="s">
        <v>2025</v>
      </c>
      <c r="P192" s="7" t="s">
        <v>2033</v>
      </c>
      <c r="Q192" t="s">
        <v>164</v>
      </c>
      <c r="R192" s="7" t="s">
        <v>2239</v>
      </c>
      <c r="S192" t="str">
        <f xml:space="preserve"> HYPERLINK("ReviewHtml/review_Howl's_Moving_Castle.html", "https://2danicritic.github.io/ReviewHtml/review_Howl's_Moving_Castle.html")</f>
        <v>https://2danicritic.github.io/ReviewHtml/review_Howl's_Moving_Castle.html</v>
      </c>
      <c r="U192" s="5">
        <f t="shared" si="2"/>
        <v>4.1399999999999997</v>
      </c>
    </row>
    <row r="193" spans="2:21" x14ac:dyDescent="0.35">
      <c r="B193" s="7" t="s">
        <v>2321</v>
      </c>
      <c r="C193" t="s">
        <v>1904</v>
      </c>
      <c r="D193" s="7" t="s">
        <v>2041</v>
      </c>
      <c r="E193" t="s">
        <v>1555</v>
      </c>
      <c r="F193" t="s">
        <v>659</v>
      </c>
      <c r="G193" t="s">
        <v>1560</v>
      </c>
      <c r="H193" t="s">
        <v>673</v>
      </c>
      <c r="I193" s="7">
        <v>3.14</v>
      </c>
      <c r="J193" s="7" t="s">
        <v>2027</v>
      </c>
      <c r="K193" s="7" t="s">
        <v>2025</v>
      </c>
      <c r="L193" s="7" t="s">
        <v>2027</v>
      </c>
      <c r="M193" s="7" t="s">
        <v>2027</v>
      </c>
      <c r="N193" s="7" t="s">
        <v>2019</v>
      </c>
      <c r="O193" s="7" t="s">
        <v>2019</v>
      </c>
      <c r="P193" s="7" t="s">
        <v>2019</v>
      </c>
      <c r="Q193" t="s">
        <v>1875</v>
      </c>
      <c r="R193" s="7" t="s">
        <v>2242</v>
      </c>
      <c r="S193" t="str">
        <f xml:space="preserve"> HYPERLINK("ReviewHtml/review_Hyouka.html", "https://2danicritic.github.io/ReviewHtml/review_Hyouka.html")</f>
        <v>https://2danicritic.github.io/ReviewHtml/review_Hyouka.html</v>
      </c>
      <c r="U193" s="5">
        <f t="shared" si="2"/>
        <v>3.14</v>
      </c>
    </row>
    <row r="194" spans="2:21" x14ac:dyDescent="0.35">
      <c r="B194" s="7" t="s">
        <v>2322</v>
      </c>
      <c r="C194" t="s">
        <v>1583</v>
      </c>
      <c r="D194" s="7" t="s">
        <v>2197</v>
      </c>
      <c r="E194" t="s">
        <v>1559</v>
      </c>
      <c r="F194" t="s">
        <v>1584</v>
      </c>
      <c r="G194" t="s">
        <v>1558</v>
      </c>
      <c r="H194" t="s">
        <v>1585</v>
      </c>
      <c r="I194" s="7">
        <v>2.79</v>
      </c>
      <c r="J194" s="7" t="s">
        <v>2020</v>
      </c>
      <c r="K194" s="7" t="s">
        <v>2020</v>
      </c>
      <c r="L194" s="7" t="s">
        <v>2020</v>
      </c>
      <c r="M194" s="7" t="s">
        <v>2020</v>
      </c>
      <c r="N194" s="7" t="s">
        <v>2019</v>
      </c>
      <c r="O194" s="7" t="s">
        <v>2019</v>
      </c>
      <c r="P194" s="7" t="s">
        <v>2019</v>
      </c>
      <c r="Q194" t="s">
        <v>1536</v>
      </c>
      <c r="R194" s="7" t="s">
        <v>2202</v>
      </c>
      <c r="S194" t="str">
        <f xml:space="preserve"> HYPERLINK("ReviewHtml/review_I_Lost_My_Body.html", "https://2danicritic.github.io/ReviewHtml/review_I_Lost_My_Body.html")</f>
        <v>https://2danicritic.github.io/ReviewHtml/review_I_Lost_My_Body.html</v>
      </c>
      <c r="U194" s="5">
        <f t="shared" si="2"/>
        <v>2.79</v>
      </c>
    </row>
    <row r="195" spans="2:21" x14ac:dyDescent="0.35">
      <c r="B195" s="7" t="s">
        <v>2323</v>
      </c>
      <c r="C195" t="s">
        <v>1265</v>
      </c>
      <c r="D195" s="7" t="s">
        <v>2135</v>
      </c>
      <c r="E195" t="s">
        <v>1555</v>
      </c>
      <c r="F195" t="s">
        <v>1289</v>
      </c>
      <c r="G195" t="s">
        <v>1558</v>
      </c>
      <c r="H195" t="s">
        <v>1197</v>
      </c>
      <c r="I195" s="7">
        <v>3.5</v>
      </c>
      <c r="J195" s="7" t="s">
        <v>2027</v>
      </c>
      <c r="K195" s="7" t="s">
        <v>2020</v>
      </c>
      <c r="L195" s="7" t="s">
        <v>2027</v>
      </c>
      <c r="M195" s="7" t="s">
        <v>2027</v>
      </c>
      <c r="N195" s="7" t="s">
        <v>2027</v>
      </c>
      <c r="O195" s="7" t="s">
        <v>2025</v>
      </c>
      <c r="P195" s="7" t="s">
        <v>2027</v>
      </c>
      <c r="Q195" t="s">
        <v>101</v>
      </c>
      <c r="R195" s="7" t="s">
        <v>2233</v>
      </c>
      <c r="S195" t="str">
        <f xml:space="preserve"> HYPERLINK("ReviewHtml/review_I_Want_To_Eat_Your_Pancreas.html", "https://2danicritic.github.io/ReviewHtml/review_I_Want_To_Eat_Your_Pancreas.html")</f>
        <v>https://2danicritic.github.io/ReviewHtml/review_I_Want_To_Eat_Your_Pancreas.html</v>
      </c>
      <c r="U195" s="5">
        <f t="shared" si="2"/>
        <v>3.5</v>
      </c>
    </row>
    <row r="196" spans="2:21" x14ac:dyDescent="0.35">
      <c r="B196" s="7" t="s">
        <v>2324</v>
      </c>
      <c r="C196" t="s">
        <v>865</v>
      </c>
      <c r="D196" s="7" t="s">
        <v>2017</v>
      </c>
      <c r="E196" t="s">
        <v>1568</v>
      </c>
      <c r="F196" t="s">
        <v>866</v>
      </c>
      <c r="G196" t="s">
        <v>1558</v>
      </c>
      <c r="H196" t="s">
        <v>867</v>
      </c>
      <c r="I196" s="7">
        <v>3.43</v>
      </c>
      <c r="J196" s="7" t="s">
        <v>2020</v>
      </c>
      <c r="K196" s="7" t="s">
        <v>2020</v>
      </c>
      <c r="L196" s="7" t="s">
        <v>2020</v>
      </c>
      <c r="M196" s="7" t="s">
        <v>2025</v>
      </c>
      <c r="N196" s="7" t="s">
        <v>2025</v>
      </c>
      <c r="O196" s="7" t="s">
        <v>2025</v>
      </c>
      <c r="P196" s="7" t="s">
        <v>2020</v>
      </c>
      <c r="Q196" t="s">
        <v>165</v>
      </c>
      <c r="R196" s="7" t="s">
        <v>2043</v>
      </c>
      <c r="S196" t="str">
        <f xml:space="preserve"> HYPERLINK("ReviewHtml/review_I'll_Just_Live_In_Bando.html", "https://2danicritic.github.io/ReviewHtml/review_I'll_Just_Live_In_Bando.html")</f>
        <v>https://2danicritic.github.io/ReviewHtml/review_I'll_Just_Live_In_Bando.html</v>
      </c>
      <c r="U196" s="5">
        <f t="shared" ref="U196:U259" si="3">VALUE(I196)</f>
        <v>3.43</v>
      </c>
    </row>
    <row r="197" spans="2:21" x14ac:dyDescent="0.35">
      <c r="B197" s="7" t="s">
        <v>2325</v>
      </c>
      <c r="C197" t="s">
        <v>868</v>
      </c>
      <c r="D197" s="7" t="s">
        <v>2030</v>
      </c>
      <c r="E197" t="s">
        <v>1555</v>
      </c>
      <c r="F197" t="s">
        <v>869</v>
      </c>
      <c r="G197" t="s">
        <v>1558</v>
      </c>
      <c r="H197" t="s">
        <v>725</v>
      </c>
      <c r="I197" s="7">
        <v>3.71</v>
      </c>
      <c r="J197" s="7" t="s">
        <v>2020</v>
      </c>
      <c r="K197" s="7" t="s">
        <v>2025</v>
      </c>
      <c r="L197" s="7" t="s">
        <v>2025</v>
      </c>
      <c r="M197" s="7" t="s">
        <v>2019</v>
      </c>
      <c r="N197" s="7" t="s">
        <v>2025</v>
      </c>
      <c r="O197" s="7" t="s">
        <v>2027</v>
      </c>
      <c r="P197" s="7" t="s">
        <v>2033</v>
      </c>
      <c r="Q197" t="s">
        <v>166</v>
      </c>
      <c r="R197" s="7" t="s">
        <v>2248</v>
      </c>
      <c r="S197" t="str">
        <f xml:space="preserve"> HYPERLINK("ReviewHtml/review_In_This_Corner_of_the_World.html", "https://2danicritic.github.io/ReviewHtml/review_In_This_Corner_of_the_World.html")</f>
        <v>https://2danicritic.github.io/ReviewHtml/review_In_This_Corner_of_the_World.html</v>
      </c>
      <c r="U197" s="5">
        <f t="shared" si="3"/>
        <v>3.71</v>
      </c>
    </row>
    <row r="198" spans="2:21" x14ac:dyDescent="0.35">
      <c r="B198" s="7" t="s">
        <v>2326</v>
      </c>
      <c r="C198" t="s">
        <v>870</v>
      </c>
      <c r="D198" s="7" t="s">
        <v>2023</v>
      </c>
      <c r="E198" t="s">
        <v>1555</v>
      </c>
      <c r="F198" t="s">
        <v>871</v>
      </c>
      <c r="G198" t="s">
        <v>1561</v>
      </c>
      <c r="H198" t="s">
        <v>872</v>
      </c>
      <c r="I198" s="7">
        <v>1.5</v>
      </c>
      <c r="J198" s="7" t="s">
        <v>2141</v>
      </c>
      <c r="K198" s="7" t="s">
        <v>2029</v>
      </c>
      <c r="L198" s="7" t="s">
        <v>2141</v>
      </c>
      <c r="M198" s="7" t="s">
        <v>2029</v>
      </c>
      <c r="N198" s="7" t="s">
        <v>2022</v>
      </c>
      <c r="O198" s="7" t="s">
        <v>2141</v>
      </c>
      <c r="P198" s="7" t="s">
        <v>2022</v>
      </c>
      <c r="Q198" t="s">
        <v>172</v>
      </c>
      <c r="R198" s="7" t="s">
        <v>2212</v>
      </c>
      <c r="S198" t="str">
        <f xml:space="preserve"> HYPERLINK("ReviewHtml/review_Indian_Summer.html", "https://2danicritic.github.io/ReviewHtml/review_Indian_Summer.html")</f>
        <v>https://2danicritic.github.io/ReviewHtml/review_Indian_Summer.html</v>
      </c>
      <c r="U198" s="5">
        <f t="shared" si="3"/>
        <v>1.5</v>
      </c>
    </row>
    <row r="199" spans="2:21" x14ac:dyDescent="0.35">
      <c r="B199" s="7" t="s">
        <v>2327</v>
      </c>
      <c r="C199" t="s">
        <v>1796</v>
      </c>
      <c r="D199" s="7" t="s">
        <v>2041</v>
      </c>
      <c r="E199" t="s">
        <v>1555</v>
      </c>
      <c r="F199" t="s">
        <v>1430</v>
      </c>
      <c r="G199" t="s">
        <v>1560</v>
      </c>
      <c r="H199" t="s">
        <v>1454</v>
      </c>
      <c r="I199" s="7">
        <v>2.4300000000000002</v>
      </c>
      <c r="J199" s="7" t="s">
        <v>2029</v>
      </c>
      <c r="K199" s="7" t="s">
        <v>2020</v>
      </c>
      <c r="L199" s="7" t="s">
        <v>2020</v>
      </c>
      <c r="M199" s="7" t="s">
        <v>2019</v>
      </c>
      <c r="N199" s="7" t="s">
        <v>2029</v>
      </c>
      <c r="O199" s="7" t="s">
        <v>2019</v>
      </c>
      <c r="P199" s="7" t="s">
        <v>2029</v>
      </c>
      <c r="Q199" t="s">
        <v>344</v>
      </c>
      <c r="R199" s="7" t="s">
        <v>2021</v>
      </c>
      <c r="S199" t="str">
        <f xml:space="preserve"> HYPERLINK("ReviewHtml/review_Inu_x_Boku_-_Secret_Service.html", "https://2danicritic.github.io/ReviewHtml/review_Inu_x_Boku_-_Secret_Service.html")</f>
        <v>https://2danicritic.github.io/ReviewHtml/review_Inu_x_Boku_-_Secret_Service.html</v>
      </c>
      <c r="U199" s="5">
        <f t="shared" si="3"/>
        <v>2.4300000000000002</v>
      </c>
    </row>
    <row r="200" spans="2:21" x14ac:dyDescent="0.35">
      <c r="B200" s="7" t="s">
        <v>2328</v>
      </c>
      <c r="C200" t="s">
        <v>1339</v>
      </c>
      <c r="D200" s="7" t="s">
        <v>2197</v>
      </c>
      <c r="E200" t="s">
        <v>1555</v>
      </c>
      <c r="F200" t="s">
        <v>671</v>
      </c>
      <c r="G200" t="s">
        <v>1558</v>
      </c>
      <c r="H200" t="s">
        <v>856</v>
      </c>
      <c r="I200" s="7">
        <v>3.07</v>
      </c>
      <c r="J200" s="7" t="s">
        <v>2020</v>
      </c>
      <c r="K200" s="7" t="s">
        <v>2020</v>
      </c>
      <c r="L200" s="7" t="s">
        <v>2027</v>
      </c>
      <c r="M200" s="7" t="s">
        <v>2027</v>
      </c>
      <c r="N200" s="7" t="s">
        <v>2019</v>
      </c>
      <c r="O200" s="7" t="s">
        <v>2027</v>
      </c>
      <c r="P200" s="7" t="s">
        <v>2019</v>
      </c>
      <c r="Q200" t="s">
        <v>220</v>
      </c>
      <c r="R200" s="7" t="s">
        <v>2190</v>
      </c>
      <c r="S200" t="str">
        <f xml:space="preserve"> HYPERLINK("ReviewHtml/review_Is_It_Wrong_To_Pick_Up_Girls_In_A_Dungeon_-_Arrow_of_the_Orion.html", "https://2danicritic.github.io/ReviewHtml/review_Is_It_Wrong_To_Pick_Up_Girls_In_A_Dungeon_-_Arrow_of_the_Orion.html")</f>
        <v>https://2danicritic.github.io/ReviewHtml/review_Is_It_Wrong_To_Pick_Up_Girls_In_A_Dungeon_-_Arrow_of_the_Orion.html</v>
      </c>
      <c r="U200" s="5">
        <f t="shared" si="3"/>
        <v>3.07</v>
      </c>
    </row>
    <row r="201" spans="2:21" x14ac:dyDescent="0.35">
      <c r="B201" s="7" t="s">
        <v>2329</v>
      </c>
      <c r="C201" t="s">
        <v>873</v>
      </c>
      <c r="D201" s="7" t="s">
        <v>2095</v>
      </c>
      <c r="E201" t="s">
        <v>1555</v>
      </c>
      <c r="F201" t="s">
        <v>874</v>
      </c>
      <c r="G201" t="s">
        <v>1560</v>
      </c>
      <c r="H201" t="s">
        <v>875</v>
      </c>
      <c r="I201" s="7">
        <v>3.5</v>
      </c>
      <c r="J201" s="7" t="s">
        <v>2027</v>
      </c>
      <c r="K201" s="7" t="s">
        <v>2027</v>
      </c>
      <c r="L201" s="7" t="s">
        <v>2027</v>
      </c>
      <c r="M201" s="7" t="s">
        <v>2027</v>
      </c>
      <c r="N201" s="7" t="s">
        <v>2020</v>
      </c>
      <c r="O201" s="7" t="s">
        <v>2027</v>
      </c>
      <c r="P201" s="7" t="s">
        <v>2025</v>
      </c>
      <c r="Q201" t="s">
        <v>130</v>
      </c>
      <c r="R201" s="7" t="s">
        <v>2021</v>
      </c>
      <c r="S201" t="str">
        <f xml:space="preserve"> HYPERLINK("ReviewHtml/review_Is_It_Wrong_To_Try_To_Pick_Up_Girls_In_A_Dungeon.html", "https://2danicritic.github.io/ReviewHtml/review_Is_It_Wrong_To_Try_To_Pick_Up_Girls_In_A_Dungeon.html")</f>
        <v>https://2danicritic.github.io/ReviewHtml/review_Is_It_Wrong_To_Try_To_Pick_Up_Girls_In_A_Dungeon.html</v>
      </c>
      <c r="U201" s="5">
        <f t="shared" si="3"/>
        <v>3.5</v>
      </c>
    </row>
    <row r="202" spans="2:21" x14ac:dyDescent="0.35">
      <c r="B202" s="7" t="s">
        <v>2330</v>
      </c>
      <c r="C202" t="s">
        <v>1764</v>
      </c>
      <c r="D202" s="7" t="s">
        <v>2017</v>
      </c>
      <c r="E202" t="s">
        <v>1555</v>
      </c>
      <c r="F202" t="s">
        <v>671</v>
      </c>
      <c r="G202" t="s">
        <v>1560</v>
      </c>
      <c r="H202" t="s">
        <v>1797</v>
      </c>
      <c r="I202" s="7">
        <v>2.79</v>
      </c>
      <c r="J202" s="7" t="s">
        <v>2019</v>
      </c>
      <c r="K202" s="7" t="s">
        <v>2020</v>
      </c>
      <c r="L202" s="7" t="s">
        <v>2020</v>
      </c>
      <c r="M202" s="7" t="s">
        <v>2020</v>
      </c>
      <c r="N202" s="7" t="s">
        <v>2029</v>
      </c>
      <c r="O202" s="7" t="s">
        <v>2027</v>
      </c>
      <c r="P202" s="7" t="s">
        <v>2019</v>
      </c>
      <c r="Q202" t="s">
        <v>1765</v>
      </c>
      <c r="R202" s="7" t="s">
        <v>2049</v>
      </c>
      <c r="S202" t="str">
        <f xml:space="preserve"> HYPERLINK("ReviewHtml/review_Is_It_Wrong_To_Try_To_Pick_Up_Girls_In_A_Dungeon_-_On_The_Side_-_Sword_Oratoria.html", "https://2danicritic.github.io/ReviewHtml/review_Is_It_Wrong_To_Try_To_Pick_Up_Girls_In_A_Dungeon_-_On_The_Side_-_Sword_Oratoria.html")</f>
        <v>https://2danicritic.github.io/ReviewHtml/review_Is_It_Wrong_To_Try_To_Pick_Up_Girls_In_A_Dungeon_-_On_The_Side_-_Sword_Oratoria.html</v>
      </c>
      <c r="U202" s="5">
        <f t="shared" si="3"/>
        <v>2.79</v>
      </c>
    </row>
    <row r="203" spans="2:21" x14ac:dyDescent="0.35">
      <c r="B203" s="7" t="s">
        <v>2331</v>
      </c>
      <c r="C203" t="s">
        <v>876</v>
      </c>
      <c r="D203" s="7" t="s">
        <v>2041</v>
      </c>
      <c r="E203" t="s">
        <v>1557</v>
      </c>
      <c r="F203" t="s">
        <v>877</v>
      </c>
      <c r="G203" t="s">
        <v>1558</v>
      </c>
      <c r="H203" t="s">
        <v>878</v>
      </c>
      <c r="I203" s="7">
        <v>3.57</v>
      </c>
      <c r="J203" s="7" t="s">
        <v>2027</v>
      </c>
      <c r="K203" s="7" t="s">
        <v>2020</v>
      </c>
      <c r="L203" s="7" t="s">
        <v>2019</v>
      </c>
      <c r="M203" s="7" t="s">
        <v>2020</v>
      </c>
      <c r="N203" s="7" t="s">
        <v>2026</v>
      </c>
      <c r="O203" s="7" t="s">
        <v>2027</v>
      </c>
      <c r="P203" s="7" t="s">
        <v>2033</v>
      </c>
      <c r="Q203" t="s">
        <v>167</v>
      </c>
      <c r="R203" s="7" t="s">
        <v>2176</v>
      </c>
      <c r="S203" t="str">
        <f xml:space="preserve"> HYPERLINK("ReviewHtml/review_It's_Such_a_Beautiful_Day.html", "https://2danicritic.github.io/ReviewHtml/review_It's_Such_a_Beautiful_Day.html")</f>
        <v>https://2danicritic.github.io/ReviewHtml/review_It's_Such_a_Beautiful_Day.html</v>
      </c>
      <c r="U203" s="5">
        <f t="shared" si="3"/>
        <v>3.57</v>
      </c>
    </row>
    <row r="204" spans="2:21" x14ac:dyDescent="0.35">
      <c r="B204" s="7" t="s">
        <v>2332</v>
      </c>
      <c r="C204" t="s">
        <v>1385</v>
      </c>
      <c r="D204" s="7" t="s">
        <v>2076</v>
      </c>
      <c r="E204" t="s">
        <v>1555</v>
      </c>
      <c r="F204" t="s">
        <v>1340</v>
      </c>
      <c r="G204" t="s">
        <v>1556</v>
      </c>
      <c r="H204" t="s">
        <v>1445</v>
      </c>
      <c r="I204" s="7">
        <v>3.29</v>
      </c>
      <c r="J204" s="7" t="s">
        <v>2027</v>
      </c>
      <c r="K204" s="7" t="s">
        <v>2027</v>
      </c>
      <c r="L204" s="7" t="s">
        <v>2027</v>
      </c>
      <c r="M204" s="7" t="s">
        <v>2020</v>
      </c>
      <c r="N204" s="7" t="s">
        <v>2019</v>
      </c>
      <c r="O204" s="7" t="s">
        <v>2027</v>
      </c>
      <c r="P204" s="7" t="s">
        <v>2027</v>
      </c>
      <c r="Q204" t="s">
        <v>1341</v>
      </c>
      <c r="R204" s="7" t="s">
        <v>2333</v>
      </c>
      <c r="S204" t="str">
        <f xml:space="preserve"> HYPERLINK("ReviewHtml/review_Japan_Animator_Expo.html", "https://2danicritic.github.io/ReviewHtml/review_Japan_Animator_Expo.html")</f>
        <v>https://2danicritic.github.io/ReviewHtml/review_Japan_Animator_Expo.html</v>
      </c>
      <c r="U204" s="5">
        <f t="shared" si="3"/>
        <v>3.29</v>
      </c>
    </row>
    <row r="205" spans="2:21" x14ac:dyDescent="0.35">
      <c r="B205" s="7" t="s">
        <v>2334</v>
      </c>
      <c r="C205" t="s">
        <v>1386</v>
      </c>
      <c r="D205" s="7" t="s">
        <v>2335</v>
      </c>
      <c r="E205" t="s">
        <v>1555</v>
      </c>
      <c r="F205" t="s">
        <v>732</v>
      </c>
      <c r="G205" t="s">
        <v>1558</v>
      </c>
      <c r="H205" t="s">
        <v>1446</v>
      </c>
      <c r="I205" s="7">
        <v>3.64</v>
      </c>
      <c r="J205" s="7" t="s">
        <v>2025</v>
      </c>
      <c r="K205" s="7" t="s">
        <v>2025</v>
      </c>
      <c r="L205" s="7" t="s">
        <v>2025</v>
      </c>
      <c r="M205" s="7" t="s">
        <v>2027</v>
      </c>
      <c r="N205" s="7" t="s">
        <v>2025</v>
      </c>
      <c r="O205" s="7" t="s">
        <v>2019</v>
      </c>
      <c r="P205" s="7" t="s">
        <v>2025</v>
      </c>
      <c r="Q205" t="s">
        <v>138</v>
      </c>
      <c r="R205" s="7" t="s">
        <v>2226</v>
      </c>
      <c r="S205" t="str">
        <f xml:space="preserve"> HYPERLINK("ReviewHtml/review_Jin-Roh_-_The_Wolf_Brigade.html", "https://2danicritic.github.io/ReviewHtml/review_Jin-Roh_-_The_Wolf_Brigade.html")</f>
        <v>https://2danicritic.github.io/ReviewHtml/review_Jin-Roh_-_The_Wolf_Brigade.html</v>
      </c>
      <c r="U205" s="5">
        <f t="shared" si="3"/>
        <v>3.64</v>
      </c>
    </row>
    <row r="206" spans="2:21" x14ac:dyDescent="0.35">
      <c r="B206" s="7" t="s">
        <v>2336</v>
      </c>
      <c r="C206" t="s">
        <v>1876</v>
      </c>
      <c r="D206" s="7" t="s">
        <v>2041</v>
      </c>
      <c r="E206" t="s">
        <v>1555</v>
      </c>
      <c r="F206" t="s">
        <v>1430</v>
      </c>
      <c r="G206" t="s">
        <v>1560</v>
      </c>
      <c r="H206" t="s">
        <v>1877</v>
      </c>
      <c r="I206" s="7">
        <v>3.36</v>
      </c>
      <c r="J206" s="7" t="s">
        <v>2020</v>
      </c>
      <c r="K206" s="7" t="s">
        <v>2027</v>
      </c>
      <c r="L206" s="7" t="s">
        <v>2026</v>
      </c>
      <c r="M206" s="7" t="s">
        <v>2027</v>
      </c>
      <c r="N206" s="7" t="s">
        <v>2019</v>
      </c>
      <c r="O206" s="7" t="s">
        <v>2027</v>
      </c>
      <c r="P206" s="7" t="s">
        <v>2020</v>
      </c>
      <c r="Q206" t="s">
        <v>1878</v>
      </c>
      <c r="R206" s="7" t="s">
        <v>2337</v>
      </c>
      <c r="S206" t="str">
        <f xml:space="preserve"> HYPERLINK("ReviewHtml/review_Jojo's_Bizarre_Adventure_-_Phantom_Blood,_Battle_Tendency,_Stardust_Crusaders.html", "https://2danicritic.github.io/ReviewHtml/review_Jojo's_Bizarre_Adventure_-_Phantom_Blood,_Battle_Tendency,_Stardust_Crusaders.html")</f>
        <v>https://2danicritic.github.io/ReviewHtml/review_Jojo's_Bizarre_Adventure_-_Phantom_Blood,_Battle_Tendency,_Stardust_Crusaders.html</v>
      </c>
      <c r="U206" s="5">
        <f t="shared" si="3"/>
        <v>3.36</v>
      </c>
    </row>
    <row r="207" spans="2:21" x14ac:dyDescent="0.35">
      <c r="B207" s="7" t="s">
        <v>2338</v>
      </c>
      <c r="C207" t="s">
        <v>1798</v>
      </c>
      <c r="D207" s="7" t="s">
        <v>2030</v>
      </c>
      <c r="E207" t="s">
        <v>1555</v>
      </c>
      <c r="F207" t="s">
        <v>732</v>
      </c>
      <c r="G207" t="s">
        <v>1560</v>
      </c>
      <c r="H207" t="s">
        <v>1799</v>
      </c>
      <c r="I207" s="7">
        <v>4</v>
      </c>
      <c r="J207" s="7" t="s">
        <v>2020</v>
      </c>
      <c r="K207" s="7" t="s">
        <v>2025</v>
      </c>
      <c r="L207" s="7" t="s">
        <v>2025</v>
      </c>
      <c r="M207" s="7" t="s">
        <v>2025</v>
      </c>
      <c r="N207" s="7" t="s">
        <v>2026</v>
      </c>
      <c r="O207" s="7" t="s">
        <v>2025</v>
      </c>
      <c r="P207" s="7" t="s">
        <v>2026</v>
      </c>
      <c r="Q207" t="s">
        <v>1766</v>
      </c>
      <c r="R207" s="7" t="s">
        <v>2049</v>
      </c>
      <c r="S207" t="str">
        <f xml:space="preserve"> HYPERLINK("ReviewHtml/review_Joker_Game.html", "https://2danicritic.github.io/ReviewHtml/review_Joker_Game.html")</f>
        <v>https://2danicritic.github.io/ReviewHtml/review_Joker_Game.html</v>
      </c>
      <c r="U207" s="5">
        <f t="shared" si="3"/>
        <v>4</v>
      </c>
    </row>
    <row r="208" spans="2:21" x14ac:dyDescent="0.35">
      <c r="B208" s="7" t="s">
        <v>2339</v>
      </c>
      <c r="C208" t="s">
        <v>879</v>
      </c>
      <c r="D208" s="7" t="s">
        <v>2041</v>
      </c>
      <c r="E208" t="s">
        <v>1555</v>
      </c>
      <c r="F208" t="s">
        <v>880</v>
      </c>
      <c r="G208" t="s">
        <v>1560</v>
      </c>
      <c r="H208" t="s">
        <v>881</v>
      </c>
      <c r="I208" s="7">
        <v>3.71</v>
      </c>
      <c r="J208" s="7" t="s">
        <v>2027</v>
      </c>
      <c r="K208" s="7" t="s">
        <v>2020</v>
      </c>
      <c r="L208" s="7" t="s">
        <v>2033</v>
      </c>
      <c r="M208" s="7" t="s">
        <v>2020</v>
      </c>
      <c r="N208" s="7" t="s">
        <v>2027</v>
      </c>
      <c r="O208" s="7" t="s">
        <v>2025</v>
      </c>
      <c r="P208" s="7" t="s">
        <v>2025</v>
      </c>
      <c r="Q208" t="s">
        <v>168</v>
      </c>
      <c r="R208" s="7" t="s">
        <v>2155</v>
      </c>
      <c r="S208" t="str">
        <f xml:space="preserve"> HYPERLINK("ReviewHtml/review_Jormungand.html", "https://2danicritic.github.io/ReviewHtml/review_Jormungand.html")</f>
        <v>https://2danicritic.github.io/ReviewHtml/review_Jormungand.html</v>
      </c>
      <c r="U208" s="5">
        <f t="shared" si="3"/>
        <v>3.71</v>
      </c>
    </row>
    <row r="209" spans="2:21" x14ac:dyDescent="0.35">
      <c r="B209" s="7" t="s">
        <v>2340</v>
      </c>
      <c r="C209" t="s">
        <v>2341</v>
      </c>
      <c r="D209" s="7" t="s">
        <v>2188</v>
      </c>
      <c r="E209" t="s">
        <v>1555</v>
      </c>
      <c r="F209" t="s">
        <v>735</v>
      </c>
      <c r="G209" t="s">
        <v>1558</v>
      </c>
      <c r="H209" t="s">
        <v>987</v>
      </c>
      <c r="I209" s="7">
        <v>3.07</v>
      </c>
      <c r="J209" s="7" t="s">
        <v>2020</v>
      </c>
      <c r="K209" s="7" t="s">
        <v>2020</v>
      </c>
      <c r="L209" s="7" t="s">
        <v>2020</v>
      </c>
      <c r="M209" s="7" t="s">
        <v>2020</v>
      </c>
      <c r="N209" s="7" t="s">
        <v>2020</v>
      </c>
      <c r="O209" s="7" t="s">
        <v>2027</v>
      </c>
      <c r="P209" s="7" t="s">
        <v>2020</v>
      </c>
      <c r="Q209" t="s">
        <v>171</v>
      </c>
      <c r="R209" s="7" t="s">
        <v>2220</v>
      </c>
      <c r="S209" t="str">
        <f xml:space="preserve"> HYPERLINK("ReviewHtml/review_Josee,_the_Tiger_and_the_Fish.html", "https://2danicritic.github.io/ReviewHtml/review_Josee,_the_Tiger_and_the_Fish.html")</f>
        <v>https://2danicritic.github.io/ReviewHtml/review_Josee,_the_Tiger_and_the_Fish.html</v>
      </c>
      <c r="U209" s="5">
        <f t="shared" si="3"/>
        <v>3.07</v>
      </c>
    </row>
    <row r="210" spans="2:21" x14ac:dyDescent="0.35">
      <c r="B210" s="7" t="s">
        <v>2342</v>
      </c>
      <c r="C210" t="s">
        <v>1266</v>
      </c>
      <c r="D210" s="7" t="s">
        <v>2174</v>
      </c>
      <c r="E210" t="s">
        <v>1557</v>
      </c>
      <c r="F210" t="s">
        <v>1290</v>
      </c>
      <c r="G210" t="s">
        <v>1558</v>
      </c>
      <c r="H210" t="s">
        <v>1198</v>
      </c>
      <c r="I210" s="7">
        <v>2.64</v>
      </c>
      <c r="J210" s="7" t="s">
        <v>2019</v>
      </c>
      <c r="K210" s="7" t="s">
        <v>2020</v>
      </c>
      <c r="L210" s="7" t="s">
        <v>2020</v>
      </c>
      <c r="M210" s="7" t="s">
        <v>2020</v>
      </c>
      <c r="N210" s="7" t="s">
        <v>2019</v>
      </c>
      <c r="O210" s="7" t="s">
        <v>2019</v>
      </c>
      <c r="P210" s="7" t="s">
        <v>2029</v>
      </c>
      <c r="Q210" t="s">
        <v>203</v>
      </c>
      <c r="R210" s="7" t="s">
        <v>2195</v>
      </c>
      <c r="S210" t="str">
        <f xml:space="preserve"> HYPERLINK("ReviewHtml/review_Joseph_-_King_of_Dreams.html", "https://2danicritic.github.io/ReviewHtml/review_Joseph_-_King_of_Dreams.html")</f>
        <v>https://2danicritic.github.io/ReviewHtml/review_Joseph_-_King_of_Dreams.html</v>
      </c>
      <c r="U210" s="5">
        <f t="shared" si="3"/>
        <v>2.64</v>
      </c>
    </row>
    <row r="211" spans="2:21" x14ac:dyDescent="0.35">
      <c r="B211" s="7" t="s">
        <v>2343</v>
      </c>
      <c r="C211" t="s">
        <v>1905</v>
      </c>
      <c r="D211" s="7" t="s">
        <v>2017</v>
      </c>
      <c r="E211" t="s">
        <v>1555</v>
      </c>
      <c r="F211" t="s">
        <v>1906</v>
      </c>
      <c r="G211" t="s">
        <v>1560</v>
      </c>
      <c r="H211" t="s">
        <v>1093</v>
      </c>
      <c r="I211" s="7">
        <v>3.07</v>
      </c>
      <c r="J211" s="7" t="s">
        <v>2027</v>
      </c>
      <c r="K211" s="7" t="s">
        <v>2027</v>
      </c>
      <c r="L211" s="7" t="s">
        <v>2020</v>
      </c>
      <c r="M211" s="7" t="s">
        <v>2020</v>
      </c>
      <c r="N211" s="7" t="s">
        <v>2020</v>
      </c>
      <c r="O211" s="7" t="s">
        <v>2020</v>
      </c>
      <c r="P211" s="7" t="s">
        <v>2019</v>
      </c>
      <c r="Q211" t="s">
        <v>1879</v>
      </c>
      <c r="R211" s="7" t="s">
        <v>2049</v>
      </c>
      <c r="S211" t="str">
        <f xml:space="preserve"> HYPERLINK("ReviewHtml/review_Juni_Taisen_-_Zodiac_War.html", "https://2danicritic.github.io/ReviewHtml/review_Juni_Taisen_-_Zodiac_War.html")</f>
        <v>https://2danicritic.github.io/ReviewHtml/review_Juni_Taisen_-_Zodiac_War.html</v>
      </c>
      <c r="U211" s="5">
        <f t="shared" si="3"/>
        <v>3.07</v>
      </c>
    </row>
    <row r="212" spans="2:21" x14ac:dyDescent="0.35">
      <c r="B212" s="7" t="s">
        <v>2344</v>
      </c>
      <c r="C212" t="s">
        <v>882</v>
      </c>
      <c r="D212" s="7" t="s">
        <v>2041</v>
      </c>
      <c r="E212" t="s">
        <v>1555</v>
      </c>
      <c r="F212" t="s">
        <v>883</v>
      </c>
      <c r="G212" t="s">
        <v>1560</v>
      </c>
      <c r="H212" t="s">
        <v>884</v>
      </c>
      <c r="I212" s="7">
        <v>3.71</v>
      </c>
      <c r="J212" s="7" t="s">
        <v>2025</v>
      </c>
      <c r="K212" s="7" t="s">
        <v>2026</v>
      </c>
      <c r="L212" s="7" t="s">
        <v>2025</v>
      </c>
      <c r="M212" s="7" t="s">
        <v>2020</v>
      </c>
      <c r="N212" s="7" t="s">
        <v>2020</v>
      </c>
      <c r="O212" s="7" t="s">
        <v>2027</v>
      </c>
      <c r="P212" s="7" t="s">
        <v>2025</v>
      </c>
      <c r="Q212" t="s">
        <v>169</v>
      </c>
      <c r="R212" s="7" t="s">
        <v>2021</v>
      </c>
      <c r="S212" t="str">
        <f xml:space="preserve"> HYPERLINK("ReviewHtml/review_K.html", "https://2danicritic.github.io/ReviewHtml/review_K.html")</f>
        <v>https://2danicritic.github.io/ReviewHtml/review_K.html</v>
      </c>
      <c r="U212" s="5">
        <f t="shared" si="3"/>
        <v>3.71</v>
      </c>
    </row>
    <row r="213" spans="2:21" x14ac:dyDescent="0.35">
      <c r="B213" s="7" t="s">
        <v>2345</v>
      </c>
      <c r="C213" t="s">
        <v>1387</v>
      </c>
      <c r="D213" s="7" t="s">
        <v>2076</v>
      </c>
      <c r="E213" t="s">
        <v>1555</v>
      </c>
      <c r="F213" t="s">
        <v>883</v>
      </c>
      <c r="G213" t="s">
        <v>1558</v>
      </c>
      <c r="H213" t="s">
        <v>884</v>
      </c>
      <c r="I213" s="7">
        <v>3.14</v>
      </c>
      <c r="J213" s="7" t="s">
        <v>2025</v>
      </c>
      <c r="K213" s="7" t="s">
        <v>2025</v>
      </c>
      <c r="L213" s="7" t="s">
        <v>2027</v>
      </c>
      <c r="M213" s="7" t="s">
        <v>2020</v>
      </c>
      <c r="N213" s="7" t="s">
        <v>2019</v>
      </c>
      <c r="O213" s="7" t="s">
        <v>2019</v>
      </c>
      <c r="P213" s="7" t="s">
        <v>2019</v>
      </c>
      <c r="Q213" t="s">
        <v>1317</v>
      </c>
      <c r="R213" s="7" t="s">
        <v>2194</v>
      </c>
      <c r="S213" t="str">
        <f xml:space="preserve"> HYPERLINK("ReviewHtml/review_K_-_Missing_Kings.html", "https://2danicritic.github.io/ReviewHtml/review_K_-_Missing_Kings.html")</f>
        <v>https://2danicritic.github.io/ReviewHtml/review_K_-_Missing_Kings.html</v>
      </c>
      <c r="U213" s="5">
        <f t="shared" si="3"/>
        <v>3.14</v>
      </c>
    </row>
    <row r="214" spans="2:21" x14ac:dyDescent="0.35">
      <c r="B214" s="7" t="s">
        <v>2346</v>
      </c>
      <c r="C214" t="s">
        <v>1730</v>
      </c>
      <c r="D214" s="7" t="s">
        <v>2076</v>
      </c>
      <c r="E214" t="s">
        <v>1668</v>
      </c>
      <c r="F214" t="s">
        <v>1731</v>
      </c>
      <c r="G214" t="s">
        <v>1558</v>
      </c>
      <c r="H214" t="s">
        <v>1732</v>
      </c>
      <c r="I214" s="7">
        <v>3.36</v>
      </c>
      <c r="J214" s="7" t="s">
        <v>2027</v>
      </c>
      <c r="K214" s="7" t="s">
        <v>2025</v>
      </c>
      <c r="L214" s="7" t="s">
        <v>2027</v>
      </c>
      <c r="M214" s="7" t="s">
        <v>2027</v>
      </c>
      <c r="N214" s="7" t="s">
        <v>2020</v>
      </c>
      <c r="O214" s="7" t="s">
        <v>2020</v>
      </c>
      <c r="P214" s="7" t="s">
        <v>2020</v>
      </c>
      <c r="Q214" t="s">
        <v>1669</v>
      </c>
      <c r="R214" s="7" t="s">
        <v>2043</v>
      </c>
      <c r="S214" t="str">
        <f xml:space="preserve"> HYPERLINK("ReviewHtml/review_Kahlil_Gibran's_The_Prophet.html", "https://2danicritic.github.io/ReviewHtml/review_Kahlil_Gibran's_The_Prophet.html")</f>
        <v>https://2danicritic.github.io/ReviewHtml/review_Kahlil_Gibran's_The_Prophet.html</v>
      </c>
      <c r="U214" s="5">
        <f t="shared" si="3"/>
        <v>3.36</v>
      </c>
    </row>
    <row r="215" spans="2:21" x14ac:dyDescent="0.35">
      <c r="B215" s="7" t="s">
        <v>2347</v>
      </c>
      <c r="C215" t="s">
        <v>885</v>
      </c>
      <c r="D215" s="7" t="s">
        <v>2154</v>
      </c>
      <c r="E215" t="s">
        <v>1555</v>
      </c>
      <c r="F215" t="s">
        <v>695</v>
      </c>
      <c r="G215" t="s">
        <v>1560</v>
      </c>
      <c r="H215" t="s">
        <v>789</v>
      </c>
      <c r="I215" s="7">
        <v>2.93</v>
      </c>
      <c r="J215" s="7" t="s">
        <v>2020</v>
      </c>
      <c r="K215" s="7" t="s">
        <v>2019</v>
      </c>
      <c r="L215" s="7" t="s">
        <v>2019</v>
      </c>
      <c r="M215" s="7" t="s">
        <v>2029</v>
      </c>
      <c r="N215" s="7" t="s">
        <v>2025</v>
      </c>
      <c r="O215" s="7" t="s">
        <v>2019</v>
      </c>
      <c r="P215" s="7" t="s">
        <v>2025</v>
      </c>
      <c r="Q215" t="s">
        <v>170</v>
      </c>
      <c r="R215" s="7" t="s">
        <v>2049</v>
      </c>
      <c r="S215" t="str">
        <f xml:space="preserve"> HYPERLINK("ReviewHtml/review_Kaiba.html", "https://2danicritic.github.io/ReviewHtml/review_Kaiba.html")</f>
        <v>https://2danicritic.github.io/ReviewHtml/review_Kaiba.html</v>
      </c>
      <c r="U215" s="5">
        <f t="shared" si="3"/>
        <v>2.93</v>
      </c>
    </row>
    <row r="216" spans="2:21" x14ac:dyDescent="0.35">
      <c r="B216" s="7" t="s">
        <v>2348</v>
      </c>
      <c r="C216" t="s">
        <v>886</v>
      </c>
      <c r="D216" s="7" t="s">
        <v>2154</v>
      </c>
      <c r="E216" t="s">
        <v>1555</v>
      </c>
      <c r="F216" t="s">
        <v>716</v>
      </c>
      <c r="G216" t="s">
        <v>1560</v>
      </c>
      <c r="H216" t="s">
        <v>887</v>
      </c>
      <c r="I216" s="7">
        <v>2.29</v>
      </c>
      <c r="J216" s="7" t="s">
        <v>2020</v>
      </c>
      <c r="K216" s="7" t="s">
        <v>2029</v>
      </c>
      <c r="L216" s="7" t="s">
        <v>2029</v>
      </c>
      <c r="M216" s="7" t="s">
        <v>2029</v>
      </c>
      <c r="N216" s="7" t="s">
        <v>2029</v>
      </c>
      <c r="O216" s="7" t="s">
        <v>2020</v>
      </c>
      <c r="P216" s="7" t="s">
        <v>2029</v>
      </c>
      <c r="Q216" t="s">
        <v>171</v>
      </c>
      <c r="R216" s="7" t="s">
        <v>2349</v>
      </c>
      <c r="S216" t="str">
        <f xml:space="preserve"> HYPERLINK("ReviewHtml/review_Kannagi_-_Crazy_Shrine_Maidens.html", "https://2danicritic.github.io/ReviewHtml/review_Kannagi_-_Crazy_Shrine_Maidens.html")</f>
        <v>https://2danicritic.github.io/ReviewHtml/review_Kannagi_-_Crazy_Shrine_Maidens.html</v>
      </c>
      <c r="U216" s="5">
        <f t="shared" si="3"/>
        <v>2.29</v>
      </c>
    </row>
    <row r="217" spans="2:21" x14ac:dyDescent="0.35">
      <c r="B217" s="7" t="s">
        <v>2350</v>
      </c>
      <c r="C217" t="s">
        <v>888</v>
      </c>
      <c r="D217" s="7" t="s">
        <v>2154</v>
      </c>
      <c r="E217" t="s">
        <v>1555</v>
      </c>
      <c r="F217" t="s">
        <v>889</v>
      </c>
      <c r="G217" t="s">
        <v>1560</v>
      </c>
      <c r="H217" t="s">
        <v>890</v>
      </c>
      <c r="I217" s="7">
        <v>1.29</v>
      </c>
      <c r="J217" s="7" t="s">
        <v>2022</v>
      </c>
      <c r="K217" s="7" t="s">
        <v>2022</v>
      </c>
      <c r="L217" s="7" t="s">
        <v>2029</v>
      </c>
      <c r="M217" s="7" t="s">
        <v>2022</v>
      </c>
      <c r="N217" s="7" t="s">
        <v>2022</v>
      </c>
      <c r="O217" s="7" t="s">
        <v>2029</v>
      </c>
      <c r="P217" s="7" t="s">
        <v>2022</v>
      </c>
      <c r="Q217" t="s">
        <v>172</v>
      </c>
      <c r="R217" s="7" t="s">
        <v>2049</v>
      </c>
      <c r="S217" t="str">
        <f xml:space="preserve"> HYPERLINK("ReviewHtml/review_Kanokon_-_The_Girl_Who_Cried_Fox.html", "https://2danicritic.github.io/ReviewHtml/review_Kanokon_-_The_Girl_Who_Cried_Fox.html")</f>
        <v>https://2danicritic.github.io/ReviewHtml/review_Kanokon_-_The_Girl_Who_Cried_Fox.html</v>
      </c>
      <c r="U217" s="5">
        <f t="shared" si="3"/>
        <v>1.29</v>
      </c>
    </row>
    <row r="218" spans="2:21" x14ac:dyDescent="0.35">
      <c r="B218" s="7" t="s">
        <v>2352</v>
      </c>
      <c r="C218" t="s">
        <v>1388</v>
      </c>
      <c r="D218" s="7" t="s">
        <v>2180</v>
      </c>
      <c r="E218" t="s">
        <v>1555</v>
      </c>
      <c r="F218" t="s">
        <v>1011</v>
      </c>
      <c r="G218" t="s">
        <v>1561</v>
      </c>
      <c r="H218" t="s">
        <v>1025</v>
      </c>
      <c r="I218" s="7">
        <v>3</v>
      </c>
      <c r="J218" s="7" t="s">
        <v>2027</v>
      </c>
      <c r="K218" s="7" t="s">
        <v>2027</v>
      </c>
      <c r="L218" s="7" t="s">
        <v>2029</v>
      </c>
      <c r="M218" s="7" t="s">
        <v>2027</v>
      </c>
      <c r="N218" s="7" t="s">
        <v>2141</v>
      </c>
      <c r="O218" s="7" t="s">
        <v>2025</v>
      </c>
      <c r="P218" s="7" t="s">
        <v>2020</v>
      </c>
      <c r="Q218" t="s">
        <v>1342</v>
      </c>
      <c r="R218" s="7" t="s">
        <v>2294</v>
      </c>
      <c r="S218" t="str">
        <f xml:space="preserve"> HYPERLINK("ReviewHtml/review_Karas_-_The_Prophecy,_The_Revelation.html", "https://2danicritic.github.io/ReviewHtml/review_Karas_-_The_Prophecy,_The_Revelation.html")</f>
        <v>https://2danicritic.github.io/ReviewHtml/review_Karas_-_The_Prophecy,_The_Revelation.html</v>
      </c>
      <c r="U218" s="5">
        <f t="shared" si="3"/>
        <v>3</v>
      </c>
    </row>
    <row r="219" spans="2:21" x14ac:dyDescent="0.35">
      <c r="B219" s="7" t="s">
        <v>2353</v>
      </c>
      <c r="C219" t="s">
        <v>1907</v>
      </c>
      <c r="D219" s="7" t="s">
        <v>2135</v>
      </c>
      <c r="E219" t="s">
        <v>1555</v>
      </c>
      <c r="F219" t="s">
        <v>1293</v>
      </c>
      <c r="G219" t="s">
        <v>1561</v>
      </c>
      <c r="H219" t="s">
        <v>1908</v>
      </c>
      <c r="I219" s="7">
        <v>3.43</v>
      </c>
      <c r="J219" s="7" t="s">
        <v>2020</v>
      </c>
      <c r="K219" s="7" t="s">
        <v>2027</v>
      </c>
      <c r="L219" s="7" t="s">
        <v>2027</v>
      </c>
      <c r="M219" s="7" t="s">
        <v>2027</v>
      </c>
      <c r="N219" s="7" t="s">
        <v>2020</v>
      </c>
      <c r="O219" s="7" t="s">
        <v>2025</v>
      </c>
      <c r="P219" s="7" t="s">
        <v>2027</v>
      </c>
      <c r="Q219" t="s">
        <v>171</v>
      </c>
      <c r="R219" s="7" t="s">
        <v>2170</v>
      </c>
      <c r="S219" t="str">
        <f xml:space="preserve"> HYPERLINK("ReviewHtml/review_Kase-san_and_Morning_Glories.html", "https://2danicritic.github.io/ReviewHtml/review_Kase-san_and_Morning_Glories.html")</f>
        <v>https://2danicritic.github.io/ReviewHtml/review_Kase-san_and_Morning_Glories.html</v>
      </c>
      <c r="U219" s="5">
        <f t="shared" si="3"/>
        <v>3.43</v>
      </c>
    </row>
    <row r="220" spans="2:21" x14ac:dyDescent="0.35">
      <c r="B220" s="7" t="s">
        <v>2354</v>
      </c>
      <c r="C220" t="s">
        <v>891</v>
      </c>
      <c r="D220" s="7" t="s">
        <v>2030</v>
      </c>
      <c r="E220" t="s">
        <v>1555</v>
      </c>
      <c r="F220" t="s">
        <v>889</v>
      </c>
      <c r="G220" t="s">
        <v>1560</v>
      </c>
      <c r="H220" t="s">
        <v>892</v>
      </c>
      <c r="I220" s="7">
        <v>3.43</v>
      </c>
      <c r="J220" s="7" t="s">
        <v>2027</v>
      </c>
      <c r="K220" s="7" t="s">
        <v>2027</v>
      </c>
      <c r="L220" s="7" t="s">
        <v>2027</v>
      </c>
      <c r="M220" s="7" t="s">
        <v>2020</v>
      </c>
      <c r="N220" s="7" t="s">
        <v>2029</v>
      </c>
      <c r="O220" s="7" t="s">
        <v>2026</v>
      </c>
      <c r="P220" s="7" t="s">
        <v>2025</v>
      </c>
      <c r="Q220" t="s">
        <v>173</v>
      </c>
      <c r="R220" s="7" t="s">
        <v>2049</v>
      </c>
      <c r="S220" t="str">
        <f xml:space="preserve"> HYPERLINK("ReviewHtml/review_Keijo.html", "https://2danicritic.github.io/ReviewHtml/review_Keijo.html")</f>
        <v>https://2danicritic.github.io/ReviewHtml/review_Keijo.html</v>
      </c>
      <c r="U220" s="5">
        <f t="shared" si="3"/>
        <v>3.43</v>
      </c>
    </row>
    <row r="221" spans="2:21" x14ac:dyDescent="0.35">
      <c r="B221" s="7" t="s">
        <v>2355</v>
      </c>
      <c r="C221" t="s">
        <v>893</v>
      </c>
      <c r="D221" s="7" t="s">
        <v>2356</v>
      </c>
      <c r="E221" t="s">
        <v>1555</v>
      </c>
      <c r="F221" t="s">
        <v>748</v>
      </c>
      <c r="G221" t="s">
        <v>1558</v>
      </c>
      <c r="H221" t="s">
        <v>749</v>
      </c>
      <c r="I221" s="7">
        <v>3.71</v>
      </c>
      <c r="J221" s="7" t="s">
        <v>2027</v>
      </c>
      <c r="K221" s="7" t="s">
        <v>2027</v>
      </c>
      <c r="L221" s="7" t="s">
        <v>2027</v>
      </c>
      <c r="M221" s="7" t="s">
        <v>2025</v>
      </c>
      <c r="N221" s="7" t="s">
        <v>2027</v>
      </c>
      <c r="O221" s="7" t="s">
        <v>2027</v>
      </c>
      <c r="P221" s="7" t="s">
        <v>2026</v>
      </c>
      <c r="Q221" t="s">
        <v>174</v>
      </c>
      <c r="R221" s="7" t="s">
        <v>2226</v>
      </c>
      <c r="S221" t="str">
        <f xml:space="preserve"> HYPERLINK("ReviewHtml/review_Kiki's_Delivery_Service.html", "https://2danicritic.github.io/ReviewHtml/review_Kiki's_Delivery_Service.html")</f>
        <v>https://2danicritic.github.io/ReviewHtml/review_Kiki's_Delivery_Service.html</v>
      </c>
      <c r="U221" s="5">
        <f t="shared" si="3"/>
        <v>3.71</v>
      </c>
    </row>
    <row r="222" spans="2:21" x14ac:dyDescent="0.35">
      <c r="B222" s="7" t="s">
        <v>2357</v>
      </c>
      <c r="C222" t="s">
        <v>894</v>
      </c>
      <c r="D222" s="7" t="s">
        <v>2102</v>
      </c>
      <c r="E222" t="s">
        <v>1555</v>
      </c>
      <c r="F222" t="s">
        <v>895</v>
      </c>
      <c r="G222" t="s">
        <v>1560</v>
      </c>
      <c r="H222" t="s">
        <v>896</v>
      </c>
      <c r="I222" s="7">
        <v>4.1399999999999997</v>
      </c>
      <c r="J222" s="7" t="s">
        <v>2027</v>
      </c>
      <c r="K222" s="7" t="s">
        <v>2026</v>
      </c>
      <c r="L222" s="7" t="s">
        <v>2025</v>
      </c>
      <c r="M222" s="7" t="s">
        <v>2025</v>
      </c>
      <c r="N222" s="7" t="s">
        <v>2027</v>
      </c>
      <c r="O222" s="7" t="s">
        <v>2033</v>
      </c>
      <c r="P222" s="7" t="s">
        <v>2026</v>
      </c>
      <c r="Q222" t="s">
        <v>189</v>
      </c>
      <c r="R222" s="7" t="s">
        <v>2104</v>
      </c>
      <c r="S222" t="str">
        <f xml:space="preserve"> HYPERLINK("ReviewHtml/review_Kill_la_Kill.html", "https://2danicritic.github.io/ReviewHtml/review_Kill_la_Kill.html")</f>
        <v>https://2danicritic.github.io/ReviewHtml/review_Kill_la_Kill.html</v>
      </c>
      <c r="U222" s="5">
        <f t="shared" si="3"/>
        <v>4.1399999999999997</v>
      </c>
    </row>
    <row r="223" spans="2:21" x14ac:dyDescent="0.35">
      <c r="B223" s="7" t="s">
        <v>2358</v>
      </c>
      <c r="C223" t="s">
        <v>897</v>
      </c>
      <c r="D223" s="7" t="s">
        <v>2171</v>
      </c>
      <c r="E223" t="s">
        <v>1555</v>
      </c>
      <c r="F223" t="s">
        <v>898</v>
      </c>
      <c r="G223" t="s">
        <v>1560</v>
      </c>
      <c r="H223" t="s">
        <v>899</v>
      </c>
      <c r="I223" s="7">
        <v>3.43</v>
      </c>
      <c r="J223" s="7" t="s">
        <v>2019</v>
      </c>
      <c r="K223" s="7" t="s">
        <v>2019</v>
      </c>
      <c r="L223" s="7" t="s">
        <v>2027</v>
      </c>
      <c r="M223" s="7" t="s">
        <v>2020</v>
      </c>
      <c r="N223" s="7" t="s">
        <v>2026</v>
      </c>
      <c r="O223" s="7" t="s">
        <v>2025</v>
      </c>
      <c r="P223" s="7" t="s">
        <v>2025</v>
      </c>
      <c r="Q223" t="s">
        <v>175</v>
      </c>
      <c r="R223" s="7" t="s">
        <v>2021</v>
      </c>
      <c r="S223" t="str">
        <f xml:space="preserve"> HYPERLINK("ReviewHtml/review_Kino's_Journey.html", "https://2danicritic.github.io/ReviewHtml/review_Kino's_Journey.html")</f>
        <v>https://2danicritic.github.io/ReviewHtml/review_Kino's_Journey.html</v>
      </c>
      <c r="U223" s="5">
        <f t="shared" si="3"/>
        <v>3.43</v>
      </c>
    </row>
    <row r="224" spans="2:21" x14ac:dyDescent="0.35">
      <c r="B224" s="7" t="s">
        <v>2359</v>
      </c>
      <c r="C224" t="s">
        <v>2360</v>
      </c>
      <c r="D224" s="7" t="s">
        <v>2017</v>
      </c>
      <c r="E224" t="s">
        <v>1555</v>
      </c>
      <c r="F224" t="s">
        <v>949</v>
      </c>
      <c r="G224" t="s">
        <v>1560</v>
      </c>
      <c r="H224" t="s">
        <v>1975</v>
      </c>
      <c r="I224" s="7">
        <v>3.5</v>
      </c>
      <c r="J224" s="7" t="s">
        <v>2019</v>
      </c>
      <c r="K224" s="7" t="s">
        <v>2020</v>
      </c>
      <c r="L224" s="7" t="s">
        <v>2027</v>
      </c>
      <c r="M224" s="7" t="s">
        <v>2027</v>
      </c>
      <c r="N224" s="7" t="s">
        <v>2025</v>
      </c>
      <c r="O224" s="7" t="s">
        <v>2025</v>
      </c>
      <c r="P224" s="7" t="s">
        <v>2025</v>
      </c>
      <c r="Q224" t="s">
        <v>2007</v>
      </c>
      <c r="R224" s="7" t="s">
        <v>2049</v>
      </c>
      <c r="S224" t="str">
        <f xml:space="preserve"> HYPERLINK("ReviewHtml/review_Kino's_Journey_-_the_Beautiful_World.html", "https://2danicritic.github.io/ReviewHtml/review_Kino's_Journey_-_the_Beautiful_World.html")</f>
        <v>https://2danicritic.github.io/ReviewHtml/review_Kino's_Journey_-_the_Beautiful_World.html</v>
      </c>
      <c r="U224" s="5">
        <f t="shared" si="3"/>
        <v>3.5</v>
      </c>
    </row>
    <row r="225" spans="2:21" x14ac:dyDescent="0.35">
      <c r="B225" s="7" t="s">
        <v>2361</v>
      </c>
      <c r="C225" t="s">
        <v>1800</v>
      </c>
      <c r="D225" s="7" t="s">
        <v>2030</v>
      </c>
      <c r="E225" t="s">
        <v>1555</v>
      </c>
      <c r="F225" t="s">
        <v>895</v>
      </c>
      <c r="G225" t="s">
        <v>1560</v>
      </c>
      <c r="H225" t="s">
        <v>1801</v>
      </c>
      <c r="I225" s="7">
        <v>3.21</v>
      </c>
      <c r="J225" s="7" t="s">
        <v>2027</v>
      </c>
      <c r="K225" s="7" t="s">
        <v>2025</v>
      </c>
      <c r="L225" s="7" t="s">
        <v>2027</v>
      </c>
      <c r="M225" s="7" t="s">
        <v>2019</v>
      </c>
      <c r="N225" s="7" t="s">
        <v>2019</v>
      </c>
      <c r="O225" s="7" t="s">
        <v>2027</v>
      </c>
      <c r="P225" s="7" t="s">
        <v>2020</v>
      </c>
      <c r="Q225" t="s">
        <v>1767</v>
      </c>
      <c r="R225" s="7" t="s">
        <v>2049</v>
      </c>
      <c r="S225" t="str">
        <f xml:space="preserve"> HYPERLINK("ReviewHtml/review_Kiznaiver.html", "https://2danicritic.github.io/ReviewHtml/review_Kiznaiver.html")</f>
        <v>https://2danicritic.github.io/ReviewHtml/review_Kiznaiver.html</v>
      </c>
      <c r="U225" s="5">
        <f t="shared" si="3"/>
        <v>3.21</v>
      </c>
    </row>
    <row r="226" spans="2:21" x14ac:dyDescent="0.35">
      <c r="B226" s="7" t="s">
        <v>2362</v>
      </c>
      <c r="C226" t="s">
        <v>900</v>
      </c>
      <c r="D226" s="7" t="s">
        <v>2030</v>
      </c>
      <c r="E226" t="s">
        <v>1555</v>
      </c>
      <c r="F226" t="s">
        <v>690</v>
      </c>
      <c r="G226" t="s">
        <v>1558</v>
      </c>
      <c r="H226" t="s">
        <v>74</v>
      </c>
      <c r="I226" s="7">
        <v>4.57</v>
      </c>
      <c r="J226" s="7" t="s">
        <v>2033</v>
      </c>
      <c r="K226" s="7" t="s">
        <v>2026</v>
      </c>
      <c r="L226" s="7" t="s">
        <v>2026</v>
      </c>
      <c r="M226" s="7" t="s">
        <v>2025</v>
      </c>
      <c r="N226" s="7" t="s">
        <v>2025</v>
      </c>
      <c r="O226" s="7" t="s">
        <v>2033</v>
      </c>
      <c r="P226" s="7" t="s">
        <v>2033</v>
      </c>
      <c r="Q226" t="s">
        <v>176</v>
      </c>
      <c r="R226" s="7" t="s">
        <v>2353</v>
      </c>
      <c r="S226" t="str">
        <f xml:space="preserve"> HYPERLINK("ReviewHtml/review_Kizumonogatari_-_Tekketsu,_Nekketsu,_Reiketsu.html", "https://2danicritic.github.io/ReviewHtml/review_Kizumonogatari_-_Tekketsu,_Nekketsu,_Reiketsu.html")</f>
        <v>https://2danicritic.github.io/ReviewHtml/review_Kizumonogatari_-_Tekketsu,_Nekketsu,_Reiketsu.html</v>
      </c>
      <c r="U226" s="5">
        <f t="shared" si="3"/>
        <v>4.57</v>
      </c>
    </row>
    <row r="227" spans="2:21" x14ac:dyDescent="0.35">
      <c r="B227" s="7" t="s">
        <v>2363</v>
      </c>
      <c r="C227" t="s">
        <v>1586</v>
      </c>
      <c r="D227" s="7" t="s">
        <v>2197</v>
      </c>
      <c r="E227" t="s">
        <v>1567</v>
      </c>
      <c r="F227" t="s">
        <v>1587</v>
      </c>
      <c r="G227" t="s">
        <v>1558</v>
      </c>
      <c r="H227" t="s">
        <v>1588</v>
      </c>
      <c r="I227" s="7">
        <v>3.71</v>
      </c>
      <c r="J227" s="7" t="s">
        <v>2025</v>
      </c>
      <c r="K227" s="7" t="s">
        <v>2025</v>
      </c>
      <c r="L227" s="7" t="s">
        <v>2027</v>
      </c>
      <c r="M227" s="7" t="s">
        <v>2027</v>
      </c>
      <c r="N227" s="7" t="s">
        <v>2027</v>
      </c>
      <c r="O227" s="7" t="s">
        <v>2025</v>
      </c>
      <c r="P227" s="7" t="s">
        <v>2027</v>
      </c>
      <c r="Q227" t="s">
        <v>1537</v>
      </c>
      <c r="R227" s="7" t="s">
        <v>2082</v>
      </c>
      <c r="S227" t="str">
        <f xml:space="preserve"> HYPERLINK("ReviewHtml/review_Klaus.html", "https://2danicritic.github.io/ReviewHtml/review_Klaus.html")</f>
        <v>https://2danicritic.github.io/ReviewHtml/review_Klaus.html</v>
      </c>
      <c r="U227" s="5">
        <f t="shared" si="3"/>
        <v>3.71</v>
      </c>
    </row>
    <row r="228" spans="2:21" x14ac:dyDescent="0.35">
      <c r="B228" s="7" t="s">
        <v>2364</v>
      </c>
      <c r="C228" t="s">
        <v>901</v>
      </c>
      <c r="D228" s="7" t="s">
        <v>2041</v>
      </c>
      <c r="E228" t="s">
        <v>1555</v>
      </c>
      <c r="F228" t="s">
        <v>799</v>
      </c>
      <c r="G228" t="s">
        <v>1560</v>
      </c>
      <c r="H228" t="s">
        <v>177</v>
      </c>
      <c r="I228" s="7">
        <v>3.29</v>
      </c>
      <c r="J228" s="7" t="s">
        <v>2019</v>
      </c>
      <c r="K228" s="7" t="s">
        <v>2020</v>
      </c>
      <c r="L228" s="7" t="s">
        <v>2020</v>
      </c>
      <c r="M228" s="7" t="s">
        <v>2020</v>
      </c>
      <c r="N228" s="7" t="s">
        <v>2025</v>
      </c>
      <c r="O228" s="7" t="s">
        <v>2027</v>
      </c>
      <c r="P228" s="7" t="s">
        <v>2025</v>
      </c>
      <c r="Q228" t="s">
        <v>178</v>
      </c>
      <c r="R228" s="7" t="s">
        <v>2365</v>
      </c>
      <c r="S228" t="str">
        <f xml:space="preserve"> HYPERLINK("ReviewHtml/review_Kokoro_Connect.html", "https://2danicritic.github.io/ReviewHtml/review_Kokoro_Connect.html")</f>
        <v>https://2danicritic.github.io/ReviewHtml/review_Kokoro_Connect.html</v>
      </c>
      <c r="U228" s="5">
        <f t="shared" si="3"/>
        <v>3.29</v>
      </c>
    </row>
    <row r="229" spans="2:21" x14ac:dyDescent="0.35">
      <c r="B229" s="7" t="s">
        <v>2366</v>
      </c>
      <c r="C229" t="s">
        <v>1802</v>
      </c>
      <c r="D229" s="7" t="s">
        <v>2030</v>
      </c>
      <c r="E229" t="s">
        <v>1555</v>
      </c>
      <c r="F229" t="s">
        <v>812</v>
      </c>
      <c r="G229" t="s">
        <v>1560</v>
      </c>
      <c r="H229" t="s">
        <v>1803</v>
      </c>
      <c r="I229" s="7">
        <v>3.36</v>
      </c>
      <c r="J229" s="7" t="s">
        <v>2020</v>
      </c>
      <c r="K229" s="7" t="s">
        <v>2020</v>
      </c>
      <c r="L229" s="7" t="s">
        <v>2027</v>
      </c>
      <c r="M229" s="7" t="s">
        <v>2027</v>
      </c>
      <c r="N229" s="7" t="s">
        <v>2020</v>
      </c>
      <c r="O229" s="7" t="s">
        <v>2025</v>
      </c>
      <c r="P229" s="7" t="s">
        <v>2027</v>
      </c>
      <c r="Q229" t="s">
        <v>1768</v>
      </c>
      <c r="R229" s="7" t="s">
        <v>2133</v>
      </c>
      <c r="S229" t="str">
        <f xml:space="preserve"> HYPERLINK("ReviewHtml/review_Konosuba_-_God's_Blessing_On_This_Wonderful_World.html", "https://2danicritic.github.io/ReviewHtml/review_Konosuba_-_God's_Blessing_On_This_Wonderful_World.html")</f>
        <v>https://2danicritic.github.io/ReviewHtml/review_Konosuba_-_God's_Blessing_On_This_Wonderful_World.html</v>
      </c>
      <c r="U229" s="5">
        <f t="shared" si="3"/>
        <v>3.36</v>
      </c>
    </row>
    <row r="230" spans="2:21" x14ac:dyDescent="0.35">
      <c r="B230" s="7" t="s">
        <v>2367</v>
      </c>
      <c r="C230" t="s">
        <v>1804</v>
      </c>
      <c r="D230" s="7" t="s">
        <v>2030</v>
      </c>
      <c r="E230" t="s">
        <v>1555</v>
      </c>
      <c r="F230" t="s">
        <v>1595</v>
      </c>
      <c r="G230" t="s">
        <v>1560</v>
      </c>
      <c r="H230" t="s">
        <v>1805</v>
      </c>
      <c r="I230" s="7">
        <v>3.21</v>
      </c>
      <c r="J230" s="7" t="s">
        <v>2020</v>
      </c>
      <c r="K230" s="7" t="s">
        <v>2027</v>
      </c>
      <c r="L230" s="7" t="s">
        <v>2027</v>
      </c>
      <c r="M230" s="7" t="s">
        <v>2027</v>
      </c>
      <c r="N230" s="7" t="s">
        <v>2019</v>
      </c>
      <c r="O230" s="7" t="s">
        <v>2027</v>
      </c>
      <c r="P230" s="7" t="s">
        <v>2020</v>
      </c>
      <c r="Q230" t="s">
        <v>145</v>
      </c>
      <c r="R230" s="7" t="s">
        <v>2368</v>
      </c>
      <c r="S230" t="str">
        <f xml:space="preserve"> HYPERLINK("ReviewHtml/review_Kumamiko_-_Girl_Meets_Bear.html", "https://2danicritic.github.io/ReviewHtml/review_Kumamiko_-_Girl_Meets_Bear.html")</f>
        <v>https://2danicritic.github.io/ReviewHtml/review_Kumamiko_-_Girl_Meets_Bear.html</v>
      </c>
      <c r="U230" s="5">
        <f t="shared" si="3"/>
        <v>3.21</v>
      </c>
    </row>
    <row r="231" spans="2:21" x14ac:dyDescent="0.35">
      <c r="B231" s="7" t="s">
        <v>2369</v>
      </c>
      <c r="C231" t="s">
        <v>902</v>
      </c>
      <c r="D231" s="7" t="s">
        <v>2102</v>
      </c>
      <c r="E231" t="s">
        <v>1555</v>
      </c>
      <c r="F231" t="s">
        <v>682</v>
      </c>
      <c r="G231" t="s">
        <v>1560</v>
      </c>
      <c r="H231" t="s">
        <v>736</v>
      </c>
      <c r="I231" s="7">
        <v>4.71</v>
      </c>
      <c r="J231" s="7" t="s">
        <v>2026</v>
      </c>
      <c r="K231" s="7" t="s">
        <v>2033</v>
      </c>
      <c r="L231" s="7" t="s">
        <v>2025</v>
      </c>
      <c r="M231" s="7" t="s">
        <v>2033</v>
      </c>
      <c r="N231" s="7" t="s">
        <v>2026</v>
      </c>
      <c r="O231" s="7" t="s">
        <v>2033</v>
      </c>
      <c r="P231" s="7" t="s">
        <v>2033</v>
      </c>
      <c r="Q231" t="s">
        <v>179</v>
      </c>
      <c r="R231" s="7" t="s">
        <v>2021</v>
      </c>
      <c r="S231" t="str">
        <f xml:space="preserve"> HYPERLINK("ReviewHtml/review_Kyousougiga.html", "https://2danicritic.github.io/ReviewHtml/review_Kyousougiga.html")</f>
        <v>https://2danicritic.github.io/ReviewHtml/review_Kyousougiga.html</v>
      </c>
      <c r="U231" s="5">
        <f t="shared" si="3"/>
        <v>4.71</v>
      </c>
    </row>
    <row r="232" spans="2:21" x14ac:dyDescent="0.35">
      <c r="B232" s="7" t="s">
        <v>2370</v>
      </c>
      <c r="C232" t="s">
        <v>1326</v>
      </c>
      <c r="D232" s="7" t="s">
        <v>2171</v>
      </c>
      <c r="E232" t="s">
        <v>1555</v>
      </c>
      <c r="F232" t="s">
        <v>665</v>
      </c>
      <c r="G232" t="s">
        <v>1560</v>
      </c>
      <c r="H232" t="s">
        <v>1442</v>
      </c>
      <c r="I232" s="7">
        <v>2.93</v>
      </c>
      <c r="J232" s="7" t="s">
        <v>2027</v>
      </c>
      <c r="K232" s="7" t="s">
        <v>2027</v>
      </c>
      <c r="L232" s="7" t="s">
        <v>2027</v>
      </c>
      <c r="M232" s="7" t="s">
        <v>2020</v>
      </c>
      <c r="N232" s="7" t="s">
        <v>2019</v>
      </c>
      <c r="O232" s="7" t="s">
        <v>2029</v>
      </c>
      <c r="P232" s="7" t="s">
        <v>2019</v>
      </c>
      <c r="Q232" t="s">
        <v>1317</v>
      </c>
      <c r="R232" s="7" t="s">
        <v>2104</v>
      </c>
      <c r="S232" t="str">
        <f xml:space="preserve"> HYPERLINK("ReviewHtml/review_Last_Exile.html", "https://2danicritic.github.io/ReviewHtml/review_Last_Exile.html")</f>
        <v>https://2danicritic.github.io/ReviewHtml/review_Last_Exile.html</v>
      </c>
      <c r="U232" s="5">
        <f t="shared" si="3"/>
        <v>2.93</v>
      </c>
    </row>
    <row r="233" spans="2:21" x14ac:dyDescent="0.35">
      <c r="B233" s="7" t="s">
        <v>2225</v>
      </c>
      <c r="C233" t="s">
        <v>1806</v>
      </c>
      <c r="D233" s="7" t="s">
        <v>2197</v>
      </c>
      <c r="E233" t="s">
        <v>1807</v>
      </c>
      <c r="F233" t="s">
        <v>1808</v>
      </c>
      <c r="G233" t="s">
        <v>1558</v>
      </c>
      <c r="H233" t="s">
        <v>1809</v>
      </c>
      <c r="I233" s="7">
        <v>1.64</v>
      </c>
      <c r="J233" s="7" t="s">
        <v>2141</v>
      </c>
      <c r="K233" s="7" t="s">
        <v>2141</v>
      </c>
      <c r="L233" s="7" t="s">
        <v>2141</v>
      </c>
      <c r="M233" s="7" t="s">
        <v>2141</v>
      </c>
      <c r="N233" s="7" t="s">
        <v>2029</v>
      </c>
      <c r="O233" s="7" t="s">
        <v>2029</v>
      </c>
      <c r="P233" s="7" t="s">
        <v>2141</v>
      </c>
      <c r="Q233" t="s">
        <v>1769</v>
      </c>
      <c r="R233" s="7" t="s">
        <v>2184</v>
      </c>
      <c r="S233" t="str">
        <f xml:space="preserve"> HYPERLINK("ReviewHtml/review_LAVA.html", "https://2danicritic.github.io/ReviewHtml/review_LAVA.html")</f>
        <v>https://2danicritic.github.io/ReviewHtml/review_LAVA.html</v>
      </c>
      <c r="U233" s="5">
        <f t="shared" si="3"/>
        <v>1.64</v>
      </c>
    </row>
    <row r="234" spans="2:21" x14ac:dyDescent="0.35">
      <c r="B234" s="7" t="s">
        <v>2372</v>
      </c>
      <c r="C234" t="s">
        <v>1589</v>
      </c>
      <c r="D234" s="7" t="s">
        <v>2373</v>
      </c>
      <c r="E234" t="s">
        <v>1555</v>
      </c>
      <c r="F234" t="s">
        <v>1105</v>
      </c>
      <c r="G234" t="s">
        <v>1558</v>
      </c>
      <c r="H234" t="s">
        <v>1590</v>
      </c>
      <c r="I234" s="7">
        <v>3.43</v>
      </c>
      <c r="J234" s="7" t="s">
        <v>2027</v>
      </c>
      <c r="K234" s="7" t="s">
        <v>2020</v>
      </c>
      <c r="L234" s="7" t="s">
        <v>2027</v>
      </c>
      <c r="M234" s="7" t="s">
        <v>2027</v>
      </c>
      <c r="N234" s="7" t="s">
        <v>2027</v>
      </c>
      <c r="O234" s="7" t="s">
        <v>2027</v>
      </c>
      <c r="P234" s="7" t="s">
        <v>2027</v>
      </c>
      <c r="Q234" t="s">
        <v>1538</v>
      </c>
      <c r="R234" s="7" t="s">
        <v>2085</v>
      </c>
      <c r="S234" t="str">
        <f xml:space="preserve"> HYPERLINK("ReviewHtml/review_Like_The_Clouds,_Like_The_Wind.html", "https://2danicritic.github.io/ReviewHtml/review_Like_The_Clouds,_Like_The_Wind.html")</f>
        <v>https://2danicritic.github.io/ReviewHtml/review_Like_The_Clouds,_Like_The_Wind.html</v>
      </c>
      <c r="U234" s="5">
        <f t="shared" si="3"/>
        <v>3.43</v>
      </c>
    </row>
    <row r="235" spans="2:21" x14ac:dyDescent="0.35">
      <c r="B235" s="7" t="s">
        <v>2374</v>
      </c>
      <c r="C235" t="s">
        <v>903</v>
      </c>
      <c r="D235" s="7" t="s">
        <v>2135</v>
      </c>
      <c r="E235" t="s">
        <v>1555</v>
      </c>
      <c r="F235" t="s">
        <v>659</v>
      </c>
      <c r="G235" t="s">
        <v>1558</v>
      </c>
      <c r="H235" t="s">
        <v>660</v>
      </c>
      <c r="I235" s="7">
        <v>3.64</v>
      </c>
      <c r="J235" s="7" t="s">
        <v>2027</v>
      </c>
      <c r="K235" s="7" t="s">
        <v>2025</v>
      </c>
      <c r="L235" s="7" t="s">
        <v>2025</v>
      </c>
      <c r="M235" s="7" t="s">
        <v>2025</v>
      </c>
      <c r="N235" s="7" t="s">
        <v>2027</v>
      </c>
      <c r="O235" s="7" t="s">
        <v>2020</v>
      </c>
      <c r="P235" s="7" t="s">
        <v>2027</v>
      </c>
      <c r="Q235" t="s">
        <v>137</v>
      </c>
      <c r="R235" s="7" t="s">
        <v>2212</v>
      </c>
      <c r="S235" t="str">
        <f xml:space="preserve"> HYPERLINK("ReviewHtml/review_Liz_and_the_Blue_Bird.html", "https://2danicritic.github.io/ReviewHtml/review_Liz_and_the_Blue_Bird.html")</f>
        <v>https://2danicritic.github.io/ReviewHtml/review_Liz_and_the_Blue_Bird.html</v>
      </c>
      <c r="U235" s="5">
        <f t="shared" si="3"/>
        <v>3.64</v>
      </c>
    </row>
    <row r="236" spans="2:21" x14ac:dyDescent="0.35">
      <c r="B236" s="7" t="s">
        <v>2375</v>
      </c>
      <c r="C236" t="s">
        <v>1389</v>
      </c>
      <c r="D236" s="7" t="s">
        <v>2095</v>
      </c>
      <c r="E236" t="s">
        <v>1559</v>
      </c>
      <c r="F236" t="s">
        <v>1428</v>
      </c>
      <c r="G236" t="s">
        <v>1558</v>
      </c>
      <c r="H236" t="s">
        <v>1447</v>
      </c>
      <c r="I236" s="7">
        <v>3.79</v>
      </c>
      <c r="J236" s="7" t="s">
        <v>2027</v>
      </c>
      <c r="K236" s="7" t="s">
        <v>2025</v>
      </c>
      <c r="L236" s="7" t="s">
        <v>2027</v>
      </c>
      <c r="M236" s="7" t="s">
        <v>2027</v>
      </c>
      <c r="N236" s="7" t="s">
        <v>2025</v>
      </c>
      <c r="O236" s="7" t="s">
        <v>2027</v>
      </c>
      <c r="P236" s="7" t="s">
        <v>2026</v>
      </c>
      <c r="Q236" t="s">
        <v>1318</v>
      </c>
      <c r="R236" s="7" t="s">
        <v>2085</v>
      </c>
      <c r="S236" t="str">
        <f xml:space="preserve"> HYPERLINK("ReviewHtml/review_Long_Way_North.html", "https://2danicritic.github.io/ReviewHtml/review_Long_Way_North.html")</f>
        <v>https://2danicritic.github.io/ReviewHtml/review_Long_Way_North.html</v>
      </c>
      <c r="U236" s="5">
        <f t="shared" si="3"/>
        <v>3.79</v>
      </c>
    </row>
    <row r="237" spans="2:21" x14ac:dyDescent="0.35">
      <c r="B237" s="7" t="s">
        <v>2376</v>
      </c>
      <c r="C237" t="s">
        <v>1964</v>
      </c>
      <c r="D237" s="7" t="s">
        <v>2197</v>
      </c>
      <c r="E237" t="s">
        <v>1555</v>
      </c>
      <c r="F237" t="s">
        <v>1783</v>
      </c>
      <c r="G237" t="s">
        <v>1560</v>
      </c>
      <c r="H237" t="s">
        <v>1784</v>
      </c>
      <c r="I237" s="7">
        <v>3.14</v>
      </c>
      <c r="J237" s="7" t="s">
        <v>2020</v>
      </c>
      <c r="K237" s="7" t="s">
        <v>2025</v>
      </c>
      <c r="L237" s="7" t="s">
        <v>2027</v>
      </c>
      <c r="M237" s="7" t="s">
        <v>2027</v>
      </c>
      <c r="N237" s="7" t="s">
        <v>2019</v>
      </c>
      <c r="O237" s="7" t="s">
        <v>2020</v>
      </c>
      <c r="P237" s="7" t="s">
        <v>2019</v>
      </c>
      <c r="Q237" t="s">
        <v>1949</v>
      </c>
      <c r="R237" s="7" t="s">
        <v>2077</v>
      </c>
      <c r="S237" t="str">
        <f xml:space="preserve"> HYPERLINK("ReviewHtml/review_Lord_El-Melloi_II's_Case_Files_-_Rail_Zeppelin_-_Grace_Note.html", "https://2danicritic.github.io/ReviewHtml/review_Lord_El-Melloi_II's_Case_Files_-_Rail_Zeppelin_-_Grace_Note.html")</f>
        <v>https://2danicritic.github.io/ReviewHtml/review_Lord_El-Melloi_II's_Case_Files_-_Rail_Zeppelin_-_Grace_Note.html</v>
      </c>
      <c r="U237" s="5">
        <f t="shared" si="3"/>
        <v>3.14</v>
      </c>
    </row>
    <row r="238" spans="2:21" x14ac:dyDescent="0.35">
      <c r="B238" s="7" t="s">
        <v>2377</v>
      </c>
      <c r="C238" t="s">
        <v>904</v>
      </c>
      <c r="D238" s="7" t="s">
        <v>2030</v>
      </c>
      <c r="E238" t="s">
        <v>1559</v>
      </c>
      <c r="F238" t="s">
        <v>905</v>
      </c>
      <c r="G238" t="s">
        <v>1558</v>
      </c>
      <c r="H238" t="s">
        <v>180</v>
      </c>
      <c r="I238" s="7">
        <v>3.14</v>
      </c>
      <c r="J238" s="7" t="s">
        <v>2020</v>
      </c>
      <c r="K238" s="7" t="s">
        <v>2027</v>
      </c>
      <c r="L238" s="7" t="s">
        <v>2025</v>
      </c>
      <c r="M238" s="7" t="s">
        <v>2019</v>
      </c>
      <c r="N238" s="7" t="s">
        <v>2027</v>
      </c>
      <c r="O238" s="7" t="s">
        <v>2019</v>
      </c>
      <c r="P238" s="7" t="s">
        <v>2020</v>
      </c>
      <c r="Q238" t="s">
        <v>181</v>
      </c>
      <c r="R238" s="7" t="s">
        <v>2195</v>
      </c>
      <c r="S238" t="str">
        <f xml:space="preserve"> HYPERLINK("ReviewHtml/review_Louise_By_The_Shore.html", "https://2danicritic.github.io/ReviewHtml/review_Louise_By_The_Shore.html")</f>
        <v>https://2danicritic.github.io/ReviewHtml/review_Louise_By_The_Shore.html</v>
      </c>
      <c r="U238" s="5">
        <f t="shared" si="3"/>
        <v>3.14</v>
      </c>
    </row>
    <row r="239" spans="2:21" x14ac:dyDescent="0.35">
      <c r="B239" s="7" t="s">
        <v>2378</v>
      </c>
      <c r="C239" t="s">
        <v>906</v>
      </c>
      <c r="D239" s="7" t="s">
        <v>2035</v>
      </c>
      <c r="E239" t="s">
        <v>1555</v>
      </c>
      <c r="F239" t="s">
        <v>907</v>
      </c>
      <c r="G239" t="s">
        <v>1558</v>
      </c>
      <c r="H239" t="s">
        <v>908</v>
      </c>
      <c r="I239" s="7">
        <v>2.4300000000000002</v>
      </c>
      <c r="J239" s="7" t="s">
        <v>2019</v>
      </c>
      <c r="K239" s="7" t="s">
        <v>2020</v>
      </c>
      <c r="L239" s="7" t="s">
        <v>2019</v>
      </c>
      <c r="M239" s="7" t="s">
        <v>2029</v>
      </c>
      <c r="N239" s="7" t="s">
        <v>2029</v>
      </c>
      <c r="O239" s="7" t="s">
        <v>2020</v>
      </c>
      <c r="P239" s="7" t="s">
        <v>2029</v>
      </c>
      <c r="Q239" t="s">
        <v>140</v>
      </c>
      <c r="R239" s="7" t="s">
        <v>2221</v>
      </c>
      <c r="S239" t="str">
        <f xml:space="preserve"> HYPERLINK("ReviewHtml/review_Loups=Garous.html", "https://2danicritic.github.io/ReviewHtml/review_Loups=Garous.html")</f>
        <v>https://2danicritic.github.io/ReviewHtml/review_Loups=Garous.html</v>
      </c>
      <c r="U239" s="5">
        <f t="shared" si="3"/>
        <v>2.4300000000000002</v>
      </c>
    </row>
    <row r="240" spans="2:21" x14ac:dyDescent="0.35">
      <c r="B240" s="7" t="s">
        <v>2379</v>
      </c>
      <c r="C240" t="s">
        <v>909</v>
      </c>
      <c r="D240" s="7" t="s">
        <v>2041</v>
      </c>
      <c r="E240" t="s">
        <v>1555</v>
      </c>
      <c r="F240" t="s">
        <v>659</v>
      </c>
      <c r="G240" t="s">
        <v>1560</v>
      </c>
      <c r="H240" t="s">
        <v>910</v>
      </c>
      <c r="I240" s="7">
        <v>2.71</v>
      </c>
      <c r="J240" s="7" t="s">
        <v>2025</v>
      </c>
      <c r="K240" s="7" t="s">
        <v>2020</v>
      </c>
      <c r="L240" s="7" t="s">
        <v>2020</v>
      </c>
      <c r="M240" s="7" t="s">
        <v>2019</v>
      </c>
      <c r="N240" s="7" t="s">
        <v>2019</v>
      </c>
      <c r="O240" s="7" t="s">
        <v>2029</v>
      </c>
      <c r="P240" s="7" t="s">
        <v>2029</v>
      </c>
      <c r="Q240" t="s">
        <v>182</v>
      </c>
      <c r="R240" s="7" t="s">
        <v>2021</v>
      </c>
      <c r="S240" t="str">
        <f xml:space="preserve"> HYPERLINK("ReviewHtml/review_Love,_Chunibyo_&amp;_Other_Delusions!.html", "https://2danicritic.github.io/ReviewHtml/review_Love,_Chunibyo_&amp;_Other_Delusions!.html")</f>
        <v>https://2danicritic.github.io/ReviewHtml/review_Love,_Chunibyo_&amp;_Other_Delusions!.html</v>
      </c>
      <c r="U240" s="5">
        <f t="shared" si="3"/>
        <v>2.71</v>
      </c>
    </row>
    <row r="241" spans="2:21" x14ac:dyDescent="0.35">
      <c r="B241" s="7" t="s">
        <v>2380</v>
      </c>
      <c r="C241" t="s">
        <v>911</v>
      </c>
      <c r="D241" s="7" t="s">
        <v>2017</v>
      </c>
      <c r="E241" t="s">
        <v>1591</v>
      </c>
      <c r="F241" t="s">
        <v>912</v>
      </c>
      <c r="G241" t="s">
        <v>1558</v>
      </c>
      <c r="H241" t="s">
        <v>183</v>
      </c>
      <c r="I241" s="7">
        <v>4.07</v>
      </c>
      <c r="J241" s="7" t="s">
        <v>2025</v>
      </c>
      <c r="K241" s="7" t="s">
        <v>2026</v>
      </c>
      <c r="L241" s="7" t="s">
        <v>2025</v>
      </c>
      <c r="M241" s="7" t="s">
        <v>2026</v>
      </c>
      <c r="N241" s="7" t="s">
        <v>2027</v>
      </c>
      <c r="O241" s="7" t="s">
        <v>2020</v>
      </c>
      <c r="P241" s="7" t="s">
        <v>2033</v>
      </c>
      <c r="Q241" t="s">
        <v>184</v>
      </c>
      <c r="R241" s="7" t="s">
        <v>2112</v>
      </c>
      <c r="S241" t="str">
        <f xml:space="preserve"> HYPERLINK("ReviewHtml/review_Loving_Vincent.html", "https://2danicritic.github.io/ReviewHtml/review_Loving_Vincent.html")</f>
        <v>https://2danicritic.github.io/ReviewHtml/review_Loving_Vincent.html</v>
      </c>
      <c r="U241" s="5">
        <f t="shared" si="3"/>
        <v>4.07</v>
      </c>
    </row>
    <row r="242" spans="2:21" x14ac:dyDescent="0.35">
      <c r="B242" s="7" t="s">
        <v>2381</v>
      </c>
      <c r="C242" t="s">
        <v>913</v>
      </c>
      <c r="D242" s="7" t="s">
        <v>2017</v>
      </c>
      <c r="E242" t="s">
        <v>1555</v>
      </c>
      <c r="F242" t="s">
        <v>788</v>
      </c>
      <c r="G242" t="s">
        <v>1558</v>
      </c>
      <c r="H242" t="s">
        <v>789</v>
      </c>
      <c r="I242" s="7">
        <v>4.29</v>
      </c>
      <c r="J242" s="7" t="s">
        <v>2025</v>
      </c>
      <c r="K242" s="7" t="s">
        <v>2025</v>
      </c>
      <c r="L242" s="7" t="s">
        <v>2033</v>
      </c>
      <c r="M242" s="7" t="s">
        <v>2027</v>
      </c>
      <c r="N242" s="7" t="s">
        <v>2025</v>
      </c>
      <c r="O242" s="7" t="s">
        <v>2026</v>
      </c>
      <c r="P242" s="7" t="s">
        <v>2033</v>
      </c>
      <c r="Q242" t="s">
        <v>185</v>
      </c>
      <c r="R242" s="7" t="s">
        <v>2204</v>
      </c>
      <c r="S242" t="str">
        <f xml:space="preserve"> HYPERLINK("ReviewHtml/review_Lu_Over_The_Wall.html", "https://2danicritic.github.io/ReviewHtml/review_Lu_Over_The_Wall.html")</f>
        <v>https://2danicritic.github.io/ReviewHtml/review_Lu_Over_The_Wall.html</v>
      </c>
      <c r="U242" s="5">
        <f t="shared" si="3"/>
        <v>4.29</v>
      </c>
    </row>
    <row r="243" spans="2:21" x14ac:dyDescent="0.35">
      <c r="B243" s="7" t="s">
        <v>2382</v>
      </c>
      <c r="C243" t="s">
        <v>914</v>
      </c>
      <c r="D243" s="7" t="s">
        <v>2171</v>
      </c>
      <c r="E243" t="s">
        <v>1555</v>
      </c>
      <c r="F243" t="s">
        <v>671</v>
      </c>
      <c r="G243" t="s">
        <v>1560</v>
      </c>
      <c r="H243" t="s">
        <v>856</v>
      </c>
      <c r="I243" s="7">
        <v>1.93</v>
      </c>
      <c r="J243" s="7" t="s">
        <v>2141</v>
      </c>
      <c r="K243" s="7" t="s">
        <v>2029</v>
      </c>
      <c r="L243" s="7" t="s">
        <v>2020</v>
      </c>
      <c r="M243" s="7" t="s">
        <v>2029</v>
      </c>
      <c r="N243" s="7" t="s">
        <v>2141</v>
      </c>
      <c r="O243" s="7" t="s">
        <v>2141</v>
      </c>
      <c r="P243" s="7" t="s">
        <v>2029</v>
      </c>
      <c r="Q243" t="s">
        <v>79</v>
      </c>
      <c r="R243" s="7" t="s">
        <v>2049</v>
      </c>
      <c r="S243" t="str">
        <f xml:space="preserve"> HYPERLINK("ReviewHtml/review_Lunar_Legend_-_Tsukihime.html", "https://2danicritic.github.io/ReviewHtml/review_Lunar_Legend_-_Tsukihime.html")</f>
        <v>https://2danicritic.github.io/ReviewHtml/review_Lunar_Legend_-_Tsukihime.html</v>
      </c>
      <c r="U243" s="5">
        <f t="shared" si="3"/>
        <v>1.93</v>
      </c>
    </row>
    <row r="244" spans="2:21" x14ac:dyDescent="0.35">
      <c r="B244" s="7" t="s">
        <v>2384</v>
      </c>
      <c r="C244" t="s">
        <v>1390</v>
      </c>
      <c r="D244" s="7" t="s">
        <v>2037</v>
      </c>
      <c r="E244" t="s">
        <v>1555</v>
      </c>
      <c r="F244" t="s">
        <v>916</v>
      </c>
      <c r="G244" t="s">
        <v>1558</v>
      </c>
      <c r="H244" t="s">
        <v>1448</v>
      </c>
      <c r="I244" s="7">
        <v>3.21</v>
      </c>
      <c r="J244" s="7" t="s">
        <v>2025</v>
      </c>
      <c r="K244" s="7" t="s">
        <v>2020</v>
      </c>
      <c r="L244" s="7" t="s">
        <v>2020</v>
      </c>
      <c r="M244" s="7" t="s">
        <v>2020</v>
      </c>
      <c r="N244" s="7" t="s">
        <v>2020</v>
      </c>
      <c r="O244" s="7" t="s">
        <v>2027</v>
      </c>
      <c r="P244" s="7" t="s">
        <v>2020</v>
      </c>
      <c r="Q244" t="s">
        <v>1343</v>
      </c>
      <c r="R244" s="7" t="s">
        <v>2212</v>
      </c>
      <c r="S244" t="str">
        <f xml:space="preserve"> HYPERLINK("ReviewHtml/review_Lupin_the_Third_-_Blood_Seal_of_the_Eternal_Mermaid.html", "https://2danicritic.github.io/ReviewHtml/review_Lupin_the_Third_-_Blood_Seal_of_the_Eternal_Mermaid.html")</f>
        <v>https://2danicritic.github.io/ReviewHtml/review_Lupin_the_Third_-_Blood_Seal_of_the_Eternal_Mermaid.html</v>
      </c>
      <c r="U244" s="5">
        <f t="shared" si="3"/>
        <v>3.21</v>
      </c>
    </row>
    <row r="245" spans="2:21" x14ac:dyDescent="0.35">
      <c r="B245" s="7" t="s">
        <v>2385</v>
      </c>
      <c r="C245" t="s">
        <v>915</v>
      </c>
      <c r="D245" s="7" t="s">
        <v>2057</v>
      </c>
      <c r="E245" t="s">
        <v>1555</v>
      </c>
      <c r="F245" t="s">
        <v>916</v>
      </c>
      <c r="G245" t="s">
        <v>1558</v>
      </c>
      <c r="H245" t="s">
        <v>917</v>
      </c>
      <c r="I245" s="7">
        <v>2.79</v>
      </c>
      <c r="J245" s="7" t="s">
        <v>2019</v>
      </c>
      <c r="K245" s="7" t="s">
        <v>2019</v>
      </c>
      <c r="L245" s="7" t="s">
        <v>2020</v>
      </c>
      <c r="M245" s="7" t="s">
        <v>2029</v>
      </c>
      <c r="N245" s="7" t="s">
        <v>2020</v>
      </c>
      <c r="O245" s="7" t="s">
        <v>2026</v>
      </c>
      <c r="P245" s="7" t="s">
        <v>2029</v>
      </c>
      <c r="Q245" t="s">
        <v>186</v>
      </c>
      <c r="R245" s="7" t="s">
        <v>2214</v>
      </c>
      <c r="S245" t="str">
        <f xml:space="preserve"> HYPERLINK("ReviewHtml/review_Lupin_the_Third_-_Episode_0_-_First_Contact.html", "https://2danicritic.github.io/ReviewHtml/review_Lupin_the_Third_-_Episode_0_-_First_Contact.html")</f>
        <v>https://2danicritic.github.io/ReviewHtml/review_Lupin_the_Third_-_Episode_0_-_First_Contact.html</v>
      </c>
      <c r="U245" s="5">
        <f t="shared" si="3"/>
        <v>2.79</v>
      </c>
    </row>
    <row r="246" spans="2:21" x14ac:dyDescent="0.35">
      <c r="B246" s="7" t="s">
        <v>2386</v>
      </c>
      <c r="C246" t="s">
        <v>1733</v>
      </c>
      <c r="D246" s="7" t="s">
        <v>2197</v>
      </c>
      <c r="E246" t="s">
        <v>1555</v>
      </c>
      <c r="F246" t="s">
        <v>916</v>
      </c>
      <c r="G246" t="s">
        <v>1558</v>
      </c>
      <c r="H246" t="s">
        <v>1031</v>
      </c>
      <c r="I246" s="7">
        <v>3.93</v>
      </c>
      <c r="J246" s="7" t="s">
        <v>2027</v>
      </c>
      <c r="K246" s="7" t="s">
        <v>2025</v>
      </c>
      <c r="L246" s="7" t="s">
        <v>2026</v>
      </c>
      <c r="M246" s="7" t="s">
        <v>2025</v>
      </c>
      <c r="N246" s="7" t="s">
        <v>2027</v>
      </c>
      <c r="O246" s="7" t="s">
        <v>2025</v>
      </c>
      <c r="P246" s="7" t="s">
        <v>2025</v>
      </c>
      <c r="Q246" t="s">
        <v>1199</v>
      </c>
      <c r="R246" s="7" t="s">
        <v>2166</v>
      </c>
      <c r="S246" t="str">
        <f xml:space="preserve"> HYPERLINK("ReviewHtml/review_Lupin_the_Third_-_Fujiko's_Lie.html", "https://2danicritic.github.io/ReviewHtml/review_Lupin_the_Third_-_Fujiko's_Lie.html")</f>
        <v>https://2danicritic.github.io/ReviewHtml/review_Lupin_the_Third_-_Fujiko's_Lie.html</v>
      </c>
      <c r="U246" s="5">
        <f t="shared" si="3"/>
        <v>3.93</v>
      </c>
    </row>
    <row r="247" spans="2:21" x14ac:dyDescent="0.35">
      <c r="B247" s="7" t="s">
        <v>2387</v>
      </c>
      <c r="C247" t="s">
        <v>1592</v>
      </c>
      <c r="D247" s="7" t="s">
        <v>2017</v>
      </c>
      <c r="E247" t="s">
        <v>1555</v>
      </c>
      <c r="F247" t="s">
        <v>916</v>
      </c>
      <c r="G247" t="s">
        <v>1558</v>
      </c>
      <c r="H247" t="s">
        <v>1031</v>
      </c>
      <c r="I247" s="7">
        <v>4</v>
      </c>
      <c r="J247" s="7" t="s">
        <v>2027</v>
      </c>
      <c r="K247" s="7" t="s">
        <v>2026</v>
      </c>
      <c r="L247" s="7" t="s">
        <v>2026</v>
      </c>
      <c r="M247" s="7" t="s">
        <v>2027</v>
      </c>
      <c r="N247" s="7" t="s">
        <v>2020</v>
      </c>
      <c r="O247" s="7" t="s">
        <v>2026</v>
      </c>
      <c r="P247" s="7" t="s">
        <v>2026</v>
      </c>
      <c r="Q247" t="s">
        <v>88</v>
      </c>
      <c r="R247" s="7" t="s">
        <v>2158</v>
      </c>
      <c r="S247" t="str">
        <f xml:space="preserve"> HYPERLINK("ReviewHtml/review_Lupin_the_Third_-_Goemon's_Blood_Spray.html", "https://2danicritic.github.io/ReviewHtml/review_Lupin_the_Third_-_Goemon's_Blood_Spray.html")</f>
        <v>https://2danicritic.github.io/ReviewHtml/review_Lupin_the_Third_-_Goemon's_Blood_Spray.html</v>
      </c>
      <c r="U247" s="5">
        <f t="shared" si="3"/>
        <v>4</v>
      </c>
    </row>
    <row r="248" spans="2:21" x14ac:dyDescent="0.35">
      <c r="B248" s="7" t="s">
        <v>2388</v>
      </c>
      <c r="C248" t="s">
        <v>918</v>
      </c>
      <c r="D248" s="7" t="s">
        <v>2154</v>
      </c>
      <c r="E248" t="s">
        <v>1555</v>
      </c>
      <c r="F248" t="s">
        <v>916</v>
      </c>
      <c r="G248" t="s">
        <v>1561</v>
      </c>
      <c r="H248" t="s">
        <v>919</v>
      </c>
      <c r="I248" s="7">
        <v>2.4300000000000002</v>
      </c>
      <c r="J248" s="7" t="s">
        <v>2020</v>
      </c>
      <c r="K248" s="7" t="s">
        <v>2020</v>
      </c>
      <c r="L248" s="7" t="s">
        <v>2020</v>
      </c>
      <c r="M248" s="7" t="s">
        <v>2141</v>
      </c>
      <c r="N248" s="7" t="s">
        <v>2029</v>
      </c>
      <c r="O248" s="7" t="s">
        <v>2141</v>
      </c>
      <c r="P248" s="7" t="s">
        <v>2020</v>
      </c>
      <c r="Q248" t="s">
        <v>187</v>
      </c>
      <c r="R248" s="7" t="s">
        <v>2085</v>
      </c>
      <c r="S248" t="str">
        <f xml:space="preserve"> HYPERLINK("ReviewHtml/review_Lupin_the_Third_-_Green_VS_Red.html", "https://2danicritic.github.io/ReviewHtml/review_Lupin_the_Third_-_Green_VS_Red.html")</f>
        <v>https://2danicritic.github.io/ReviewHtml/review_Lupin_the_Third_-_Green_VS_Red.html</v>
      </c>
      <c r="U248" s="5">
        <f t="shared" si="3"/>
        <v>2.4300000000000002</v>
      </c>
    </row>
    <row r="249" spans="2:21" x14ac:dyDescent="0.35">
      <c r="B249" s="7" t="s">
        <v>2389</v>
      </c>
      <c r="C249" t="s">
        <v>1593</v>
      </c>
      <c r="D249" s="7" t="s">
        <v>2390</v>
      </c>
      <c r="E249" t="s">
        <v>1555</v>
      </c>
      <c r="F249" t="s">
        <v>916</v>
      </c>
      <c r="G249" t="s">
        <v>1558</v>
      </c>
      <c r="H249" t="s">
        <v>1539</v>
      </c>
      <c r="I249" s="7">
        <v>3.14</v>
      </c>
      <c r="J249" s="7" t="s">
        <v>2020</v>
      </c>
      <c r="K249" s="7" t="s">
        <v>2019</v>
      </c>
      <c r="L249" s="7" t="s">
        <v>2027</v>
      </c>
      <c r="M249" s="7" t="s">
        <v>2027</v>
      </c>
      <c r="N249" s="7" t="s">
        <v>2020</v>
      </c>
      <c r="O249" s="7" t="s">
        <v>2027</v>
      </c>
      <c r="P249" s="7" t="s">
        <v>2020</v>
      </c>
      <c r="Q249" t="s">
        <v>1540</v>
      </c>
      <c r="R249" s="7" t="s">
        <v>2216</v>
      </c>
      <c r="S249" t="str">
        <f xml:space="preserve"> HYPERLINK("ReviewHtml/review_Lupin_the_Third_-_Island_of_Assassins.html", "https://2danicritic.github.io/ReviewHtml/review_Lupin_the_Third_-_Island_of_Assassins.html")</f>
        <v>https://2danicritic.github.io/ReviewHtml/review_Lupin_the_Third_-_Island_of_Assassins.html</v>
      </c>
      <c r="U249" s="5">
        <f t="shared" si="3"/>
        <v>3.14</v>
      </c>
    </row>
    <row r="250" spans="2:21" x14ac:dyDescent="0.35">
      <c r="B250" s="7" t="s">
        <v>2391</v>
      </c>
      <c r="C250" t="s">
        <v>1267</v>
      </c>
      <c r="D250" s="7" t="s">
        <v>2076</v>
      </c>
      <c r="E250" t="s">
        <v>1555</v>
      </c>
      <c r="F250" t="s">
        <v>916</v>
      </c>
      <c r="G250" t="s">
        <v>1558</v>
      </c>
      <c r="H250" t="s">
        <v>1031</v>
      </c>
      <c r="I250" s="7">
        <v>4.21</v>
      </c>
      <c r="J250" s="7" t="s">
        <v>2025</v>
      </c>
      <c r="K250" s="7" t="s">
        <v>2026</v>
      </c>
      <c r="L250" s="7" t="s">
        <v>2026</v>
      </c>
      <c r="M250" s="7" t="s">
        <v>2027</v>
      </c>
      <c r="N250" s="7" t="s">
        <v>2027</v>
      </c>
      <c r="O250" s="7" t="s">
        <v>2026</v>
      </c>
      <c r="P250" s="7" t="s">
        <v>2033</v>
      </c>
      <c r="Q250" t="s">
        <v>1199</v>
      </c>
      <c r="R250" s="7" t="s">
        <v>2156</v>
      </c>
      <c r="S250" t="str">
        <f xml:space="preserve"> HYPERLINK("ReviewHtml/review_Lupin_the_Third_-_Jigen's_Gravestone.html", "https://2danicritic.github.io/ReviewHtml/review_Lupin_the_Third_-_Jigen's_Gravestone.html")</f>
        <v>https://2danicritic.github.io/ReviewHtml/review_Lupin_the_Third_-_Jigen's_Gravestone.html</v>
      </c>
      <c r="U250" s="5">
        <f t="shared" si="3"/>
        <v>4.21</v>
      </c>
    </row>
    <row r="251" spans="2:21" x14ac:dyDescent="0.35">
      <c r="B251" s="7" t="s">
        <v>2333</v>
      </c>
      <c r="C251" t="s">
        <v>1391</v>
      </c>
      <c r="D251" s="7" t="s">
        <v>2392</v>
      </c>
      <c r="E251" t="s">
        <v>1555</v>
      </c>
      <c r="F251" t="s">
        <v>916</v>
      </c>
      <c r="G251" t="s">
        <v>1560</v>
      </c>
      <c r="H251" t="s">
        <v>1344</v>
      </c>
      <c r="I251" s="7">
        <v>2.79</v>
      </c>
      <c r="J251" s="7" t="s">
        <v>2029</v>
      </c>
      <c r="K251" s="7" t="s">
        <v>2019</v>
      </c>
      <c r="L251" s="7" t="s">
        <v>2027</v>
      </c>
      <c r="M251" s="7" t="s">
        <v>2019</v>
      </c>
      <c r="N251" s="7" t="s">
        <v>2020</v>
      </c>
      <c r="O251" s="7" t="s">
        <v>2020</v>
      </c>
      <c r="P251" s="7" t="s">
        <v>2020</v>
      </c>
      <c r="Q251" t="s">
        <v>55</v>
      </c>
      <c r="R251" s="7" t="s">
        <v>2393</v>
      </c>
      <c r="S251" t="str">
        <f xml:space="preserve"> HYPERLINK("ReviewHtml/review_Lupin_the_Third_-_Part_I.html", "https://2danicritic.github.io/ReviewHtml/review_Lupin_the_Third_-_Part_I.html")</f>
        <v>https://2danicritic.github.io/ReviewHtml/review_Lupin_the_Third_-_Part_I.html</v>
      </c>
      <c r="U251" s="5">
        <f t="shared" si="3"/>
        <v>2.79</v>
      </c>
    </row>
    <row r="252" spans="2:21" x14ac:dyDescent="0.35">
      <c r="B252" s="7" t="s">
        <v>2394</v>
      </c>
      <c r="C252" t="s">
        <v>1965</v>
      </c>
      <c r="D252" s="7" t="s">
        <v>2095</v>
      </c>
      <c r="E252" t="s">
        <v>1555</v>
      </c>
      <c r="F252" t="s">
        <v>916</v>
      </c>
      <c r="G252" t="s">
        <v>1560</v>
      </c>
      <c r="H252" t="s">
        <v>1950</v>
      </c>
      <c r="I252" s="7">
        <v>3.43</v>
      </c>
      <c r="J252" s="7" t="s">
        <v>2020</v>
      </c>
      <c r="K252" s="7" t="s">
        <v>2027</v>
      </c>
      <c r="L252" s="7" t="s">
        <v>2027</v>
      </c>
      <c r="M252" s="7" t="s">
        <v>2027</v>
      </c>
      <c r="N252" s="7" t="s">
        <v>2027</v>
      </c>
      <c r="O252" s="7" t="s">
        <v>2027</v>
      </c>
      <c r="P252" s="7" t="s">
        <v>2027</v>
      </c>
      <c r="Q252" t="s">
        <v>1951</v>
      </c>
      <c r="R252" s="7" t="s">
        <v>2114</v>
      </c>
      <c r="S252" t="str">
        <f xml:space="preserve"> HYPERLINK("ReviewHtml/review_Lupin_the_Third_-_Part_IV_-_The_Italian_Adventure.html", "https://2danicritic.github.io/ReviewHtml/review_Lupin_the_Third_-_Part_IV_-_The_Italian_Adventure.html")</f>
        <v>https://2danicritic.github.io/ReviewHtml/review_Lupin_the_Third_-_Part_IV_-_The_Italian_Adventure.html</v>
      </c>
      <c r="U252" s="5">
        <f t="shared" si="3"/>
        <v>3.43</v>
      </c>
    </row>
    <row r="253" spans="2:21" x14ac:dyDescent="0.35">
      <c r="B253" s="7" t="s">
        <v>2157</v>
      </c>
      <c r="C253" t="s">
        <v>920</v>
      </c>
      <c r="D253" s="7" t="s">
        <v>2395</v>
      </c>
      <c r="E253" t="s">
        <v>1555</v>
      </c>
      <c r="F253" t="s">
        <v>916</v>
      </c>
      <c r="G253" t="s">
        <v>1558</v>
      </c>
      <c r="H253" t="s">
        <v>749</v>
      </c>
      <c r="I253" s="7">
        <v>4</v>
      </c>
      <c r="J253" s="7" t="s">
        <v>2027</v>
      </c>
      <c r="K253" s="7" t="s">
        <v>2027</v>
      </c>
      <c r="L253" s="7" t="s">
        <v>2027</v>
      </c>
      <c r="M253" s="7" t="s">
        <v>2027</v>
      </c>
      <c r="N253" s="7" t="s">
        <v>2026</v>
      </c>
      <c r="O253" s="7" t="s">
        <v>2026</v>
      </c>
      <c r="P253" s="7" t="s">
        <v>2033</v>
      </c>
      <c r="Q253" t="s">
        <v>188</v>
      </c>
      <c r="R253" s="7" t="s">
        <v>2067</v>
      </c>
      <c r="S253" t="str">
        <f xml:space="preserve"> HYPERLINK("ReviewHtml/review_Lupin_the_Third_-_The_Castle_of_Cagliostro.html", "https://2danicritic.github.io/ReviewHtml/review_Lupin_the_Third_-_The_Castle_of_Cagliostro.html")</f>
        <v>https://2danicritic.github.io/ReviewHtml/review_Lupin_the_Third_-_The_Castle_of_Cagliostro.html</v>
      </c>
      <c r="U253" s="5">
        <f t="shared" si="3"/>
        <v>4</v>
      </c>
    </row>
    <row r="254" spans="2:21" x14ac:dyDescent="0.35">
      <c r="B254" s="7" t="s">
        <v>2396</v>
      </c>
      <c r="C254" t="s">
        <v>921</v>
      </c>
      <c r="D254" s="7" t="s">
        <v>2230</v>
      </c>
      <c r="E254" t="s">
        <v>1555</v>
      </c>
      <c r="F254" t="s">
        <v>916</v>
      </c>
      <c r="G254" t="s">
        <v>1558</v>
      </c>
      <c r="H254" t="s">
        <v>922</v>
      </c>
      <c r="I254" s="7">
        <v>3</v>
      </c>
      <c r="J254" s="7" t="s">
        <v>2027</v>
      </c>
      <c r="K254" s="7" t="s">
        <v>2020</v>
      </c>
      <c r="L254" s="7" t="s">
        <v>2027</v>
      </c>
      <c r="M254" s="7" t="s">
        <v>2029</v>
      </c>
      <c r="N254" s="7" t="s">
        <v>2019</v>
      </c>
      <c r="O254" s="7" t="s">
        <v>2027</v>
      </c>
      <c r="P254" s="7" t="s">
        <v>2020</v>
      </c>
      <c r="Q254" t="s">
        <v>186</v>
      </c>
      <c r="R254" s="7" t="s">
        <v>2194</v>
      </c>
      <c r="S254" t="str">
        <f xml:space="preserve"> HYPERLINK("ReviewHtml/review_Lupin_the_Third_-_The_Fuma_Conspiracy.html", "https://2danicritic.github.io/ReviewHtml/review_Lupin_the_Third_-_The_Fuma_Conspiracy.html")</f>
        <v>https://2danicritic.github.io/ReviewHtml/review_Lupin_the_Third_-_The_Fuma_Conspiracy.html</v>
      </c>
      <c r="U254" s="5">
        <f t="shared" si="3"/>
        <v>3</v>
      </c>
    </row>
    <row r="255" spans="2:21" x14ac:dyDescent="0.35">
      <c r="B255" s="7" t="s">
        <v>2397</v>
      </c>
      <c r="C255" t="s">
        <v>923</v>
      </c>
      <c r="D255" s="7" t="s">
        <v>2398</v>
      </c>
      <c r="E255" t="s">
        <v>1555</v>
      </c>
      <c r="F255" t="s">
        <v>668</v>
      </c>
      <c r="G255" t="s">
        <v>1558</v>
      </c>
      <c r="H255" t="s">
        <v>924</v>
      </c>
      <c r="I255" s="7">
        <v>3.36</v>
      </c>
      <c r="J255" s="7" t="s">
        <v>2019</v>
      </c>
      <c r="K255" s="7" t="s">
        <v>2019</v>
      </c>
      <c r="L255" s="7" t="s">
        <v>2027</v>
      </c>
      <c r="M255" s="7" t="s">
        <v>2027</v>
      </c>
      <c r="N255" s="7" t="s">
        <v>2027</v>
      </c>
      <c r="O255" s="7" t="s">
        <v>2025</v>
      </c>
      <c r="P255" s="7" t="s">
        <v>2025</v>
      </c>
      <c r="Q255" t="s">
        <v>189</v>
      </c>
      <c r="R255" s="7" t="s">
        <v>2226</v>
      </c>
      <c r="S255" t="str">
        <f xml:space="preserve"> HYPERLINK("ReviewHtml/review_Lupin_the_Third_-_The_Mystery_of_Mamo.html", "https://2danicritic.github.io/ReviewHtml/review_Lupin_the_Third_-_The_Mystery_of_Mamo.html")</f>
        <v>https://2danicritic.github.io/ReviewHtml/review_Lupin_the_Third_-_The_Mystery_of_Mamo.html</v>
      </c>
      <c r="U255" s="5">
        <f t="shared" si="3"/>
        <v>3.36</v>
      </c>
    </row>
    <row r="256" spans="2:21" x14ac:dyDescent="0.35">
      <c r="B256" s="7" t="s">
        <v>2399</v>
      </c>
      <c r="C256" t="s">
        <v>925</v>
      </c>
      <c r="D256" s="7" t="s">
        <v>2041</v>
      </c>
      <c r="E256" t="s">
        <v>1555</v>
      </c>
      <c r="F256" t="s">
        <v>916</v>
      </c>
      <c r="G256" t="s">
        <v>1560</v>
      </c>
      <c r="H256" t="s">
        <v>926</v>
      </c>
      <c r="I256" s="7">
        <v>3.93</v>
      </c>
      <c r="J256" s="7" t="s">
        <v>2020</v>
      </c>
      <c r="K256" s="7" t="s">
        <v>2033</v>
      </c>
      <c r="L256" s="7" t="s">
        <v>2026</v>
      </c>
      <c r="M256" s="7" t="s">
        <v>2020</v>
      </c>
      <c r="N256" s="7" t="s">
        <v>2027</v>
      </c>
      <c r="O256" s="7" t="s">
        <v>2027</v>
      </c>
      <c r="P256" s="7" t="s">
        <v>2033</v>
      </c>
      <c r="Q256" t="s">
        <v>190</v>
      </c>
      <c r="R256" s="7" t="s">
        <v>2021</v>
      </c>
      <c r="S256" t="str">
        <f xml:space="preserve"> HYPERLINK("ReviewHtml/review_Lupin_the_Third_-_The_Woman_Called_Fujiko_Mine.html", "https://2danicritic.github.io/ReviewHtml/review_Lupin_the_Third_-_The_Woman_Called_Fujiko_Mine.html")</f>
        <v>https://2danicritic.github.io/ReviewHtml/review_Lupin_the_Third_-_The_Woman_Called_Fujiko_Mine.html</v>
      </c>
      <c r="U256" s="5">
        <f t="shared" si="3"/>
        <v>3.93</v>
      </c>
    </row>
    <row r="257" spans="2:21" x14ac:dyDescent="0.35">
      <c r="B257" s="7" t="s">
        <v>2400</v>
      </c>
      <c r="C257" t="s">
        <v>1594</v>
      </c>
      <c r="D257" s="7" t="s">
        <v>2017</v>
      </c>
      <c r="E257" t="s">
        <v>1555</v>
      </c>
      <c r="F257" t="s">
        <v>1595</v>
      </c>
      <c r="G257" t="s">
        <v>1560</v>
      </c>
      <c r="H257" t="s">
        <v>714</v>
      </c>
      <c r="I257" s="7">
        <v>4</v>
      </c>
      <c r="J257" s="7" t="s">
        <v>2020</v>
      </c>
      <c r="K257" s="7" t="s">
        <v>2025</v>
      </c>
      <c r="L257" s="7" t="s">
        <v>2026</v>
      </c>
      <c r="M257" s="7" t="s">
        <v>2027</v>
      </c>
      <c r="N257" s="7" t="s">
        <v>2025</v>
      </c>
      <c r="O257" s="7" t="s">
        <v>2026</v>
      </c>
      <c r="P257" s="7" t="s">
        <v>2026</v>
      </c>
      <c r="Q257" t="s">
        <v>1541</v>
      </c>
      <c r="R257" s="7" t="s">
        <v>2077</v>
      </c>
      <c r="S257" t="str">
        <f xml:space="preserve"> HYPERLINK("ReviewHtml/review_Made_in_Abyss.html", "https://2danicritic.github.io/ReviewHtml/review_Made_in_Abyss.html")</f>
        <v>https://2danicritic.github.io/ReviewHtml/review_Made_in_Abyss.html</v>
      </c>
      <c r="U257" s="5">
        <f t="shared" si="3"/>
        <v>4</v>
      </c>
    </row>
    <row r="258" spans="2:21" x14ac:dyDescent="0.35">
      <c r="B258" s="7" t="s">
        <v>2401</v>
      </c>
      <c r="C258" t="s">
        <v>927</v>
      </c>
      <c r="D258" s="7" t="s">
        <v>2041</v>
      </c>
      <c r="E258" t="s">
        <v>1555</v>
      </c>
      <c r="F258" t="s">
        <v>690</v>
      </c>
      <c r="G258" t="s">
        <v>1558</v>
      </c>
      <c r="H258" t="s">
        <v>191</v>
      </c>
      <c r="I258" s="7">
        <v>4.21</v>
      </c>
      <c r="J258" s="7" t="s">
        <v>2025</v>
      </c>
      <c r="K258" s="7" t="s">
        <v>2026</v>
      </c>
      <c r="L258" s="7" t="s">
        <v>2026</v>
      </c>
      <c r="M258" s="7" t="s">
        <v>2027</v>
      </c>
      <c r="N258" s="7" t="s">
        <v>2026</v>
      </c>
      <c r="O258" s="7" t="s">
        <v>2025</v>
      </c>
      <c r="P258" s="7" t="s">
        <v>2026</v>
      </c>
      <c r="Q258" t="s">
        <v>192</v>
      </c>
      <c r="R258" s="7" t="s">
        <v>2382</v>
      </c>
      <c r="S258" t="str">
        <f xml:space="preserve"> HYPERLINK("ReviewHtml/review_Madoka_Magica_The_Movie_1_&amp;_2_-_Beginnings,_Eternal.html", "https://2danicritic.github.io/ReviewHtml/review_Madoka_Magica_The_Movie_1_&amp;_2_-_Beginnings,_Eternal.html")</f>
        <v>https://2danicritic.github.io/ReviewHtml/review_Madoka_Magica_The_Movie_1_&amp;_2_-_Beginnings,_Eternal.html</v>
      </c>
      <c r="U258" s="5">
        <f t="shared" si="3"/>
        <v>4.21</v>
      </c>
    </row>
    <row r="259" spans="2:21" x14ac:dyDescent="0.35">
      <c r="B259" s="7" t="s">
        <v>2402</v>
      </c>
      <c r="C259" t="s">
        <v>928</v>
      </c>
      <c r="D259" s="7" t="s">
        <v>2102</v>
      </c>
      <c r="E259" t="s">
        <v>1555</v>
      </c>
      <c r="F259" t="s">
        <v>690</v>
      </c>
      <c r="G259" t="s">
        <v>1558</v>
      </c>
      <c r="H259" t="s">
        <v>929</v>
      </c>
      <c r="I259" s="7">
        <v>4.29</v>
      </c>
      <c r="J259" s="7" t="s">
        <v>2025</v>
      </c>
      <c r="K259" s="7" t="s">
        <v>2026</v>
      </c>
      <c r="L259" s="7" t="s">
        <v>2026</v>
      </c>
      <c r="M259" s="7" t="s">
        <v>2020</v>
      </c>
      <c r="N259" s="7" t="s">
        <v>2026</v>
      </c>
      <c r="O259" s="7" t="s">
        <v>2026</v>
      </c>
      <c r="P259" s="7" t="s">
        <v>2033</v>
      </c>
      <c r="Q259" t="s">
        <v>193</v>
      </c>
      <c r="R259" s="7" t="s">
        <v>2200</v>
      </c>
      <c r="S259" t="str">
        <f xml:space="preserve"> HYPERLINK("ReviewHtml/review_Madoka_Magica_The_Movie_3_-_Rebellion.html", "https://2danicritic.github.io/ReviewHtml/review_Madoka_Magica_The_Movie_3_-_Rebellion.html")</f>
        <v>https://2danicritic.github.io/ReviewHtml/review_Madoka_Magica_The_Movie_3_-_Rebellion.html</v>
      </c>
      <c r="U259" s="5">
        <f t="shared" si="3"/>
        <v>4.29</v>
      </c>
    </row>
    <row r="260" spans="2:21" x14ac:dyDescent="0.35">
      <c r="B260" s="7" t="s">
        <v>2403</v>
      </c>
      <c r="C260" t="s">
        <v>1909</v>
      </c>
      <c r="D260" s="7" t="s">
        <v>2066</v>
      </c>
      <c r="E260" t="s">
        <v>1555</v>
      </c>
      <c r="F260" t="s">
        <v>695</v>
      </c>
      <c r="G260" t="s">
        <v>1558</v>
      </c>
      <c r="H260" t="s">
        <v>725</v>
      </c>
      <c r="I260" s="7">
        <v>3.14</v>
      </c>
      <c r="J260" s="7" t="s">
        <v>2020</v>
      </c>
      <c r="K260" s="7" t="s">
        <v>2020</v>
      </c>
      <c r="L260" s="7" t="s">
        <v>2025</v>
      </c>
      <c r="M260" s="7" t="s">
        <v>2020</v>
      </c>
      <c r="N260" s="7" t="s">
        <v>2020</v>
      </c>
      <c r="O260" s="7" t="s">
        <v>2020</v>
      </c>
      <c r="P260" s="7" t="s">
        <v>2020</v>
      </c>
      <c r="Q260" t="s">
        <v>1880</v>
      </c>
      <c r="R260" s="7" t="s">
        <v>2216</v>
      </c>
      <c r="S260" t="str">
        <f xml:space="preserve"> HYPERLINK("ReviewHtml/review_Mai_Mai_Miracle.html", "https://2danicritic.github.io/ReviewHtml/review_Mai_Mai_Miracle.html")</f>
        <v>https://2danicritic.github.io/ReviewHtml/review_Mai_Mai_Miracle.html</v>
      </c>
      <c r="U260" s="5">
        <f t="shared" ref="U260:U323" si="4">VALUE(I260)</f>
        <v>3.14</v>
      </c>
    </row>
    <row r="261" spans="2:21" x14ac:dyDescent="0.35">
      <c r="B261" s="7" t="s">
        <v>2404</v>
      </c>
      <c r="C261" t="s">
        <v>930</v>
      </c>
      <c r="D261" s="7" t="s">
        <v>2135</v>
      </c>
      <c r="E261" t="s">
        <v>1555</v>
      </c>
      <c r="F261" t="s">
        <v>675</v>
      </c>
      <c r="G261" t="s">
        <v>1558</v>
      </c>
      <c r="H261" t="s">
        <v>931</v>
      </c>
      <c r="I261" s="7">
        <v>4</v>
      </c>
      <c r="J261" s="7" t="s">
        <v>2027</v>
      </c>
      <c r="K261" s="7" t="s">
        <v>2025</v>
      </c>
      <c r="L261" s="7" t="s">
        <v>2026</v>
      </c>
      <c r="M261" s="7" t="s">
        <v>2027</v>
      </c>
      <c r="N261" s="7" t="s">
        <v>2025</v>
      </c>
      <c r="O261" s="7" t="s">
        <v>2025</v>
      </c>
      <c r="P261" s="7" t="s">
        <v>2026</v>
      </c>
      <c r="Q261" t="s">
        <v>194</v>
      </c>
      <c r="R261" s="7" t="s">
        <v>2213</v>
      </c>
      <c r="S261" t="str">
        <f xml:space="preserve"> HYPERLINK("ReviewHtml/review_Maquia_-_When_the_Promised_Flower_Blooms.html", "https://2danicritic.github.io/ReviewHtml/review_Maquia_-_When_the_Promised_Flower_Blooms.html")</f>
        <v>https://2danicritic.github.io/ReviewHtml/review_Maquia_-_When_the_Promised_Flower_Blooms.html</v>
      </c>
      <c r="U261" s="5">
        <f t="shared" si="4"/>
        <v>4</v>
      </c>
    </row>
    <row r="262" spans="2:21" x14ac:dyDescent="0.35">
      <c r="B262" s="7" t="s">
        <v>2405</v>
      </c>
      <c r="C262" t="s">
        <v>1810</v>
      </c>
      <c r="D262" s="7" t="s">
        <v>2095</v>
      </c>
      <c r="E262" t="s">
        <v>1555</v>
      </c>
      <c r="F262" t="s">
        <v>732</v>
      </c>
      <c r="G262" t="s">
        <v>1560</v>
      </c>
      <c r="H262" t="s">
        <v>763</v>
      </c>
      <c r="I262" s="7">
        <v>3.43</v>
      </c>
      <c r="J262" s="7" t="s">
        <v>2020</v>
      </c>
      <c r="K262" s="7" t="s">
        <v>2027</v>
      </c>
      <c r="L262" s="7" t="s">
        <v>2020</v>
      </c>
      <c r="M262" s="7" t="s">
        <v>2027</v>
      </c>
      <c r="N262" s="7" t="s">
        <v>2025</v>
      </c>
      <c r="O262" s="7" t="s">
        <v>2020</v>
      </c>
      <c r="P262" s="7" t="s">
        <v>2025</v>
      </c>
      <c r="Q262" t="s">
        <v>70</v>
      </c>
      <c r="R262" s="7" t="s">
        <v>2049</v>
      </c>
      <c r="S262" t="str">
        <f xml:space="preserve"> HYPERLINK("ReviewHtml/review_Maria_the_Virgin_Witch.html", "https://2danicritic.github.io/ReviewHtml/review_Maria_the_Virgin_Witch.html")</f>
        <v>https://2danicritic.github.io/ReviewHtml/review_Maria_the_Virgin_Witch.html</v>
      </c>
      <c r="U262" s="5">
        <f t="shared" si="4"/>
        <v>3.43</v>
      </c>
    </row>
    <row r="263" spans="2:21" x14ac:dyDescent="0.35">
      <c r="B263" s="7" t="s">
        <v>2406</v>
      </c>
      <c r="C263" t="s">
        <v>1811</v>
      </c>
      <c r="D263" s="7" t="s">
        <v>2197</v>
      </c>
      <c r="E263" t="s">
        <v>1559</v>
      </c>
      <c r="F263" t="s">
        <v>1428</v>
      </c>
      <c r="G263" t="s">
        <v>1558</v>
      </c>
      <c r="H263" t="s">
        <v>1812</v>
      </c>
      <c r="I263" s="7">
        <v>2.79</v>
      </c>
      <c r="J263" s="7" t="s">
        <v>2019</v>
      </c>
      <c r="K263" s="7" t="s">
        <v>2019</v>
      </c>
      <c r="L263" s="7" t="s">
        <v>2020</v>
      </c>
      <c r="M263" s="7" t="s">
        <v>2027</v>
      </c>
      <c r="N263" s="7" t="s">
        <v>2020</v>
      </c>
      <c r="O263" s="7" t="s">
        <v>2019</v>
      </c>
      <c r="P263" s="7" t="s">
        <v>2019</v>
      </c>
      <c r="Q263" t="s">
        <v>286</v>
      </c>
      <c r="R263" s="7" t="s">
        <v>2214</v>
      </c>
      <c r="S263" t="str">
        <f xml:space="preserve"> HYPERLINK("ReviewHtml/review_Marona's_Fantastic_Tale.html", "https://2danicritic.github.io/ReviewHtml/review_Marona's_Fantastic_Tale.html")</f>
        <v>https://2danicritic.github.io/ReviewHtml/review_Marona's_Fantastic_Tale.html</v>
      </c>
      <c r="U263" s="5">
        <f t="shared" si="4"/>
        <v>2.79</v>
      </c>
    </row>
    <row r="264" spans="2:21" x14ac:dyDescent="0.35">
      <c r="B264" s="7" t="s">
        <v>2407</v>
      </c>
      <c r="C264" t="s">
        <v>932</v>
      </c>
      <c r="D264" s="7" t="s">
        <v>2017</v>
      </c>
      <c r="E264" t="s">
        <v>1555</v>
      </c>
      <c r="F264" t="s">
        <v>933</v>
      </c>
      <c r="G264" t="s">
        <v>1558</v>
      </c>
      <c r="H264" t="s">
        <v>195</v>
      </c>
      <c r="I264" s="7">
        <v>2.93</v>
      </c>
      <c r="J264" s="7" t="s">
        <v>2027</v>
      </c>
      <c r="K264" s="7" t="s">
        <v>2027</v>
      </c>
      <c r="L264" s="7" t="s">
        <v>2025</v>
      </c>
      <c r="M264" s="7" t="s">
        <v>2019</v>
      </c>
      <c r="N264" s="7" t="s">
        <v>2029</v>
      </c>
      <c r="O264" s="7" t="s">
        <v>2019</v>
      </c>
      <c r="P264" s="7" t="s">
        <v>2019</v>
      </c>
      <c r="Q264" t="s">
        <v>196</v>
      </c>
      <c r="R264" s="7" t="s">
        <v>2227</v>
      </c>
      <c r="S264" t="str">
        <f xml:space="preserve"> HYPERLINK("ReviewHtml/review_Mary_and_the_Witch's_Flower.html", "https://2danicritic.github.io/ReviewHtml/review_Mary_and_the_Witch's_Flower.html")</f>
        <v>https://2danicritic.github.io/ReviewHtml/review_Mary_and_the_Witch's_Flower.html</v>
      </c>
      <c r="U264" s="5">
        <f t="shared" si="4"/>
        <v>2.93</v>
      </c>
    </row>
    <row r="265" spans="2:21" x14ac:dyDescent="0.35">
      <c r="B265" s="7" t="s">
        <v>2408</v>
      </c>
      <c r="C265" t="s">
        <v>934</v>
      </c>
      <c r="D265" s="7" t="s">
        <v>2037</v>
      </c>
      <c r="E265" t="s">
        <v>1555</v>
      </c>
      <c r="F265" t="s">
        <v>776</v>
      </c>
      <c r="G265" t="s">
        <v>1560</v>
      </c>
      <c r="H265" t="s">
        <v>935</v>
      </c>
      <c r="I265" s="7">
        <v>2.86</v>
      </c>
      <c r="J265" s="7" t="s">
        <v>2019</v>
      </c>
      <c r="K265" s="7" t="s">
        <v>2019</v>
      </c>
      <c r="L265" s="7" t="s">
        <v>2020</v>
      </c>
      <c r="M265" s="7" t="s">
        <v>2019</v>
      </c>
      <c r="N265" s="7" t="s">
        <v>2019</v>
      </c>
      <c r="O265" s="7" t="s">
        <v>2027</v>
      </c>
      <c r="P265" s="7" t="s">
        <v>2027</v>
      </c>
      <c r="Q265" t="s">
        <v>341</v>
      </c>
      <c r="R265" s="7" t="s">
        <v>2021</v>
      </c>
      <c r="S265" t="str">
        <f xml:space="preserve"> HYPERLINK("ReviewHtml/review_Mayo_Chiki!.html", "https://2danicritic.github.io/ReviewHtml/review_Mayo_Chiki!.html")</f>
        <v>https://2danicritic.github.io/ReviewHtml/review_Mayo_Chiki!.html</v>
      </c>
      <c r="U265" s="5">
        <f t="shared" si="4"/>
        <v>2.86</v>
      </c>
    </row>
    <row r="266" spans="2:21" x14ac:dyDescent="0.35">
      <c r="B266" s="7" t="s">
        <v>2409</v>
      </c>
      <c r="C266" t="s">
        <v>1596</v>
      </c>
      <c r="D266" s="7" t="s">
        <v>2017</v>
      </c>
      <c r="E266" t="s">
        <v>1555</v>
      </c>
      <c r="F266" t="s">
        <v>682</v>
      </c>
      <c r="G266" t="s">
        <v>1558</v>
      </c>
      <c r="H266" t="s">
        <v>1597</v>
      </c>
      <c r="I266" s="7">
        <v>2.21</v>
      </c>
      <c r="J266" s="7" t="s">
        <v>2019</v>
      </c>
      <c r="K266" s="7" t="s">
        <v>2019</v>
      </c>
      <c r="L266" s="7" t="s">
        <v>2029</v>
      </c>
      <c r="M266" s="7" t="s">
        <v>2019</v>
      </c>
      <c r="N266" s="7" t="s">
        <v>2029</v>
      </c>
      <c r="O266" s="7" t="s">
        <v>2019</v>
      </c>
      <c r="P266" s="7" t="s">
        <v>2141</v>
      </c>
      <c r="Q266" t="s">
        <v>1542</v>
      </c>
      <c r="R266" s="7" t="s">
        <v>2217</v>
      </c>
      <c r="S266" t="str">
        <f xml:space="preserve"> HYPERLINK("ReviewHtml/review_Mazinger_Z_-_Infinity.html", "https://2danicritic.github.io/ReviewHtml/review_Mazinger_Z_-_Infinity.html")</f>
        <v>https://2danicritic.github.io/ReviewHtml/review_Mazinger_Z_-_Infinity.html</v>
      </c>
      <c r="U266" s="5">
        <f t="shared" si="4"/>
        <v>2.21</v>
      </c>
    </row>
    <row r="267" spans="2:21" x14ac:dyDescent="0.35">
      <c r="B267" s="7" t="s">
        <v>2264</v>
      </c>
      <c r="C267" t="s">
        <v>1392</v>
      </c>
      <c r="D267" s="7" t="s">
        <v>2135</v>
      </c>
      <c r="E267" t="s">
        <v>1555</v>
      </c>
      <c r="F267" t="s">
        <v>916</v>
      </c>
      <c r="G267" t="s">
        <v>1560</v>
      </c>
      <c r="H267" t="s">
        <v>1449</v>
      </c>
      <c r="I267" s="7">
        <v>3.79</v>
      </c>
      <c r="J267" s="7" t="s">
        <v>2020</v>
      </c>
      <c r="K267" s="7" t="s">
        <v>2027</v>
      </c>
      <c r="L267" s="7" t="s">
        <v>2026</v>
      </c>
      <c r="M267" s="7" t="s">
        <v>2025</v>
      </c>
      <c r="N267" s="7" t="s">
        <v>2025</v>
      </c>
      <c r="O267" s="7" t="s">
        <v>2025</v>
      </c>
      <c r="P267" s="7" t="s">
        <v>2027</v>
      </c>
      <c r="Q267" t="s">
        <v>1345</v>
      </c>
      <c r="R267" s="7" t="s">
        <v>2410</v>
      </c>
      <c r="S267" t="str">
        <f xml:space="preserve"> HYPERLINK("ReviewHtml/review_Megalobox.html", "https://2danicritic.github.io/ReviewHtml/review_Megalobox.html")</f>
        <v>https://2danicritic.github.io/ReviewHtml/review_Megalobox.html</v>
      </c>
      <c r="U267" s="5">
        <f t="shared" si="4"/>
        <v>3.79</v>
      </c>
    </row>
    <row r="268" spans="2:21" x14ac:dyDescent="0.35">
      <c r="B268" s="7" t="s">
        <v>2411</v>
      </c>
      <c r="C268" t="s">
        <v>936</v>
      </c>
      <c r="D268" s="7" t="s">
        <v>2074</v>
      </c>
      <c r="E268" t="s">
        <v>1555</v>
      </c>
      <c r="F268" t="s">
        <v>695</v>
      </c>
      <c r="G268" t="s">
        <v>1558</v>
      </c>
      <c r="H268" t="s">
        <v>937</v>
      </c>
      <c r="I268" s="7">
        <v>4.1399999999999997</v>
      </c>
      <c r="J268" s="7" t="s">
        <v>2026</v>
      </c>
      <c r="K268" s="7" t="s">
        <v>2025</v>
      </c>
      <c r="L268" s="7" t="s">
        <v>2025</v>
      </c>
      <c r="M268" s="7" t="s">
        <v>2020</v>
      </c>
      <c r="N268" s="7" t="s">
        <v>2026</v>
      </c>
      <c r="O268" s="7" t="s">
        <v>2025</v>
      </c>
      <c r="P268" s="7" t="s">
        <v>2033</v>
      </c>
      <c r="Q268" t="s">
        <v>342</v>
      </c>
      <c r="R268" s="7" t="s">
        <v>2236</v>
      </c>
      <c r="S268" t="str">
        <f xml:space="preserve"> HYPERLINK("ReviewHtml/review_Metropolis.html", "https://2danicritic.github.io/ReviewHtml/review_Metropolis.html")</f>
        <v>https://2danicritic.github.io/ReviewHtml/review_Metropolis.html</v>
      </c>
      <c r="U268" s="5">
        <f t="shared" si="4"/>
        <v>4.1399999999999997</v>
      </c>
    </row>
    <row r="269" spans="2:21" x14ac:dyDescent="0.35">
      <c r="B269" s="7" t="s">
        <v>2412</v>
      </c>
      <c r="C269" t="s">
        <v>938</v>
      </c>
      <c r="D269" s="7" t="s">
        <v>2167</v>
      </c>
      <c r="E269" t="s">
        <v>1555</v>
      </c>
      <c r="F269" t="s">
        <v>939</v>
      </c>
      <c r="G269" t="s">
        <v>1560</v>
      </c>
      <c r="H269" t="s">
        <v>940</v>
      </c>
      <c r="I269" s="7">
        <v>2.79</v>
      </c>
      <c r="J269" s="7" t="s">
        <v>2019</v>
      </c>
      <c r="K269" s="7" t="s">
        <v>2029</v>
      </c>
      <c r="L269" s="7" t="s">
        <v>2020</v>
      </c>
      <c r="M269" s="7" t="s">
        <v>2019</v>
      </c>
      <c r="N269" s="7" t="s">
        <v>2019</v>
      </c>
      <c r="O269" s="7" t="s">
        <v>2027</v>
      </c>
      <c r="P269" s="7" t="s">
        <v>2027</v>
      </c>
      <c r="Q269" t="s">
        <v>197</v>
      </c>
      <c r="R269" s="7" t="s">
        <v>2021</v>
      </c>
      <c r="S269" t="str">
        <f xml:space="preserve"> HYPERLINK("ReviewHtml/review_Mezzo_DSA.html", "https://2danicritic.github.io/ReviewHtml/review_Mezzo_DSA.html")</f>
        <v>https://2danicritic.github.io/ReviewHtml/review_Mezzo_DSA.html</v>
      </c>
      <c r="U269" s="5">
        <f t="shared" si="4"/>
        <v>2.79</v>
      </c>
    </row>
    <row r="270" spans="2:21" x14ac:dyDescent="0.35">
      <c r="B270" s="7" t="s">
        <v>2413</v>
      </c>
      <c r="C270" t="s">
        <v>941</v>
      </c>
      <c r="D270" s="7" t="s">
        <v>2174</v>
      </c>
      <c r="E270" t="s">
        <v>1555</v>
      </c>
      <c r="F270" t="s">
        <v>939</v>
      </c>
      <c r="G270" t="s">
        <v>1561</v>
      </c>
      <c r="H270" t="s">
        <v>940</v>
      </c>
      <c r="I270" s="7">
        <v>3.14</v>
      </c>
      <c r="J270" s="7" t="s">
        <v>2020</v>
      </c>
      <c r="K270" s="7" t="s">
        <v>2029</v>
      </c>
      <c r="L270" s="7" t="s">
        <v>2020</v>
      </c>
      <c r="M270" s="7" t="s">
        <v>2029</v>
      </c>
      <c r="N270" s="7" t="s">
        <v>2020</v>
      </c>
      <c r="O270" s="7" t="s">
        <v>2033</v>
      </c>
      <c r="P270" s="7" t="s">
        <v>2025</v>
      </c>
      <c r="Q270" t="s">
        <v>198</v>
      </c>
      <c r="R270" s="7" t="s">
        <v>2173</v>
      </c>
      <c r="S270" t="str">
        <f xml:space="preserve"> HYPERLINK("ReviewHtml/review_Mezzo_Forte.html", "https://2danicritic.github.io/ReviewHtml/review_Mezzo_Forte.html")</f>
        <v>https://2danicritic.github.io/ReviewHtml/review_Mezzo_Forte.html</v>
      </c>
      <c r="U270" s="5">
        <f t="shared" si="4"/>
        <v>3.14</v>
      </c>
    </row>
    <row r="271" spans="2:21" x14ac:dyDescent="0.35">
      <c r="B271" s="7" t="s">
        <v>2414</v>
      </c>
      <c r="C271" t="s">
        <v>942</v>
      </c>
      <c r="D271" s="7" t="s">
        <v>2017</v>
      </c>
      <c r="E271" t="s">
        <v>1559</v>
      </c>
      <c r="F271" t="s">
        <v>703</v>
      </c>
      <c r="G271" t="s">
        <v>1558</v>
      </c>
      <c r="H271" t="s">
        <v>199</v>
      </c>
      <c r="I271" s="7">
        <v>3.43</v>
      </c>
      <c r="J271" s="7" t="s">
        <v>2027</v>
      </c>
      <c r="K271" s="7" t="s">
        <v>2027</v>
      </c>
      <c r="L271" s="7" t="s">
        <v>2027</v>
      </c>
      <c r="M271" s="7" t="s">
        <v>2027</v>
      </c>
      <c r="N271" s="7" t="s">
        <v>2027</v>
      </c>
      <c r="O271" s="7" t="s">
        <v>2027</v>
      </c>
      <c r="P271" s="7" t="s">
        <v>2020</v>
      </c>
      <c r="Q271" t="s">
        <v>200</v>
      </c>
      <c r="R271" s="7" t="s">
        <v>2212</v>
      </c>
      <c r="S271" t="str">
        <f xml:space="preserve"> HYPERLINK("ReviewHtml/review_MFKZ.html", "https://2danicritic.github.io/ReviewHtml/review_MFKZ.html")</f>
        <v>https://2danicritic.github.io/ReviewHtml/review_MFKZ.html</v>
      </c>
      <c r="U271" s="5">
        <f t="shared" si="4"/>
        <v>3.43</v>
      </c>
    </row>
    <row r="272" spans="2:21" x14ac:dyDescent="0.35">
      <c r="B272" s="7" t="s">
        <v>2415</v>
      </c>
      <c r="C272" t="s">
        <v>1734</v>
      </c>
      <c r="D272" s="7" t="s">
        <v>2154</v>
      </c>
      <c r="E272" t="s">
        <v>1559</v>
      </c>
      <c r="F272" t="s">
        <v>656</v>
      </c>
      <c r="G272" t="s">
        <v>1558</v>
      </c>
      <c r="H272" t="s">
        <v>1735</v>
      </c>
      <c r="I272" s="7">
        <v>3.57</v>
      </c>
      <c r="J272" s="7" t="s">
        <v>2027</v>
      </c>
      <c r="K272" s="7" t="s">
        <v>2025</v>
      </c>
      <c r="L272" s="7" t="s">
        <v>2027</v>
      </c>
      <c r="M272" s="7" t="s">
        <v>2020</v>
      </c>
      <c r="N272" s="7" t="s">
        <v>2027</v>
      </c>
      <c r="O272" s="7" t="s">
        <v>2025</v>
      </c>
      <c r="P272" s="7" t="s">
        <v>2027</v>
      </c>
      <c r="Q272" t="s">
        <v>347</v>
      </c>
      <c r="R272" s="7" t="s">
        <v>2137</v>
      </c>
      <c r="S272" t="str">
        <f xml:space="preserve"> HYPERLINK("ReviewHtml/review_Mia_and_the_Migoo.html", "https://2danicritic.github.io/ReviewHtml/review_Mia_and_the_Migoo.html")</f>
        <v>https://2danicritic.github.io/ReviewHtml/review_Mia_and_the_Migoo.html</v>
      </c>
      <c r="U272" s="5">
        <f t="shared" si="4"/>
        <v>3.57</v>
      </c>
    </row>
    <row r="273" spans="2:21" x14ac:dyDescent="0.35">
      <c r="B273" s="7" t="s">
        <v>2416</v>
      </c>
      <c r="C273" t="s">
        <v>1393</v>
      </c>
      <c r="D273" s="7" t="s">
        <v>2074</v>
      </c>
      <c r="E273" t="s">
        <v>1555</v>
      </c>
      <c r="F273" t="s">
        <v>695</v>
      </c>
      <c r="G273" t="s">
        <v>1558</v>
      </c>
      <c r="H273" t="s">
        <v>1000</v>
      </c>
      <c r="I273" s="7">
        <v>4</v>
      </c>
      <c r="J273" s="7" t="s">
        <v>2025</v>
      </c>
      <c r="K273" s="7" t="s">
        <v>2027</v>
      </c>
      <c r="L273" s="7" t="s">
        <v>2025</v>
      </c>
      <c r="M273" s="7" t="s">
        <v>2025</v>
      </c>
      <c r="N273" s="7" t="s">
        <v>2026</v>
      </c>
      <c r="O273" s="7" t="s">
        <v>2027</v>
      </c>
      <c r="P273" s="7" t="s">
        <v>2026</v>
      </c>
      <c r="Q273" t="s">
        <v>1319</v>
      </c>
      <c r="R273" s="7" t="s">
        <v>2169</v>
      </c>
      <c r="S273" t="str">
        <f xml:space="preserve"> HYPERLINK("ReviewHtml/review_Millennium_Actress.html", "https://2danicritic.github.io/ReviewHtml/review_Millennium_Actress.html")</f>
        <v>https://2danicritic.github.io/ReviewHtml/review_Millennium_Actress.html</v>
      </c>
      <c r="U273" s="5">
        <f t="shared" si="4"/>
        <v>4</v>
      </c>
    </row>
    <row r="274" spans="2:21" x14ac:dyDescent="0.35">
      <c r="B274" s="7" t="s">
        <v>2417</v>
      </c>
      <c r="C274" t="s">
        <v>943</v>
      </c>
      <c r="D274" s="7" t="s">
        <v>2167</v>
      </c>
      <c r="E274" t="s">
        <v>1555</v>
      </c>
      <c r="F274" t="s">
        <v>703</v>
      </c>
      <c r="G274" t="s">
        <v>1558</v>
      </c>
      <c r="H274" t="s">
        <v>789</v>
      </c>
      <c r="I274" s="7">
        <v>4.29</v>
      </c>
      <c r="J274" s="7" t="s">
        <v>2020</v>
      </c>
      <c r="K274" s="7" t="s">
        <v>2025</v>
      </c>
      <c r="L274" s="7" t="s">
        <v>2025</v>
      </c>
      <c r="M274" s="7" t="s">
        <v>2033</v>
      </c>
      <c r="N274" s="7" t="s">
        <v>2033</v>
      </c>
      <c r="O274" s="7" t="s">
        <v>2025</v>
      </c>
      <c r="P274" s="7" t="s">
        <v>2033</v>
      </c>
      <c r="Q274" t="s">
        <v>201</v>
      </c>
      <c r="R274" s="7" t="s">
        <v>2227</v>
      </c>
      <c r="S274" t="str">
        <f xml:space="preserve"> HYPERLINK("ReviewHtml/review_Mind_Game.html", "https://2danicritic.github.io/ReviewHtml/review_Mind_Game.html")</f>
        <v>https://2danicritic.github.io/ReviewHtml/review_Mind_Game.html</v>
      </c>
      <c r="U274" s="5">
        <f t="shared" si="4"/>
        <v>4.29</v>
      </c>
    </row>
    <row r="275" spans="2:21" x14ac:dyDescent="0.35">
      <c r="B275" s="7" t="s">
        <v>2418</v>
      </c>
      <c r="C275" t="s">
        <v>944</v>
      </c>
      <c r="D275" s="7" t="s">
        <v>2135</v>
      </c>
      <c r="E275" t="s">
        <v>1555</v>
      </c>
      <c r="F275" t="s">
        <v>945</v>
      </c>
      <c r="G275" t="s">
        <v>1558</v>
      </c>
      <c r="H275" t="s">
        <v>946</v>
      </c>
      <c r="I275" s="7">
        <v>3.79</v>
      </c>
      <c r="J275" s="7" t="s">
        <v>2025</v>
      </c>
      <c r="K275" s="7" t="s">
        <v>2027</v>
      </c>
      <c r="L275" s="7" t="s">
        <v>2025</v>
      </c>
      <c r="M275" s="7" t="s">
        <v>2025</v>
      </c>
      <c r="N275" s="7" t="s">
        <v>2019</v>
      </c>
      <c r="O275" s="7" t="s">
        <v>2026</v>
      </c>
      <c r="P275" s="7" t="s">
        <v>2025</v>
      </c>
      <c r="Q275" t="s">
        <v>343</v>
      </c>
      <c r="R275" s="7" t="s">
        <v>2220</v>
      </c>
      <c r="S275" t="str">
        <f xml:space="preserve"> HYPERLINK("ReviewHtml/review_Mirai.html", "https://2danicritic.github.io/ReviewHtml/review_Mirai.html")</f>
        <v>https://2danicritic.github.io/ReviewHtml/review_Mirai.html</v>
      </c>
      <c r="U275" s="5">
        <f t="shared" si="4"/>
        <v>3.79</v>
      </c>
    </row>
    <row r="276" spans="2:21" x14ac:dyDescent="0.35">
      <c r="B276" s="7" t="s">
        <v>2419</v>
      </c>
      <c r="C276" t="s">
        <v>947</v>
      </c>
      <c r="D276" s="7" t="s">
        <v>2017</v>
      </c>
      <c r="E276" t="s">
        <v>1555</v>
      </c>
      <c r="F276" t="s">
        <v>659</v>
      </c>
      <c r="G276" t="s">
        <v>1560</v>
      </c>
      <c r="H276" t="s">
        <v>673</v>
      </c>
      <c r="I276" s="7">
        <v>3.86</v>
      </c>
      <c r="J276" s="7" t="s">
        <v>2025</v>
      </c>
      <c r="K276" s="7" t="s">
        <v>2025</v>
      </c>
      <c r="L276" s="7" t="s">
        <v>2025</v>
      </c>
      <c r="M276" s="7" t="s">
        <v>2020</v>
      </c>
      <c r="N276" s="7" t="s">
        <v>2020</v>
      </c>
      <c r="O276" s="7" t="s">
        <v>2026</v>
      </c>
      <c r="P276" s="7" t="s">
        <v>2026</v>
      </c>
      <c r="Q276" t="s">
        <v>344</v>
      </c>
      <c r="R276" s="7" t="s">
        <v>2077</v>
      </c>
      <c r="S276" t="str">
        <f xml:space="preserve"> HYPERLINK("ReviewHtml/review_Miss_Kobayashi's_Dragon_Maid.html", "https://2danicritic.github.io/ReviewHtml/review_Miss_Kobayashi's_Dragon_Maid.html")</f>
        <v>https://2danicritic.github.io/ReviewHtml/review_Miss_Kobayashi's_Dragon_Maid.html</v>
      </c>
      <c r="U276" s="5">
        <f t="shared" si="4"/>
        <v>3.86</v>
      </c>
    </row>
    <row r="277" spans="2:21" x14ac:dyDescent="0.35">
      <c r="B277" s="7" t="s">
        <v>2420</v>
      </c>
      <c r="C277" t="s">
        <v>1268</v>
      </c>
      <c r="D277" s="7" t="s">
        <v>2135</v>
      </c>
      <c r="E277" t="s">
        <v>1555</v>
      </c>
      <c r="F277" t="s">
        <v>933</v>
      </c>
      <c r="G277" t="s">
        <v>1556</v>
      </c>
      <c r="H277" t="s">
        <v>1200</v>
      </c>
      <c r="I277" s="7">
        <v>3.93</v>
      </c>
      <c r="J277" s="7" t="s">
        <v>2026</v>
      </c>
      <c r="K277" s="7" t="s">
        <v>2025</v>
      </c>
      <c r="L277" s="7" t="s">
        <v>2027</v>
      </c>
      <c r="M277" s="7" t="s">
        <v>2020</v>
      </c>
      <c r="N277" s="7" t="s">
        <v>2025</v>
      </c>
      <c r="O277" s="7" t="s">
        <v>2025</v>
      </c>
      <c r="P277" s="7" t="s">
        <v>2026</v>
      </c>
      <c r="Q277" t="s">
        <v>1201</v>
      </c>
      <c r="R277" s="7" t="s">
        <v>2160</v>
      </c>
      <c r="S277" t="str">
        <f xml:space="preserve"> HYPERLINK("ReviewHtml/review_Modest_Heroes.html", "https://2danicritic.github.io/ReviewHtml/review_Modest_Heroes.html")</f>
        <v>https://2danicritic.github.io/ReviewHtml/review_Modest_Heroes.html</v>
      </c>
      <c r="U277" s="5">
        <f t="shared" si="4"/>
        <v>3.93</v>
      </c>
    </row>
    <row r="278" spans="2:21" x14ac:dyDescent="0.35">
      <c r="B278" s="7" t="s">
        <v>2133</v>
      </c>
      <c r="C278" t="s">
        <v>1394</v>
      </c>
      <c r="D278" s="7" t="s">
        <v>2421</v>
      </c>
      <c r="E278" t="s">
        <v>1555</v>
      </c>
      <c r="F278" t="s">
        <v>1429</v>
      </c>
      <c r="G278" t="s">
        <v>1558</v>
      </c>
      <c r="H278" t="s">
        <v>1450</v>
      </c>
      <c r="I278" s="7">
        <v>2.36</v>
      </c>
      <c r="J278" s="7" t="s">
        <v>2019</v>
      </c>
      <c r="K278" s="7" t="s">
        <v>2029</v>
      </c>
      <c r="L278" s="7" t="s">
        <v>2020</v>
      </c>
      <c r="M278" s="7" t="s">
        <v>2020</v>
      </c>
      <c r="N278" s="7" t="s">
        <v>2141</v>
      </c>
      <c r="O278" s="7" t="s">
        <v>2029</v>
      </c>
      <c r="P278" s="7" t="s">
        <v>2019</v>
      </c>
      <c r="Q278" t="s">
        <v>1346</v>
      </c>
      <c r="R278" s="7" t="s">
        <v>2088</v>
      </c>
      <c r="S278" t="str">
        <f xml:space="preserve"> HYPERLINK("ReviewHtml/review_Momotaro_-_Sacred_Sailors.html", "https://2danicritic.github.io/ReviewHtml/review_Momotaro_-_Sacred_Sailors.html")</f>
        <v>https://2danicritic.github.io/ReviewHtml/review_Momotaro_-_Sacred_Sailors.html</v>
      </c>
      <c r="U278" s="5">
        <f t="shared" si="4"/>
        <v>2.36</v>
      </c>
    </row>
    <row r="279" spans="2:21" x14ac:dyDescent="0.35">
      <c r="B279" s="7" t="s">
        <v>2422</v>
      </c>
      <c r="C279" t="s">
        <v>1395</v>
      </c>
      <c r="D279" s="7" t="s">
        <v>2076</v>
      </c>
      <c r="E279" t="s">
        <v>1555</v>
      </c>
      <c r="F279" t="s">
        <v>690</v>
      </c>
      <c r="G279" t="s">
        <v>1560</v>
      </c>
      <c r="H279" t="s">
        <v>1202</v>
      </c>
      <c r="I279" s="7">
        <v>3.71</v>
      </c>
      <c r="J279" s="7" t="s">
        <v>2020</v>
      </c>
      <c r="K279" s="7" t="s">
        <v>2025</v>
      </c>
      <c r="L279" s="7" t="s">
        <v>2025</v>
      </c>
      <c r="M279" s="7" t="s">
        <v>2025</v>
      </c>
      <c r="N279" s="7" t="s">
        <v>2025</v>
      </c>
      <c r="O279" s="7" t="s">
        <v>2027</v>
      </c>
      <c r="P279" s="7" t="s">
        <v>2027</v>
      </c>
      <c r="Q279" t="s">
        <v>1347</v>
      </c>
      <c r="R279" s="7" t="s">
        <v>2423</v>
      </c>
      <c r="S279" t="str">
        <f xml:space="preserve"> HYPERLINK("ReviewHtml/review_Monogatari_Series_-_Final_Season.html", "https://2danicritic.github.io/ReviewHtml/review_Monogatari_Series_-_Final_Season.html")</f>
        <v>https://2danicritic.github.io/ReviewHtml/review_Monogatari_Series_-_Final_Season.html</v>
      </c>
      <c r="U279" s="5">
        <f t="shared" si="4"/>
        <v>3.71</v>
      </c>
    </row>
    <row r="280" spans="2:21" x14ac:dyDescent="0.35">
      <c r="B280" s="7" t="s">
        <v>2424</v>
      </c>
      <c r="C280" t="s">
        <v>1269</v>
      </c>
      <c r="D280" s="7" t="s">
        <v>2041</v>
      </c>
      <c r="E280" t="s">
        <v>1555</v>
      </c>
      <c r="F280" t="s">
        <v>690</v>
      </c>
      <c r="G280" t="s">
        <v>1560</v>
      </c>
      <c r="H280" t="s">
        <v>1202</v>
      </c>
      <c r="I280" s="7">
        <v>3.57</v>
      </c>
      <c r="J280" s="7" t="s">
        <v>2020</v>
      </c>
      <c r="K280" s="7" t="s">
        <v>2025</v>
      </c>
      <c r="L280" s="7" t="s">
        <v>2025</v>
      </c>
      <c r="M280" s="7" t="s">
        <v>2025</v>
      </c>
      <c r="N280" s="7" t="s">
        <v>2027</v>
      </c>
      <c r="O280" s="7" t="s">
        <v>2027</v>
      </c>
      <c r="P280" s="7" t="s">
        <v>2020</v>
      </c>
      <c r="Q280" t="s">
        <v>1203</v>
      </c>
      <c r="R280" s="7" t="s">
        <v>2425</v>
      </c>
      <c r="S280" t="str">
        <f xml:space="preserve"> HYPERLINK("ReviewHtml/review_Monogatari_Series_-_Second_Season.html", "https://2danicritic.github.io/ReviewHtml/review_Monogatari_Series_-_Second_Season.html")</f>
        <v>https://2danicritic.github.io/ReviewHtml/review_Monogatari_Series_-_Second_Season.html</v>
      </c>
      <c r="U280" s="5">
        <f t="shared" si="4"/>
        <v>3.57</v>
      </c>
    </row>
    <row r="281" spans="2:21" x14ac:dyDescent="0.35">
      <c r="B281" s="7" t="s">
        <v>2426</v>
      </c>
      <c r="C281" t="s">
        <v>1598</v>
      </c>
      <c r="D281" s="7" t="s">
        <v>2023</v>
      </c>
      <c r="E281" t="s">
        <v>1555</v>
      </c>
      <c r="F281" t="s">
        <v>682</v>
      </c>
      <c r="G281" t="s">
        <v>1560</v>
      </c>
      <c r="H281" t="s">
        <v>683</v>
      </c>
      <c r="I281" s="7">
        <v>3.5</v>
      </c>
      <c r="J281" s="7" t="s">
        <v>2027</v>
      </c>
      <c r="K281" s="7" t="s">
        <v>2027</v>
      </c>
      <c r="L281" s="7" t="s">
        <v>2027</v>
      </c>
      <c r="M281" s="7" t="s">
        <v>2027</v>
      </c>
      <c r="N281" s="7" t="s">
        <v>2025</v>
      </c>
      <c r="O281" s="7" t="s">
        <v>2020</v>
      </c>
      <c r="P281" s="7" t="s">
        <v>2027</v>
      </c>
      <c r="Q281" t="s">
        <v>1543</v>
      </c>
      <c r="R281" s="7" t="s">
        <v>2049</v>
      </c>
      <c r="S281" t="str">
        <f xml:space="preserve"> HYPERLINK("ReviewHtml/review_Mononoke.html", "https://2danicritic.github.io/ReviewHtml/review_Mononoke.html")</f>
        <v>https://2danicritic.github.io/ReviewHtml/review_Mononoke.html</v>
      </c>
      <c r="U281" s="5">
        <f t="shared" si="4"/>
        <v>3.5</v>
      </c>
    </row>
    <row r="282" spans="2:21" x14ac:dyDescent="0.35">
      <c r="B282" s="7" t="s">
        <v>2427</v>
      </c>
      <c r="C282" t="s">
        <v>948</v>
      </c>
      <c r="D282" s="7" t="s">
        <v>2095</v>
      </c>
      <c r="E282" t="s">
        <v>1555</v>
      </c>
      <c r="F282" t="s">
        <v>949</v>
      </c>
      <c r="G282" t="s">
        <v>1560</v>
      </c>
      <c r="H282" t="s">
        <v>950</v>
      </c>
      <c r="I282" s="7">
        <v>3.93</v>
      </c>
      <c r="J282" s="7" t="s">
        <v>2019</v>
      </c>
      <c r="K282" s="7" t="s">
        <v>2020</v>
      </c>
      <c r="L282" s="7" t="s">
        <v>2025</v>
      </c>
      <c r="M282" s="7" t="s">
        <v>2025</v>
      </c>
      <c r="N282" s="7" t="s">
        <v>2025</v>
      </c>
      <c r="O282" s="7" t="s">
        <v>2033</v>
      </c>
      <c r="P282" s="7" t="s">
        <v>2033</v>
      </c>
      <c r="Q282" t="s">
        <v>172</v>
      </c>
      <c r="R282" s="7" t="s">
        <v>2049</v>
      </c>
      <c r="S282" t="str">
        <f xml:space="preserve"> HYPERLINK("ReviewHtml/review_Monster_Musume_-_Everyday_Life_With_Monster_Girls.html", "https://2danicritic.github.io/ReviewHtml/review_Monster_Musume_-_Everyday_Life_With_Monster_Girls.html")</f>
        <v>https://2danicritic.github.io/ReviewHtml/review_Monster_Musume_-_Everyday_Life_With_Monster_Girls.html</v>
      </c>
      <c r="U282" s="5">
        <f t="shared" si="4"/>
        <v>3.93</v>
      </c>
    </row>
    <row r="283" spans="2:21" x14ac:dyDescent="0.35">
      <c r="B283" s="7" t="s">
        <v>2428</v>
      </c>
      <c r="C283" t="s">
        <v>951</v>
      </c>
      <c r="D283" s="7" t="s">
        <v>2180</v>
      </c>
      <c r="E283" t="s">
        <v>1555</v>
      </c>
      <c r="F283" t="s">
        <v>952</v>
      </c>
      <c r="G283" t="s">
        <v>1560</v>
      </c>
      <c r="H283" t="s">
        <v>953</v>
      </c>
      <c r="I283" s="7">
        <v>4.6399999999999997</v>
      </c>
      <c r="J283" s="7" t="s">
        <v>2026</v>
      </c>
      <c r="K283" s="7" t="s">
        <v>2026</v>
      </c>
      <c r="L283" s="7" t="s">
        <v>2033</v>
      </c>
      <c r="M283" s="7" t="s">
        <v>2026</v>
      </c>
      <c r="N283" s="7" t="s">
        <v>2033</v>
      </c>
      <c r="O283" s="7" t="s">
        <v>2025</v>
      </c>
      <c r="P283" s="7" t="s">
        <v>2033</v>
      </c>
      <c r="Q283" t="s">
        <v>202</v>
      </c>
      <c r="R283" s="7" t="s">
        <v>2114</v>
      </c>
      <c r="S283" t="str">
        <f xml:space="preserve"> HYPERLINK("ReviewHtml/review_Mushi-Shi.html", "https://2danicritic.github.io/ReviewHtml/review_Mushi-Shi.html")</f>
        <v>https://2danicritic.github.io/ReviewHtml/review_Mushi-Shi.html</v>
      </c>
      <c r="U283" s="5">
        <f t="shared" si="4"/>
        <v>4.6399999999999997</v>
      </c>
    </row>
    <row r="284" spans="2:21" x14ac:dyDescent="0.35">
      <c r="B284" s="7" t="s">
        <v>2430</v>
      </c>
      <c r="C284" t="s">
        <v>954</v>
      </c>
      <c r="D284" s="7" t="s">
        <v>2057</v>
      </c>
      <c r="E284" t="s">
        <v>1568</v>
      </c>
      <c r="F284" t="s">
        <v>955</v>
      </c>
      <c r="G284" t="s">
        <v>1558</v>
      </c>
      <c r="H284" t="s">
        <v>956</v>
      </c>
      <c r="I284" s="7">
        <v>1.43</v>
      </c>
      <c r="J284" s="7" t="s">
        <v>2141</v>
      </c>
      <c r="K284" s="7" t="s">
        <v>2141</v>
      </c>
      <c r="L284" s="7" t="s">
        <v>2029</v>
      </c>
      <c r="M284" s="7" t="s">
        <v>2141</v>
      </c>
      <c r="N284" s="7" t="s">
        <v>2141</v>
      </c>
      <c r="O284" s="7" t="s">
        <v>2022</v>
      </c>
      <c r="P284" s="7" t="s">
        <v>2022</v>
      </c>
      <c r="Q284" t="s">
        <v>203</v>
      </c>
      <c r="R284" s="7" t="s">
        <v>2085</v>
      </c>
      <c r="S284" t="str">
        <f xml:space="preserve"> HYPERLINK("ReviewHtml/review_My_Beautiful_Girl_Mari.html", "https://2danicritic.github.io/ReviewHtml/review_My_Beautiful_Girl_Mari.html")</f>
        <v>https://2danicritic.github.io/ReviewHtml/review_My_Beautiful_Girl_Mari.html</v>
      </c>
      <c r="U284" s="5">
        <f t="shared" si="4"/>
        <v>1.43</v>
      </c>
    </row>
    <row r="285" spans="2:21" x14ac:dyDescent="0.35">
      <c r="B285" s="7" t="s">
        <v>2432</v>
      </c>
      <c r="C285" t="s">
        <v>957</v>
      </c>
      <c r="D285" s="7" t="s">
        <v>2017</v>
      </c>
      <c r="E285" t="s">
        <v>1568</v>
      </c>
      <c r="F285" t="s">
        <v>958</v>
      </c>
      <c r="G285" t="s">
        <v>1558</v>
      </c>
      <c r="H285" t="s">
        <v>959</v>
      </c>
      <c r="I285" s="7">
        <v>2.5</v>
      </c>
      <c r="J285" s="7" t="s">
        <v>2020</v>
      </c>
      <c r="K285" s="7" t="s">
        <v>2029</v>
      </c>
      <c r="L285" s="7" t="s">
        <v>2020</v>
      </c>
      <c r="M285" s="7" t="s">
        <v>2020</v>
      </c>
      <c r="N285" s="7" t="s">
        <v>2020</v>
      </c>
      <c r="O285" s="7" t="s">
        <v>2029</v>
      </c>
      <c r="P285" s="7" t="s">
        <v>2141</v>
      </c>
      <c r="Q285" t="s">
        <v>204</v>
      </c>
      <c r="R285" s="7" t="s">
        <v>2085</v>
      </c>
      <c r="S285" t="str">
        <f xml:space="preserve"> HYPERLINK("ReviewHtml/review_My_Dogs,_Jinjin_and_Akida.html", "https://2danicritic.github.io/ReviewHtml/review_My_Dogs,_Jinjin_and_Akida.html")</f>
        <v>https://2danicritic.github.io/ReviewHtml/review_My_Dogs,_Jinjin_and_Akida.html</v>
      </c>
      <c r="U285" s="5">
        <f t="shared" si="4"/>
        <v>2.5</v>
      </c>
    </row>
    <row r="286" spans="2:21" x14ac:dyDescent="0.35">
      <c r="B286" s="7" t="s">
        <v>2433</v>
      </c>
      <c r="C286" t="s">
        <v>960</v>
      </c>
      <c r="D286" s="7" t="s">
        <v>2030</v>
      </c>
      <c r="E286" t="s">
        <v>1557</v>
      </c>
      <c r="F286" t="s">
        <v>961</v>
      </c>
      <c r="G286" t="s">
        <v>1558</v>
      </c>
      <c r="H286" t="s">
        <v>962</v>
      </c>
      <c r="I286" s="7">
        <v>1.79</v>
      </c>
      <c r="J286" s="7" t="s">
        <v>2141</v>
      </c>
      <c r="K286" s="7" t="s">
        <v>2029</v>
      </c>
      <c r="L286" s="7" t="s">
        <v>2029</v>
      </c>
      <c r="M286" s="7" t="s">
        <v>2029</v>
      </c>
      <c r="N286" s="7" t="s">
        <v>2029</v>
      </c>
      <c r="O286" s="7" t="s">
        <v>2029</v>
      </c>
      <c r="P286" s="7" t="s">
        <v>2022</v>
      </c>
      <c r="Q286" t="s">
        <v>205</v>
      </c>
      <c r="R286" s="7" t="s">
        <v>2195</v>
      </c>
      <c r="S286" t="str">
        <f xml:space="preserve"> HYPERLINK("ReviewHtml/review_My_Entire_High_School_Sinking_Into_The_Sea.html", "https://2danicritic.github.io/ReviewHtml/review_My_Entire_High_School_Sinking_Into_The_Sea.html")</f>
        <v>https://2danicritic.github.io/ReviewHtml/review_My_Entire_High_School_Sinking_Into_The_Sea.html</v>
      </c>
      <c r="U286" s="5">
        <f t="shared" si="4"/>
        <v>1.79</v>
      </c>
    </row>
    <row r="287" spans="2:21" x14ac:dyDescent="0.35">
      <c r="B287" s="7" t="s">
        <v>2434</v>
      </c>
      <c r="C287" t="s">
        <v>1813</v>
      </c>
      <c r="D287" s="7" t="s">
        <v>2188</v>
      </c>
      <c r="E287" t="s">
        <v>1814</v>
      </c>
      <c r="F287" t="s">
        <v>1815</v>
      </c>
      <c r="G287" t="s">
        <v>1558</v>
      </c>
      <c r="H287" t="s">
        <v>1770</v>
      </c>
      <c r="I287" s="7">
        <v>2.57</v>
      </c>
      <c r="J287" s="7" t="s">
        <v>2029</v>
      </c>
      <c r="K287" s="7" t="s">
        <v>2019</v>
      </c>
      <c r="L287" s="7" t="s">
        <v>2019</v>
      </c>
      <c r="M287" s="7" t="s">
        <v>2020</v>
      </c>
      <c r="N287" s="7" t="s">
        <v>2020</v>
      </c>
      <c r="O287" s="7" t="s">
        <v>2019</v>
      </c>
      <c r="P287" s="7" t="s">
        <v>2019</v>
      </c>
      <c r="Q287" t="s">
        <v>1771</v>
      </c>
      <c r="R287" s="7" t="s">
        <v>2085</v>
      </c>
      <c r="S287" t="str">
        <f xml:space="preserve"> HYPERLINK("ReviewHtml/review_My_Favorite_War.html", "https://2danicritic.github.io/ReviewHtml/review_My_Favorite_War.html")</f>
        <v>https://2danicritic.github.io/ReviewHtml/review_My_Favorite_War.html</v>
      </c>
      <c r="U287" s="5">
        <f t="shared" si="4"/>
        <v>2.57</v>
      </c>
    </row>
    <row r="288" spans="2:21" x14ac:dyDescent="0.35">
      <c r="B288" s="7" t="s">
        <v>2435</v>
      </c>
      <c r="C288" t="s">
        <v>1910</v>
      </c>
      <c r="D288" s="7" t="s">
        <v>2017</v>
      </c>
      <c r="E288" t="s">
        <v>1555</v>
      </c>
      <c r="F288" t="s">
        <v>1911</v>
      </c>
      <c r="G288" t="s">
        <v>1560</v>
      </c>
      <c r="H288" t="s">
        <v>1912</v>
      </c>
      <c r="I288" s="7">
        <v>3.14</v>
      </c>
      <c r="J288" s="7" t="s">
        <v>2019</v>
      </c>
      <c r="K288" s="7" t="s">
        <v>2020</v>
      </c>
      <c r="L288" s="7" t="s">
        <v>2019</v>
      </c>
      <c r="M288" s="7" t="s">
        <v>2025</v>
      </c>
      <c r="N288" s="7" t="s">
        <v>2020</v>
      </c>
      <c r="O288" s="7" t="s">
        <v>2025</v>
      </c>
      <c r="P288" s="7" t="s">
        <v>2020</v>
      </c>
      <c r="Q288" t="s">
        <v>172</v>
      </c>
      <c r="R288" s="7" t="s">
        <v>2133</v>
      </c>
      <c r="S288" t="str">
        <f xml:space="preserve"> HYPERLINK("ReviewHtml/review_My_First_Girlfriend_is_a_Gal.html", "https://2danicritic.github.io/ReviewHtml/review_My_First_Girlfriend_is_a_Gal.html")</f>
        <v>https://2danicritic.github.io/ReviewHtml/review_My_First_Girlfriend_is_a_Gal.html</v>
      </c>
      <c r="U288" s="5">
        <f t="shared" si="4"/>
        <v>3.14</v>
      </c>
    </row>
    <row r="289" spans="2:21" x14ac:dyDescent="0.35">
      <c r="B289" s="7" t="s">
        <v>2436</v>
      </c>
      <c r="C289" t="s">
        <v>1599</v>
      </c>
      <c r="D289" s="7" t="s">
        <v>2017</v>
      </c>
      <c r="E289" t="s">
        <v>1555</v>
      </c>
      <c r="F289" t="s">
        <v>1600</v>
      </c>
      <c r="G289" t="s">
        <v>1560</v>
      </c>
      <c r="H289" t="s">
        <v>1601</v>
      </c>
      <c r="I289" s="7">
        <v>2.4300000000000002</v>
      </c>
      <c r="J289" s="7" t="s">
        <v>2029</v>
      </c>
      <c r="K289" s="7" t="s">
        <v>2029</v>
      </c>
      <c r="L289" s="7" t="s">
        <v>2020</v>
      </c>
      <c r="M289" s="7" t="s">
        <v>2019</v>
      </c>
      <c r="N289" s="7" t="s">
        <v>2029</v>
      </c>
      <c r="O289" s="7" t="s">
        <v>2020</v>
      </c>
      <c r="P289" s="7" t="s">
        <v>2019</v>
      </c>
      <c r="Q289" t="s">
        <v>172</v>
      </c>
      <c r="R289" s="7" t="s">
        <v>2133</v>
      </c>
      <c r="S289" t="str">
        <f xml:space="preserve"> HYPERLINK("ReviewHtml/review_My_Girlfriend_is_Shobitch.html", "https://2danicritic.github.io/ReviewHtml/review_My_Girlfriend_is_Shobitch.html")</f>
        <v>https://2danicritic.github.io/ReviewHtml/review_My_Girlfriend_is_Shobitch.html</v>
      </c>
      <c r="U289" s="5">
        <f t="shared" si="4"/>
        <v>2.4300000000000002</v>
      </c>
    </row>
    <row r="290" spans="2:21" x14ac:dyDescent="0.35">
      <c r="B290" s="7" t="s">
        <v>2437</v>
      </c>
      <c r="C290" t="s">
        <v>1602</v>
      </c>
      <c r="D290" s="7" t="s">
        <v>2030</v>
      </c>
      <c r="E290" t="s">
        <v>1555</v>
      </c>
      <c r="F290" t="s">
        <v>735</v>
      </c>
      <c r="G290" t="s">
        <v>1560</v>
      </c>
      <c r="H290" t="s">
        <v>1603</v>
      </c>
      <c r="I290" s="7">
        <v>3.43</v>
      </c>
      <c r="J290" s="7" t="s">
        <v>2027</v>
      </c>
      <c r="K290" s="7" t="s">
        <v>2027</v>
      </c>
      <c r="L290" s="7" t="s">
        <v>2027</v>
      </c>
      <c r="M290" s="7" t="s">
        <v>2027</v>
      </c>
      <c r="N290" s="7" t="s">
        <v>2020</v>
      </c>
      <c r="O290" s="7" t="s">
        <v>2025</v>
      </c>
      <c r="P290" s="7" t="s">
        <v>2020</v>
      </c>
      <c r="Q290" t="s">
        <v>1544</v>
      </c>
      <c r="R290" s="7" t="s">
        <v>2438</v>
      </c>
      <c r="S290" t="str">
        <f xml:space="preserve"> HYPERLINK("ReviewHtml/review_My_Hero_Academia.html", "https://2danicritic.github.io/ReviewHtml/review_My_Hero_Academia.html")</f>
        <v>https://2danicritic.github.io/ReviewHtml/review_My_Hero_Academia.html</v>
      </c>
      <c r="U290" s="5">
        <f t="shared" si="4"/>
        <v>3.43</v>
      </c>
    </row>
    <row r="291" spans="2:21" x14ac:dyDescent="0.35">
      <c r="B291" s="7" t="s">
        <v>2144</v>
      </c>
      <c r="C291" t="s">
        <v>963</v>
      </c>
      <c r="D291" s="7" t="s">
        <v>2069</v>
      </c>
      <c r="E291" t="s">
        <v>1555</v>
      </c>
      <c r="F291" t="s">
        <v>748</v>
      </c>
      <c r="G291" t="s">
        <v>1558</v>
      </c>
      <c r="H291" t="s">
        <v>749</v>
      </c>
      <c r="I291" s="7">
        <v>3.86</v>
      </c>
      <c r="J291" s="7" t="s">
        <v>2027</v>
      </c>
      <c r="K291" s="7" t="s">
        <v>2027</v>
      </c>
      <c r="L291" s="7" t="s">
        <v>2025</v>
      </c>
      <c r="M291" s="7" t="s">
        <v>2027</v>
      </c>
      <c r="N291" s="7" t="s">
        <v>2027</v>
      </c>
      <c r="O291" s="7" t="s">
        <v>2025</v>
      </c>
      <c r="P291" s="7" t="s">
        <v>2033</v>
      </c>
      <c r="Q291" t="s">
        <v>196</v>
      </c>
      <c r="R291" s="7" t="s">
        <v>2034</v>
      </c>
      <c r="S291" t="str">
        <f xml:space="preserve"> HYPERLINK("ReviewHtml/review_My_Neighbor_Totoro.html", "https://2danicritic.github.io/ReviewHtml/review_My_Neighbor_Totoro.html")</f>
        <v>https://2danicritic.github.io/ReviewHtml/review_My_Neighbor_Totoro.html</v>
      </c>
      <c r="U291" s="5">
        <f t="shared" si="4"/>
        <v>3.86</v>
      </c>
    </row>
    <row r="292" spans="2:21" x14ac:dyDescent="0.35">
      <c r="B292" s="7" t="s">
        <v>2439</v>
      </c>
      <c r="C292" t="s">
        <v>964</v>
      </c>
      <c r="D292" s="7" t="s">
        <v>2335</v>
      </c>
      <c r="E292" t="s">
        <v>1555</v>
      </c>
      <c r="F292" t="s">
        <v>748</v>
      </c>
      <c r="G292" t="s">
        <v>1558</v>
      </c>
      <c r="H292" t="s">
        <v>844</v>
      </c>
      <c r="I292" s="7">
        <v>3.21</v>
      </c>
      <c r="J292" s="7" t="s">
        <v>2027</v>
      </c>
      <c r="K292" s="7" t="s">
        <v>2027</v>
      </c>
      <c r="L292" s="7" t="s">
        <v>2027</v>
      </c>
      <c r="M292" s="7" t="s">
        <v>2020</v>
      </c>
      <c r="N292" s="7" t="s">
        <v>2141</v>
      </c>
      <c r="O292" s="7" t="s">
        <v>2027</v>
      </c>
      <c r="P292" s="7" t="s">
        <v>2025</v>
      </c>
      <c r="Q292" t="s">
        <v>206</v>
      </c>
      <c r="R292" s="7" t="s">
        <v>2228</v>
      </c>
      <c r="S292" t="str">
        <f xml:space="preserve"> HYPERLINK("ReviewHtml/review_My_Neighbors_The_Yamadas.html", "https://2danicritic.github.io/ReviewHtml/review_My_Neighbors_The_Yamadas.html")</f>
        <v>https://2danicritic.github.io/ReviewHtml/review_My_Neighbors_The_Yamadas.html</v>
      </c>
      <c r="U292" s="5">
        <f t="shared" si="4"/>
        <v>3.21</v>
      </c>
    </row>
    <row r="293" spans="2:21" x14ac:dyDescent="0.35">
      <c r="B293" s="7" t="s">
        <v>2205</v>
      </c>
      <c r="C293" t="s">
        <v>1736</v>
      </c>
      <c r="D293" s="7" t="s">
        <v>2030</v>
      </c>
      <c r="E293" t="s">
        <v>1555</v>
      </c>
      <c r="F293" t="s">
        <v>659</v>
      </c>
      <c r="G293" t="s">
        <v>1560</v>
      </c>
      <c r="H293" t="s">
        <v>910</v>
      </c>
      <c r="I293" s="7">
        <v>2.93</v>
      </c>
      <c r="J293" s="7" t="s">
        <v>2027</v>
      </c>
      <c r="K293" s="7" t="s">
        <v>2027</v>
      </c>
      <c r="L293" s="7" t="s">
        <v>2020</v>
      </c>
      <c r="M293" s="7" t="s">
        <v>2020</v>
      </c>
      <c r="N293" s="7" t="s">
        <v>2029</v>
      </c>
      <c r="O293" s="7" t="s">
        <v>2020</v>
      </c>
      <c r="P293" s="7" t="s">
        <v>2019</v>
      </c>
      <c r="Q293" t="s">
        <v>1670</v>
      </c>
      <c r="R293" s="7" t="s">
        <v>2077</v>
      </c>
      <c r="S293" t="str">
        <f xml:space="preserve"> HYPERLINK("ReviewHtml/review_Myriad_Colors_Phantom_World.html", "https://2danicritic.github.io/ReviewHtml/review_Myriad_Colors_Phantom_World.html")</f>
        <v>https://2danicritic.github.io/ReviewHtml/review_Myriad_Colors_Phantom_World.html</v>
      </c>
      <c r="U293" s="5">
        <f t="shared" si="4"/>
        <v>2.93</v>
      </c>
    </row>
    <row r="294" spans="2:21" x14ac:dyDescent="0.35">
      <c r="B294" s="7" t="s">
        <v>2440</v>
      </c>
      <c r="C294" t="s">
        <v>2441</v>
      </c>
      <c r="D294" s="7" t="s">
        <v>2197</v>
      </c>
      <c r="E294" t="s">
        <v>1555</v>
      </c>
      <c r="F294" t="s">
        <v>2442</v>
      </c>
      <c r="G294" t="s">
        <v>1560</v>
      </c>
      <c r="H294" t="s">
        <v>2443</v>
      </c>
      <c r="I294" s="7">
        <v>2.71</v>
      </c>
      <c r="J294" s="7" t="s">
        <v>2019</v>
      </c>
      <c r="K294" s="7" t="s">
        <v>2020</v>
      </c>
      <c r="L294" s="7" t="s">
        <v>2020</v>
      </c>
      <c r="M294" s="7" t="s">
        <v>2020</v>
      </c>
      <c r="N294" s="7" t="s">
        <v>2029</v>
      </c>
      <c r="O294" s="7" t="s">
        <v>2027</v>
      </c>
      <c r="P294" s="7" t="s">
        <v>2029</v>
      </c>
      <c r="Q294" t="s">
        <v>2008</v>
      </c>
      <c r="R294" s="7" t="s">
        <v>2262</v>
      </c>
      <c r="S294" t="str">
        <f xml:space="preserve"> HYPERLINK("ReviewHtml/review_Mysteria_Friends.html", "https://2danicritic.github.io/ReviewHtml/review_Mysteria_Friends.html")</f>
        <v>https://2danicritic.github.io/ReviewHtml/review_Mysteria_Friends.html</v>
      </c>
      <c r="U294" s="5">
        <f t="shared" si="4"/>
        <v>2.71</v>
      </c>
    </row>
    <row r="295" spans="2:21" x14ac:dyDescent="0.35">
      <c r="B295" s="7" t="s">
        <v>2444</v>
      </c>
      <c r="C295" t="s">
        <v>965</v>
      </c>
      <c r="D295" s="7" t="s">
        <v>2373</v>
      </c>
      <c r="E295" t="s">
        <v>1555</v>
      </c>
      <c r="F295" t="s">
        <v>966</v>
      </c>
      <c r="G295" t="s">
        <v>1560</v>
      </c>
      <c r="H295" t="s">
        <v>207</v>
      </c>
      <c r="I295" s="7">
        <v>2.64</v>
      </c>
      <c r="J295" s="7" t="s">
        <v>2029</v>
      </c>
      <c r="K295" s="7" t="s">
        <v>2020</v>
      </c>
      <c r="L295" s="7" t="s">
        <v>2020</v>
      </c>
      <c r="M295" s="7" t="s">
        <v>2019</v>
      </c>
      <c r="N295" s="7" t="s">
        <v>2019</v>
      </c>
      <c r="O295" s="7" t="s">
        <v>2019</v>
      </c>
      <c r="P295" s="7" t="s">
        <v>2020</v>
      </c>
      <c r="Q295" t="s">
        <v>208</v>
      </c>
      <c r="R295" s="7" t="s">
        <v>2445</v>
      </c>
      <c r="S295" t="str">
        <f xml:space="preserve"> HYPERLINK("ReviewHtml/review_Nadia_-_The_Secret_of_Blue_Water.html", "https://2danicritic.github.io/ReviewHtml/review_Nadia_-_The_Secret_of_Blue_Water.html")</f>
        <v>https://2danicritic.github.io/ReviewHtml/review_Nadia_-_The_Secret_of_Blue_Water.html</v>
      </c>
      <c r="U295" s="5">
        <f t="shared" si="4"/>
        <v>2.64</v>
      </c>
    </row>
    <row r="296" spans="2:21" x14ac:dyDescent="0.35">
      <c r="B296" s="7" t="s">
        <v>2446</v>
      </c>
      <c r="C296" t="s">
        <v>1816</v>
      </c>
      <c r="D296" s="7" t="s">
        <v>2188</v>
      </c>
      <c r="E296" t="s">
        <v>1570</v>
      </c>
      <c r="F296" t="s">
        <v>1817</v>
      </c>
      <c r="G296" t="s">
        <v>1558</v>
      </c>
      <c r="H296" t="s">
        <v>1818</v>
      </c>
      <c r="I296" s="7">
        <v>3.21</v>
      </c>
      <c r="J296" s="7" t="s">
        <v>2027</v>
      </c>
      <c r="K296" s="7" t="s">
        <v>2027</v>
      </c>
      <c r="L296" s="7" t="s">
        <v>2020</v>
      </c>
      <c r="M296" s="7" t="s">
        <v>2027</v>
      </c>
      <c r="N296" s="7" t="s">
        <v>2020</v>
      </c>
      <c r="O296" s="7" t="s">
        <v>2020</v>
      </c>
      <c r="P296" s="7" t="s">
        <v>2020</v>
      </c>
      <c r="Q296" t="s">
        <v>196</v>
      </c>
      <c r="R296" s="7" t="s">
        <v>2221</v>
      </c>
      <c r="S296" t="str">
        <f xml:space="preserve"> HYPERLINK("ReviewHtml/review_Nahuel_and_the_Magic_Book.html", "https://2danicritic.github.io/ReviewHtml/review_Nahuel_and_the_Magic_Book.html")</f>
        <v>https://2danicritic.github.io/ReviewHtml/review_Nahuel_and_the_Magic_Book.html</v>
      </c>
      <c r="U296" s="5">
        <f t="shared" si="4"/>
        <v>3.21</v>
      </c>
    </row>
    <row r="297" spans="2:21" x14ac:dyDescent="0.35">
      <c r="B297" s="7" t="s">
        <v>2447</v>
      </c>
      <c r="C297" t="s">
        <v>967</v>
      </c>
      <c r="D297" s="7" t="s">
        <v>2017</v>
      </c>
      <c r="E297" t="s">
        <v>1555</v>
      </c>
      <c r="F297" t="s">
        <v>968</v>
      </c>
      <c r="G297" t="s">
        <v>1558</v>
      </c>
      <c r="H297" t="s">
        <v>802</v>
      </c>
      <c r="I297" s="7">
        <v>2.93</v>
      </c>
      <c r="J297" s="7" t="s">
        <v>2020</v>
      </c>
      <c r="K297" s="7" t="s">
        <v>2027</v>
      </c>
      <c r="L297" s="7" t="s">
        <v>2027</v>
      </c>
      <c r="M297" s="7" t="s">
        <v>2019</v>
      </c>
      <c r="N297" s="7" t="s">
        <v>2029</v>
      </c>
      <c r="O297" s="7" t="s">
        <v>2020</v>
      </c>
      <c r="P297" s="7" t="s">
        <v>2020</v>
      </c>
      <c r="Q297" t="s">
        <v>209</v>
      </c>
      <c r="R297" s="7" t="s">
        <v>2198</v>
      </c>
      <c r="S297" t="str">
        <f xml:space="preserve"> HYPERLINK("ReviewHtml/review_Napping_Princess.html", "https://2danicritic.github.io/ReviewHtml/review_Napping_Princess.html")</f>
        <v>https://2danicritic.github.io/ReviewHtml/review_Napping_Princess.html</v>
      </c>
      <c r="U297" s="5">
        <f t="shared" si="4"/>
        <v>2.93</v>
      </c>
    </row>
    <row r="298" spans="2:21" x14ac:dyDescent="0.35">
      <c r="B298" s="7" t="s">
        <v>2448</v>
      </c>
      <c r="C298" t="s">
        <v>969</v>
      </c>
      <c r="D298" s="7" t="s">
        <v>2449</v>
      </c>
      <c r="E298" t="s">
        <v>1555</v>
      </c>
      <c r="F298" t="s">
        <v>748</v>
      </c>
      <c r="G298" t="s">
        <v>1558</v>
      </c>
      <c r="H298" t="s">
        <v>970</v>
      </c>
      <c r="I298" s="7">
        <v>3.57</v>
      </c>
      <c r="J298" s="7" t="s">
        <v>2020</v>
      </c>
      <c r="K298" s="7" t="s">
        <v>2020</v>
      </c>
      <c r="L298" s="7" t="s">
        <v>2025</v>
      </c>
      <c r="M298" s="7" t="s">
        <v>2027</v>
      </c>
      <c r="N298" s="7" t="s">
        <v>2025</v>
      </c>
      <c r="O298" s="7" t="s">
        <v>2020</v>
      </c>
      <c r="P298" s="7" t="s">
        <v>2026</v>
      </c>
      <c r="Q298" t="s">
        <v>210</v>
      </c>
      <c r="R298" s="7" t="s">
        <v>2229</v>
      </c>
      <c r="S298" t="str">
        <f xml:space="preserve"> HYPERLINK("ReviewHtml/review_Nausicaa_of_the_Valley_of_the_Wind.html", "https://2danicritic.github.io/ReviewHtml/review_Nausicaa_of_the_Valley_of_the_Wind.html")</f>
        <v>https://2danicritic.github.io/ReviewHtml/review_Nausicaa_of_the_Valley_of_the_Wind.html</v>
      </c>
      <c r="U298" s="5">
        <f t="shared" si="4"/>
        <v>3.57</v>
      </c>
    </row>
    <row r="299" spans="2:21" x14ac:dyDescent="0.35">
      <c r="B299" s="7" t="s">
        <v>2450</v>
      </c>
      <c r="C299" t="s">
        <v>1270</v>
      </c>
      <c r="D299" s="7" t="s">
        <v>2124</v>
      </c>
      <c r="E299" t="s">
        <v>1555</v>
      </c>
      <c r="F299" t="s">
        <v>966</v>
      </c>
      <c r="G299" t="s">
        <v>1560</v>
      </c>
      <c r="H299" t="s">
        <v>1300</v>
      </c>
      <c r="I299" s="7">
        <v>3.36</v>
      </c>
      <c r="J299" s="7" t="s">
        <v>2019</v>
      </c>
      <c r="K299" s="7" t="s">
        <v>2027</v>
      </c>
      <c r="L299" s="7" t="s">
        <v>2025</v>
      </c>
      <c r="M299" s="7" t="s">
        <v>2029</v>
      </c>
      <c r="N299" s="7" t="s">
        <v>2027</v>
      </c>
      <c r="O299" s="7" t="s">
        <v>2027</v>
      </c>
      <c r="P299" s="7" t="s">
        <v>2026</v>
      </c>
      <c r="Q299" t="s">
        <v>1204</v>
      </c>
      <c r="R299" s="7" t="s">
        <v>2114</v>
      </c>
      <c r="S299" t="str">
        <f xml:space="preserve"> HYPERLINK("ReviewHtml/review_Neon_Genesis_Evangelion.html", "https://2danicritic.github.io/ReviewHtml/review_Neon_Genesis_Evangelion.html")</f>
        <v>https://2danicritic.github.io/ReviewHtml/review_Neon_Genesis_Evangelion.html</v>
      </c>
      <c r="U299" s="5">
        <f t="shared" si="4"/>
        <v>3.36</v>
      </c>
    </row>
    <row r="300" spans="2:21" x14ac:dyDescent="0.35">
      <c r="B300" s="7" t="s">
        <v>2451</v>
      </c>
      <c r="C300" t="s">
        <v>1271</v>
      </c>
      <c r="D300" s="7" t="s">
        <v>2390</v>
      </c>
      <c r="E300" t="s">
        <v>1555</v>
      </c>
      <c r="F300" t="s">
        <v>1205</v>
      </c>
      <c r="G300" t="s">
        <v>1558</v>
      </c>
      <c r="H300" t="s">
        <v>1206</v>
      </c>
      <c r="I300" s="7">
        <v>2.79</v>
      </c>
      <c r="J300" s="7" t="s">
        <v>2020</v>
      </c>
      <c r="K300" s="7" t="s">
        <v>2020</v>
      </c>
      <c r="L300" s="7" t="s">
        <v>2020</v>
      </c>
      <c r="M300" s="7" t="s">
        <v>2029</v>
      </c>
      <c r="N300" s="7" t="s">
        <v>2019</v>
      </c>
      <c r="O300" s="7" t="s">
        <v>2020</v>
      </c>
      <c r="P300" s="7" t="s">
        <v>2020</v>
      </c>
      <c r="Q300" t="s">
        <v>1207</v>
      </c>
      <c r="R300" s="7" t="s">
        <v>2178</v>
      </c>
      <c r="S300" t="str">
        <f xml:space="preserve"> HYPERLINK("ReviewHtml/review_Neon_Genesis_Evangelion_-_Death_and_Rebirth.html", "https://2danicritic.github.io/ReviewHtml/review_Neon_Genesis_Evangelion_-_Death_and_Rebirth.html")</f>
        <v>https://2danicritic.github.io/ReviewHtml/review_Neon_Genesis_Evangelion_-_Death_and_Rebirth.html</v>
      </c>
      <c r="U300" s="5">
        <f t="shared" si="4"/>
        <v>2.79</v>
      </c>
    </row>
    <row r="301" spans="2:21" x14ac:dyDescent="0.35">
      <c r="B301" s="7" t="s">
        <v>2452</v>
      </c>
      <c r="C301" t="s">
        <v>1272</v>
      </c>
      <c r="D301" s="7" t="s">
        <v>2390</v>
      </c>
      <c r="E301" t="s">
        <v>1555</v>
      </c>
      <c r="F301" t="s">
        <v>1291</v>
      </c>
      <c r="G301" t="s">
        <v>1558</v>
      </c>
      <c r="H301" t="s">
        <v>1208</v>
      </c>
      <c r="I301" s="7">
        <v>3.43</v>
      </c>
      <c r="J301" s="7" t="s">
        <v>2020</v>
      </c>
      <c r="K301" s="7" t="s">
        <v>2027</v>
      </c>
      <c r="L301" s="7" t="s">
        <v>2027</v>
      </c>
      <c r="M301" s="7" t="s">
        <v>2019</v>
      </c>
      <c r="N301" s="7" t="s">
        <v>2027</v>
      </c>
      <c r="O301" s="7" t="s">
        <v>2027</v>
      </c>
      <c r="P301" s="7" t="s">
        <v>2026</v>
      </c>
      <c r="Q301" t="s">
        <v>1209</v>
      </c>
      <c r="R301" s="7" t="s">
        <v>2043</v>
      </c>
      <c r="S301" t="str">
        <f xml:space="preserve"> HYPERLINK("ReviewHtml/review_Neon_Genesis_Evangelion_-_The_End_of_Evangelion.html", "https://2danicritic.github.io/ReviewHtml/review_Neon_Genesis_Evangelion_-_The_End_of_Evangelion.html")</f>
        <v>https://2danicritic.github.io/ReviewHtml/review_Neon_Genesis_Evangelion_-_The_End_of_Evangelion.html</v>
      </c>
      <c r="U301" s="5">
        <f t="shared" si="4"/>
        <v>3.43</v>
      </c>
    </row>
    <row r="302" spans="2:21" x14ac:dyDescent="0.35">
      <c r="B302" s="7" t="s">
        <v>2410</v>
      </c>
      <c r="C302" t="s">
        <v>971</v>
      </c>
      <c r="D302" s="7" t="s">
        <v>2030</v>
      </c>
      <c r="E302" t="s">
        <v>1557</v>
      </c>
      <c r="F302" t="s">
        <v>972</v>
      </c>
      <c r="G302" t="s">
        <v>1558</v>
      </c>
      <c r="H302" t="s">
        <v>973</v>
      </c>
      <c r="I302" s="7">
        <v>2.14</v>
      </c>
      <c r="J302" s="7" t="s">
        <v>2029</v>
      </c>
      <c r="K302" s="7" t="s">
        <v>2029</v>
      </c>
      <c r="L302" s="7" t="s">
        <v>2029</v>
      </c>
      <c r="M302" s="7" t="s">
        <v>2025</v>
      </c>
      <c r="N302" s="7" t="s">
        <v>2029</v>
      </c>
      <c r="O302" s="7" t="s">
        <v>2029</v>
      </c>
      <c r="P302" s="7" t="s">
        <v>2022</v>
      </c>
      <c r="Q302" t="s">
        <v>211</v>
      </c>
      <c r="R302" s="7" t="s">
        <v>2106</v>
      </c>
      <c r="S302" t="str">
        <f xml:space="preserve"> HYPERLINK("ReviewHtml/review_Nerdland.html", "https://2danicritic.github.io/ReviewHtml/review_Nerdland.html")</f>
        <v>https://2danicritic.github.io/ReviewHtml/review_Nerdland.html</v>
      </c>
      <c r="U302" s="5">
        <f t="shared" si="4"/>
        <v>2.14</v>
      </c>
    </row>
    <row r="303" spans="2:21" x14ac:dyDescent="0.35">
      <c r="B303" s="7" t="s">
        <v>2049</v>
      </c>
      <c r="C303" t="s">
        <v>1604</v>
      </c>
      <c r="D303" s="7" t="s">
        <v>2453</v>
      </c>
      <c r="E303" t="s">
        <v>1555</v>
      </c>
      <c r="F303" t="s">
        <v>682</v>
      </c>
      <c r="G303" t="s">
        <v>1561</v>
      </c>
      <c r="H303" t="s">
        <v>1605</v>
      </c>
      <c r="I303" s="7">
        <v>2.86</v>
      </c>
      <c r="J303" s="7" t="s">
        <v>2020</v>
      </c>
      <c r="K303" s="7" t="s">
        <v>2019</v>
      </c>
      <c r="L303" s="7" t="s">
        <v>2019</v>
      </c>
      <c r="M303" s="7" t="s">
        <v>2020</v>
      </c>
      <c r="N303" s="7" t="s">
        <v>2019</v>
      </c>
      <c r="O303" s="7" t="s">
        <v>2027</v>
      </c>
      <c r="P303" s="7" t="s">
        <v>2020</v>
      </c>
      <c r="Q303" t="s">
        <v>1545</v>
      </c>
      <c r="R303" s="7" t="s">
        <v>2345</v>
      </c>
      <c r="S303" t="str">
        <f xml:space="preserve"> HYPERLINK("ReviewHtml/review_New_Cutie_Honey.html", "https://2danicritic.github.io/ReviewHtml/review_New_Cutie_Honey.html")</f>
        <v>https://2danicritic.github.io/ReviewHtml/review_New_Cutie_Honey.html</v>
      </c>
      <c r="U303" s="5">
        <f t="shared" si="4"/>
        <v>2.86</v>
      </c>
    </row>
    <row r="304" spans="2:21" x14ac:dyDescent="0.35">
      <c r="B304" s="7" t="s">
        <v>2454</v>
      </c>
      <c r="C304" t="s">
        <v>974</v>
      </c>
      <c r="D304" s="7" t="s">
        <v>2037</v>
      </c>
      <c r="E304" t="s">
        <v>1555</v>
      </c>
      <c r="F304" t="s">
        <v>659</v>
      </c>
      <c r="G304" t="s">
        <v>1560</v>
      </c>
      <c r="H304" t="s">
        <v>910</v>
      </c>
      <c r="I304" s="7">
        <v>4.1399999999999997</v>
      </c>
      <c r="J304" s="7" t="s">
        <v>2026</v>
      </c>
      <c r="K304" s="7" t="s">
        <v>2025</v>
      </c>
      <c r="L304" s="7" t="s">
        <v>2026</v>
      </c>
      <c r="M304" s="7" t="s">
        <v>2025</v>
      </c>
      <c r="N304" s="7" t="s">
        <v>2020</v>
      </c>
      <c r="O304" s="7" t="s">
        <v>2025</v>
      </c>
      <c r="P304" s="7" t="s">
        <v>2033</v>
      </c>
      <c r="Q304" t="s">
        <v>212</v>
      </c>
      <c r="R304" s="7" t="s">
        <v>2077</v>
      </c>
      <c r="S304" t="str">
        <f xml:space="preserve"> HYPERLINK("ReviewHtml/review_Nichijou.html", "https://2danicritic.github.io/ReviewHtml/review_Nichijou.html")</f>
        <v>https://2danicritic.github.io/ReviewHtml/review_Nichijou.html</v>
      </c>
      <c r="U304" s="5">
        <f t="shared" si="4"/>
        <v>4.1399999999999997</v>
      </c>
    </row>
    <row r="305" spans="2:21" x14ac:dyDescent="0.35">
      <c r="B305" s="7" t="s">
        <v>2455</v>
      </c>
      <c r="C305" t="s">
        <v>975</v>
      </c>
      <c r="D305" s="7" t="s">
        <v>2456</v>
      </c>
      <c r="E305" t="s">
        <v>1555</v>
      </c>
      <c r="F305" t="s">
        <v>729</v>
      </c>
      <c r="G305" t="s">
        <v>1558</v>
      </c>
      <c r="H305" t="s">
        <v>976</v>
      </c>
      <c r="I305" s="7">
        <v>3.36</v>
      </c>
      <c r="J305" s="7" t="s">
        <v>2019</v>
      </c>
      <c r="K305" s="7" t="s">
        <v>2025</v>
      </c>
      <c r="L305" s="7" t="s">
        <v>2025</v>
      </c>
      <c r="M305" s="7" t="s">
        <v>2019</v>
      </c>
      <c r="N305" s="7" t="s">
        <v>2027</v>
      </c>
      <c r="O305" s="7" t="s">
        <v>2019</v>
      </c>
      <c r="P305" s="7" t="s">
        <v>2026</v>
      </c>
      <c r="Q305" t="s">
        <v>213</v>
      </c>
      <c r="R305" s="7" t="s">
        <v>2149</v>
      </c>
      <c r="S305" t="str">
        <f xml:space="preserve"> HYPERLINK("ReviewHtml/review_Night_on_the_Galactic_Railroad.html", "https://2danicritic.github.io/ReviewHtml/review_Night_on_the_Galactic_Railroad.html")</f>
        <v>https://2danicritic.github.io/ReviewHtml/review_Night_on_the_Galactic_Railroad.html</v>
      </c>
      <c r="U305" s="5">
        <f t="shared" si="4"/>
        <v>3.36</v>
      </c>
    </row>
    <row r="306" spans="2:21" x14ac:dyDescent="0.35">
      <c r="B306" s="7" t="s">
        <v>2457</v>
      </c>
      <c r="C306" t="s">
        <v>1606</v>
      </c>
      <c r="D306" s="7" t="s">
        <v>2390</v>
      </c>
      <c r="E306" t="s">
        <v>1555</v>
      </c>
      <c r="F306" t="s">
        <v>695</v>
      </c>
      <c r="G306" t="s">
        <v>1561</v>
      </c>
      <c r="H306" t="s">
        <v>1607</v>
      </c>
      <c r="I306" s="7">
        <v>2.36</v>
      </c>
      <c r="J306" s="7" t="s">
        <v>2019</v>
      </c>
      <c r="K306" s="7" t="s">
        <v>2029</v>
      </c>
      <c r="L306" s="7" t="s">
        <v>2019</v>
      </c>
      <c r="M306" s="7" t="s">
        <v>2019</v>
      </c>
      <c r="N306" s="7" t="s">
        <v>2019</v>
      </c>
      <c r="O306" s="7" t="s">
        <v>2019</v>
      </c>
      <c r="P306" s="7" t="s">
        <v>2029</v>
      </c>
      <c r="Q306" t="s">
        <v>78</v>
      </c>
      <c r="R306" s="7" t="s">
        <v>2284</v>
      </c>
      <c r="S306" t="str">
        <f xml:space="preserve"> HYPERLINK("ReviewHtml/review_Night_Warriors_-_Darkstalkers'_Revenge.html", "https://2danicritic.github.io/ReviewHtml/review_Night_Warriors_-_Darkstalkers'_Revenge.html")</f>
        <v>https://2danicritic.github.io/ReviewHtml/review_Night_Warriors_-_Darkstalkers'_Revenge.html</v>
      </c>
      <c r="U306" s="5">
        <f t="shared" si="4"/>
        <v>2.36</v>
      </c>
    </row>
    <row r="307" spans="2:21" x14ac:dyDescent="0.35">
      <c r="B307" s="7" t="s">
        <v>2458</v>
      </c>
      <c r="C307" t="s">
        <v>977</v>
      </c>
      <c r="D307" s="7" t="s">
        <v>2167</v>
      </c>
      <c r="E307" t="s">
        <v>1555</v>
      </c>
      <c r="F307" t="s">
        <v>815</v>
      </c>
      <c r="G307" t="s">
        <v>1560</v>
      </c>
      <c r="H307" t="s">
        <v>978</v>
      </c>
      <c r="I307" s="7">
        <v>1.93</v>
      </c>
      <c r="J307" s="7" t="s">
        <v>2029</v>
      </c>
      <c r="K307" s="7" t="s">
        <v>2029</v>
      </c>
      <c r="L307" s="7" t="s">
        <v>2020</v>
      </c>
      <c r="M307" s="7" t="s">
        <v>2029</v>
      </c>
      <c r="N307" s="7" t="s">
        <v>2141</v>
      </c>
      <c r="O307" s="7" t="s">
        <v>2029</v>
      </c>
      <c r="P307" s="7" t="s">
        <v>2022</v>
      </c>
      <c r="Q307" t="s">
        <v>145</v>
      </c>
      <c r="R307" s="7" t="s">
        <v>2049</v>
      </c>
      <c r="S307" t="str">
        <f xml:space="preserve"> HYPERLINK("ReviewHtml/review_Ninja_Nonsense.html", "https://2danicritic.github.io/ReviewHtml/review_Ninja_Nonsense.html")</f>
        <v>https://2danicritic.github.io/ReviewHtml/review_Ninja_Nonsense.html</v>
      </c>
      <c r="U307" s="5">
        <f t="shared" si="4"/>
        <v>1.93</v>
      </c>
    </row>
    <row r="308" spans="2:21" x14ac:dyDescent="0.35">
      <c r="B308" s="7" t="s">
        <v>2459</v>
      </c>
      <c r="C308" t="s">
        <v>979</v>
      </c>
      <c r="D308" s="7" t="s">
        <v>2460</v>
      </c>
      <c r="E308" t="s">
        <v>1555</v>
      </c>
      <c r="F308" t="s">
        <v>695</v>
      </c>
      <c r="G308" t="s">
        <v>1558</v>
      </c>
      <c r="H308" t="s">
        <v>980</v>
      </c>
      <c r="I308" s="7">
        <v>3.86</v>
      </c>
      <c r="J308" s="7" t="s">
        <v>2020</v>
      </c>
      <c r="K308" s="7" t="s">
        <v>2027</v>
      </c>
      <c r="L308" s="7" t="s">
        <v>2025</v>
      </c>
      <c r="M308" s="7" t="s">
        <v>2020</v>
      </c>
      <c r="N308" s="7" t="s">
        <v>2027</v>
      </c>
      <c r="O308" s="7" t="s">
        <v>2033</v>
      </c>
      <c r="P308" s="7" t="s">
        <v>2033</v>
      </c>
      <c r="Q308" t="s">
        <v>214</v>
      </c>
      <c r="R308" s="7" t="s">
        <v>2217</v>
      </c>
      <c r="S308" t="str">
        <f xml:space="preserve"> HYPERLINK("ReviewHtml/review_Ninja_Scroll.html", "https://2danicritic.github.io/ReviewHtml/review_Ninja_Scroll.html")</f>
        <v>https://2danicritic.github.io/ReviewHtml/review_Ninja_Scroll.html</v>
      </c>
      <c r="U308" s="5">
        <f t="shared" si="4"/>
        <v>3.86</v>
      </c>
    </row>
    <row r="309" spans="2:21" x14ac:dyDescent="0.35">
      <c r="B309" s="7" t="s">
        <v>2461</v>
      </c>
      <c r="C309" t="s">
        <v>981</v>
      </c>
      <c r="D309" s="7" t="s">
        <v>2171</v>
      </c>
      <c r="E309" t="s">
        <v>1555</v>
      </c>
      <c r="F309" t="s">
        <v>695</v>
      </c>
      <c r="G309" t="s">
        <v>1560</v>
      </c>
      <c r="H309" t="s">
        <v>754</v>
      </c>
      <c r="I309" s="7">
        <v>2.14</v>
      </c>
      <c r="J309" s="7" t="s">
        <v>2029</v>
      </c>
      <c r="K309" s="7" t="s">
        <v>2029</v>
      </c>
      <c r="L309" s="7" t="s">
        <v>2019</v>
      </c>
      <c r="M309" s="7" t="s">
        <v>2029</v>
      </c>
      <c r="N309" s="7" t="s">
        <v>2029</v>
      </c>
      <c r="O309" s="7" t="s">
        <v>2020</v>
      </c>
      <c r="P309" s="7" t="s">
        <v>2141</v>
      </c>
      <c r="Q309" t="s">
        <v>249</v>
      </c>
      <c r="R309" s="7" t="s">
        <v>2021</v>
      </c>
      <c r="S309" t="str">
        <f xml:space="preserve"> HYPERLINK("ReviewHtml/review_Ninja_Scroll_-_The_Series.html", "https://2danicritic.github.io/ReviewHtml/review_Ninja_Scroll_-_The_Series.html")</f>
        <v>https://2danicritic.github.io/ReviewHtml/review_Ninja_Scroll_-_The_Series.html</v>
      </c>
      <c r="U309" s="5">
        <f t="shared" si="4"/>
        <v>2.14</v>
      </c>
    </row>
    <row r="310" spans="2:21" x14ac:dyDescent="0.35">
      <c r="B310" s="7" t="s">
        <v>2462</v>
      </c>
      <c r="C310" t="s">
        <v>982</v>
      </c>
      <c r="D310" s="7" t="s">
        <v>2041</v>
      </c>
      <c r="E310" t="s">
        <v>1555</v>
      </c>
      <c r="F310" t="s">
        <v>690</v>
      </c>
      <c r="G310" t="s">
        <v>1560</v>
      </c>
      <c r="H310" t="s">
        <v>215</v>
      </c>
      <c r="I310" s="7">
        <v>4.1399999999999997</v>
      </c>
      <c r="J310" s="7" t="s">
        <v>2025</v>
      </c>
      <c r="K310" s="7" t="s">
        <v>2025</v>
      </c>
      <c r="L310" s="7" t="s">
        <v>2025</v>
      </c>
      <c r="M310" s="7" t="s">
        <v>2025</v>
      </c>
      <c r="N310" s="7" t="s">
        <v>2025</v>
      </c>
      <c r="O310" s="7" t="s">
        <v>2025</v>
      </c>
      <c r="P310" s="7" t="s">
        <v>2033</v>
      </c>
      <c r="Q310" t="s">
        <v>75</v>
      </c>
      <c r="R310" s="7" t="s">
        <v>2133</v>
      </c>
      <c r="S310" t="str">
        <f xml:space="preserve"> HYPERLINK("ReviewHtml/review_Nisemonogatari.html", "https://2danicritic.github.io/ReviewHtml/review_Nisemonogatari.html")</f>
        <v>https://2danicritic.github.io/ReviewHtml/review_Nisemonogatari.html</v>
      </c>
      <c r="U310" s="5">
        <f t="shared" si="4"/>
        <v>4.1399999999999997</v>
      </c>
    </row>
    <row r="311" spans="2:21" x14ac:dyDescent="0.35">
      <c r="B311" s="7" t="s">
        <v>2463</v>
      </c>
      <c r="C311" t="s">
        <v>983</v>
      </c>
      <c r="D311" s="7" t="s">
        <v>2076</v>
      </c>
      <c r="E311" t="s">
        <v>1555</v>
      </c>
      <c r="F311" t="s">
        <v>695</v>
      </c>
      <c r="G311" t="s">
        <v>1560</v>
      </c>
      <c r="H311" t="s">
        <v>984</v>
      </c>
      <c r="I311" s="7">
        <v>3.71</v>
      </c>
      <c r="J311" s="7" t="s">
        <v>2027</v>
      </c>
      <c r="K311" s="7" t="s">
        <v>2027</v>
      </c>
      <c r="L311" s="7" t="s">
        <v>2025</v>
      </c>
      <c r="M311" s="7" t="s">
        <v>2025</v>
      </c>
      <c r="N311" s="7" t="s">
        <v>2020</v>
      </c>
      <c r="O311" s="7" t="s">
        <v>2025</v>
      </c>
      <c r="P311" s="7" t="s">
        <v>2025</v>
      </c>
      <c r="Q311" t="s">
        <v>216</v>
      </c>
      <c r="R311" s="7" t="s">
        <v>2049</v>
      </c>
      <c r="S311" t="str">
        <f xml:space="preserve"> HYPERLINK("ReviewHtml/review_No_Game_No_Life.html", "https://2danicritic.github.io/ReviewHtml/review_No_Game_No_Life.html")</f>
        <v>https://2danicritic.github.io/ReviewHtml/review_No_Game_No_Life.html</v>
      </c>
      <c r="U311" s="5">
        <f t="shared" si="4"/>
        <v>3.71</v>
      </c>
    </row>
    <row r="312" spans="2:21" x14ac:dyDescent="0.35">
      <c r="B312" s="7" t="s">
        <v>2464</v>
      </c>
      <c r="C312" t="s">
        <v>985</v>
      </c>
      <c r="D312" s="7" t="s">
        <v>2017</v>
      </c>
      <c r="E312" t="s">
        <v>1555</v>
      </c>
      <c r="F312" t="s">
        <v>695</v>
      </c>
      <c r="G312" t="s">
        <v>1558</v>
      </c>
      <c r="H312" t="s">
        <v>984</v>
      </c>
      <c r="I312" s="7">
        <v>4</v>
      </c>
      <c r="J312" s="7" t="s">
        <v>2025</v>
      </c>
      <c r="K312" s="7" t="s">
        <v>2025</v>
      </c>
      <c r="L312" s="7" t="s">
        <v>2025</v>
      </c>
      <c r="M312" s="7" t="s">
        <v>2025</v>
      </c>
      <c r="N312" s="7" t="s">
        <v>2025</v>
      </c>
      <c r="O312" s="7" t="s">
        <v>2025</v>
      </c>
      <c r="P312" s="7" t="s">
        <v>2025</v>
      </c>
      <c r="Q312" t="s">
        <v>217</v>
      </c>
      <c r="R312" s="7" t="s">
        <v>2096</v>
      </c>
      <c r="S312" t="str">
        <f xml:space="preserve"> HYPERLINK("ReviewHtml/review_No_Game_No_Life_-_Zero.html", "https://2danicritic.github.io/ReviewHtml/review_No_Game_No_Life_-_Zero.html")</f>
        <v>https://2danicritic.github.io/ReviewHtml/review_No_Game_No_Life_-_Zero.html</v>
      </c>
      <c r="U312" s="5">
        <f t="shared" si="4"/>
        <v>4</v>
      </c>
    </row>
    <row r="313" spans="2:21" x14ac:dyDescent="0.35">
      <c r="B313" s="7" t="s">
        <v>2465</v>
      </c>
      <c r="C313" t="s">
        <v>1737</v>
      </c>
      <c r="D313" s="7" t="s">
        <v>2023</v>
      </c>
      <c r="E313" t="s">
        <v>1567</v>
      </c>
      <c r="F313" t="s">
        <v>1738</v>
      </c>
      <c r="G313" t="s">
        <v>1558</v>
      </c>
      <c r="H313" t="s">
        <v>1671</v>
      </c>
      <c r="I313" s="7">
        <v>3.36</v>
      </c>
      <c r="J313" s="7" t="s">
        <v>2027</v>
      </c>
      <c r="K313" s="7" t="s">
        <v>2025</v>
      </c>
      <c r="L313" s="7" t="s">
        <v>2027</v>
      </c>
      <c r="M313" s="7" t="s">
        <v>2020</v>
      </c>
      <c r="N313" s="7" t="s">
        <v>2020</v>
      </c>
      <c r="O313" s="7" t="s">
        <v>2020</v>
      </c>
      <c r="P313" s="7" t="s">
        <v>2027</v>
      </c>
      <c r="Q313" t="s">
        <v>196</v>
      </c>
      <c r="R313" s="7" t="s">
        <v>2209</v>
      </c>
      <c r="S313" t="str">
        <f xml:space="preserve"> HYPERLINK("ReviewHtml/review_Nocturna.html", "https://2danicritic.github.io/ReviewHtml/review_Nocturna.html")</f>
        <v>https://2danicritic.github.io/ReviewHtml/review_Nocturna.html</v>
      </c>
      <c r="U313" s="5">
        <f t="shared" si="4"/>
        <v>3.36</v>
      </c>
    </row>
    <row r="314" spans="2:21" x14ac:dyDescent="0.35">
      <c r="B314" s="7" t="s">
        <v>2466</v>
      </c>
      <c r="C314" t="s">
        <v>986</v>
      </c>
      <c r="D314" s="7" t="s">
        <v>2076</v>
      </c>
      <c r="E314" t="s">
        <v>1555</v>
      </c>
      <c r="F314" t="s">
        <v>735</v>
      </c>
      <c r="G314" t="s">
        <v>1560</v>
      </c>
      <c r="H314" t="s">
        <v>987</v>
      </c>
      <c r="I314" s="7">
        <v>3.5</v>
      </c>
      <c r="J314" s="7" t="s">
        <v>2020</v>
      </c>
      <c r="K314" s="7" t="s">
        <v>2027</v>
      </c>
      <c r="L314" s="7" t="s">
        <v>2025</v>
      </c>
      <c r="M314" s="7" t="s">
        <v>2020</v>
      </c>
      <c r="N314" s="7" t="s">
        <v>2027</v>
      </c>
      <c r="O314" s="7" t="s">
        <v>2025</v>
      </c>
      <c r="P314" s="7" t="s">
        <v>2027</v>
      </c>
      <c r="Q314" t="s">
        <v>218</v>
      </c>
      <c r="R314" s="7" t="s">
        <v>2104</v>
      </c>
      <c r="S314" t="str">
        <f xml:space="preserve"> HYPERLINK("ReviewHtml/review_Noragami.html", "https://2danicritic.github.io/ReviewHtml/review_Noragami.html")</f>
        <v>https://2danicritic.github.io/ReviewHtml/review_Noragami.html</v>
      </c>
      <c r="U314" s="5">
        <f t="shared" si="4"/>
        <v>3.5</v>
      </c>
    </row>
    <row r="315" spans="2:21" x14ac:dyDescent="0.35">
      <c r="B315" s="7" t="s">
        <v>2467</v>
      </c>
      <c r="C315" t="s">
        <v>988</v>
      </c>
      <c r="D315" s="7" t="s">
        <v>2030</v>
      </c>
      <c r="E315" t="s">
        <v>1608</v>
      </c>
      <c r="F315" t="s">
        <v>989</v>
      </c>
      <c r="G315" t="s">
        <v>1558</v>
      </c>
      <c r="H315" t="s">
        <v>990</v>
      </c>
      <c r="I315" s="7">
        <v>2.93</v>
      </c>
      <c r="J315" s="7" t="s">
        <v>2020</v>
      </c>
      <c r="K315" s="7" t="s">
        <v>2019</v>
      </c>
      <c r="L315" s="7" t="s">
        <v>2019</v>
      </c>
      <c r="M315" s="7" t="s">
        <v>2141</v>
      </c>
      <c r="N315" s="7" t="s">
        <v>2027</v>
      </c>
      <c r="O315" s="7" t="s">
        <v>2027</v>
      </c>
      <c r="P315" s="7" t="s">
        <v>2025</v>
      </c>
      <c r="Q315" t="s">
        <v>219</v>
      </c>
      <c r="R315" s="7" t="s">
        <v>2036</v>
      </c>
      <c r="S315" t="str">
        <f xml:space="preserve"> HYPERLINK("ReviewHtml/review_Nova_Seed.html", "https://2danicritic.github.io/ReviewHtml/review_Nova_Seed.html")</f>
        <v>https://2danicritic.github.io/ReviewHtml/review_Nova_Seed.html</v>
      </c>
      <c r="U315" s="5">
        <f t="shared" si="4"/>
        <v>2.93</v>
      </c>
    </row>
    <row r="316" spans="2:21" x14ac:dyDescent="0.35">
      <c r="B316" s="7" t="s">
        <v>2468</v>
      </c>
      <c r="C316" t="s">
        <v>991</v>
      </c>
      <c r="D316" s="7" t="s">
        <v>2460</v>
      </c>
      <c r="E316" t="s">
        <v>1555</v>
      </c>
      <c r="F316" t="s">
        <v>748</v>
      </c>
      <c r="G316" t="s">
        <v>1558</v>
      </c>
      <c r="H316" t="s">
        <v>992</v>
      </c>
      <c r="I316" s="7">
        <v>3</v>
      </c>
      <c r="J316" s="7" t="s">
        <v>2020</v>
      </c>
      <c r="K316" s="7" t="s">
        <v>2020</v>
      </c>
      <c r="L316" s="7" t="s">
        <v>2020</v>
      </c>
      <c r="M316" s="7" t="s">
        <v>2020</v>
      </c>
      <c r="N316" s="7" t="s">
        <v>2027</v>
      </c>
      <c r="O316" s="7" t="s">
        <v>2019</v>
      </c>
      <c r="P316" s="7" t="s">
        <v>2020</v>
      </c>
      <c r="Q316" t="s">
        <v>101</v>
      </c>
      <c r="R316" s="7" t="s">
        <v>2194</v>
      </c>
      <c r="S316" t="str">
        <f xml:space="preserve"> HYPERLINK("ReviewHtml/review_Ocean_Waves.html", "https://2danicritic.github.io/ReviewHtml/review_Ocean_Waves.html")</f>
        <v>https://2danicritic.github.io/ReviewHtml/review_Ocean_Waves.html</v>
      </c>
      <c r="U316" s="5">
        <f t="shared" si="4"/>
        <v>3</v>
      </c>
    </row>
    <row r="317" spans="2:21" x14ac:dyDescent="0.35">
      <c r="B317" s="7" t="s">
        <v>2469</v>
      </c>
      <c r="C317" t="s">
        <v>993</v>
      </c>
      <c r="D317" s="7" t="s">
        <v>2023</v>
      </c>
      <c r="E317" t="s">
        <v>1555</v>
      </c>
      <c r="F317" t="s">
        <v>695</v>
      </c>
      <c r="G317" t="s">
        <v>1560</v>
      </c>
      <c r="H317" t="s">
        <v>994</v>
      </c>
      <c r="I317" s="7">
        <v>2.29</v>
      </c>
      <c r="J317" s="7" t="s">
        <v>2029</v>
      </c>
      <c r="K317" s="7" t="s">
        <v>2019</v>
      </c>
      <c r="L317" s="7" t="s">
        <v>2027</v>
      </c>
      <c r="M317" s="7" t="s">
        <v>2019</v>
      </c>
      <c r="N317" s="7" t="s">
        <v>2141</v>
      </c>
      <c r="O317" s="7" t="s">
        <v>2020</v>
      </c>
      <c r="P317" s="7" t="s">
        <v>2022</v>
      </c>
      <c r="Q317" t="s">
        <v>220</v>
      </c>
      <c r="R317" s="7" t="s">
        <v>2114</v>
      </c>
      <c r="S317" t="str">
        <f xml:space="preserve"> HYPERLINK("ReviewHtml/review_Oh!_Edo_Rocket.html", "https://2danicritic.github.io/ReviewHtml/review_Oh!_Edo_Rocket.html")</f>
        <v>https://2danicritic.github.io/ReviewHtml/review_Oh!_Edo_Rocket.html</v>
      </c>
      <c r="U317" s="5">
        <f t="shared" si="4"/>
        <v>2.29</v>
      </c>
    </row>
    <row r="318" spans="2:21" x14ac:dyDescent="0.35">
      <c r="B318" s="7" t="s">
        <v>2470</v>
      </c>
      <c r="C318" t="s">
        <v>1819</v>
      </c>
      <c r="D318" s="7" t="s">
        <v>2135</v>
      </c>
      <c r="E318" t="s">
        <v>1555</v>
      </c>
      <c r="F318" t="s">
        <v>1820</v>
      </c>
      <c r="G318" t="s">
        <v>1558</v>
      </c>
      <c r="H318" t="s">
        <v>1821</v>
      </c>
      <c r="I318" s="7">
        <v>3.79</v>
      </c>
      <c r="J318" s="7" t="s">
        <v>2027</v>
      </c>
      <c r="K318" s="7" t="s">
        <v>2027</v>
      </c>
      <c r="L318" s="7" t="s">
        <v>2027</v>
      </c>
      <c r="M318" s="7" t="s">
        <v>2027</v>
      </c>
      <c r="N318" s="7" t="s">
        <v>2025</v>
      </c>
      <c r="O318" s="7" t="s">
        <v>2025</v>
      </c>
      <c r="P318" s="7" t="s">
        <v>2026</v>
      </c>
      <c r="Q318" t="s">
        <v>1772</v>
      </c>
      <c r="R318" s="7" t="s">
        <v>2217</v>
      </c>
      <c r="S318" t="str">
        <f xml:space="preserve"> HYPERLINK("ReviewHtml/review_Okko's_Inn.html", "https://2danicritic.github.io/ReviewHtml/review_Okko's_Inn.html")</f>
        <v>https://2danicritic.github.io/ReviewHtml/review_Okko's_Inn.html</v>
      </c>
      <c r="U318" s="5">
        <f t="shared" si="4"/>
        <v>3.79</v>
      </c>
    </row>
    <row r="319" spans="2:21" x14ac:dyDescent="0.35">
      <c r="B319" s="7" t="s">
        <v>2471</v>
      </c>
      <c r="C319" t="s">
        <v>1273</v>
      </c>
      <c r="D319" s="7" t="s">
        <v>2030</v>
      </c>
      <c r="E319" t="s">
        <v>1555</v>
      </c>
      <c r="F319" t="s">
        <v>682</v>
      </c>
      <c r="G319" t="s">
        <v>1558</v>
      </c>
      <c r="H319" t="s">
        <v>1301</v>
      </c>
      <c r="I319" s="7">
        <v>3.29</v>
      </c>
      <c r="J319" s="7" t="s">
        <v>2027</v>
      </c>
      <c r="K319" s="7" t="s">
        <v>2020</v>
      </c>
      <c r="L319" s="7" t="s">
        <v>2027</v>
      </c>
      <c r="M319" s="7" t="s">
        <v>2027</v>
      </c>
      <c r="N319" s="7" t="s">
        <v>2019</v>
      </c>
      <c r="O319" s="7" t="s">
        <v>2025</v>
      </c>
      <c r="P319" s="7" t="s">
        <v>2020</v>
      </c>
      <c r="Q319" t="s">
        <v>1210</v>
      </c>
      <c r="R319" s="7" t="s">
        <v>2039</v>
      </c>
      <c r="S319" t="str">
        <f xml:space="preserve"> HYPERLINK("ReviewHtml/review_One_Piece_Film_-_Gold.html", "https://2danicritic.github.io/ReviewHtml/review_One_Piece_Film_-_Gold.html")</f>
        <v>https://2danicritic.github.io/ReviewHtml/review_One_Piece_Film_-_Gold.html</v>
      </c>
      <c r="U319" s="5">
        <f t="shared" si="4"/>
        <v>3.29</v>
      </c>
    </row>
    <row r="320" spans="2:21" x14ac:dyDescent="0.35">
      <c r="B320" s="7" t="s">
        <v>2472</v>
      </c>
      <c r="C320" t="s">
        <v>1396</v>
      </c>
      <c r="D320" s="7" t="s">
        <v>2041</v>
      </c>
      <c r="E320" t="s">
        <v>1555</v>
      </c>
      <c r="F320" t="s">
        <v>682</v>
      </c>
      <c r="G320" t="s">
        <v>1558</v>
      </c>
      <c r="H320" t="s">
        <v>1451</v>
      </c>
      <c r="I320" s="7">
        <v>2.86</v>
      </c>
      <c r="J320" s="7" t="s">
        <v>2020</v>
      </c>
      <c r="K320" s="7" t="s">
        <v>2019</v>
      </c>
      <c r="L320" s="7" t="s">
        <v>2020</v>
      </c>
      <c r="M320" s="7" t="s">
        <v>2027</v>
      </c>
      <c r="N320" s="7" t="s">
        <v>2019</v>
      </c>
      <c r="O320" s="7" t="s">
        <v>2020</v>
      </c>
      <c r="P320" s="7" t="s">
        <v>2019</v>
      </c>
      <c r="Q320" t="s">
        <v>208</v>
      </c>
      <c r="R320" s="7" t="s">
        <v>2232</v>
      </c>
      <c r="S320" t="str">
        <f xml:space="preserve"> HYPERLINK("ReviewHtml/review_One_Piece_Film_-_Z.html", "https://2danicritic.github.io/ReviewHtml/review_One_Piece_Film_-_Z.html")</f>
        <v>https://2danicritic.github.io/ReviewHtml/review_One_Piece_Film_-_Z.html</v>
      </c>
      <c r="U320" s="5">
        <f t="shared" si="4"/>
        <v>2.86</v>
      </c>
    </row>
    <row r="321" spans="2:21" x14ac:dyDescent="0.35">
      <c r="B321" s="7" t="s">
        <v>2473</v>
      </c>
      <c r="C321" t="s">
        <v>995</v>
      </c>
      <c r="D321" s="7" t="s">
        <v>2095</v>
      </c>
      <c r="E321" t="s">
        <v>1555</v>
      </c>
      <c r="F321" t="s">
        <v>695</v>
      </c>
      <c r="G321" t="s">
        <v>1560</v>
      </c>
      <c r="H321" t="s">
        <v>996</v>
      </c>
      <c r="I321" s="7">
        <v>3.21</v>
      </c>
      <c r="J321" s="7" t="s">
        <v>2027</v>
      </c>
      <c r="K321" s="7" t="s">
        <v>2020</v>
      </c>
      <c r="L321" s="7" t="s">
        <v>2027</v>
      </c>
      <c r="M321" s="7" t="s">
        <v>2019</v>
      </c>
      <c r="N321" s="7" t="s">
        <v>2020</v>
      </c>
      <c r="O321" s="7" t="s">
        <v>2027</v>
      </c>
      <c r="P321" s="7" t="s">
        <v>2027</v>
      </c>
      <c r="Q321" t="s">
        <v>124</v>
      </c>
      <c r="R321" s="7" t="s">
        <v>2162</v>
      </c>
      <c r="S321" t="str">
        <f xml:space="preserve"> HYPERLINK("ReviewHtml/review_One_Punch_Man.html", "https://2danicritic.github.io/ReviewHtml/review_One_Punch_Man.html")</f>
        <v>https://2danicritic.github.io/ReviewHtml/review_One_Punch_Man.html</v>
      </c>
      <c r="U321" s="5">
        <f t="shared" si="4"/>
        <v>3.21</v>
      </c>
    </row>
    <row r="322" spans="2:21" x14ac:dyDescent="0.35">
      <c r="B322" s="7" t="s">
        <v>2474</v>
      </c>
      <c r="C322" t="s">
        <v>2475</v>
      </c>
      <c r="D322" s="7" t="s">
        <v>2197</v>
      </c>
      <c r="E322" t="s">
        <v>1555</v>
      </c>
      <c r="F322" t="s">
        <v>2476</v>
      </c>
      <c r="G322" t="s">
        <v>1558</v>
      </c>
      <c r="H322" t="s">
        <v>2477</v>
      </c>
      <c r="I322" s="7">
        <v>3.43</v>
      </c>
      <c r="J322" s="7" t="s">
        <v>2020</v>
      </c>
      <c r="K322" s="7" t="s">
        <v>2019</v>
      </c>
      <c r="L322" s="7" t="s">
        <v>2020</v>
      </c>
      <c r="M322" s="7" t="s">
        <v>2027</v>
      </c>
      <c r="N322" s="7" t="s">
        <v>2027</v>
      </c>
      <c r="O322" s="7" t="s">
        <v>2025</v>
      </c>
      <c r="P322" s="7" t="s">
        <v>2026</v>
      </c>
      <c r="Q322" t="s">
        <v>2009</v>
      </c>
      <c r="R322" s="7" t="s">
        <v>2191</v>
      </c>
      <c r="S322" t="str">
        <f xml:space="preserve"> HYPERLINK("ReviewHtml/review_On-Gaku_-_Our_Sound.html", "https://2danicritic.github.io/ReviewHtml/review_On-Gaku_-_Our_Sound.html")</f>
        <v>https://2danicritic.github.io/ReviewHtml/review_On-Gaku_-_Our_Sound.html</v>
      </c>
      <c r="U322" s="5">
        <f t="shared" si="4"/>
        <v>3.43</v>
      </c>
    </row>
    <row r="323" spans="2:21" x14ac:dyDescent="0.35">
      <c r="B323" s="7" t="s">
        <v>2478</v>
      </c>
      <c r="C323" t="s">
        <v>997</v>
      </c>
      <c r="D323" s="7" t="s">
        <v>2087</v>
      </c>
      <c r="E323" t="s">
        <v>1555</v>
      </c>
      <c r="F323" t="s">
        <v>748</v>
      </c>
      <c r="G323" t="s">
        <v>1558</v>
      </c>
      <c r="H323" t="s">
        <v>844</v>
      </c>
      <c r="I323" s="7">
        <v>3.43</v>
      </c>
      <c r="J323" s="7" t="s">
        <v>2027</v>
      </c>
      <c r="K323" s="7" t="s">
        <v>2020</v>
      </c>
      <c r="L323" s="7" t="s">
        <v>2020</v>
      </c>
      <c r="M323" s="7" t="s">
        <v>2027</v>
      </c>
      <c r="N323" s="7" t="s">
        <v>2025</v>
      </c>
      <c r="O323" s="7" t="s">
        <v>2020</v>
      </c>
      <c r="P323" s="7" t="s">
        <v>2025</v>
      </c>
      <c r="Q323" t="s">
        <v>111</v>
      </c>
      <c r="R323" s="7" t="s">
        <v>2238</v>
      </c>
      <c r="S323" t="str">
        <f xml:space="preserve"> HYPERLINK("ReviewHtml/review_Only_Yesterday.html", "https://2danicritic.github.io/ReviewHtml/review_Only_Yesterday.html")</f>
        <v>https://2danicritic.github.io/ReviewHtml/review_Only_Yesterday.html</v>
      </c>
      <c r="U323" s="5">
        <f t="shared" si="4"/>
        <v>3.43</v>
      </c>
    </row>
    <row r="324" spans="2:21" x14ac:dyDescent="0.35">
      <c r="B324" s="7" t="s">
        <v>2479</v>
      </c>
      <c r="C324" t="s">
        <v>1739</v>
      </c>
      <c r="D324" s="7" t="s">
        <v>2030</v>
      </c>
      <c r="E324" t="s">
        <v>1555</v>
      </c>
      <c r="F324" t="s">
        <v>916</v>
      </c>
      <c r="G324" t="s">
        <v>1560</v>
      </c>
      <c r="H324" t="s">
        <v>1672</v>
      </c>
      <c r="I324" s="7">
        <v>3.64</v>
      </c>
      <c r="J324" s="7" t="s">
        <v>2020</v>
      </c>
      <c r="K324" s="7" t="s">
        <v>2025</v>
      </c>
      <c r="L324" s="7" t="s">
        <v>2027</v>
      </c>
      <c r="M324" s="7" t="s">
        <v>2025</v>
      </c>
      <c r="N324" s="7" t="s">
        <v>2027</v>
      </c>
      <c r="O324" s="7" t="s">
        <v>2025</v>
      </c>
      <c r="P324" s="7" t="s">
        <v>2027</v>
      </c>
      <c r="Q324" t="s">
        <v>101</v>
      </c>
      <c r="R324" s="7" t="s">
        <v>2021</v>
      </c>
      <c r="S324" t="str">
        <f xml:space="preserve"> HYPERLINK("ReviewHtml/review_Orange.html", "https://2danicritic.github.io/ReviewHtml/review_Orange.html")</f>
        <v>https://2danicritic.github.io/ReviewHtml/review_Orange.html</v>
      </c>
      <c r="U324" s="5">
        <f t="shared" ref="U324:U387" si="5">VALUE(I324)</f>
        <v>3.64</v>
      </c>
    </row>
    <row r="325" spans="2:21" x14ac:dyDescent="0.35">
      <c r="B325" s="7" t="s">
        <v>2480</v>
      </c>
      <c r="C325" t="s">
        <v>1397</v>
      </c>
      <c r="D325" s="7" t="s">
        <v>2051</v>
      </c>
      <c r="E325" t="s">
        <v>1555</v>
      </c>
      <c r="F325" t="s">
        <v>665</v>
      </c>
      <c r="G325" t="s">
        <v>1558</v>
      </c>
      <c r="H325" t="s">
        <v>1452</v>
      </c>
      <c r="I325" s="7">
        <v>3.43</v>
      </c>
      <c r="J325" s="7" t="s">
        <v>2027</v>
      </c>
      <c r="K325" s="7" t="s">
        <v>2027</v>
      </c>
      <c r="L325" s="7" t="s">
        <v>2025</v>
      </c>
      <c r="M325" s="7" t="s">
        <v>2027</v>
      </c>
      <c r="N325" s="7" t="s">
        <v>2020</v>
      </c>
      <c r="O325" s="7" t="s">
        <v>2020</v>
      </c>
      <c r="P325" s="7" t="s">
        <v>2027</v>
      </c>
      <c r="Q325" t="s">
        <v>1348</v>
      </c>
      <c r="R325" s="7" t="s">
        <v>2217</v>
      </c>
      <c r="S325" t="str">
        <f xml:space="preserve"> HYPERLINK("ReviewHtml/review_Origin_-_Spirits_of_the_Past.html", "https://2danicritic.github.io/ReviewHtml/review_Origin_-_Spirits_of_the_Past.html")</f>
        <v>https://2danicritic.github.io/ReviewHtml/review_Origin_-_Spirits_of_the_Past.html</v>
      </c>
      <c r="U325" s="5">
        <f t="shared" si="5"/>
        <v>3.43</v>
      </c>
    </row>
    <row r="326" spans="2:21" x14ac:dyDescent="0.35">
      <c r="B326" s="7" t="s">
        <v>2481</v>
      </c>
      <c r="C326" t="s">
        <v>1913</v>
      </c>
      <c r="D326" s="7" t="s">
        <v>2102</v>
      </c>
      <c r="E326" t="s">
        <v>1555</v>
      </c>
      <c r="F326" t="s">
        <v>776</v>
      </c>
      <c r="G326" t="s">
        <v>1560</v>
      </c>
      <c r="H326" t="s">
        <v>1914</v>
      </c>
      <c r="I326" s="7">
        <v>2.79</v>
      </c>
      <c r="J326" s="7" t="s">
        <v>2020</v>
      </c>
      <c r="K326" s="7" t="s">
        <v>2020</v>
      </c>
      <c r="L326" s="7" t="s">
        <v>2020</v>
      </c>
      <c r="M326" s="7" t="s">
        <v>2019</v>
      </c>
      <c r="N326" s="7" t="s">
        <v>2019</v>
      </c>
      <c r="O326" s="7" t="s">
        <v>2020</v>
      </c>
      <c r="P326" s="7" t="s">
        <v>2019</v>
      </c>
      <c r="Q326" t="s">
        <v>1881</v>
      </c>
      <c r="R326" s="7" t="s">
        <v>2049</v>
      </c>
      <c r="S326" t="str">
        <f xml:space="preserve"> HYPERLINK("ReviewHtml/review_Outbreak_Company.html", "https://2danicritic.github.io/ReviewHtml/review_Outbreak_Company.html")</f>
        <v>https://2danicritic.github.io/ReviewHtml/review_Outbreak_Company.html</v>
      </c>
      <c r="U326" s="5">
        <f t="shared" si="5"/>
        <v>2.79</v>
      </c>
    </row>
    <row r="327" spans="2:21" x14ac:dyDescent="0.35">
      <c r="B327" s="7" t="s">
        <v>2482</v>
      </c>
      <c r="C327" t="s">
        <v>1822</v>
      </c>
      <c r="D327" s="7" t="s">
        <v>2095</v>
      </c>
      <c r="E327" t="s">
        <v>1555</v>
      </c>
      <c r="F327" t="s">
        <v>695</v>
      </c>
      <c r="G327" t="s">
        <v>1560</v>
      </c>
      <c r="H327" t="s">
        <v>1823</v>
      </c>
      <c r="I327" s="7">
        <v>3.5</v>
      </c>
      <c r="J327" s="7" t="s">
        <v>2020</v>
      </c>
      <c r="K327" s="7" t="s">
        <v>2027</v>
      </c>
      <c r="L327" s="7" t="s">
        <v>2027</v>
      </c>
      <c r="M327" s="7" t="s">
        <v>2025</v>
      </c>
      <c r="N327" s="7" t="s">
        <v>2020</v>
      </c>
      <c r="O327" s="7" t="s">
        <v>2025</v>
      </c>
      <c r="P327" s="7" t="s">
        <v>2027</v>
      </c>
      <c r="Q327" t="s">
        <v>1773</v>
      </c>
      <c r="R327" s="7" t="s">
        <v>2021</v>
      </c>
      <c r="S327" t="str">
        <f xml:space="preserve"> HYPERLINK("ReviewHtml/review_Overlord.html", "https://2danicritic.github.io/ReviewHtml/review_Overlord.html")</f>
        <v>https://2danicritic.github.io/ReviewHtml/review_Overlord.html</v>
      </c>
      <c r="U327" s="5">
        <f t="shared" si="5"/>
        <v>3.5</v>
      </c>
    </row>
    <row r="328" spans="2:21" x14ac:dyDescent="0.35">
      <c r="B328" s="7" t="s">
        <v>2021</v>
      </c>
      <c r="C328" t="s">
        <v>998</v>
      </c>
      <c r="D328" s="7" t="s">
        <v>2035</v>
      </c>
      <c r="E328" t="s">
        <v>1555</v>
      </c>
      <c r="F328" t="s">
        <v>966</v>
      </c>
      <c r="G328" t="s">
        <v>1560</v>
      </c>
      <c r="H328" t="s">
        <v>896</v>
      </c>
      <c r="I328" s="7">
        <v>3.36</v>
      </c>
      <c r="J328" s="7" t="s">
        <v>2020</v>
      </c>
      <c r="K328" s="7" t="s">
        <v>2020</v>
      </c>
      <c r="L328" s="7" t="s">
        <v>2027</v>
      </c>
      <c r="M328" s="7" t="s">
        <v>2026</v>
      </c>
      <c r="N328" s="7" t="s">
        <v>2019</v>
      </c>
      <c r="O328" s="7" t="s">
        <v>2027</v>
      </c>
      <c r="P328" s="7" t="s">
        <v>2027</v>
      </c>
      <c r="Q328" t="s">
        <v>221</v>
      </c>
      <c r="R328" s="7" t="s">
        <v>2021</v>
      </c>
      <c r="S328" t="str">
        <f xml:space="preserve"> HYPERLINK("ReviewHtml/review_Panty_and_Stocking_with_Garterbelt.html", "https://2danicritic.github.io/ReviewHtml/review_Panty_and_Stocking_with_Garterbelt.html")</f>
        <v>https://2danicritic.github.io/ReviewHtml/review_Panty_and_Stocking_with_Garterbelt.html</v>
      </c>
      <c r="U328" s="5">
        <f t="shared" si="5"/>
        <v>3.36</v>
      </c>
    </row>
    <row r="329" spans="2:21" x14ac:dyDescent="0.35">
      <c r="B329" s="7" t="s">
        <v>2483</v>
      </c>
      <c r="C329" t="s">
        <v>999</v>
      </c>
      <c r="D329" s="7" t="s">
        <v>2051</v>
      </c>
      <c r="E329" t="s">
        <v>1555</v>
      </c>
      <c r="F329" t="s">
        <v>695</v>
      </c>
      <c r="G329" t="s">
        <v>1558</v>
      </c>
      <c r="H329" t="s">
        <v>1000</v>
      </c>
      <c r="I329" s="7">
        <v>4.21</v>
      </c>
      <c r="J329" s="7" t="s">
        <v>2025</v>
      </c>
      <c r="K329" s="7" t="s">
        <v>2033</v>
      </c>
      <c r="L329" s="7" t="s">
        <v>2033</v>
      </c>
      <c r="M329" s="7" t="s">
        <v>2029</v>
      </c>
      <c r="N329" s="7" t="s">
        <v>2027</v>
      </c>
      <c r="O329" s="7" t="s">
        <v>2033</v>
      </c>
      <c r="P329" s="7" t="s">
        <v>2033</v>
      </c>
      <c r="Q329" t="s">
        <v>222</v>
      </c>
      <c r="R329" s="7" t="s">
        <v>2212</v>
      </c>
      <c r="S329" t="str">
        <f xml:space="preserve"> HYPERLINK("ReviewHtml/review_Paprika.html", "https://2danicritic.github.io/ReviewHtml/review_Paprika.html")</f>
        <v>https://2danicritic.github.io/ReviewHtml/review_Paprika.html</v>
      </c>
      <c r="U329" s="5">
        <f t="shared" si="5"/>
        <v>4.21</v>
      </c>
    </row>
    <row r="330" spans="2:21" x14ac:dyDescent="0.35">
      <c r="B330" s="7" t="s">
        <v>2484</v>
      </c>
      <c r="C330" t="s">
        <v>1274</v>
      </c>
      <c r="D330" s="7" t="s">
        <v>2167</v>
      </c>
      <c r="E330" t="s">
        <v>1555</v>
      </c>
      <c r="F330" t="s">
        <v>695</v>
      </c>
      <c r="G330" t="s">
        <v>1560</v>
      </c>
      <c r="H330" t="s">
        <v>1000</v>
      </c>
      <c r="I330" s="7">
        <v>3.71</v>
      </c>
      <c r="J330" s="7" t="s">
        <v>2027</v>
      </c>
      <c r="K330" s="7" t="s">
        <v>2027</v>
      </c>
      <c r="L330" s="7" t="s">
        <v>2027</v>
      </c>
      <c r="M330" s="7" t="s">
        <v>2020</v>
      </c>
      <c r="N330" s="7" t="s">
        <v>2025</v>
      </c>
      <c r="O330" s="7" t="s">
        <v>2025</v>
      </c>
      <c r="P330" s="7" t="s">
        <v>2026</v>
      </c>
      <c r="Q330" t="s">
        <v>1211</v>
      </c>
      <c r="R330" s="7" t="s">
        <v>2021</v>
      </c>
      <c r="S330" t="str">
        <f xml:space="preserve"> HYPERLINK("ReviewHtml/review_Paranoia_Agent.html", "https://2danicritic.github.io/ReviewHtml/review_Paranoia_Agent.html")</f>
        <v>https://2danicritic.github.io/ReviewHtml/review_Paranoia_Agent.html</v>
      </c>
      <c r="U330" s="5">
        <f t="shared" si="5"/>
        <v>3.71</v>
      </c>
    </row>
    <row r="331" spans="2:21" x14ac:dyDescent="0.35">
      <c r="B331" s="7" t="s">
        <v>2485</v>
      </c>
      <c r="C331" t="s">
        <v>1001</v>
      </c>
      <c r="D331" s="7" t="s">
        <v>2171</v>
      </c>
      <c r="E331" t="s">
        <v>1555</v>
      </c>
      <c r="F331" t="s">
        <v>1002</v>
      </c>
      <c r="G331" t="s">
        <v>1561</v>
      </c>
      <c r="H331" t="s">
        <v>223</v>
      </c>
      <c r="I331" s="7">
        <v>2.36</v>
      </c>
      <c r="J331" s="7" t="s">
        <v>2029</v>
      </c>
      <c r="K331" s="7" t="s">
        <v>2029</v>
      </c>
      <c r="L331" s="7" t="s">
        <v>2029</v>
      </c>
      <c r="M331" s="7" t="s">
        <v>2141</v>
      </c>
      <c r="N331" s="7" t="s">
        <v>2025</v>
      </c>
      <c r="O331" s="7" t="s">
        <v>2020</v>
      </c>
      <c r="P331" s="7" t="s">
        <v>2029</v>
      </c>
      <c r="Q331" t="s">
        <v>224</v>
      </c>
      <c r="R331" s="7" t="s">
        <v>2212</v>
      </c>
      <c r="S331" t="str">
        <f xml:space="preserve"> HYPERLINK("ReviewHtml/review_Parasite_Dolls.html", "https://2danicritic.github.io/ReviewHtml/review_Parasite_Dolls.html")</f>
        <v>https://2danicritic.github.io/ReviewHtml/review_Parasite_Dolls.html</v>
      </c>
      <c r="U331" s="5">
        <f t="shared" si="5"/>
        <v>2.36</v>
      </c>
    </row>
    <row r="332" spans="2:21" x14ac:dyDescent="0.35">
      <c r="B332" s="7" t="s">
        <v>2486</v>
      </c>
      <c r="C332" t="s">
        <v>1740</v>
      </c>
      <c r="D332" s="7" t="s">
        <v>2102</v>
      </c>
      <c r="E332" t="s">
        <v>1555</v>
      </c>
      <c r="F332" t="s">
        <v>1138</v>
      </c>
      <c r="G332" t="s">
        <v>1558</v>
      </c>
      <c r="H332" t="s">
        <v>1741</v>
      </c>
      <c r="I332" s="7">
        <v>3.5</v>
      </c>
      <c r="J332" s="7" t="s">
        <v>2020</v>
      </c>
      <c r="K332" s="7" t="s">
        <v>2027</v>
      </c>
      <c r="L332" s="7" t="s">
        <v>2027</v>
      </c>
      <c r="M332" s="7" t="s">
        <v>2027</v>
      </c>
      <c r="N332" s="7" t="s">
        <v>2025</v>
      </c>
      <c r="O332" s="7" t="s">
        <v>2027</v>
      </c>
      <c r="P332" s="7" t="s">
        <v>2027</v>
      </c>
      <c r="Q332" t="s">
        <v>1673</v>
      </c>
      <c r="R332" s="7" t="s">
        <v>2221</v>
      </c>
      <c r="S332" t="str">
        <f xml:space="preserve"> HYPERLINK("ReviewHtml/review_Patema_Inverted.html", "https://2danicritic.github.io/ReviewHtml/review_Patema_Inverted.html")</f>
        <v>https://2danicritic.github.io/ReviewHtml/review_Patema_Inverted.html</v>
      </c>
      <c r="U332" s="5">
        <f t="shared" si="5"/>
        <v>3.5</v>
      </c>
    </row>
    <row r="333" spans="2:21" x14ac:dyDescent="0.35">
      <c r="B333" s="7" t="s">
        <v>2368</v>
      </c>
      <c r="C333" t="s">
        <v>1003</v>
      </c>
      <c r="D333" s="7" t="s">
        <v>2460</v>
      </c>
      <c r="E333" t="s">
        <v>1555</v>
      </c>
      <c r="F333" t="s">
        <v>732</v>
      </c>
      <c r="G333" t="s">
        <v>1558</v>
      </c>
      <c r="H333" t="s">
        <v>837</v>
      </c>
      <c r="I333" s="7">
        <v>3.71</v>
      </c>
      <c r="J333" s="7" t="s">
        <v>2025</v>
      </c>
      <c r="K333" s="7" t="s">
        <v>2025</v>
      </c>
      <c r="L333" s="7" t="s">
        <v>2027</v>
      </c>
      <c r="M333" s="7" t="s">
        <v>2020</v>
      </c>
      <c r="N333" s="7" t="s">
        <v>2027</v>
      </c>
      <c r="O333" s="7" t="s">
        <v>2020</v>
      </c>
      <c r="P333" s="7" t="s">
        <v>2033</v>
      </c>
      <c r="Q333" t="s">
        <v>225</v>
      </c>
      <c r="R333" s="7" t="s">
        <v>2236</v>
      </c>
      <c r="S333" t="str">
        <f xml:space="preserve"> HYPERLINK("ReviewHtml/review_Patlabor_2.html", "https://2danicritic.github.io/ReviewHtml/review_Patlabor_2.html")</f>
        <v>https://2danicritic.github.io/ReviewHtml/review_Patlabor_2.html</v>
      </c>
      <c r="U333" s="5">
        <f t="shared" si="5"/>
        <v>3.71</v>
      </c>
    </row>
    <row r="334" spans="2:21" x14ac:dyDescent="0.35">
      <c r="B334" s="7" t="s">
        <v>2487</v>
      </c>
      <c r="C334" t="s">
        <v>1398</v>
      </c>
      <c r="D334" s="7" t="s">
        <v>2135</v>
      </c>
      <c r="E334" t="s">
        <v>1555</v>
      </c>
      <c r="F334" t="s">
        <v>1151</v>
      </c>
      <c r="G334" t="s">
        <v>1558</v>
      </c>
      <c r="H334" t="s">
        <v>1453</v>
      </c>
      <c r="I334" s="7">
        <v>3.71</v>
      </c>
      <c r="J334" s="7" t="s">
        <v>2027</v>
      </c>
      <c r="K334" s="7" t="s">
        <v>2025</v>
      </c>
      <c r="L334" s="7" t="s">
        <v>2027</v>
      </c>
      <c r="M334" s="7" t="s">
        <v>2020</v>
      </c>
      <c r="N334" s="7" t="s">
        <v>2025</v>
      </c>
      <c r="O334" s="7" t="s">
        <v>2025</v>
      </c>
      <c r="P334" s="7" t="s">
        <v>2025</v>
      </c>
      <c r="Q334" t="s">
        <v>1320</v>
      </c>
      <c r="R334" s="7" t="s">
        <v>2239</v>
      </c>
      <c r="S334" t="str">
        <f xml:space="preserve"> HYPERLINK("ReviewHtml/review_Penguin_Highway.html", "https://2danicritic.github.io/ReviewHtml/review_Penguin_Highway.html")</f>
        <v>https://2danicritic.github.io/ReviewHtml/review_Penguin_Highway.html</v>
      </c>
      <c r="U334" s="5">
        <f t="shared" si="5"/>
        <v>3.71</v>
      </c>
    </row>
    <row r="335" spans="2:21" x14ac:dyDescent="0.35">
      <c r="B335" s="7" t="s">
        <v>2488</v>
      </c>
      <c r="C335" t="s">
        <v>1004</v>
      </c>
      <c r="D335" s="7" t="s">
        <v>2390</v>
      </c>
      <c r="E335" t="s">
        <v>1555</v>
      </c>
      <c r="F335" t="s">
        <v>695</v>
      </c>
      <c r="G335" t="s">
        <v>1558</v>
      </c>
      <c r="H335" t="s">
        <v>1000</v>
      </c>
      <c r="I335" s="7">
        <v>3.71</v>
      </c>
      <c r="J335" s="7" t="s">
        <v>2020</v>
      </c>
      <c r="K335" s="7" t="s">
        <v>2019</v>
      </c>
      <c r="L335" s="7" t="s">
        <v>2025</v>
      </c>
      <c r="M335" s="7" t="s">
        <v>2019</v>
      </c>
      <c r="N335" s="7" t="s">
        <v>2033</v>
      </c>
      <c r="O335" s="7" t="s">
        <v>2025</v>
      </c>
      <c r="P335" s="7" t="s">
        <v>2033</v>
      </c>
      <c r="Q335" t="s">
        <v>226</v>
      </c>
      <c r="R335" s="7" t="s">
        <v>2202</v>
      </c>
      <c r="S335" t="str">
        <f xml:space="preserve"> HYPERLINK("ReviewHtml/review_Perfect_Blue.html", "https://2danicritic.github.io/ReviewHtml/review_Perfect_Blue.html")</f>
        <v>https://2danicritic.github.io/ReviewHtml/review_Perfect_Blue.html</v>
      </c>
      <c r="U335" s="5">
        <f t="shared" si="5"/>
        <v>3.71</v>
      </c>
    </row>
    <row r="336" spans="2:21" x14ac:dyDescent="0.35">
      <c r="B336" s="7" t="s">
        <v>2489</v>
      </c>
      <c r="C336" t="s">
        <v>1005</v>
      </c>
      <c r="D336" s="7" t="s">
        <v>2023</v>
      </c>
      <c r="E336" t="s">
        <v>1559</v>
      </c>
      <c r="F336" t="s">
        <v>1006</v>
      </c>
      <c r="G336" t="s">
        <v>1558</v>
      </c>
      <c r="H336" t="s">
        <v>227</v>
      </c>
      <c r="I336" s="7">
        <v>3.21</v>
      </c>
      <c r="J336" s="7" t="s">
        <v>2020</v>
      </c>
      <c r="K336" s="7" t="s">
        <v>2020</v>
      </c>
      <c r="L336" s="7" t="s">
        <v>2020</v>
      </c>
      <c r="M336" s="7" t="s">
        <v>2027</v>
      </c>
      <c r="N336" s="7" t="s">
        <v>2027</v>
      </c>
      <c r="O336" s="7" t="s">
        <v>2019</v>
      </c>
      <c r="P336" s="7" t="s">
        <v>2025</v>
      </c>
      <c r="Q336" t="s">
        <v>228</v>
      </c>
      <c r="R336" s="7" t="s">
        <v>2082</v>
      </c>
      <c r="S336" t="str">
        <f xml:space="preserve"> HYPERLINK("ReviewHtml/review_Persepolis.html", "https://2danicritic.github.io/ReviewHtml/review_Persepolis.html")</f>
        <v>https://2danicritic.github.io/ReviewHtml/review_Persepolis.html</v>
      </c>
      <c r="U336" s="5">
        <f t="shared" si="5"/>
        <v>3.21</v>
      </c>
    </row>
    <row r="337" spans="2:21" x14ac:dyDescent="0.35">
      <c r="B337" s="7" t="s">
        <v>2490</v>
      </c>
      <c r="C337" t="s">
        <v>229</v>
      </c>
      <c r="D337" s="7" t="s">
        <v>2102</v>
      </c>
      <c r="E337" t="s">
        <v>1555</v>
      </c>
      <c r="F337" t="s">
        <v>716</v>
      </c>
      <c r="G337" t="s">
        <v>1558</v>
      </c>
      <c r="H337" t="s">
        <v>230</v>
      </c>
      <c r="I337" s="7">
        <v>2</v>
      </c>
      <c r="J337" s="7" t="s">
        <v>2029</v>
      </c>
      <c r="K337" s="7" t="s">
        <v>2020</v>
      </c>
      <c r="L337" s="7" t="s">
        <v>2033</v>
      </c>
      <c r="M337" s="7" t="s">
        <v>2022</v>
      </c>
      <c r="N337" s="7" t="s">
        <v>2022</v>
      </c>
      <c r="O337" s="7" t="s">
        <v>2022</v>
      </c>
      <c r="P337" s="7" t="s">
        <v>2022</v>
      </c>
      <c r="Q337" t="s">
        <v>147</v>
      </c>
      <c r="R337" s="7" t="s">
        <v>2491</v>
      </c>
      <c r="S337" t="str">
        <f xml:space="preserve"> HYPERLINK("ReviewHtml/review_Persona_3_The_Movie_-_Spring_of_Birth,_Midsummer_Knight's_Dream,_Falling_Down,_Winter_of_Rebirth.html", "https://2danicritic.github.io/ReviewHtml/review_Persona_3_The_Movie_-_Spring_of_Birth,_Midsummer_Knight's_Dream,_Falling_Down,_Winter_of_Rebirth.html")</f>
        <v>https://2danicritic.github.io/ReviewHtml/review_Persona_3_The_Movie_-_Spring_of_Birth,_Midsummer_Knight's_Dream,_Falling_Down,_Winter_of_Rebirth.html</v>
      </c>
      <c r="U337" s="5">
        <f t="shared" si="5"/>
        <v>2</v>
      </c>
    </row>
    <row r="338" spans="2:21" x14ac:dyDescent="0.35">
      <c r="B338" s="7" t="s">
        <v>2492</v>
      </c>
      <c r="C338" t="s">
        <v>1007</v>
      </c>
      <c r="D338" s="7" t="s">
        <v>2037</v>
      </c>
      <c r="E338" t="s">
        <v>1555</v>
      </c>
      <c r="F338" t="s">
        <v>1008</v>
      </c>
      <c r="G338" t="s">
        <v>1560</v>
      </c>
      <c r="H338" t="s">
        <v>1009</v>
      </c>
      <c r="I338" s="7">
        <v>3.64</v>
      </c>
      <c r="J338" s="7" t="s">
        <v>2020</v>
      </c>
      <c r="K338" s="7" t="s">
        <v>2027</v>
      </c>
      <c r="L338" s="7" t="s">
        <v>2026</v>
      </c>
      <c r="M338" s="7" t="s">
        <v>2025</v>
      </c>
      <c r="N338" s="7" t="s">
        <v>2020</v>
      </c>
      <c r="O338" s="7" t="s">
        <v>2027</v>
      </c>
      <c r="P338" s="7" t="s">
        <v>2025</v>
      </c>
      <c r="Q338" t="s">
        <v>231</v>
      </c>
      <c r="R338" s="7" t="s">
        <v>2077</v>
      </c>
      <c r="S338" t="str">
        <f xml:space="preserve"> HYPERLINK("ReviewHtml/review_Persona_4_-_The_Animation.html", "https://2danicritic.github.io/ReviewHtml/review_Persona_4_-_The_Animation.html")</f>
        <v>https://2danicritic.github.io/ReviewHtml/review_Persona_4_-_The_Animation.html</v>
      </c>
      <c r="U338" s="5">
        <f t="shared" si="5"/>
        <v>3.64</v>
      </c>
    </row>
    <row r="339" spans="2:21" x14ac:dyDescent="0.35">
      <c r="B339" s="7" t="s">
        <v>2493</v>
      </c>
      <c r="C339" t="s">
        <v>1010</v>
      </c>
      <c r="D339" s="7" t="s">
        <v>2076</v>
      </c>
      <c r="E339" t="s">
        <v>1555</v>
      </c>
      <c r="F339" t="s">
        <v>1011</v>
      </c>
      <c r="G339" t="s">
        <v>1560</v>
      </c>
      <c r="H339" t="s">
        <v>789</v>
      </c>
      <c r="I339" s="7">
        <v>4.21</v>
      </c>
      <c r="J339" s="7" t="s">
        <v>2025</v>
      </c>
      <c r="K339" s="7" t="s">
        <v>2025</v>
      </c>
      <c r="L339" s="7" t="s">
        <v>2025</v>
      </c>
      <c r="M339" s="7" t="s">
        <v>2026</v>
      </c>
      <c r="N339" s="7" t="s">
        <v>2026</v>
      </c>
      <c r="O339" s="7" t="s">
        <v>2027</v>
      </c>
      <c r="P339" s="7" t="s">
        <v>2033</v>
      </c>
      <c r="Q339" t="s">
        <v>232</v>
      </c>
      <c r="R339" s="7" t="s">
        <v>2133</v>
      </c>
      <c r="S339" t="str">
        <f xml:space="preserve"> HYPERLINK("ReviewHtml/review_Ping_Pong_the_Animation.html", "https://2danicritic.github.io/ReviewHtml/review_Ping_Pong_the_Animation.html")</f>
        <v>https://2danicritic.github.io/ReviewHtml/review_Ping_Pong_the_Animation.html</v>
      </c>
      <c r="U339" s="5">
        <f t="shared" si="5"/>
        <v>4.21</v>
      </c>
    </row>
    <row r="340" spans="2:21" x14ac:dyDescent="0.35">
      <c r="B340" s="7" t="s">
        <v>2494</v>
      </c>
      <c r="C340" t="s">
        <v>1399</v>
      </c>
      <c r="D340" s="7" t="s">
        <v>2030</v>
      </c>
      <c r="E340" t="s">
        <v>1555</v>
      </c>
      <c r="F340" t="s">
        <v>1430</v>
      </c>
      <c r="G340" t="s">
        <v>1609</v>
      </c>
      <c r="H340" t="s">
        <v>1454</v>
      </c>
      <c r="I340" s="7">
        <v>3.07</v>
      </c>
      <c r="J340" s="7" t="s">
        <v>2020</v>
      </c>
      <c r="K340" s="7" t="s">
        <v>2020</v>
      </c>
      <c r="L340" s="7" t="s">
        <v>2027</v>
      </c>
      <c r="M340" s="7" t="s">
        <v>2027</v>
      </c>
      <c r="N340" s="7" t="s">
        <v>2020</v>
      </c>
      <c r="O340" s="7" t="s">
        <v>2019</v>
      </c>
      <c r="P340" s="7" t="s">
        <v>2020</v>
      </c>
      <c r="Q340" t="s">
        <v>1215</v>
      </c>
      <c r="R340" s="7" t="s">
        <v>2345</v>
      </c>
      <c r="S340" t="str">
        <f xml:space="preserve"> HYPERLINK("ReviewHtml/review_Planetarian.html", "https://2danicritic.github.io/ReviewHtml/review_Planetarian.html")</f>
        <v>https://2danicritic.github.io/ReviewHtml/review_Planetarian.html</v>
      </c>
      <c r="U340" s="5">
        <f t="shared" si="5"/>
        <v>3.07</v>
      </c>
    </row>
    <row r="341" spans="2:21" x14ac:dyDescent="0.35">
      <c r="B341" s="7" t="s">
        <v>2495</v>
      </c>
      <c r="C341" t="s">
        <v>1325</v>
      </c>
      <c r="D341" s="7" t="s">
        <v>2171</v>
      </c>
      <c r="E341" t="s">
        <v>1555</v>
      </c>
      <c r="F341" t="s">
        <v>760</v>
      </c>
      <c r="G341" t="s">
        <v>1560</v>
      </c>
      <c r="H341" t="s">
        <v>763</v>
      </c>
      <c r="I341" s="7">
        <v>3.07</v>
      </c>
      <c r="J341" s="7" t="s">
        <v>2019</v>
      </c>
      <c r="K341" s="7" t="s">
        <v>2020</v>
      </c>
      <c r="L341" s="7" t="s">
        <v>2020</v>
      </c>
      <c r="M341" s="7" t="s">
        <v>2020</v>
      </c>
      <c r="N341" s="7" t="s">
        <v>2025</v>
      </c>
      <c r="O341" s="7" t="s">
        <v>2019</v>
      </c>
      <c r="P341" s="7" t="s">
        <v>2027</v>
      </c>
      <c r="Q341" t="s">
        <v>1321</v>
      </c>
      <c r="R341" s="7" t="s">
        <v>2114</v>
      </c>
      <c r="S341" t="str">
        <f xml:space="preserve"> HYPERLINK("ReviewHtml/review_Planetes.html", "https://2danicritic.github.io/ReviewHtml/review_Planetes.html")</f>
        <v>https://2danicritic.github.io/ReviewHtml/review_Planetes.html</v>
      </c>
      <c r="U341" s="5">
        <f t="shared" si="5"/>
        <v>3.07</v>
      </c>
    </row>
    <row r="342" spans="2:21" x14ac:dyDescent="0.35">
      <c r="B342" s="7" t="s">
        <v>2250</v>
      </c>
      <c r="C342" t="s">
        <v>1742</v>
      </c>
      <c r="D342" s="7" t="s">
        <v>2496</v>
      </c>
      <c r="E342" t="s">
        <v>1555</v>
      </c>
      <c r="F342" t="s">
        <v>1743</v>
      </c>
      <c r="G342" t="s">
        <v>1558</v>
      </c>
      <c r="H342" t="s">
        <v>1744</v>
      </c>
      <c r="I342" s="7">
        <v>3.43</v>
      </c>
      <c r="J342" s="7" t="s">
        <v>2019</v>
      </c>
      <c r="K342" s="7" t="s">
        <v>2020</v>
      </c>
      <c r="L342" s="7" t="s">
        <v>2027</v>
      </c>
      <c r="M342" s="7" t="s">
        <v>2027</v>
      </c>
      <c r="N342" s="7" t="s">
        <v>2027</v>
      </c>
      <c r="O342" s="7" t="s">
        <v>2025</v>
      </c>
      <c r="P342" s="7" t="s">
        <v>2025</v>
      </c>
      <c r="Q342" t="s">
        <v>1674</v>
      </c>
      <c r="R342" s="7" t="s">
        <v>2195</v>
      </c>
      <c r="S342" t="str">
        <f xml:space="preserve"> HYPERLINK("ReviewHtml/review_Pokemon_-_The_First_Movie.html", "https://2danicritic.github.io/ReviewHtml/review_Pokemon_-_The_First_Movie.html")</f>
        <v>https://2danicritic.github.io/ReviewHtml/review_Pokemon_-_The_First_Movie.html</v>
      </c>
      <c r="U342" s="5">
        <f t="shared" si="5"/>
        <v>3.43</v>
      </c>
    </row>
    <row r="343" spans="2:21" x14ac:dyDescent="0.35">
      <c r="B343" s="7" t="s">
        <v>2349</v>
      </c>
      <c r="C343" t="s">
        <v>1012</v>
      </c>
      <c r="D343" s="7" t="s">
        <v>2453</v>
      </c>
      <c r="E343" t="s">
        <v>1555</v>
      </c>
      <c r="F343" t="s">
        <v>1013</v>
      </c>
      <c r="G343" t="s">
        <v>1558</v>
      </c>
      <c r="H343" t="s">
        <v>844</v>
      </c>
      <c r="I343" s="7">
        <v>3.57</v>
      </c>
      <c r="J343" s="7" t="s">
        <v>2027</v>
      </c>
      <c r="K343" s="7" t="s">
        <v>2027</v>
      </c>
      <c r="L343" s="7" t="s">
        <v>2020</v>
      </c>
      <c r="M343" s="7" t="s">
        <v>2027</v>
      </c>
      <c r="N343" s="7" t="s">
        <v>2025</v>
      </c>
      <c r="O343" s="7" t="s">
        <v>2027</v>
      </c>
      <c r="P343" s="7" t="s">
        <v>2025</v>
      </c>
      <c r="Q343" t="s">
        <v>233</v>
      </c>
      <c r="R343" s="7" t="s">
        <v>2239</v>
      </c>
      <c r="S343" t="str">
        <f xml:space="preserve"> HYPERLINK("ReviewHtml/review_Pom_Poko.html", "https://2danicritic.github.io/ReviewHtml/review_Pom_Poko.html")</f>
        <v>https://2danicritic.github.io/ReviewHtml/review_Pom_Poko.html</v>
      </c>
      <c r="U343" s="5">
        <f t="shared" si="5"/>
        <v>3.57</v>
      </c>
    </row>
    <row r="344" spans="2:21" x14ac:dyDescent="0.35">
      <c r="B344" s="7" t="s">
        <v>2497</v>
      </c>
      <c r="C344" t="s">
        <v>1014</v>
      </c>
      <c r="D344" s="7" t="s">
        <v>2154</v>
      </c>
      <c r="E344" t="s">
        <v>1555</v>
      </c>
      <c r="F344" t="s">
        <v>748</v>
      </c>
      <c r="G344" t="s">
        <v>1558</v>
      </c>
      <c r="H344" t="s">
        <v>749</v>
      </c>
      <c r="I344" s="7">
        <v>3.43</v>
      </c>
      <c r="J344" s="7" t="s">
        <v>2025</v>
      </c>
      <c r="K344" s="7" t="s">
        <v>2027</v>
      </c>
      <c r="L344" s="7" t="s">
        <v>2027</v>
      </c>
      <c r="M344" s="7" t="s">
        <v>2020</v>
      </c>
      <c r="N344" s="7" t="s">
        <v>2019</v>
      </c>
      <c r="O344" s="7" t="s">
        <v>2027</v>
      </c>
      <c r="P344" s="7" t="s">
        <v>2025</v>
      </c>
      <c r="Q344" t="s">
        <v>234</v>
      </c>
      <c r="R344" s="7" t="s">
        <v>2227</v>
      </c>
      <c r="S344" t="str">
        <f xml:space="preserve"> HYPERLINK("ReviewHtml/review_Ponyo.html", "https://2danicritic.github.io/ReviewHtml/review_Ponyo.html")</f>
        <v>https://2danicritic.github.io/ReviewHtml/review_Ponyo.html</v>
      </c>
      <c r="U344" s="5">
        <f t="shared" si="5"/>
        <v>3.43</v>
      </c>
    </row>
    <row r="345" spans="2:21" x14ac:dyDescent="0.35">
      <c r="B345" s="7" t="s">
        <v>2498</v>
      </c>
      <c r="C345" t="s">
        <v>1015</v>
      </c>
      <c r="D345" s="7" t="s">
        <v>2499</v>
      </c>
      <c r="E345" t="s">
        <v>1555</v>
      </c>
      <c r="F345" t="s">
        <v>748</v>
      </c>
      <c r="G345" t="s">
        <v>1558</v>
      </c>
      <c r="H345" t="s">
        <v>749</v>
      </c>
      <c r="I345" s="7">
        <v>3.57</v>
      </c>
      <c r="J345" s="7" t="s">
        <v>2027</v>
      </c>
      <c r="K345" s="7" t="s">
        <v>2027</v>
      </c>
      <c r="L345" s="7" t="s">
        <v>2020</v>
      </c>
      <c r="M345" s="7" t="s">
        <v>2027</v>
      </c>
      <c r="N345" s="7" t="s">
        <v>2020</v>
      </c>
      <c r="O345" s="7" t="s">
        <v>2026</v>
      </c>
      <c r="P345" s="7" t="s">
        <v>2025</v>
      </c>
      <c r="Q345" t="s">
        <v>188</v>
      </c>
      <c r="R345" s="7" t="s">
        <v>2217</v>
      </c>
      <c r="S345" t="str">
        <f xml:space="preserve"> HYPERLINK("ReviewHtml/review_Porco_Rosso.html", "https://2danicritic.github.io/ReviewHtml/review_Porco_Rosso.html")</f>
        <v>https://2danicritic.github.io/ReviewHtml/review_Porco_Rosso.html</v>
      </c>
      <c r="U345" s="5">
        <f t="shared" si="5"/>
        <v>3.57</v>
      </c>
    </row>
    <row r="346" spans="2:21" x14ac:dyDescent="0.35">
      <c r="B346" s="7" t="s">
        <v>2500</v>
      </c>
      <c r="C346" t="s">
        <v>1824</v>
      </c>
      <c r="D346" s="7" t="s">
        <v>2035</v>
      </c>
      <c r="E346" t="s">
        <v>1555</v>
      </c>
      <c r="F346" t="s">
        <v>1825</v>
      </c>
      <c r="G346" t="s">
        <v>1560</v>
      </c>
      <c r="H346" t="s">
        <v>688</v>
      </c>
      <c r="I346" s="7">
        <v>3.21</v>
      </c>
      <c r="J346" s="7" t="s">
        <v>2019</v>
      </c>
      <c r="K346" s="7" t="s">
        <v>2020</v>
      </c>
      <c r="L346" s="7" t="s">
        <v>2027</v>
      </c>
      <c r="M346" s="7" t="s">
        <v>2020</v>
      </c>
      <c r="N346" s="7" t="s">
        <v>2027</v>
      </c>
      <c r="O346" s="7" t="s">
        <v>2027</v>
      </c>
      <c r="P346" s="7" t="s">
        <v>2027</v>
      </c>
      <c r="Q346" t="s">
        <v>171</v>
      </c>
      <c r="R346" s="7" t="s">
        <v>2133</v>
      </c>
      <c r="S346" t="str">
        <f xml:space="preserve"> HYPERLINK("ReviewHtml/review_Princess_Jellyfish.html", "https://2danicritic.github.io/ReviewHtml/review_Princess_Jellyfish.html")</f>
        <v>https://2danicritic.github.io/ReviewHtml/review_Princess_Jellyfish.html</v>
      </c>
      <c r="U346" s="5">
        <f t="shared" si="5"/>
        <v>3.21</v>
      </c>
    </row>
    <row r="347" spans="2:21" x14ac:dyDescent="0.35">
      <c r="B347" s="7" t="s">
        <v>2501</v>
      </c>
      <c r="C347" t="s">
        <v>1016</v>
      </c>
      <c r="D347" s="7" t="s">
        <v>2390</v>
      </c>
      <c r="E347" t="s">
        <v>1555</v>
      </c>
      <c r="F347" t="s">
        <v>748</v>
      </c>
      <c r="G347" t="s">
        <v>1558</v>
      </c>
      <c r="H347" t="s">
        <v>749</v>
      </c>
      <c r="I347" s="7">
        <v>4.29</v>
      </c>
      <c r="J347" s="7" t="s">
        <v>2025</v>
      </c>
      <c r="K347" s="7" t="s">
        <v>2026</v>
      </c>
      <c r="L347" s="7" t="s">
        <v>2027</v>
      </c>
      <c r="M347" s="7" t="s">
        <v>2025</v>
      </c>
      <c r="N347" s="7" t="s">
        <v>2033</v>
      </c>
      <c r="O347" s="7" t="s">
        <v>2025</v>
      </c>
      <c r="P347" s="7" t="s">
        <v>2033</v>
      </c>
      <c r="Q347" t="s">
        <v>235</v>
      </c>
      <c r="R347" s="7" t="s">
        <v>2253</v>
      </c>
      <c r="S347" t="str">
        <f xml:space="preserve"> HYPERLINK("ReviewHtml/review_Princess_Mononoke.html", "https://2danicritic.github.io/ReviewHtml/review_Princess_Mononoke.html")</f>
        <v>https://2danicritic.github.io/ReviewHtml/review_Princess_Mononoke.html</v>
      </c>
      <c r="U347" s="5">
        <f t="shared" si="5"/>
        <v>4.29</v>
      </c>
    </row>
    <row r="348" spans="2:21" x14ac:dyDescent="0.35">
      <c r="B348" s="7" t="s">
        <v>2502</v>
      </c>
      <c r="C348" t="s">
        <v>1400</v>
      </c>
      <c r="D348" s="7" t="s">
        <v>2023</v>
      </c>
      <c r="E348" t="s">
        <v>1555</v>
      </c>
      <c r="F348" t="s">
        <v>695</v>
      </c>
      <c r="G348" t="s">
        <v>1560</v>
      </c>
      <c r="H348" t="s">
        <v>1455</v>
      </c>
      <c r="I348" s="7">
        <v>2.5</v>
      </c>
      <c r="J348" s="7" t="s">
        <v>2029</v>
      </c>
      <c r="K348" s="7" t="s">
        <v>2029</v>
      </c>
      <c r="L348" s="7" t="s">
        <v>2027</v>
      </c>
      <c r="M348" s="7" t="s">
        <v>2020</v>
      </c>
      <c r="N348" s="7" t="s">
        <v>2019</v>
      </c>
      <c r="O348" s="7" t="s">
        <v>2019</v>
      </c>
      <c r="P348" s="7" t="s">
        <v>2029</v>
      </c>
      <c r="Q348" t="s">
        <v>218</v>
      </c>
      <c r="R348" s="7" t="s">
        <v>2077</v>
      </c>
      <c r="S348" t="str">
        <f xml:space="preserve"> HYPERLINK("ReviewHtml/review_Princess_Resurrection.html", "https://2danicritic.github.io/ReviewHtml/review_Princess_Resurrection.html")</f>
        <v>https://2danicritic.github.io/ReviewHtml/review_Princess_Resurrection.html</v>
      </c>
      <c r="U348" s="5">
        <f t="shared" si="5"/>
        <v>2.5</v>
      </c>
    </row>
    <row r="349" spans="2:21" x14ac:dyDescent="0.35">
      <c r="B349" s="7" t="s">
        <v>2503</v>
      </c>
      <c r="C349" t="s">
        <v>1017</v>
      </c>
      <c r="D349" s="7" t="s">
        <v>2095</v>
      </c>
      <c r="E349" t="s">
        <v>1555</v>
      </c>
      <c r="F349" t="s">
        <v>1018</v>
      </c>
      <c r="G349" t="s">
        <v>1560</v>
      </c>
      <c r="H349" t="s">
        <v>1019</v>
      </c>
      <c r="I349" s="7">
        <v>3.21</v>
      </c>
      <c r="J349" s="7" t="s">
        <v>2020</v>
      </c>
      <c r="K349" s="7" t="s">
        <v>2020</v>
      </c>
      <c r="L349" s="7" t="s">
        <v>2020</v>
      </c>
      <c r="M349" s="7" t="s">
        <v>2020</v>
      </c>
      <c r="N349" s="7" t="s">
        <v>2020</v>
      </c>
      <c r="O349" s="7" t="s">
        <v>2027</v>
      </c>
      <c r="P349" s="7" t="s">
        <v>2025</v>
      </c>
      <c r="Q349" t="s">
        <v>236</v>
      </c>
      <c r="R349" s="7" t="s">
        <v>2049</v>
      </c>
      <c r="S349" t="str">
        <f xml:space="preserve"> HYPERLINK("ReviewHtml/review_Prison_School.html", "https://2danicritic.github.io/ReviewHtml/review_Prison_School.html")</f>
        <v>https://2danicritic.github.io/ReviewHtml/review_Prison_School.html</v>
      </c>
      <c r="U349" s="5">
        <f t="shared" si="5"/>
        <v>3.21</v>
      </c>
    </row>
    <row r="350" spans="2:21" x14ac:dyDescent="0.35">
      <c r="B350" s="7" t="s">
        <v>2504</v>
      </c>
      <c r="C350" t="s">
        <v>1401</v>
      </c>
      <c r="D350" s="7" t="s">
        <v>2197</v>
      </c>
      <c r="E350" t="s">
        <v>1555</v>
      </c>
      <c r="F350" t="s">
        <v>895</v>
      </c>
      <c r="G350" t="s">
        <v>1558</v>
      </c>
      <c r="H350" t="s">
        <v>896</v>
      </c>
      <c r="I350" s="7">
        <v>3.93</v>
      </c>
      <c r="J350" s="7" t="s">
        <v>2027</v>
      </c>
      <c r="K350" s="7" t="s">
        <v>2026</v>
      </c>
      <c r="L350" s="7" t="s">
        <v>2025</v>
      </c>
      <c r="M350" s="7" t="s">
        <v>2027</v>
      </c>
      <c r="N350" s="7" t="s">
        <v>2027</v>
      </c>
      <c r="O350" s="7" t="s">
        <v>2026</v>
      </c>
      <c r="P350" s="7" t="s">
        <v>2025</v>
      </c>
      <c r="Q350" t="s">
        <v>1349</v>
      </c>
      <c r="R350" s="7" t="s">
        <v>2198</v>
      </c>
      <c r="S350" t="str">
        <f xml:space="preserve"> HYPERLINK("ReviewHtml/review_Promare.html", "https://2danicritic.github.io/ReviewHtml/review_Promare.html")</f>
        <v>https://2danicritic.github.io/ReviewHtml/review_Promare.html</v>
      </c>
      <c r="U350" s="5">
        <f t="shared" si="5"/>
        <v>3.93</v>
      </c>
    </row>
    <row r="351" spans="2:21" x14ac:dyDescent="0.35">
      <c r="B351" s="7" t="s">
        <v>2505</v>
      </c>
      <c r="C351" t="s">
        <v>1020</v>
      </c>
      <c r="D351" s="7" t="s">
        <v>2041</v>
      </c>
      <c r="E351" t="s">
        <v>1555</v>
      </c>
      <c r="F351" t="s">
        <v>760</v>
      </c>
      <c r="G351" t="s">
        <v>1558</v>
      </c>
      <c r="H351" t="s">
        <v>846</v>
      </c>
      <c r="I351" s="7">
        <v>2.93</v>
      </c>
      <c r="J351" s="7" t="s">
        <v>2026</v>
      </c>
      <c r="K351" s="7" t="s">
        <v>2026</v>
      </c>
      <c r="L351" s="7" t="s">
        <v>2029</v>
      </c>
      <c r="M351" s="7" t="s">
        <v>2020</v>
      </c>
      <c r="N351" s="7" t="s">
        <v>2022</v>
      </c>
      <c r="O351" s="7" t="s">
        <v>2027</v>
      </c>
      <c r="P351" s="7" t="s">
        <v>2029</v>
      </c>
      <c r="Q351" t="s">
        <v>345</v>
      </c>
      <c r="R351" s="7" t="s">
        <v>2178</v>
      </c>
      <c r="S351" t="str">
        <f xml:space="preserve"> HYPERLINK("ReviewHtml/review_Psychic_School_Wars.html", "https://2danicritic.github.io/ReviewHtml/review_Psychic_School_Wars.html")</f>
        <v>https://2danicritic.github.io/ReviewHtml/review_Psychic_School_Wars.html</v>
      </c>
      <c r="U351" s="5">
        <f t="shared" si="5"/>
        <v>2.93</v>
      </c>
    </row>
    <row r="352" spans="2:21" x14ac:dyDescent="0.35">
      <c r="B352" s="7" t="s">
        <v>2506</v>
      </c>
      <c r="C352" t="s">
        <v>1402</v>
      </c>
      <c r="D352" s="7" t="s">
        <v>2037</v>
      </c>
      <c r="E352" t="s">
        <v>1555</v>
      </c>
      <c r="F352" t="s">
        <v>690</v>
      </c>
      <c r="G352" t="s">
        <v>1560</v>
      </c>
      <c r="H352" t="s">
        <v>778</v>
      </c>
      <c r="I352" s="7">
        <v>4.29</v>
      </c>
      <c r="J352" s="7" t="s">
        <v>2025</v>
      </c>
      <c r="K352" s="7" t="s">
        <v>2026</v>
      </c>
      <c r="L352" s="7" t="s">
        <v>2026</v>
      </c>
      <c r="M352" s="7" t="s">
        <v>2027</v>
      </c>
      <c r="N352" s="7" t="s">
        <v>2026</v>
      </c>
      <c r="O352" s="7" t="s">
        <v>2025</v>
      </c>
      <c r="P352" s="7" t="s">
        <v>2033</v>
      </c>
      <c r="Q352" t="s">
        <v>192</v>
      </c>
      <c r="R352" s="7" t="s">
        <v>2049</v>
      </c>
      <c r="S352" t="str">
        <f xml:space="preserve"> HYPERLINK("ReviewHtml/review_Puella_Magi_Madoka_Magica.html", "https://2danicritic.github.io/ReviewHtml/review_Puella_Magi_Madoka_Magica.html")</f>
        <v>https://2danicritic.github.io/ReviewHtml/review_Puella_Magi_Madoka_Magica.html</v>
      </c>
      <c r="U352" s="5">
        <f t="shared" si="5"/>
        <v>4.29</v>
      </c>
    </row>
    <row r="353" spans="2:21" x14ac:dyDescent="0.35">
      <c r="B353" s="7" t="s">
        <v>2077</v>
      </c>
      <c r="C353" t="s">
        <v>1021</v>
      </c>
      <c r="D353" s="7" t="s">
        <v>2095</v>
      </c>
      <c r="E353" t="s">
        <v>1555</v>
      </c>
      <c r="F353" t="s">
        <v>869</v>
      </c>
      <c r="G353" t="s">
        <v>1560</v>
      </c>
      <c r="H353" t="s">
        <v>1022</v>
      </c>
      <c r="I353" s="7">
        <v>3.07</v>
      </c>
      <c r="J353" s="7" t="s">
        <v>2020</v>
      </c>
      <c r="K353" s="7" t="s">
        <v>2020</v>
      </c>
      <c r="L353" s="7" t="s">
        <v>2020</v>
      </c>
      <c r="M353" s="7" t="s">
        <v>2027</v>
      </c>
      <c r="N353" s="7" t="s">
        <v>2019</v>
      </c>
      <c r="O353" s="7" t="s">
        <v>2027</v>
      </c>
      <c r="P353" s="7" t="s">
        <v>2020</v>
      </c>
      <c r="Q353" t="s">
        <v>237</v>
      </c>
      <c r="R353" s="7" t="s">
        <v>2049</v>
      </c>
      <c r="S353" t="str">
        <f xml:space="preserve"> HYPERLINK("ReviewHtml/review_Punch_Line.html", "https://2danicritic.github.io/ReviewHtml/review_Punch_Line.html")</f>
        <v>https://2danicritic.github.io/ReviewHtml/review_Punch_Line.html</v>
      </c>
      <c r="U353" s="5">
        <f t="shared" si="5"/>
        <v>3.07</v>
      </c>
    </row>
    <row r="354" spans="2:21" x14ac:dyDescent="0.35">
      <c r="B354" s="7" t="s">
        <v>2507</v>
      </c>
      <c r="C354" t="s">
        <v>1023</v>
      </c>
      <c r="D354" s="7" t="s">
        <v>2076</v>
      </c>
      <c r="E354" t="s">
        <v>1555</v>
      </c>
      <c r="F354" t="s">
        <v>1024</v>
      </c>
      <c r="G354" t="s">
        <v>1560</v>
      </c>
      <c r="H354" t="s">
        <v>1025</v>
      </c>
      <c r="I354" s="7">
        <v>4</v>
      </c>
      <c r="J354" s="7" t="s">
        <v>2025</v>
      </c>
      <c r="K354" s="7" t="s">
        <v>2025</v>
      </c>
      <c r="L354" s="7" t="s">
        <v>2027</v>
      </c>
      <c r="M354" s="7" t="s">
        <v>2025</v>
      </c>
      <c r="N354" s="7" t="s">
        <v>2027</v>
      </c>
      <c r="O354" s="7" t="s">
        <v>2025</v>
      </c>
      <c r="P354" s="7" t="s">
        <v>2033</v>
      </c>
      <c r="Q354" t="s">
        <v>131</v>
      </c>
      <c r="R354" s="7" t="s">
        <v>2049</v>
      </c>
      <c r="S354" t="str">
        <f xml:space="preserve"> HYPERLINK("ReviewHtml/review_Rage_of_Bahamut_-_Genesis.html", "https://2danicritic.github.io/ReviewHtml/review_Rage_of_Bahamut_-_Genesis.html")</f>
        <v>https://2danicritic.github.io/ReviewHtml/review_Rage_of_Bahamut_-_Genesis.html</v>
      </c>
      <c r="U354" s="5">
        <f t="shared" si="5"/>
        <v>4</v>
      </c>
    </row>
    <row r="355" spans="2:21" x14ac:dyDescent="0.35">
      <c r="B355" s="7" t="s">
        <v>2508</v>
      </c>
      <c r="C355" t="s">
        <v>1026</v>
      </c>
      <c r="D355" s="7" t="s">
        <v>2076</v>
      </c>
      <c r="E355" t="s">
        <v>1555</v>
      </c>
      <c r="F355" t="s">
        <v>1027</v>
      </c>
      <c r="G355" t="s">
        <v>1560</v>
      </c>
      <c r="H355" t="s">
        <v>1028</v>
      </c>
      <c r="I355" s="7">
        <v>3</v>
      </c>
      <c r="J355" s="7" t="s">
        <v>2020</v>
      </c>
      <c r="K355" s="7" t="s">
        <v>2020</v>
      </c>
      <c r="L355" s="7" t="s">
        <v>2027</v>
      </c>
      <c r="M355" s="7" t="s">
        <v>2020</v>
      </c>
      <c r="N355" s="7" t="s">
        <v>2019</v>
      </c>
      <c r="O355" s="7" t="s">
        <v>2020</v>
      </c>
      <c r="P355" s="7" t="s">
        <v>2020</v>
      </c>
      <c r="Q355" t="s">
        <v>238</v>
      </c>
      <c r="R355" s="7" t="s">
        <v>2049</v>
      </c>
      <c r="S355" t="str">
        <f xml:space="preserve"> HYPERLINK("ReviewHtml/review_Rail_Wars.html", "https://2danicritic.github.io/ReviewHtml/review_Rail_Wars.html")</f>
        <v>https://2danicritic.github.io/ReviewHtml/review_Rail_Wars.html</v>
      </c>
      <c r="U355" s="5">
        <f t="shared" si="5"/>
        <v>3</v>
      </c>
    </row>
    <row r="356" spans="2:21" x14ac:dyDescent="0.35">
      <c r="B356" s="7" t="s">
        <v>2509</v>
      </c>
      <c r="C356" t="s">
        <v>1915</v>
      </c>
      <c r="D356" s="7" t="s">
        <v>2095</v>
      </c>
      <c r="E356" t="s">
        <v>1555</v>
      </c>
      <c r="F356" t="s">
        <v>949</v>
      </c>
      <c r="G356" t="s">
        <v>1560</v>
      </c>
      <c r="H356" t="s">
        <v>676</v>
      </c>
      <c r="I356" s="7">
        <v>3.43</v>
      </c>
      <c r="J356" s="7" t="s">
        <v>2019</v>
      </c>
      <c r="K356" s="7" t="s">
        <v>2025</v>
      </c>
      <c r="L356" s="7" t="s">
        <v>2020</v>
      </c>
      <c r="M356" s="7" t="s">
        <v>2020</v>
      </c>
      <c r="N356" s="7" t="s">
        <v>2027</v>
      </c>
      <c r="O356" s="7" t="s">
        <v>2025</v>
      </c>
      <c r="P356" s="7" t="s">
        <v>2025</v>
      </c>
      <c r="Q356" t="s">
        <v>1882</v>
      </c>
      <c r="R356" s="7" t="s">
        <v>2133</v>
      </c>
      <c r="S356" t="str">
        <f xml:space="preserve"> HYPERLINK("ReviewHtml/review_Rampo_Kitan_-_Game_of_Laplace.html", "https://2danicritic.github.io/ReviewHtml/review_Rampo_Kitan_-_Game_of_Laplace.html")</f>
        <v>https://2danicritic.github.io/ReviewHtml/review_Rampo_Kitan_-_Game_of_Laplace.html</v>
      </c>
      <c r="U356" s="5">
        <f t="shared" si="5"/>
        <v>3.43</v>
      </c>
    </row>
    <row r="357" spans="2:21" x14ac:dyDescent="0.35">
      <c r="B357" s="7" t="s">
        <v>2510</v>
      </c>
      <c r="C357" t="s">
        <v>1029</v>
      </c>
      <c r="D357" s="7" t="s">
        <v>2066</v>
      </c>
      <c r="E357" t="s">
        <v>1555</v>
      </c>
      <c r="F357" t="s">
        <v>1030</v>
      </c>
      <c r="G357" t="s">
        <v>1558</v>
      </c>
      <c r="H357" t="s">
        <v>1031</v>
      </c>
      <c r="I357" s="7">
        <v>4.3600000000000003</v>
      </c>
      <c r="J357" s="7" t="s">
        <v>2026</v>
      </c>
      <c r="K357" s="7" t="s">
        <v>2033</v>
      </c>
      <c r="L357" s="7" t="s">
        <v>2033</v>
      </c>
      <c r="M357" s="7" t="s">
        <v>2027</v>
      </c>
      <c r="N357" s="7" t="s">
        <v>2020</v>
      </c>
      <c r="O357" s="7" t="s">
        <v>2026</v>
      </c>
      <c r="P357" s="7" t="s">
        <v>2033</v>
      </c>
      <c r="Q357" t="s">
        <v>239</v>
      </c>
      <c r="R357" s="7" t="s">
        <v>2226</v>
      </c>
      <c r="S357" t="str">
        <f xml:space="preserve"> HYPERLINK("ReviewHtml/review_Redline.html", "https://2danicritic.github.io/ReviewHtml/review_Redline.html")</f>
        <v>https://2danicritic.github.io/ReviewHtml/review_Redline.html</v>
      </c>
      <c r="U357" s="5">
        <f t="shared" si="5"/>
        <v>4.3600000000000003</v>
      </c>
    </row>
    <row r="358" spans="2:21" x14ac:dyDescent="0.35">
      <c r="B358" s="7" t="s">
        <v>2511</v>
      </c>
      <c r="C358" t="s">
        <v>1745</v>
      </c>
      <c r="D358" s="7" t="s">
        <v>2197</v>
      </c>
      <c r="E358" t="s">
        <v>1555</v>
      </c>
      <c r="F358" t="s">
        <v>788</v>
      </c>
      <c r="G358" t="s">
        <v>1558</v>
      </c>
      <c r="H358" t="s">
        <v>789</v>
      </c>
      <c r="I358" s="7">
        <v>3.57</v>
      </c>
      <c r="J358" s="7" t="s">
        <v>2027</v>
      </c>
      <c r="K358" s="7" t="s">
        <v>2025</v>
      </c>
      <c r="L358" s="7" t="s">
        <v>2027</v>
      </c>
      <c r="M358" s="7" t="s">
        <v>2025</v>
      </c>
      <c r="N358" s="7" t="s">
        <v>2020</v>
      </c>
      <c r="O358" s="7" t="s">
        <v>2027</v>
      </c>
      <c r="P358" s="7" t="s">
        <v>2027</v>
      </c>
      <c r="Q358" t="s">
        <v>101</v>
      </c>
      <c r="R358" s="7" t="s">
        <v>2082</v>
      </c>
      <c r="S358" t="str">
        <f xml:space="preserve"> HYPERLINK("ReviewHtml/review_Ride_Your_Wave.html", "https://2danicritic.github.io/ReviewHtml/review_Ride_Your_Wave.html")</f>
        <v>https://2danicritic.github.io/ReviewHtml/review_Ride_Your_Wave.html</v>
      </c>
      <c r="U358" s="5">
        <f t="shared" si="5"/>
        <v>3.57</v>
      </c>
    </row>
    <row r="359" spans="2:21" x14ac:dyDescent="0.35">
      <c r="B359" s="7" t="s">
        <v>2512</v>
      </c>
      <c r="C359" t="s">
        <v>1403</v>
      </c>
      <c r="D359" s="7" t="s">
        <v>2154</v>
      </c>
      <c r="E359" t="s">
        <v>1555</v>
      </c>
      <c r="F359" t="s">
        <v>889</v>
      </c>
      <c r="G359" t="s">
        <v>1560</v>
      </c>
      <c r="H359" t="s">
        <v>1456</v>
      </c>
      <c r="I359" s="7">
        <v>3.21</v>
      </c>
      <c r="J359" s="7" t="s">
        <v>2020</v>
      </c>
      <c r="K359" s="7" t="s">
        <v>2020</v>
      </c>
      <c r="L359" s="7" t="s">
        <v>2020</v>
      </c>
      <c r="M359" s="7" t="s">
        <v>2027</v>
      </c>
      <c r="N359" s="7" t="s">
        <v>2027</v>
      </c>
      <c r="O359" s="7" t="s">
        <v>2020</v>
      </c>
      <c r="P359" s="7" t="s">
        <v>2027</v>
      </c>
      <c r="Q359" t="s">
        <v>1350</v>
      </c>
      <c r="R359" s="7" t="s">
        <v>2049</v>
      </c>
      <c r="S359" t="str">
        <f xml:space="preserve"> HYPERLINK("ReviewHtml/review_Rin_-_Daughters_of_Mnemosyne.html", "https://2danicritic.github.io/ReviewHtml/review_Rin_-_Daughters_of_Mnemosyne.html")</f>
        <v>https://2danicritic.github.io/ReviewHtml/review_Rin_-_Daughters_of_Mnemosyne.html</v>
      </c>
      <c r="U359" s="5">
        <f t="shared" si="5"/>
        <v>3.21</v>
      </c>
    </row>
    <row r="360" spans="2:21" x14ac:dyDescent="0.35">
      <c r="B360" s="7" t="s">
        <v>2513</v>
      </c>
      <c r="C360" t="s">
        <v>1032</v>
      </c>
      <c r="D360" s="7" t="s">
        <v>2398</v>
      </c>
      <c r="E360" t="s">
        <v>1555</v>
      </c>
      <c r="F360" t="s">
        <v>1033</v>
      </c>
      <c r="G360" t="s">
        <v>1558</v>
      </c>
      <c r="H360" t="s">
        <v>1034</v>
      </c>
      <c r="I360" s="7">
        <v>3.57</v>
      </c>
      <c r="J360" s="7" t="s">
        <v>2025</v>
      </c>
      <c r="K360" s="7" t="s">
        <v>2020</v>
      </c>
      <c r="L360" s="7" t="s">
        <v>2027</v>
      </c>
      <c r="M360" s="7" t="s">
        <v>2027</v>
      </c>
      <c r="N360" s="7" t="s">
        <v>2025</v>
      </c>
      <c r="O360" s="7" t="s">
        <v>2020</v>
      </c>
      <c r="P360" s="7" t="s">
        <v>2025</v>
      </c>
      <c r="Q360" t="s">
        <v>240</v>
      </c>
      <c r="R360" s="7" t="s">
        <v>2148</v>
      </c>
      <c r="S360" t="str">
        <f xml:space="preserve"> HYPERLINK("ReviewHtml/review_Ringing_Bell.html", "https://2danicritic.github.io/ReviewHtml/review_Ringing_Bell.html")</f>
        <v>https://2danicritic.github.io/ReviewHtml/review_Ringing_Bell.html</v>
      </c>
      <c r="U360" s="5">
        <f t="shared" si="5"/>
        <v>3.57</v>
      </c>
    </row>
    <row r="361" spans="2:21" x14ac:dyDescent="0.35">
      <c r="B361" s="7" t="s">
        <v>2514</v>
      </c>
      <c r="C361" t="s">
        <v>1404</v>
      </c>
      <c r="D361" s="7" t="s">
        <v>2230</v>
      </c>
      <c r="E361" t="s">
        <v>1555</v>
      </c>
      <c r="F361" t="s">
        <v>1431</v>
      </c>
      <c r="G361" t="s">
        <v>1556</v>
      </c>
      <c r="H361" t="s">
        <v>1351</v>
      </c>
      <c r="I361" s="7">
        <v>3.71</v>
      </c>
      <c r="J361" s="7" t="s">
        <v>2025</v>
      </c>
      <c r="K361" s="7" t="s">
        <v>2025</v>
      </c>
      <c r="L361" s="7" t="s">
        <v>2027</v>
      </c>
      <c r="M361" s="7" t="s">
        <v>2020</v>
      </c>
      <c r="N361" s="7" t="s">
        <v>2027</v>
      </c>
      <c r="O361" s="7" t="s">
        <v>2027</v>
      </c>
      <c r="P361" s="7" t="s">
        <v>2026</v>
      </c>
      <c r="Q361" t="s">
        <v>1352</v>
      </c>
      <c r="R361" s="7" t="s">
        <v>2212</v>
      </c>
      <c r="S361" t="str">
        <f xml:space="preserve"> HYPERLINK("ReviewHtml/review_Robot_Carnival.html", "https://2danicritic.github.io/ReviewHtml/review_Robot_Carnival.html")</f>
        <v>https://2danicritic.github.io/ReviewHtml/review_Robot_Carnival.html</v>
      </c>
      <c r="U361" s="5">
        <f t="shared" si="5"/>
        <v>3.71</v>
      </c>
    </row>
    <row r="362" spans="2:21" x14ac:dyDescent="0.35">
      <c r="B362" s="7" t="s">
        <v>2515</v>
      </c>
      <c r="C362" t="s">
        <v>1035</v>
      </c>
      <c r="D362" s="7" t="s">
        <v>2129</v>
      </c>
      <c r="E362" t="s">
        <v>1608</v>
      </c>
      <c r="F362" t="s">
        <v>1036</v>
      </c>
      <c r="G362" t="s">
        <v>1558</v>
      </c>
      <c r="H362" t="s">
        <v>1037</v>
      </c>
      <c r="I362" s="7">
        <v>2.86</v>
      </c>
      <c r="J362" s="7" t="s">
        <v>2027</v>
      </c>
      <c r="K362" s="7" t="s">
        <v>2027</v>
      </c>
      <c r="L362" s="7" t="s">
        <v>2019</v>
      </c>
      <c r="M362" s="7" t="s">
        <v>2027</v>
      </c>
      <c r="N362" s="7" t="s">
        <v>2029</v>
      </c>
      <c r="O362" s="7" t="s">
        <v>2019</v>
      </c>
      <c r="P362" s="7" t="s">
        <v>2019</v>
      </c>
      <c r="Q362" t="s">
        <v>136</v>
      </c>
      <c r="R362" s="7" t="s">
        <v>2126</v>
      </c>
      <c r="S362" t="str">
        <f xml:space="preserve"> HYPERLINK("ReviewHtml/review_Rock_and_Rule.html", "https://2danicritic.github.io/ReviewHtml/review_Rock_and_Rule.html")</f>
        <v>https://2danicritic.github.io/ReviewHtml/review_Rock_and_Rule.html</v>
      </c>
      <c r="U362" s="5">
        <f t="shared" si="5"/>
        <v>2.86</v>
      </c>
    </row>
    <row r="363" spans="2:21" x14ac:dyDescent="0.35">
      <c r="B363" s="7" t="s">
        <v>2516</v>
      </c>
      <c r="C363" t="s">
        <v>1038</v>
      </c>
      <c r="D363" s="7" t="s">
        <v>2087</v>
      </c>
      <c r="E363" t="s">
        <v>1557</v>
      </c>
      <c r="F363" t="s">
        <v>1039</v>
      </c>
      <c r="G363" t="s">
        <v>1558</v>
      </c>
      <c r="H363" t="s">
        <v>1040</v>
      </c>
      <c r="I363" s="7">
        <v>3.14</v>
      </c>
      <c r="J363" s="7" t="s">
        <v>2020</v>
      </c>
      <c r="K363" s="7" t="s">
        <v>2020</v>
      </c>
      <c r="L363" s="7" t="s">
        <v>2025</v>
      </c>
      <c r="M363" s="7" t="s">
        <v>2025</v>
      </c>
      <c r="N363" s="7" t="s">
        <v>2029</v>
      </c>
      <c r="O363" s="7" t="s">
        <v>2020</v>
      </c>
      <c r="P363" s="7" t="s">
        <v>2020</v>
      </c>
      <c r="Q363" t="s">
        <v>241</v>
      </c>
      <c r="R363" s="7" t="s">
        <v>2088</v>
      </c>
      <c r="S363" t="str">
        <f xml:space="preserve"> HYPERLINK("ReviewHtml/review_Rock-a-Doodle.html", "https://2danicritic.github.io/ReviewHtml/review_Rock-a-Doodle.html")</f>
        <v>https://2danicritic.github.io/ReviewHtml/review_Rock-a-Doodle.html</v>
      </c>
      <c r="U363" s="5">
        <f t="shared" si="5"/>
        <v>3.14</v>
      </c>
    </row>
    <row r="364" spans="2:21" x14ac:dyDescent="0.35">
      <c r="B364" s="7" t="s">
        <v>2517</v>
      </c>
      <c r="C364" t="s">
        <v>1041</v>
      </c>
      <c r="D364" s="7" t="s">
        <v>2095</v>
      </c>
      <c r="E364" t="s">
        <v>1555</v>
      </c>
      <c r="F364" t="s">
        <v>1027</v>
      </c>
      <c r="G364" t="s">
        <v>1560</v>
      </c>
      <c r="H364" t="s">
        <v>1042</v>
      </c>
      <c r="I364" s="7">
        <v>3.5</v>
      </c>
      <c r="J364" s="7" t="s">
        <v>2020</v>
      </c>
      <c r="K364" s="7" t="s">
        <v>2027</v>
      </c>
      <c r="L364" s="7" t="s">
        <v>2027</v>
      </c>
      <c r="M364" s="7" t="s">
        <v>2027</v>
      </c>
      <c r="N364" s="7" t="s">
        <v>2027</v>
      </c>
      <c r="O364" s="7" t="s">
        <v>2027</v>
      </c>
      <c r="P364" s="7" t="s">
        <v>2025</v>
      </c>
      <c r="Q364" t="s">
        <v>242</v>
      </c>
      <c r="R364" s="7" t="s">
        <v>2049</v>
      </c>
      <c r="S364" t="str">
        <f xml:space="preserve"> HYPERLINK("ReviewHtml/review_Rokka_-_Braves_of_the_Six_Flowers.html", "https://2danicritic.github.io/ReviewHtml/review_Rokka_-_Braves_of_the_Six_Flowers.html")</f>
        <v>https://2danicritic.github.io/ReviewHtml/review_Rokka_-_Braves_of_the_Six_Flowers.html</v>
      </c>
      <c r="U364" s="5">
        <f t="shared" si="5"/>
        <v>3.5</v>
      </c>
    </row>
    <row r="365" spans="2:21" x14ac:dyDescent="0.35">
      <c r="B365" s="7" t="s">
        <v>2518</v>
      </c>
      <c r="C365" t="s">
        <v>1405</v>
      </c>
      <c r="D365" s="7" t="s">
        <v>2023</v>
      </c>
      <c r="E365" t="s">
        <v>1555</v>
      </c>
      <c r="F365" t="s">
        <v>665</v>
      </c>
      <c r="G365" t="s">
        <v>1560</v>
      </c>
      <c r="H365" t="s">
        <v>1457</v>
      </c>
      <c r="I365" s="7">
        <v>3.64</v>
      </c>
      <c r="J365" s="7" t="s">
        <v>2020</v>
      </c>
      <c r="K365" s="7" t="s">
        <v>2027</v>
      </c>
      <c r="L365" s="7" t="s">
        <v>2025</v>
      </c>
      <c r="M365" s="7" t="s">
        <v>2025</v>
      </c>
      <c r="N365" s="7" t="s">
        <v>2025</v>
      </c>
      <c r="O365" s="7" t="s">
        <v>2027</v>
      </c>
      <c r="P365" s="7" t="s">
        <v>2027</v>
      </c>
      <c r="Q365" t="s">
        <v>1195</v>
      </c>
      <c r="R365" s="7" t="s">
        <v>2049</v>
      </c>
      <c r="S365" t="str">
        <f xml:space="preserve"> HYPERLINK("ReviewHtml/review_Romeo_x_Juliet.html", "https://2danicritic.github.io/ReviewHtml/review_Romeo_x_Juliet.html")</f>
        <v>https://2danicritic.github.io/ReviewHtml/review_Romeo_x_Juliet.html</v>
      </c>
      <c r="U365" s="5">
        <f t="shared" si="5"/>
        <v>3.64</v>
      </c>
    </row>
    <row r="366" spans="2:21" x14ac:dyDescent="0.35">
      <c r="B366" s="7" t="s">
        <v>2519</v>
      </c>
      <c r="C366" t="s">
        <v>1275</v>
      </c>
      <c r="D366" s="7" t="s">
        <v>2135</v>
      </c>
      <c r="E366" t="s">
        <v>1610</v>
      </c>
      <c r="F366" t="s">
        <v>1292</v>
      </c>
      <c r="G366" t="s">
        <v>1558</v>
      </c>
      <c r="H366" t="s">
        <v>1302</v>
      </c>
      <c r="I366" s="7">
        <v>3.86</v>
      </c>
      <c r="J366" s="7" t="s">
        <v>2027</v>
      </c>
      <c r="K366" s="7" t="s">
        <v>2025</v>
      </c>
      <c r="L366" s="7" t="s">
        <v>2025</v>
      </c>
      <c r="M366" s="7" t="s">
        <v>2025</v>
      </c>
      <c r="N366" s="7" t="s">
        <v>2027</v>
      </c>
      <c r="O366" s="7" t="s">
        <v>2025</v>
      </c>
      <c r="P366" s="7" t="s">
        <v>2025</v>
      </c>
      <c r="Q366" t="s">
        <v>1212</v>
      </c>
      <c r="R366" s="7" t="s">
        <v>2082</v>
      </c>
      <c r="S366" t="str">
        <f xml:space="preserve"> HYPERLINK("ReviewHtml/review_Ruben_Brandt_-_Collector.html", "https://2danicritic.github.io/ReviewHtml/review_Ruben_Brandt_-_Collector.html")</f>
        <v>https://2danicritic.github.io/ReviewHtml/review_Ruben_Brandt_-_Collector.html</v>
      </c>
      <c r="U366" s="5">
        <f t="shared" si="5"/>
        <v>3.86</v>
      </c>
    </row>
    <row r="367" spans="2:21" x14ac:dyDescent="0.35">
      <c r="B367" s="7" t="s">
        <v>2520</v>
      </c>
      <c r="C367" t="s">
        <v>1916</v>
      </c>
      <c r="D367" s="7" t="s">
        <v>2017</v>
      </c>
      <c r="E367" t="s">
        <v>1555</v>
      </c>
      <c r="F367" t="s">
        <v>1917</v>
      </c>
      <c r="G367" t="s">
        <v>1560</v>
      </c>
      <c r="H367" t="s">
        <v>1022</v>
      </c>
      <c r="I367" s="7">
        <v>3.79</v>
      </c>
      <c r="J367" s="7" t="s">
        <v>2027</v>
      </c>
      <c r="K367" s="7" t="s">
        <v>2027</v>
      </c>
      <c r="L367" s="7" t="s">
        <v>2025</v>
      </c>
      <c r="M367" s="7" t="s">
        <v>2025</v>
      </c>
      <c r="N367" s="7" t="s">
        <v>2027</v>
      </c>
      <c r="O367" s="7" t="s">
        <v>2025</v>
      </c>
      <c r="P367" s="7" t="s">
        <v>2025</v>
      </c>
      <c r="Q367" t="s">
        <v>1883</v>
      </c>
      <c r="R367" s="7" t="s">
        <v>2049</v>
      </c>
      <c r="S367" t="str">
        <f xml:space="preserve"> HYPERLINK("ReviewHtml/review_Saga_of_Tanya_the_Evil.html", "https://2danicritic.github.io/ReviewHtml/review_Saga_of_Tanya_the_Evil.html")</f>
        <v>https://2danicritic.github.io/ReviewHtml/review_Saga_of_Tanya_the_Evil.html</v>
      </c>
      <c r="U367" s="5">
        <f t="shared" si="5"/>
        <v>3.79</v>
      </c>
    </row>
    <row r="368" spans="2:21" x14ac:dyDescent="0.35">
      <c r="B368" s="7" t="s">
        <v>2275</v>
      </c>
      <c r="C368" t="s">
        <v>1406</v>
      </c>
      <c r="D368" s="7" t="s">
        <v>2167</v>
      </c>
      <c r="E368" t="s">
        <v>1555</v>
      </c>
      <c r="F368" t="s">
        <v>781</v>
      </c>
      <c r="G368" t="s">
        <v>1560</v>
      </c>
      <c r="H368" t="s">
        <v>1299</v>
      </c>
      <c r="I368" s="7">
        <v>3.64</v>
      </c>
      <c r="J368" s="7" t="s">
        <v>2027</v>
      </c>
      <c r="K368" s="7" t="s">
        <v>2025</v>
      </c>
      <c r="L368" s="7" t="s">
        <v>2026</v>
      </c>
      <c r="M368" s="7" t="s">
        <v>2025</v>
      </c>
      <c r="N368" s="7" t="s">
        <v>2019</v>
      </c>
      <c r="O368" s="7" t="s">
        <v>2027</v>
      </c>
      <c r="P368" s="7" t="s">
        <v>2027</v>
      </c>
      <c r="Q368" t="s">
        <v>186</v>
      </c>
      <c r="R368" s="7" t="s">
        <v>2114</v>
      </c>
      <c r="S368" t="str">
        <f xml:space="preserve"> HYPERLINK("ReviewHtml/review_Samurai_Champloo.html", "https://2danicritic.github.io/ReviewHtml/review_Samurai_Champloo.html")</f>
        <v>https://2danicritic.github.io/ReviewHtml/review_Samurai_Champloo.html</v>
      </c>
      <c r="U368" s="5">
        <f t="shared" si="5"/>
        <v>3.64</v>
      </c>
    </row>
    <row r="369" spans="2:21" x14ac:dyDescent="0.35">
      <c r="B369" s="7" t="s">
        <v>2521</v>
      </c>
      <c r="C369" t="s">
        <v>1043</v>
      </c>
      <c r="D369" s="7" t="s">
        <v>2041</v>
      </c>
      <c r="E369" t="s">
        <v>1555</v>
      </c>
      <c r="F369" t="s">
        <v>812</v>
      </c>
      <c r="G369" t="s">
        <v>1560</v>
      </c>
      <c r="H369" t="s">
        <v>1044</v>
      </c>
      <c r="I369" s="7">
        <v>3.43</v>
      </c>
      <c r="J369" s="7" t="s">
        <v>2020</v>
      </c>
      <c r="K369" s="7" t="s">
        <v>2027</v>
      </c>
      <c r="L369" s="7" t="s">
        <v>2027</v>
      </c>
      <c r="M369" s="7" t="s">
        <v>2027</v>
      </c>
      <c r="N369" s="7" t="s">
        <v>2027</v>
      </c>
      <c r="O369" s="7" t="s">
        <v>2027</v>
      </c>
      <c r="P369" s="7" t="s">
        <v>2027</v>
      </c>
      <c r="Q369" t="s">
        <v>346</v>
      </c>
      <c r="R369" s="7" t="s">
        <v>2021</v>
      </c>
      <c r="S369" t="str">
        <f xml:space="preserve"> HYPERLINK("ReviewHtml/review_Sankarea_-_Undying_Love.html", "https://2danicritic.github.io/ReviewHtml/review_Sankarea_-_Undying_Love.html")</f>
        <v>https://2danicritic.github.io/ReviewHtml/review_Sankarea_-_Undying_Love.html</v>
      </c>
      <c r="U369" s="5">
        <f t="shared" si="5"/>
        <v>3.43</v>
      </c>
    </row>
    <row r="370" spans="2:21" x14ac:dyDescent="0.35">
      <c r="B370" s="7" t="s">
        <v>2522</v>
      </c>
      <c r="C370" t="s">
        <v>1045</v>
      </c>
      <c r="D370" s="7" t="s">
        <v>2076</v>
      </c>
      <c r="E370" t="s">
        <v>1568</v>
      </c>
      <c r="F370" t="s">
        <v>1046</v>
      </c>
      <c r="G370" t="s">
        <v>1558</v>
      </c>
      <c r="H370" t="s">
        <v>1047</v>
      </c>
      <c r="I370" s="7">
        <v>2.93</v>
      </c>
      <c r="J370" s="7" t="s">
        <v>2019</v>
      </c>
      <c r="K370" s="7" t="s">
        <v>2020</v>
      </c>
      <c r="L370" s="7" t="s">
        <v>2019</v>
      </c>
      <c r="M370" s="7" t="s">
        <v>2020</v>
      </c>
      <c r="N370" s="7" t="s">
        <v>2019</v>
      </c>
      <c r="O370" s="7" t="s">
        <v>2020</v>
      </c>
      <c r="P370" s="7" t="s">
        <v>2025</v>
      </c>
      <c r="Q370" t="s">
        <v>243</v>
      </c>
      <c r="R370" s="7" t="s">
        <v>2202</v>
      </c>
      <c r="S370" t="str">
        <f xml:space="preserve"> HYPERLINK("ReviewHtml/review_Satellite_Girl_and_Milk_Cow.html", "https://2danicritic.github.io/ReviewHtml/review_Satellite_Girl_and_Milk_Cow.html")</f>
        <v>https://2danicritic.github.io/ReviewHtml/review_Satellite_Girl_and_Milk_Cow.html</v>
      </c>
      <c r="U370" s="5">
        <f t="shared" si="5"/>
        <v>2.93</v>
      </c>
    </row>
    <row r="371" spans="2:21" x14ac:dyDescent="0.35">
      <c r="B371" s="7" t="s">
        <v>2523</v>
      </c>
      <c r="C371" t="s">
        <v>1611</v>
      </c>
      <c r="D371" s="7" t="s">
        <v>2023</v>
      </c>
      <c r="E371" t="s">
        <v>1555</v>
      </c>
      <c r="F371" t="s">
        <v>861</v>
      </c>
      <c r="G371" t="s">
        <v>1560</v>
      </c>
      <c r="H371" t="s">
        <v>881</v>
      </c>
      <c r="I371" s="7">
        <v>2.71</v>
      </c>
      <c r="J371" s="7" t="s">
        <v>2029</v>
      </c>
      <c r="K371" s="7" t="s">
        <v>2019</v>
      </c>
      <c r="L371" s="7" t="s">
        <v>2019</v>
      </c>
      <c r="M371" s="7" t="s">
        <v>2027</v>
      </c>
      <c r="N371" s="7" t="s">
        <v>2020</v>
      </c>
      <c r="O371" s="7" t="s">
        <v>2019</v>
      </c>
      <c r="P371" s="7" t="s">
        <v>2020</v>
      </c>
      <c r="Q371" t="s">
        <v>1546</v>
      </c>
      <c r="R371" s="7" t="s">
        <v>2021</v>
      </c>
      <c r="S371" t="str">
        <f xml:space="preserve"> HYPERLINK("ReviewHtml/review_School_Days.html", "https://2danicritic.github.io/ReviewHtml/review_School_Days.html")</f>
        <v>https://2danicritic.github.io/ReviewHtml/review_School_Days.html</v>
      </c>
      <c r="U371" s="5">
        <f t="shared" si="5"/>
        <v>2.71</v>
      </c>
    </row>
    <row r="372" spans="2:21" x14ac:dyDescent="0.35">
      <c r="B372" s="7" t="s">
        <v>2524</v>
      </c>
      <c r="C372" t="s">
        <v>1826</v>
      </c>
      <c r="D372" s="7" t="s">
        <v>2095</v>
      </c>
      <c r="E372" t="s">
        <v>1555</v>
      </c>
      <c r="F372" t="s">
        <v>949</v>
      </c>
      <c r="G372" t="s">
        <v>1560</v>
      </c>
      <c r="H372" t="s">
        <v>1827</v>
      </c>
      <c r="I372" s="7">
        <v>3.36</v>
      </c>
      <c r="J372" s="7" t="s">
        <v>2019</v>
      </c>
      <c r="K372" s="7" t="s">
        <v>2027</v>
      </c>
      <c r="L372" s="7" t="s">
        <v>2020</v>
      </c>
      <c r="M372" s="7" t="s">
        <v>2020</v>
      </c>
      <c r="N372" s="7" t="s">
        <v>2027</v>
      </c>
      <c r="O372" s="7" t="s">
        <v>2025</v>
      </c>
      <c r="P372" s="7" t="s">
        <v>2025</v>
      </c>
      <c r="Q372" t="s">
        <v>1774</v>
      </c>
      <c r="R372" s="7" t="s">
        <v>2049</v>
      </c>
      <c r="S372" t="str">
        <f xml:space="preserve"> HYPERLINK("ReviewHtml/review_School-Live!.html", "https://2danicritic.github.io/ReviewHtml/review_School-Live!.html")</f>
        <v>https://2danicritic.github.io/ReviewHtml/review_School-Live!.html</v>
      </c>
      <c r="U372" s="5">
        <f t="shared" si="5"/>
        <v>3.36</v>
      </c>
    </row>
    <row r="373" spans="2:21" x14ac:dyDescent="0.35">
      <c r="B373" s="7" t="s">
        <v>2525</v>
      </c>
      <c r="C373" t="s">
        <v>1407</v>
      </c>
      <c r="D373" s="7" t="s">
        <v>2171</v>
      </c>
      <c r="E373" t="s">
        <v>1555</v>
      </c>
      <c r="F373" t="s">
        <v>735</v>
      </c>
      <c r="G373" t="s">
        <v>1560</v>
      </c>
      <c r="H373" t="s">
        <v>1458</v>
      </c>
      <c r="I373" s="7">
        <v>3.29</v>
      </c>
      <c r="J373" s="7" t="s">
        <v>2019</v>
      </c>
      <c r="K373" s="7" t="s">
        <v>2020</v>
      </c>
      <c r="L373" s="7" t="s">
        <v>2027</v>
      </c>
      <c r="M373" s="7" t="s">
        <v>2027</v>
      </c>
      <c r="N373" s="7" t="s">
        <v>2027</v>
      </c>
      <c r="O373" s="7" t="s">
        <v>2027</v>
      </c>
      <c r="P373" s="7" t="s">
        <v>2027</v>
      </c>
      <c r="Q373" t="s">
        <v>1353</v>
      </c>
      <c r="R373" s="7" t="s">
        <v>2155</v>
      </c>
      <c r="S373" t="str">
        <f xml:space="preserve"> HYPERLINK("ReviewHtml/review_Scrapped_Princess.html", "https://2danicritic.github.io/ReviewHtml/review_Scrapped_Princess.html")</f>
        <v>https://2danicritic.github.io/ReviewHtml/review_Scrapped_Princess.html</v>
      </c>
      <c r="U373" s="5">
        <f t="shared" si="5"/>
        <v>3.29</v>
      </c>
    </row>
    <row r="374" spans="2:21" x14ac:dyDescent="0.35">
      <c r="B374" s="7" t="s">
        <v>2526</v>
      </c>
      <c r="C374" t="s">
        <v>1408</v>
      </c>
      <c r="D374" s="7" t="s">
        <v>2066</v>
      </c>
      <c r="E374" t="s">
        <v>1555</v>
      </c>
      <c r="F374" t="s">
        <v>732</v>
      </c>
      <c r="G374" t="s">
        <v>1560</v>
      </c>
      <c r="H374" t="s">
        <v>1354</v>
      </c>
      <c r="I374" s="7">
        <v>3.21</v>
      </c>
      <c r="J374" s="7" t="s">
        <v>2027</v>
      </c>
      <c r="K374" s="7" t="s">
        <v>2020</v>
      </c>
      <c r="L374" s="7" t="s">
        <v>2027</v>
      </c>
      <c r="M374" s="7" t="s">
        <v>2025</v>
      </c>
      <c r="N374" s="7" t="s">
        <v>2019</v>
      </c>
      <c r="O374" s="7" t="s">
        <v>2027</v>
      </c>
      <c r="P374" s="7" t="s">
        <v>2019</v>
      </c>
      <c r="Q374" t="s">
        <v>1355</v>
      </c>
      <c r="R374" s="7" t="s">
        <v>2114</v>
      </c>
      <c r="S374" t="str">
        <f xml:space="preserve"> HYPERLINK("ReviewHtml/review_Sengoku_Basara_-_Samurai_Kings.html", "https://2danicritic.github.io/ReviewHtml/review_Sengoku_Basara_-_Samurai_Kings.html")</f>
        <v>https://2danicritic.github.io/ReviewHtml/review_Sengoku_Basara_-_Samurai_Kings.html</v>
      </c>
      <c r="U374" s="5">
        <f t="shared" si="5"/>
        <v>3.21</v>
      </c>
    </row>
    <row r="375" spans="2:21" x14ac:dyDescent="0.35">
      <c r="B375" s="7" t="s">
        <v>2527</v>
      </c>
      <c r="C375" t="s">
        <v>1612</v>
      </c>
      <c r="D375" s="7" t="s">
        <v>2102</v>
      </c>
      <c r="E375" t="s">
        <v>1555</v>
      </c>
      <c r="F375" t="s">
        <v>952</v>
      </c>
      <c r="G375" t="s">
        <v>1560</v>
      </c>
      <c r="H375" t="s">
        <v>1613</v>
      </c>
      <c r="I375" s="7">
        <v>3.07</v>
      </c>
      <c r="J375" s="7" t="s">
        <v>2020</v>
      </c>
      <c r="K375" s="7" t="s">
        <v>2020</v>
      </c>
      <c r="L375" s="7" t="s">
        <v>2020</v>
      </c>
      <c r="M375" s="7" t="s">
        <v>2027</v>
      </c>
      <c r="N375" s="7" t="s">
        <v>2029</v>
      </c>
      <c r="O375" s="7" t="s">
        <v>2025</v>
      </c>
      <c r="P375" s="7" t="s">
        <v>2020</v>
      </c>
      <c r="Q375" t="s">
        <v>1547</v>
      </c>
      <c r="R375" s="7" t="s">
        <v>2049</v>
      </c>
      <c r="S375" t="str">
        <f xml:space="preserve"> HYPERLINK("ReviewHtml/review_Senran_Kagura_-_Ninja_Flash!.html", "https://2danicritic.github.io/ReviewHtml/review_Senran_Kagura_-_Ninja_Flash!.html")</f>
        <v>https://2danicritic.github.io/ReviewHtml/review_Senran_Kagura_-_Ninja_Flash!.html</v>
      </c>
      <c r="U375" s="5">
        <f t="shared" si="5"/>
        <v>3.07</v>
      </c>
    </row>
    <row r="376" spans="2:21" x14ac:dyDescent="0.35">
      <c r="B376" s="7" t="s">
        <v>2528</v>
      </c>
      <c r="C376" t="s">
        <v>1048</v>
      </c>
      <c r="D376" s="7" t="s">
        <v>2496</v>
      </c>
      <c r="E376" t="s">
        <v>1555</v>
      </c>
      <c r="F376" t="s">
        <v>1049</v>
      </c>
      <c r="G376" t="s">
        <v>1560</v>
      </c>
      <c r="H376" t="s">
        <v>899</v>
      </c>
      <c r="I376" s="7">
        <v>3.71</v>
      </c>
      <c r="J376" s="7" t="s">
        <v>2019</v>
      </c>
      <c r="K376" s="7" t="s">
        <v>2020</v>
      </c>
      <c r="L376" s="7" t="s">
        <v>2027</v>
      </c>
      <c r="M376" s="7" t="s">
        <v>2020</v>
      </c>
      <c r="N376" s="7" t="s">
        <v>2033</v>
      </c>
      <c r="O376" s="7" t="s">
        <v>2025</v>
      </c>
      <c r="P376" s="7" t="s">
        <v>2033</v>
      </c>
      <c r="Q376" t="s">
        <v>244</v>
      </c>
      <c r="R376" s="7" t="s">
        <v>2021</v>
      </c>
      <c r="S376" t="str">
        <f xml:space="preserve"> HYPERLINK("ReviewHtml/review_Serial_Experiments_Lain.html", "https://2danicritic.github.io/ReviewHtml/review_Serial_Experiments_Lain.html")</f>
        <v>https://2danicritic.github.io/ReviewHtml/review_Serial_Experiments_Lain.html</v>
      </c>
      <c r="U376" s="5">
        <f t="shared" si="5"/>
        <v>3.71</v>
      </c>
    </row>
    <row r="377" spans="2:21" x14ac:dyDescent="0.35">
      <c r="B377" s="7" t="s">
        <v>2529</v>
      </c>
      <c r="C377" t="s">
        <v>1828</v>
      </c>
      <c r="D377" s="7" t="s">
        <v>2017</v>
      </c>
      <c r="E377" t="s">
        <v>1555</v>
      </c>
      <c r="F377" t="s">
        <v>1829</v>
      </c>
      <c r="G377" t="s">
        <v>1560</v>
      </c>
      <c r="H377" t="s">
        <v>1775</v>
      </c>
      <c r="I377" s="7">
        <v>2.36</v>
      </c>
      <c r="J377" s="7" t="s">
        <v>2019</v>
      </c>
      <c r="K377" s="7" t="s">
        <v>2019</v>
      </c>
      <c r="L377" s="7" t="s">
        <v>2019</v>
      </c>
      <c r="M377" s="7" t="s">
        <v>2019</v>
      </c>
      <c r="N377" s="7" t="s">
        <v>2029</v>
      </c>
      <c r="O377" s="7" t="s">
        <v>2019</v>
      </c>
      <c r="P377" s="7" t="s">
        <v>2029</v>
      </c>
      <c r="Q377" t="s">
        <v>1776</v>
      </c>
      <c r="R377" s="7" t="s">
        <v>2505</v>
      </c>
      <c r="S377" t="str">
        <f xml:space="preserve"> HYPERLINK("ReviewHtml/review_Seven_Mortal_Sins,_The_Seven_Heavenly_Virtues.html", "https://2danicritic.github.io/ReviewHtml/review_Seven_Mortal_Sins,_The_Seven_Heavenly_Virtues.html")</f>
        <v>https://2danicritic.github.io/ReviewHtml/review_Seven_Mortal_Sins,_The_Seven_Heavenly_Virtues.html</v>
      </c>
      <c r="U377" s="5">
        <f t="shared" si="5"/>
        <v>2.36</v>
      </c>
    </row>
    <row r="378" spans="2:21" x14ac:dyDescent="0.35">
      <c r="B378" s="7" t="s">
        <v>2122</v>
      </c>
      <c r="C378" t="s">
        <v>1830</v>
      </c>
      <c r="D378" s="7" t="s">
        <v>2030</v>
      </c>
      <c r="E378" t="s">
        <v>1555</v>
      </c>
      <c r="F378" t="s">
        <v>1754</v>
      </c>
      <c r="G378" t="s">
        <v>1560</v>
      </c>
      <c r="H378" t="s">
        <v>1831</v>
      </c>
      <c r="I378" s="7">
        <v>2.64</v>
      </c>
      <c r="J378" s="7" t="s">
        <v>2019</v>
      </c>
      <c r="K378" s="7" t="s">
        <v>2020</v>
      </c>
      <c r="L378" s="7" t="s">
        <v>2019</v>
      </c>
      <c r="M378" s="7" t="s">
        <v>2020</v>
      </c>
      <c r="N378" s="7" t="s">
        <v>2019</v>
      </c>
      <c r="O378" s="7" t="s">
        <v>2019</v>
      </c>
      <c r="P378" s="7" t="s">
        <v>2019</v>
      </c>
      <c r="Q378" t="s">
        <v>204</v>
      </c>
      <c r="R378" s="7" t="s">
        <v>2115</v>
      </c>
      <c r="S378" t="str">
        <f xml:space="preserve"> HYPERLINK("ReviewHtml/review_She_and_Her_Cat_-_Everything_Flows.html", "https://2danicritic.github.io/ReviewHtml/review_She_and_Her_Cat_-_Everything_Flows.html")</f>
        <v>https://2danicritic.github.io/ReviewHtml/review_She_and_Her_Cat_-_Everything_Flows.html</v>
      </c>
      <c r="U378" s="5">
        <f t="shared" si="5"/>
        <v>2.64</v>
      </c>
    </row>
    <row r="379" spans="2:21" x14ac:dyDescent="0.35">
      <c r="B379" s="7" t="s">
        <v>2491</v>
      </c>
      <c r="C379" t="s">
        <v>245</v>
      </c>
      <c r="D379" s="7" t="s">
        <v>2095</v>
      </c>
      <c r="E379" t="s">
        <v>1555</v>
      </c>
      <c r="F379" t="s">
        <v>671</v>
      </c>
      <c r="G379" t="s">
        <v>1560</v>
      </c>
      <c r="H379" t="s">
        <v>1050</v>
      </c>
      <c r="I379" s="7">
        <v>2.57</v>
      </c>
      <c r="J379" s="7" t="s">
        <v>2019</v>
      </c>
      <c r="K379" s="7" t="s">
        <v>2020</v>
      </c>
      <c r="L379" s="7" t="s">
        <v>2020</v>
      </c>
      <c r="M379" s="7" t="s">
        <v>2019</v>
      </c>
      <c r="N379" s="7" t="s">
        <v>2019</v>
      </c>
      <c r="O379" s="7" t="s">
        <v>2019</v>
      </c>
      <c r="P379" s="7" t="s">
        <v>2029</v>
      </c>
      <c r="Q379" t="s">
        <v>246</v>
      </c>
      <c r="R379" s="7" t="s">
        <v>2049</v>
      </c>
      <c r="S379" t="str">
        <f xml:space="preserve"> HYPERLINK("ReviewHtml/review_Shimoneta_-_A_Boring_World_Where_the_Concept_of_Dirty_Jokes_Doesn't_Exist.html", "https://2danicritic.github.io/ReviewHtml/review_Shimoneta_-_A_Boring_World_Where_the_Concept_of_Dirty_Jokes_Doesn't_Exist.html")</f>
        <v>https://2danicritic.github.io/ReviewHtml/review_Shimoneta_-_A_Boring_World_Where_the_Concept_of_Dirty_Jokes_Doesn't_Exist.html</v>
      </c>
      <c r="U379" s="5">
        <f t="shared" si="5"/>
        <v>2.57</v>
      </c>
    </row>
    <row r="380" spans="2:21" x14ac:dyDescent="0.35">
      <c r="B380" s="7" t="s">
        <v>2530</v>
      </c>
      <c r="C380" t="s">
        <v>1051</v>
      </c>
      <c r="D380" s="7" t="s">
        <v>2076</v>
      </c>
      <c r="E380" t="s">
        <v>1555</v>
      </c>
      <c r="F380" t="s">
        <v>675</v>
      </c>
      <c r="G380" t="s">
        <v>1560</v>
      </c>
      <c r="H380" t="s">
        <v>1019</v>
      </c>
      <c r="I380" s="7">
        <v>3.36</v>
      </c>
      <c r="J380" s="7" t="s">
        <v>2020</v>
      </c>
      <c r="K380" s="7" t="s">
        <v>2020</v>
      </c>
      <c r="L380" s="7" t="s">
        <v>2020</v>
      </c>
      <c r="M380" s="7" t="s">
        <v>2027</v>
      </c>
      <c r="N380" s="7" t="s">
        <v>2027</v>
      </c>
      <c r="O380" s="7" t="s">
        <v>2027</v>
      </c>
      <c r="P380" s="7" t="s">
        <v>2025</v>
      </c>
      <c r="Q380" t="s">
        <v>247</v>
      </c>
      <c r="R380" s="7" t="s">
        <v>2155</v>
      </c>
      <c r="S380" t="str">
        <f xml:space="preserve"> HYPERLINK("ReviewHtml/review_Shirobako.html", "https://2danicritic.github.io/ReviewHtml/review_Shirobako.html")</f>
        <v>https://2danicritic.github.io/ReviewHtml/review_Shirobako.html</v>
      </c>
      <c r="U380" s="5">
        <f t="shared" si="5"/>
        <v>3.36</v>
      </c>
    </row>
    <row r="381" spans="2:21" x14ac:dyDescent="0.35">
      <c r="B381" s="7" t="s">
        <v>2531</v>
      </c>
      <c r="C381" t="s">
        <v>1276</v>
      </c>
      <c r="D381" s="7" t="s">
        <v>2102</v>
      </c>
      <c r="E381" t="s">
        <v>1555</v>
      </c>
      <c r="F381" t="s">
        <v>760</v>
      </c>
      <c r="G381" t="s">
        <v>1556</v>
      </c>
      <c r="H381" t="s">
        <v>1213</v>
      </c>
      <c r="I381" s="7">
        <v>3.29</v>
      </c>
      <c r="J381" s="7" t="s">
        <v>2020</v>
      </c>
      <c r="K381" s="7" t="s">
        <v>2025</v>
      </c>
      <c r="L381" s="7" t="s">
        <v>2027</v>
      </c>
      <c r="M381" s="7" t="s">
        <v>2020</v>
      </c>
      <c r="N381" s="7" t="s">
        <v>2027</v>
      </c>
      <c r="O381" s="7" t="s">
        <v>2020</v>
      </c>
      <c r="P381" s="7" t="s">
        <v>2020</v>
      </c>
      <c r="Q381" t="s">
        <v>1214</v>
      </c>
      <c r="R381" s="7" t="s">
        <v>2185</v>
      </c>
      <c r="S381" t="str">
        <f xml:space="preserve"> HYPERLINK("ReviewHtml/review_Short_Peace.html", "https://2danicritic.github.io/ReviewHtml/review_Short_Peace.html")</f>
        <v>https://2danicritic.github.io/ReviewHtml/review_Short_Peace.html</v>
      </c>
      <c r="U381" s="5">
        <f t="shared" si="5"/>
        <v>3.29</v>
      </c>
    </row>
    <row r="382" spans="2:21" x14ac:dyDescent="0.35">
      <c r="B382" s="7" t="s">
        <v>2532</v>
      </c>
      <c r="C382" t="s">
        <v>1052</v>
      </c>
      <c r="D382" s="7" t="s">
        <v>2174</v>
      </c>
      <c r="E382" t="s">
        <v>1555</v>
      </c>
      <c r="F382" t="s">
        <v>1053</v>
      </c>
      <c r="G382" t="s">
        <v>1561</v>
      </c>
      <c r="H382" t="s">
        <v>1054</v>
      </c>
      <c r="I382" s="7">
        <v>1.71</v>
      </c>
      <c r="J382" s="7" t="s">
        <v>2141</v>
      </c>
      <c r="K382" s="7" t="s">
        <v>2029</v>
      </c>
      <c r="L382" s="7" t="s">
        <v>2019</v>
      </c>
      <c r="M382" s="7" t="s">
        <v>2141</v>
      </c>
      <c r="N382" s="7" t="s">
        <v>2141</v>
      </c>
      <c r="O382" s="7" t="s">
        <v>2029</v>
      </c>
      <c r="P382" s="7" t="s">
        <v>2022</v>
      </c>
      <c r="Q382" t="s">
        <v>248</v>
      </c>
      <c r="R382" s="7" t="s">
        <v>2173</v>
      </c>
      <c r="S382" t="str">
        <f xml:space="preserve"> HYPERLINK("ReviewHtml/review_Sin_-_The_Movie.html", "https://2danicritic.github.io/ReviewHtml/review_Sin_-_The_Movie.html")</f>
        <v>https://2danicritic.github.io/ReviewHtml/review_Sin_-_The_Movie.html</v>
      </c>
      <c r="U382" s="5">
        <f t="shared" si="5"/>
        <v>1.71</v>
      </c>
    </row>
    <row r="383" spans="2:21" x14ac:dyDescent="0.35">
      <c r="B383" s="7" t="s">
        <v>2534</v>
      </c>
      <c r="C383" t="s">
        <v>1409</v>
      </c>
      <c r="D383" s="7" t="s">
        <v>2171</v>
      </c>
      <c r="E383" t="s">
        <v>1557</v>
      </c>
      <c r="F383" t="s">
        <v>1295</v>
      </c>
      <c r="G383" t="s">
        <v>1558</v>
      </c>
      <c r="H383" t="s">
        <v>1356</v>
      </c>
      <c r="I383" s="7">
        <v>3.43</v>
      </c>
      <c r="J383" s="7" t="s">
        <v>2027</v>
      </c>
      <c r="K383" s="7" t="s">
        <v>2025</v>
      </c>
      <c r="L383" s="7" t="s">
        <v>2027</v>
      </c>
      <c r="M383" s="7" t="s">
        <v>2025</v>
      </c>
      <c r="N383" s="7" t="s">
        <v>2020</v>
      </c>
      <c r="O383" s="7" t="s">
        <v>2027</v>
      </c>
      <c r="P383" s="7" t="s">
        <v>2019</v>
      </c>
      <c r="Q383" t="s">
        <v>98</v>
      </c>
      <c r="R383" s="7" t="s">
        <v>2034</v>
      </c>
      <c r="S383" t="str">
        <f xml:space="preserve"> HYPERLINK("ReviewHtml/review_Sinbad_-_Legend_of_the_Seven_Seas.html", "https://2danicritic.github.io/ReviewHtml/review_Sinbad_-_Legend_of_the_Seven_Seas.html")</f>
        <v>https://2danicritic.github.io/ReviewHtml/review_Sinbad_-_Legend_of_the_Seven_Seas.html</v>
      </c>
      <c r="U383" s="5">
        <f t="shared" si="5"/>
        <v>3.43</v>
      </c>
    </row>
    <row r="384" spans="2:21" x14ac:dyDescent="0.35">
      <c r="B384" s="7" t="s">
        <v>2535</v>
      </c>
      <c r="C384" t="s">
        <v>1410</v>
      </c>
      <c r="D384" s="7" t="s">
        <v>2041</v>
      </c>
      <c r="E384" t="s">
        <v>1555</v>
      </c>
      <c r="F384" t="s">
        <v>776</v>
      </c>
      <c r="G384" t="s">
        <v>1560</v>
      </c>
      <c r="H384" t="s">
        <v>1042</v>
      </c>
      <c r="I384" s="7">
        <v>3.14</v>
      </c>
      <c r="J384" s="7" t="s">
        <v>2020</v>
      </c>
      <c r="K384" s="7" t="s">
        <v>2027</v>
      </c>
      <c r="L384" s="7" t="s">
        <v>2020</v>
      </c>
      <c r="M384" s="7" t="s">
        <v>2020</v>
      </c>
      <c r="N384" s="7" t="s">
        <v>2027</v>
      </c>
      <c r="O384" s="7" t="s">
        <v>2020</v>
      </c>
      <c r="P384" s="7" t="s">
        <v>2020</v>
      </c>
      <c r="Q384" t="s">
        <v>157</v>
      </c>
      <c r="R384" s="7" t="s">
        <v>2049</v>
      </c>
      <c r="S384" t="str">
        <f xml:space="preserve"> HYPERLINK("ReviewHtml/review_So_I_Can't_Play_H!.html", "https://2danicritic.github.io/ReviewHtml/review_So_I_Can't_Play_H!.html")</f>
        <v>https://2danicritic.github.io/ReviewHtml/review_So_I_Can't_Play_H!.html</v>
      </c>
      <c r="U384" s="5">
        <f t="shared" si="5"/>
        <v>3.14</v>
      </c>
    </row>
    <row r="385" spans="2:21" x14ac:dyDescent="0.35">
      <c r="B385" s="7" t="s">
        <v>2536</v>
      </c>
      <c r="C385" t="s">
        <v>2537</v>
      </c>
      <c r="D385" s="7" t="s">
        <v>2080</v>
      </c>
      <c r="E385" t="s">
        <v>1610</v>
      </c>
      <c r="F385" t="s">
        <v>2538</v>
      </c>
      <c r="G385" t="s">
        <v>1558</v>
      </c>
      <c r="H385" t="s">
        <v>2539</v>
      </c>
      <c r="I385" s="7">
        <v>3.36</v>
      </c>
      <c r="J385" s="7" t="s">
        <v>2020</v>
      </c>
      <c r="K385" s="7" t="s">
        <v>2027</v>
      </c>
      <c r="L385" s="7" t="s">
        <v>2020</v>
      </c>
      <c r="M385" s="7" t="s">
        <v>2027</v>
      </c>
      <c r="N385" s="7" t="s">
        <v>2020</v>
      </c>
      <c r="O385" s="7" t="s">
        <v>2027</v>
      </c>
      <c r="P385" s="7" t="s">
        <v>2025</v>
      </c>
      <c r="Q385" t="s">
        <v>2010</v>
      </c>
      <c r="R385" s="7" t="s">
        <v>2212</v>
      </c>
      <c r="S385" t="str">
        <f xml:space="preserve"> HYPERLINK("ReviewHtml/review_Son_of_the_White_Mare.html", "https://2danicritic.github.io/ReviewHtml/review_Son_of_the_White_Mare.html")</f>
        <v>https://2danicritic.github.io/ReviewHtml/review_Son_of_the_White_Mare.html</v>
      </c>
      <c r="U385" s="5">
        <f t="shared" si="5"/>
        <v>3.36</v>
      </c>
    </row>
    <row r="386" spans="2:21" x14ac:dyDescent="0.35">
      <c r="B386" s="7" t="s">
        <v>2540</v>
      </c>
      <c r="C386" t="s">
        <v>1055</v>
      </c>
      <c r="D386" s="7" t="s">
        <v>2076</v>
      </c>
      <c r="E386" t="s">
        <v>1614</v>
      </c>
      <c r="F386" t="s">
        <v>1056</v>
      </c>
      <c r="G386" t="s">
        <v>1558</v>
      </c>
      <c r="H386" t="s">
        <v>1057</v>
      </c>
      <c r="I386" s="7">
        <v>3.36</v>
      </c>
      <c r="J386" s="7" t="s">
        <v>2027</v>
      </c>
      <c r="K386" s="7" t="s">
        <v>2026</v>
      </c>
      <c r="L386" s="7" t="s">
        <v>2025</v>
      </c>
      <c r="M386" s="7" t="s">
        <v>2027</v>
      </c>
      <c r="N386" s="7" t="s">
        <v>2019</v>
      </c>
      <c r="O386" s="7" t="s">
        <v>2019</v>
      </c>
      <c r="P386" s="7" t="s">
        <v>2020</v>
      </c>
      <c r="Q386" t="s">
        <v>347</v>
      </c>
      <c r="R386" s="7" t="s">
        <v>2217</v>
      </c>
      <c r="S386" t="str">
        <f xml:space="preserve"> HYPERLINK("ReviewHtml/review_Song_of_the_Sea.html", "https://2danicritic.github.io/ReviewHtml/review_Song_of_the_Sea.html")</f>
        <v>https://2danicritic.github.io/ReviewHtml/review_Song_of_the_Sea.html</v>
      </c>
      <c r="U386" s="5">
        <f t="shared" si="5"/>
        <v>3.36</v>
      </c>
    </row>
    <row r="387" spans="2:21" x14ac:dyDescent="0.35">
      <c r="B387" s="7" t="s">
        <v>2541</v>
      </c>
      <c r="C387" t="s">
        <v>1058</v>
      </c>
      <c r="D387" s="7" t="s">
        <v>2154</v>
      </c>
      <c r="E387" t="s">
        <v>1555</v>
      </c>
      <c r="F387" t="s">
        <v>735</v>
      </c>
      <c r="G387" t="s">
        <v>1560</v>
      </c>
      <c r="H387" t="s">
        <v>1059</v>
      </c>
      <c r="I387" s="7">
        <v>3.93</v>
      </c>
      <c r="J387" s="7" t="s">
        <v>2025</v>
      </c>
      <c r="K387" s="7" t="s">
        <v>2025</v>
      </c>
      <c r="L387" s="7" t="s">
        <v>2026</v>
      </c>
      <c r="M387" s="7" t="s">
        <v>2020</v>
      </c>
      <c r="N387" s="7" t="s">
        <v>2020</v>
      </c>
      <c r="O387" s="7" t="s">
        <v>2025</v>
      </c>
      <c r="P387" s="7" t="s">
        <v>2033</v>
      </c>
      <c r="Q387" t="s">
        <v>249</v>
      </c>
      <c r="R387" s="7" t="s">
        <v>2542</v>
      </c>
      <c r="S387" t="str">
        <f xml:space="preserve"> HYPERLINK("ReviewHtml/review_Soul_Eater.html", "https://2danicritic.github.io/ReviewHtml/review_Soul_Eater.html")</f>
        <v>https://2danicritic.github.io/ReviewHtml/review_Soul_Eater.html</v>
      </c>
      <c r="U387" s="5">
        <f t="shared" si="5"/>
        <v>3.93</v>
      </c>
    </row>
    <row r="388" spans="2:21" x14ac:dyDescent="0.35">
      <c r="B388" s="7" t="s">
        <v>2543</v>
      </c>
      <c r="C388" t="s">
        <v>1060</v>
      </c>
      <c r="D388" s="7" t="s">
        <v>2076</v>
      </c>
      <c r="E388" t="s">
        <v>1555</v>
      </c>
      <c r="F388" t="s">
        <v>735</v>
      </c>
      <c r="G388" t="s">
        <v>1560</v>
      </c>
      <c r="H388" t="s">
        <v>250</v>
      </c>
      <c r="I388" s="7">
        <v>3.93</v>
      </c>
      <c r="J388" s="7" t="s">
        <v>2026</v>
      </c>
      <c r="K388" s="7" t="s">
        <v>2027</v>
      </c>
      <c r="L388" s="7" t="s">
        <v>2027</v>
      </c>
      <c r="M388" s="7" t="s">
        <v>2027</v>
      </c>
      <c r="N388" s="7" t="s">
        <v>2027</v>
      </c>
      <c r="O388" s="7" t="s">
        <v>2026</v>
      </c>
      <c r="P388" s="7" t="s">
        <v>2026</v>
      </c>
      <c r="Q388" t="s">
        <v>251</v>
      </c>
      <c r="R388" s="7" t="s">
        <v>2114</v>
      </c>
      <c r="S388" t="str">
        <f xml:space="preserve"> HYPERLINK("ReviewHtml/review_Space_Dandy.html", "https://2danicritic.github.io/ReviewHtml/review_Space_Dandy.html")</f>
        <v>https://2danicritic.github.io/ReviewHtml/review_Space_Dandy.html</v>
      </c>
      <c r="U388" s="5">
        <f t="shared" ref="U388:U451" si="6">VALUE(I388)</f>
        <v>3.93</v>
      </c>
    </row>
    <row r="389" spans="2:21" x14ac:dyDescent="0.35">
      <c r="B389" s="7" t="s">
        <v>2544</v>
      </c>
      <c r="C389" t="s">
        <v>1411</v>
      </c>
      <c r="D389" s="7" t="s">
        <v>2180</v>
      </c>
      <c r="E389" t="s">
        <v>1555</v>
      </c>
      <c r="F389" t="s">
        <v>665</v>
      </c>
      <c r="G389" t="s">
        <v>1560</v>
      </c>
      <c r="H389" t="s">
        <v>1459</v>
      </c>
      <c r="I389" s="7">
        <v>2.93</v>
      </c>
      <c r="J389" s="7" t="s">
        <v>2029</v>
      </c>
      <c r="K389" s="7" t="s">
        <v>2020</v>
      </c>
      <c r="L389" s="7" t="s">
        <v>2019</v>
      </c>
      <c r="M389" s="7" t="s">
        <v>2027</v>
      </c>
      <c r="N389" s="7" t="s">
        <v>2027</v>
      </c>
      <c r="O389" s="7" t="s">
        <v>2020</v>
      </c>
      <c r="P389" s="7" t="s">
        <v>2020</v>
      </c>
      <c r="Q389" t="s">
        <v>1357</v>
      </c>
      <c r="R389" s="7" t="s">
        <v>2155</v>
      </c>
      <c r="S389" t="str">
        <f xml:space="preserve"> HYPERLINK("ReviewHtml/review_Speed_Grapher.html", "https://2danicritic.github.io/ReviewHtml/review_Speed_Grapher.html")</f>
        <v>https://2danicritic.github.io/ReviewHtml/review_Speed_Grapher.html</v>
      </c>
      <c r="U389" s="5">
        <f t="shared" si="6"/>
        <v>2.93</v>
      </c>
    </row>
    <row r="390" spans="2:21" x14ac:dyDescent="0.35">
      <c r="B390" s="7" t="s">
        <v>2545</v>
      </c>
      <c r="C390" t="s">
        <v>1061</v>
      </c>
      <c r="D390" s="7" t="s">
        <v>2154</v>
      </c>
      <c r="E390" t="s">
        <v>1555</v>
      </c>
      <c r="F390" t="s">
        <v>1062</v>
      </c>
      <c r="G390" t="s">
        <v>1560</v>
      </c>
      <c r="H390" t="s">
        <v>1063</v>
      </c>
      <c r="I390" s="7">
        <v>4</v>
      </c>
      <c r="J390" s="7" t="s">
        <v>2020</v>
      </c>
      <c r="K390" s="7" t="s">
        <v>2027</v>
      </c>
      <c r="L390" s="7" t="s">
        <v>2025</v>
      </c>
      <c r="M390" s="7" t="s">
        <v>2033</v>
      </c>
      <c r="N390" s="7" t="s">
        <v>2027</v>
      </c>
      <c r="O390" s="7" t="s">
        <v>2025</v>
      </c>
      <c r="P390" s="7" t="s">
        <v>2033</v>
      </c>
      <c r="Q390" t="s">
        <v>252</v>
      </c>
      <c r="R390" s="7" t="s">
        <v>2546</v>
      </c>
      <c r="S390" t="str">
        <f xml:space="preserve"> HYPERLINK("ReviewHtml/review_Spice_and_Wolf.html", "https://2danicritic.github.io/ReviewHtml/review_Spice_and_Wolf.html")</f>
        <v>https://2danicritic.github.io/ReviewHtml/review_Spice_and_Wolf.html</v>
      </c>
      <c r="U390" s="5">
        <f t="shared" si="6"/>
        <v>4</v>
      </c>
    </row>
    <row r="391" spans="2:21" x14ac:dyDescent="0.35">
      <c r="B391" s="7" t="s">
        <v>2547</v>
      </c>
      <c r="C391" t="s">
        <v>1412</v>
      </c>
      <c r="D391" s="7" t="s">
        <v>2057</v>
      </c>
      <c r="E391" t="s">
        <v>1557</v>
      </c>
      <c r="F391" t="s">
        <v>1295</v>
      </c>
      <c r="G391" t="s">
        <v>1558</v>
      </c>
      <c r="H391" t="s">
        <v>1460</v>
      </c>
      <c r="I391" s="7">
        <v>4.1399999999999997</v>
      </c>
      <c r="J391" s="7" t="s">
        <v>2025</v>
      </c>
      <c r="K391" s="7" t="s">
        <v>2025</v>
      </c>
      <c r="L391" s="7" t="s">
        <v>2025</v>
      </c>
      <c r="M391" s="7" t="s">
        <v>2026</v>
      </c>
      <c r="N391" s="7" t="s">
        <v>2026</v>
      </c>
      <c r="O391" s="7" t="s">
        <v>2027</v>
      </c>
      <c r="P391" s="7" t="s">
        <v>2026</v>
      </c>
      <c r="Q391" t="s">
        <v>1358</v>
      </c>
      <c r="R391" s="7" t="s">
        <v>2109</v>
      </c>
      <c r="S391" t="str">
        <f xml:space="preserve"> HYPERLINK("ReviewHtml/review_Spirit_-_Stallion_of_the_Cimarron.html", "https://2danicritic.github.io/ReviewHtml/review_Spirit_-_Stallion_of_the_Cimarron.html")</f>
        <v>https://2danicritic.github.io/ReviewHtml/review_Spirit_-_Stallion_of_the_Cimarron.html</v>
      </c>
      <c r="U391" s="5">
        <f t="shared" si="6"/>
        <v>4.1399999999999997</v>
      </c>
    </row>
    <row r="392" spans="2:21" x14ac:dyDescent="0.35">
      <c r="B392" s="7" t="s">
        <v>2548</v>
      </c>
      <c r="C392" t="s">
        <v>1064</v>
      </c>
      <c r="D392" s="7" t="s">
        <v>2074</v>
      </c>
      <c r="E392" t="s">
        <v>1555</v>
      </c>
      <c r="F392" t="s">
        <v>748</v>
      </c>
      <c r="G392" t="s">
        <v>1558</v>
      </c>
      <c r="H392" t="s">
        <v>749</v>
      </c>
      <c r="I392" s="7">
        <v>4</v>
      </c>
      <c r="J392" s="7" t="s">
        <v>2025</v>
      </c>
      <c r="K392" s="7" t="s">
        <v>2025</v>
      </c>
      <c r="L392" s="7" t="s">
        <v>2025</v>
      </c>
      <c r="M392" s="7" t="s">
        <v>2027</v>
      </c>
      <c r="N392" s="7" t="s">
        <v>2027</v>
      </c>
      <c r="O392" s="7" t="s">
        <v>2025</v>
      </c>
      <c r="P392" s="7" t="s">
        <v>2033</v>
      </c>
      <c r="Q392" t="s">
        <v>196</v>
      </c>
      <c r="R392" s="7" t="s">
        <v>2064</v>
      </c>
      <c r="S392" t="str">
        <f xml:space="preserve"> HYPERLINK("ReviewHtml/review_Spirited_Away.html", "https://2danicritic.github.io/ReviewHtml/review_Spirited_Away.html")</f>
        <v>https://2danicritic.github.io/ReviewHtml/review_Spirited_Away.html</v>
      </c>
      <c r="U392" s="5">
        <f t="shared" si="6"/>
        <v>4</v>
      </c>
    </row>
    <row r="393" spans="2:21" x14ac:dyDescent="0.35">
      <c r="B393" s="7" t="s">
        <v>2549</v>
      </c>
      <c r="C393" t="s">
        <v>2550</v>
      </c>
      <c r="D393" s="7" t="s">
        <v>2035</v>
      </c>
      <c r="E393" t="s">
        <v>1555</v>
      </c>
      <c r="F393" t="s">
        <v>2551</v>
      </c>
      <c r="G393" t="s">
        <v>1560</v>
      </c>
      <c r="H393" t="s">
        <v>2011</v>
      </c>
      <c r="I393" s="7">
        <v>3.29</v>
      </c>
      <c r="J393" s="7" t="s">
        <v>2020</v>
      </c>
      <c r="K393" s="7" t="s">
        <v>2020</v>
      </c>
      <c r="L393" s="7" t="s">
        <v>2027</v>
      </c>
      <c r="M393" s="7" t="s">
        <v>2027</v>
      </c>
      <c r="N393" s="7" t="s">
        <v>2019</v>
      </c>
      <c r="O393" s="7" t="s">
        <v>2025</v>
      </c>
      <c r="P393" s="7" t="s">
        <v>2027</v>
      </c>
      <c r="Q393" t="s">
        <v>145</v>
      </c>
      <c r="R393" s="7" t="s">
        <v>2552</v>
      </c>
      <c r="S393" t="str">
        <f xml:space="preserve"> HYPERLINK("ReviewHtml/review_Squid_Girl.html", "https://2danicritic.github.io/ReviewHtml/review_Squid_Girl.html")</f>
        <v>https://2danicritic.github.io/ReviewHtml/review_Squid_Girl.html</v>
      </c>
      <c r="U393" s="5">
        <f t="shared" si="6"/>
        <v>3.29</v>
      </c>
    </row>
    <row r="394" spans="2:21" x14ac:dyDescent="0.35">
      <c r="B394" s="7" t="s">
        <v>2553</v>
      </c>
      <c r="C394" t="s">
        <v>1065</v>
      </c>
      <c r="D394" s="7" t="s">
        <v>2037</v>
      </c>
      <c r="E394" t="s">
        <v>1555</v>
      </c>
      <c r="F394" t="s">
        <v>880</v>
      </c>
      <c r="G394" t="s">
        <v>1560</v>
      </c>
      <c r="H394" t="s">
        <v>253</v>
      </c>
      <c r="I394" s="7">
        <v>3.86</v>
      </c>
      <c r="J394" s="7" t="s">
        <v>2020</v>
      </c>
      <c r="K394" s="7" t="s">
        <v>2027</v>
      </c>
      <c r="L394" s="7" t="s">
        <v>2026</v>
      </c>
      <c r="M394" s="7" t="s">
        <v>2033</v>
      </c>
      <c r="N394" s="7" t="s">
        <v>2027</v>
      </c>
      <c r="O394" s="7" t="s">
        <v>2025</v>
      </c>
      <c r="P394" s="7" t="s">
        <v>2027</v>
      </c>
      <c r="Q394" t="s">
        <v>254</v>
      </c>
      <c r="R394" s="7" t="s">
        <v>2104</v>
      </c>
      <c r="S394" t="str">
        <f xml:space="preserve"> HYPERLINK("ReviewHtml/review_Steins;Gate.html", "https://2danicritic.github.io/ReviewHtml/review_Steins;Gate.html")</f>
        <v>https://2danicritic.github.io/ReviewHtml/review_Steins;Gate.html</v>
      </c>
      <c r="U394" s="5">
        <f t="shared" si="6"/>
        <v>3.86</v>
      </c>
    </row>
    <row r="395" spans="2:21" x14ac:dyDescent="0.35">
      <c r="B395" s="7" t="s">
        <v>2554</v>
      </c>
      <c r="C395" t="s">
        <v>1277</v>
      </c>
      <c r="D395" s="7" t="s">
        <v>2102</v>
      </c>
      <c r="E395" t="s">
        <v>1555</v>
      </c>
      <c r="F395" t="s">
        <v>880</v>
      </c>
      <c r="G395" t="s">
        <v>1558</v>
      </c>
      <c r="H395" t="s">
        <v>1303</v>
      </c>
      <c r="I395" s="7">
        <v>3.64</v>
      </c>
      <c r="J395" s="7" t="s">
        <v>2020</v>
      </c>
      <c r="K395" s="7" t="s">
        <v>2027</v>
      </c>
      <c r="L395" s="7" t="s">
        <v>2025</v>
      </c>
      <c r="M395" s="7" t="s">
        <v>2026</v>
      </c>
      <c r="N395" s="7" t="s">
        <v>2027</v>
      </c>
      <c r="O395" s="7" t="s">
        <v>2027</v>
      </c>
      <c r="P395" s="7" t="s">
        <v>2027</v>
      </c>
      <c r="Q395" t="s">
        <v>1215</v>
      </c>
      <c r="R395" s="7" t="s">
        <v>2212</v>
      </c>
      <c r="S395" t="str">
        <f xml:space="preserve"> HYPERLINK("ReviewHtml/review_Steins;Gate_The_Movie_-_Load_Region_of_Deja_Vu.html", "https://2danicritic.github.io/ReviewHtml/review_Steins;Gate_The_Movie_-_Load_Region_of_Deja_Vu.html")</f>
        <v>https://2danicritic.github.io/ReviewHtml/review_Steins;Gate_The_Movie_-_Load_Region_of_Deja_Vu.html</v>
      </c>
      <c r="U395" s="5">
        <f t="shared" si="6"/>
        <v>3.64</v>
      </c>
    </row>
    <row r="396" spans="2:21" x14ac:dyDescent="0.35">
      <c r="B396" s="7" t="s">
        <v>2555</v>
      </c>
      <c r="C396" t="s">
        <v>1066</v>
      </c>
      <c r="D396" s="7" t="s">
        <v>2453</v>
      </c>
      <c r="E396" t="s">
        <v>1555</v>
      </c>
      <c r="F396" t="s">
        <v>729</v>
      </c>
      <c r="G396" t="s">
        <v>1558</v>
      </c>
      <c r="H396" t="s">
        <v>976</v>
      </c>
      <c r="I396" s="7">
        <v>2.5</v>
      </c>
      <c r="J396" s="7" t="s">
        <v>2019</v>
      </c>
      <c r="K396" s="7" t="s">
        <v>2019</v>
      </c>
      <c r="L396" s="7" t="s">
        <v>2027</v>
      </c>
      <c r="M396" s="7" t="s">
        <v>2019</v>
      </c>
      <c r="N396" s="7" t="s">
        <v>2141</v>
      </c>
      <c r="O396" s="7" t="s">
        <v>2020</v>
      </c>
      <c r="P396" s="7" t="s">
        <v>2029</v>
      </c>
      <c r="Q396" t="s">
        <v>91</v>
      </c>
      <c r="R396" s="7" t="s">
        <v>2226</v>
      </c>
      <c r="S396" t="str">
        <f xml:space="preserve"> HYPERLINK("ReviewHtml/review_Street_Fighter_II_-_The_Animated_Movie.html", "https://2danicritic.github.io/ReviewHtml/review_Street_Fighter_II_-_The_Animated_Movie.html")</f>
        <v>https://2danicritic.github.io/ReviewHtml/review_Street_Fighter_II_-_The_Animated_Movie.html</v>
      </c>
      <c r="U396" s="5">
        <f t="shared" si="6"/>
        <v>2.5</v>
      </c>
    </row>
    <row r="397" spans="2:21" x14ac:dyDescent="0.35">
      <c r="B397" s="7" t="s">
        <v>2556</v>
      </c>
      <c r="C397" t="s">
        <v>1918</v>
      </c>
      <c r="D397" s="7" t="s">
        <v>2023</v>
      </c>
      <c r="E397" t="s">
        <v>1555</v>
      </c>
      <c r="F397" t="s">
        <v>1297</v>
      </c>
      <c r="G397" t="s">
        <v>1558</v>
      </c>
      <c r="H397" t="s">
        <v>768</v>
      </c>
      <c r="I397" s="7">
        <v>2.64</v>
      </c>
      <c r="J397" s="7" t="s">
        <v>2019</v>
      </c>
      <c r="K397" s="7" t="s">
        <v>2019</v>
      </c>
      <c r="L397" s="7" t="s">
        <v>2020</v>
      </c>
      <c r="M397" s="7" t="s">
        <v>2019</v>
      </c>
      <c r="N397" s="7" t="s">
        <v>2020</v>
      </c>
      <c r="O397" s="7" t="s">
        <v>2019</v>
      </c>
      <c r="P397" s="7" t="s">
        <v>2019</v>
      </c>
      <c r="Q397" t="s">
        <v>1362</v>
      </c>
      <c r="R397" s="7" t="s">
        <v>2259</v>
      </c>
      <c r="S397" t="str">
        <f xml:space="preserve"> HYPERLINK("ReviewHtml/review_Summer_Days_with_Coo.html", "https://2danicritic.github.io/ReviewHtml/review_Summer_Days_with_Coo.html")</f>
        <v>https://2danicritic.github.io/ReviewHtml/review_Summer_Days_with_Coo.html</v>
      </c>
      <c r="U397" s="5">
        <f t="shared" si="6"/>
        <v>2.64</v>
      </c>
    </row>
    <row r="398" spans="2:21" x14ac:dyDescent="0.35">
      <c r="B398" s="7" t="s">
        <v>2557</v>
      </c>
      <c r="C398" t="s">
        <v>1067</v>
      </c>
      <c r="D398" s="7" t="s">
        <v>2066</v>
      </c>
      <c r="E398" t="s">
        <v>1555</v>
      </c>
      <c r="F398" t="s">
        <v>695</v>
      </c>
      <c r="G398" t="s">
        <v>1558</v>
      </c>
      <c r="H398" t="s">
        <v>946</v>
      </c>
      <c r="I398" s="7">
        <v>3.93</v>
      </c>
      <c r="J398" s="7" t="s">
        <v>2027</v>
      </c>
      <c r="K398" s="7" t="s">
        <v>2025</v>
      </c>
      <c r="L398" s="7" t="s">
        <v>2027</v>
      </c>
      <c r="M398" s="7" t="s">
        <v>2025</v>
      </c>
      <c r="N398" s="7" t="s">
        <v>2027</v>
      </c>
      <c r="O398" s="7" t="s">
        <v>2026</v>
      </c>
      <c r="P398" s="7" t="s">
        <v>2026</v>
      </c>
      <c r="Q398" t="s">
        <v>255</v>
      </c>
      <c r="R398" s="7" t="s">
        <v>2208</v>
      </c>
      <c r="S398" t="str">
        <f xml:space="preserve"> HYPERLINK("ReviewHtml/review_Summer_Wars.html", "https://2danicritic.github.io/ReviewHtml/review_Summer_Wars.html")</f>
        <v>https://2danicritic.github.io/ReviewHtml/review_Summer_Wars.html</v>
      </c>
      <c r="U398" s="5">
        <f t="shared" si="6"/>
        <v>3.93</v>
      </c>
    </row>
    <row r="399" spans="2:21" x14ac:dyDescent="0.35">
      <c r="B399" s="7" t="s">
        <v>2558</v>
      </c>
      <c r="C399" t="s">
        <v>1068</v>
      </c>
      <c r="D399" s="7" t="s">
        <v>2037</v>
      </c>
      <c r="E399" t="s">
        <v>1555</v>
      </c>
      <c r="F399" t="s">
        <v>695</v>
      </c>
      <c r="G399" t="s">
        <v>1560</v>
      </c>
      <c r="H399" t="s">
        <v>256</v>
      </c>
      <c r="I399" s="7">
        <v>3</v>
      </c>
      <c r="J399" s="7" t="s">
        <v>2020</v>
      </c>
      <c r="K399" s="7" t="s">
        <v>2020</v>
      </c>
      <c r="L399" s="7" t="s">
        <v>2027</v>
      </c>
      <c r="M399" s="7" t="s">
        <v>2027</v>
      </c>
      <c r="N399" s="7" t="s">
        <v>2020</v>
      </c>
      <c r="O399" s="7" t="s">
        <v>2020</v>
      </c>
      <c r="P399" s="7" t="s">
        <v>2029</v>
      </c>
      <c r="Q399" t="s">
        <v>257</v>
      </c>
      <c r="R399" s="7" t="s">
        <v>2559</v>
      </c>
      <c r="S399" t="str">
        <f xml:space="preserve"> HYPERLINK("ReviewHtml/review_Supernatural_-_The_Animation.html", "https://2danicritic.github.io/ReviewHtml/review_Supernatural_-_The_Animation.html")</f>
        <v>https://2danicritic.github.io/ReviewHtml/review_Supernatural_-_The_Animation.html</v>
      </c>
      <c r="U399" s="5">
        <f t="shared" si="6"/>
        <v>3</v>
      </c>
    </row>
    <row r="400" spans="2:21" x14ac:dyDescent="0.35">
      <c r="B400" s="7" t="s">
        <v>2560</v>
      </c>
      <c r="C400" t="s">
        <v>1832</v>
      </c>
      <c r="D400" s="7" t="s">
        <v>2041</v>
      </c>
      <c r="E400" t="s">
        <v>1555</v>
      </c>
      <c r="F400" t="s">
        <v>716</v>
      </c>
      <c r="G400" t="s">
        <v>1560</v>
      </c>
      <c r="H400" t="s">
        <v>1439</v>
      </c>
      <c r="I400" s="7">
        <v>3.57</v>
      </c>
      <c r="J400" s="7" t="s">
        <v>2027</v>
      </c>
      <c r="K400" s="7" t="s">
        <v>2027</v>
      </c>
      <c r="L400" s="7" t="s">
        <v>2026</v>
      </c>
      <c r="M400" s="7" t="s">
        <v>2027</v>
      </c>
      <c r="N400" s="7" t="s">
        <v>2020</v>
      </c>
      <c r="O400" s="7" t="s">
        <v>2027</v>
      </c>
      <c r="P400" s="7" t="s">
        <v>2027</v>
      </c>
      <c r="Q400" t="s">
        <v>1777</v>
      </c>
      <c r="R400" s="7" t="s">
        <v>2561</v>
      </c>
      <c r="S400" t="str">
        <f xml:space="preserve"> HYPERLINK("ReviewHtml/review_Sword_Art_Online.html", "https://2danicritic.github.io/ReviewHtml/review_Sword_Art_Online.html")</f>
        <v>https://2danicritic.github.io/ReviewHtml/review_Sword_Art_Online.html</v>
      </c>
      <c r="U400" s="5">
        <f t="shared" si="6"/>
        <v>3.57</v>
      </c>
    </row>
    <row r="401" spans="2:21" x14ac:dyDescent="0.35">
      <c r="B401" s="7" t="s">
        <v>2562</v>
      </c>
      <c r="C401" t="s">
        <v>1069</v>
      </c>
      <c r="D401" s="7" t="s">
        <v>2023</v>
      </c>
      <c r="E401" t="s">
        <v>1555</v>
      </c>
      <c r="F401" t="s">
        <v>735</v>
      </c>
      <c r="G401" t="s">
        <v>1558</v>
      </c>
      <c r="H401" t="s">
        <v>746</v>
      </c>
      <c r="I401" s="7">
        <v>3.64</v>
      </c>
      <c r="J401" s="7" t="s">
        <v>2025</v>
      </c>
      <c r="K401" s="7" t="s">
        <v>2020</v>
      </c>
      <c r="L401" s="7" t="s">
        <v>2025</v>
      </c>
      <c r="M401" s="7" t="s">
        <v>2020</v>
      </c>
      <c r="N401" s="7" t="s">
        <v>2027</v>
      </c>
      <c r="O401" s="7" t="s">
        <v>2025</v>
      </c>
      <c r="P401" s="7" t="s">
        <v>2025</v>
      </c>
      <c r="Q401" t="s">
        <v>91</v>
      </c>
      <c r="R401" s="7" t="s">
        <v>2226</v>
      </c>
      <c r="S401" t="str">
        <f xml:space="preserve"> HYPERLINK("ReviewHtml/review_Sword_of_the_Stranger.html", "https://2danicritic.github.io/ReviewHtml/review_Sword_of_the_Stranger.html")</f>
        <v>https://2danicritic.github.io/ReviewHtml/review_Sword_of_the_Stranger.html</v>
      </c>
      <c r="U401" s="5">
        <f t="shared" si="6"/>
        <v>3.64</v>
      </c>
    </row>
    <row r="402" spans="2:21" x14ac:dyDescent="0.35">
      <c r="B402" s="7" t="s">
        <v>2563</v>
      </c>
      <c r="C402" t="s">
        <v>1070</v>
      </c>
      <c r="D402" s="7" t="s">
        <v>2051</v>
      </c>
      <c r="E402" t="s">
        <v>1555</v>
      </c>
      <c r="F402" t="s">
        <v>748</v>
      </c>
      <c r="G402" t="s">
        <v>1558</v>
      </c>
      <c r="H402" t="s">
        <v>825</v>
      </c>
      <c r="I402" s="7">
        <v>3.43</v>
      </c>
      <c r="J402" s="7" t="s">
        <v>2027</v>
      </c>
      <c r="K402" s="7" t="s">
        <v>2027</v>
      </c>
      <c r="L402" s="7" t="s">
        <v>2027</v>
      </c>
      <c r="M402" s="7" t="s">
        <v>2027</v>
      </c>
      <c r="N402" s="7" t="s">
        <v>2020</v>
      </c>
      <c r="O402" s="7" t="s">
        <v>2020</v>
      </c>
      <c r="P402" s="7" t="s">
        <v>2025</v>
      </c>
      <c r="Q402" t="s">
        <v>258</v>
      </c>
      <c r="R402" s="7" t="s">
        <v>2213</v>
      </c>
      <c r="S402" t="str">
        <f xml:space="preserve"> HYPERLINK("ReviewHtml/review_Tales_From_Earthsea.html", "https://2danicritic.github.io/ReviewHtml/review_Tales_From_Earthsea.html")</f>
        <v>https://2danicritic.github.io/ReviewHtml/review_Tales_From_Earthsea.html</v>
      </c>
      <c r="U402" s="5">
        <f t="shared" si="6"/>
        <v>3.43</v>
      </c>
    </row>
    <row r="403" spans="2:21" x14ac:dyDescent="0.35">
      <c r="B403" s="7" t="s">
        <v>2117</v>
      </c>
      <c r="C403" t="s">
        <v>1413</v>
      </c>
      <c r="D403" s="7" t="s">
        <v>2066</v>
      </c>
      <c r="E403" t="s">
        <v>1555</v>
      </c>
      <c r="F403" t="s">
        <v>732</v>
      </c>
      <c r="G403" t="s">
        <v>1558</v>
      </c>
      <c r="H403" t="s">
        <v>1461</v>
      </c>
      <c r="I403" s="7">
        <v>3.57</v>
      </c>
      <c r="J403" s="7" t="s">
        <v>2027</v>
      </c>
      <c r="K403" s="7" t="s">
        <v>2027</v>
      </c>
      <c r="L403" s="7" t="s">
        <v>2027</v>
      </c>
      <c r="M403" s="7" t="s">
        <v>2025</v>
      </c>
      <c r="N403" s="7" t="s">
        <v>2027</v>
      </c>
      <c r="O403" s="7" t="s">
        <v>2020</v>
      </c>
      <c r="P403" s="7" t="s">
        <v>2025</v>
      </c>
      <c r="Q403" t="s">
        <v>1322</v>
      </c>
      <c r="R403" s="7" t="s">
        <v>2178</v>
      </c>
      <c r="S403" t="str">
        <f xml:space="preserve"> HYPERLINK("ReviewHtml/review_Tales_of_Vesperia_-_The_First_Strike.html", "https://2danicritic.github.io/ReviewHtml/review_Tales_of_Vesperia_-_The_First_Strike.html")</f>
        <v>https://2danicritic.github.io/ReviewHtml/review_Tales_of_Vesperia_-_The_First_Strike.html</v>
      </c>
      <c r="U403" s="5">
        <f t="shared" si="6"/>
        <v>3.57</v>
      </c>
    </row>
    <row r="404" spans="2:21" x14ac:dyDescent="0.35">
      <c r="B404" s="7" t="s">
        <v>2564</v>
      </c>
      <c r="C404" t="s">
        <v>1071</v>
      </c>
      <c r="D404" s="7" t="s">
        <v>2135</v>
      </c>
      <c r="E404" t="s">
        <v>1557</v>
      </c>
      <c r="F404" t="s">
        <v>1072</v>
      </c>
      <c r="G404" t="s">
        <v>1558</v>
      </c>
      <c r="H404" t="s">
        <v>259</v>
      </c>
      <c r="I404" s="7">
        <v>2.71</v>
      </c>
      <c r="J404" s="7" t="s">
        <v>2019</v>
      </c>
      <c r="K404" s="7" t="s">
        <v>2019</v>
      </c>
      <c r="L404" s="7" t="s">
        <v>2019</v>
      </c>
      <c r="M404" s="7" t="s">
        <v>2025</v>
      </c>
      <c r="N404" s="7" t="s">
        <v>2029</v>
      </c>
      <c r="O404" s="7" t="s">
        <v>2027</v>
      </c>
      <c r="P404" s="7" t="s">
        <v>2029</v>
      </c>
      <c r="Q404" t="s">
        <v>260</v>
      </c>
      <c r="R404" s="7" t="s">
        <v>2209</v>
      </c>
      <c r="S404" t="str">
        <f xml:space="preserve"> HYPERLINK("ReviewHtml/review_Teen_Titans_Go_(To_The_Movies).html", "https://2danicritic.github.io/ReviewHtml/review_Teen_Titans_Go_(To_The_Movies).html")</f>
        <v>https://2danicritic.github.io/ReviewHtml/review_Teen_Titans_Go_(To_The_Movies).html</v>
      </c>
      <c r="U404" s="5">
        <f t="shared" si="6"/>
        <v>2.71</v>
      </c>
    </row>
    <row r="405" spans="2:21" x14ac:dyDescent="0.35">
      <c r="B405" s="7" t="s">
        <v>2565</v>
      </c>
      <c r="C405" t="s">
        <v>1414</v>
      </c>
      <c r="D405" s="7" t="s">
        <v>2076</v>
      </c>
      <c r="E405" t="s">
        <v>1555</v>
      </c>
      <c r="F405" t="s">
        <v>869</v>
      </c>
      <c r="G405" t="s">
        <v>1560</v>
      </c>
      <c r="H405" t="s">
        <v>1299</v>
      </c>
      <c r="I405" s="7">
        <v>3.57</v>
      </c>
      <c r="J405" s="7" t="s">
        <v>2025</v>
      </c>
      <c r="K405" s="7" t="s">
        <v>2025</v>
      </c>
      <c r="L405" s="7" t="s">
        <v>2026</v>
      </c>
      <c r="M405" s="7" t="s">
        <v>2027</v>
      </c>
      <c r="N405" s="7" t="s">
        <v>2020</v>
      </c>
      <c r="O405" s="7" t="s">
        <v>2020</v>
      </c>
      <c r="P405" s="7" t="s">
        <v>2020</v>
      </c>
      <c r="Q405" t="s">
        <v>1359</v>
      </c>
      <c r="R405" s="7" t="s">
        <v>2133</v>
      </c>
      <c r="S405" t="str">
        <f xml:space="preserve"> HYPERLINK("ReviewHtml/review_Terror_in_Resonance.html", "https://2danicritic.github.io/ReviewHtml/review_Terror_in_Resonance.html")</f>
        <v>https://2danicritic.github.io/ReviewHtml/review_Terror_in_Resonance.html</v>
      </c>
      <c r="U405" s="5">
        <f t="shared" si="6"/>
        <v>3.57</v>
      </c>
    </row>
    <row r="406" spans="2:21" x14ac:dyDescent="0.35">
      <c r="B406" s="7" t="s">
        <v>2566</v>
      </c>
      <c r="C406" t="s">
        <v>1615</v>
      </c>
      <c r="D406" s="7" t="s">
        <v>2017</v>
      </c>
      <c r="E406" t="s">
        <v>1555</v>
      </c>
      <c r="F406" t="s">
        <v>1086</v>
      </c>
      <c r="G406" t="s">
        <v>1560</v>
      </c>
      <c r="H406" t="s">
        <v>1616</v>
      </c>
      <c r="I406" s="7">
        <v>3.93</v>
      </c>
      <c r="J406" s="7" t="s">
        <v>2020</v>
      </c>
      <c r="K406" s="7" t="s">
        <v>2025</v>
      </c>
      <c r="L406" s="7" t="s">
        <v>2025</v>
      </c>
      <c r="M406" s="7" t="s">
        <v>2027</v>
      </c>
      <c r="N406" s="7" t="s">
        <v>2025</v>
      </c>
      <c r="O406" s="7" t="s">
        <v>2026</v>
      </c>
      <c r="P406" s="7" t="s">
        <v>2026</v>
      </c>
      <c r="Q406" t="s">
        <v>1548</v>
      </c>
      <c r="R406" s="7" t="s">
        <v>2552</v>
      </c>
      <c r="S406" t="str">
        <f xml:space="preserve"> HYPERLINK("ReviewHtml/review_The_Ancient_Magus'_Bride.html", "https://2danicritic.github.io/ReviewHtml/review_The_Ancient_Magus'_Bride.html")</f>
        <v>https://2danicritic.github.io/ReviewHtml/review_The_Ancient_Magus'_Bride.html</v>
      </c>
      <c r="U406" s="5">
        <f t="shared" si="6"/>
        <v>3.93</v>
      </c>
    </row>
    <row r="407" spans="2:21" x14ac:dyDescent="0.35">
      <c r="B407" s="7" t="s">
        <v>2567</v>
      </c>
      <c r="C407" t="s">
        <v>1278</v>
      </c>
      <c r="D407" s="7" t="s">
        <v>2171</v>
      </c>
      <c r="E407" t="s">
        <v>1555</v>
      </c>
      <c r="F407" t="s">
        <v>1216</v>
      </c>
      <c r="G407" t="s">
        <v>1556</v>
      </c>
      <c r="H407" t="s">
        <v>1217</v>
      </c>
      <c r="I407" s="7">
        <v>4.1399999999999997</v>
      </c>
      <c r="J407" s="7" t="s">
        <v>2026</v>
      </c>
      <c r="K407" s="7" t="s">
        <v>2026</v>
      </c>
      <c r="L407" s="7" t="s">
        <v>2027</v>
      </c>
      <c r="M407" s="7" t="s">
        <v>2020</v>
      </c>
      <c r="N407" s="7" t="s">
        <v>2026</v>
      </c>
      <c r="O407" s="7" t="s">
        <v>2025</v>
      </c>
      <c r="P407" s="7" t="s">
        <v>2033</v>
      </c>
      <c r="Q407" t="s">
        <v>1218</v>
      </c>
      <c r="R407" s="7" t="s">
        <v>2224</v>
      </c>
      <c r="S407" t="str">
        <f xml:space="preserve"> HYPERLINK("ReviewHtml/review_The_Animatrix.html", "https://2danicritic.github.io/ReviewHtml/review_The_Animatrix.html")</f>
        <v>https://2danicritic.github.io/ReviewHtml/review_The_Animatrix.html</v>
      </c>
      <c r="U407" s="5">
        <f t="shared" si="6"/>
        <v>4.1399999999999997</v>
      </c>
    </row>
    <row r="408" spans="2:21" x14ac:dyDescent="0.35">
      <c r="B408" s="7" t="s">
        <v>2568</v>
      </c>
      <c r="C408" t="s">
        <v>1073</v>
      </c>
      <c r="D408" s="7" t="s">
        <v>2017</v>
      </c>
      <c r="E408" t="s">
        <v>1559</v>
      </c>
      <c r="F408" t="s">
        <v>1074</v>
      </c>
      <c r="G408" t="s">
        <v>1556</v>
      </c>
      <c r="H408" t="s">
        <v>261</v>
      </c>
      <c r="I408" s="7">
        <v>3.29</v>
      </c>
      <c r="J408" s="7" t="s">
        <v>2020</v>
      </c>
      <c r="K408" s="7" t="s">
        <v>2027</v>
      </c>
      <c r="L408" s="7" t="s">
        <v>2020</v>
      </c>
      <c r="M408" s="7" t="s">
        <v>2019</v>
      </c>
      <c r="N408" s="7" t="s">
        <v>2019</v>
      </c>
      <c r="O408" s="7" t="s">
        <v>2026</v>
      </c>
      <c r="P408" s="7" t="s">
        <v>2025</v>
      </c>
      <c r="Q408" t="s">
        <v>185</v>
      </c>
      <c r="R408" s="7" t="s">
        <v>2201</v>
      </c>
      <c r="S408" t="str">
        <f xml:space="preserve"> HYPERLINK("ReviewHtml/review_The_Big_Bad_Fox_and_Other_Tales.html", "https://2danicritic.github.io/ReviewHtml/review_The_Big_Bad_Fox_and_Other_Tales.html")</f>
        <v>https://2danicritic.github.io/ReviewHtml/review_The_Big_Bad_Fox_and_Other_Tales.html</v>
      </c>
      <c r="U408" s="5">
        <f t="shared" si="6"/>
        <v>3.29</v>
      </c>
    </row>
    <row r="409" spans="2:21" x14ac:dyDescent="0.35">
      <c r="B409" s="7" t="s">
        <v>2207</v>
      </c>
      <c r="C409" t="s">
        <v>1415</v>
      </c>
      <c r="D409" s="7" t="s">
        <v>2066</v>
      </c>
      <c r="E409" t="s">
        <v>1555</v>
      </c>
      <c r="F409" t="s">
        <v>1430</v>
      </c>
      <c r="G409" t="s">
        <v>1560</v>
      </c>
      <c r="H409" t="s">
        <v>717</v>
      </c>
      <c r="I409" s="7">
        <v>3.29</v>
      </c>
      <c r="J409" s="7" t="s">
        <v>2020</v>
      </c>
      <c r="K409" s="7" t="s">
        <v>2020</v>
      </c>
      <c r="L409" s="7" t="s">
        <v>2027</v>
      </c>
      <c r="M409" s="7" t="s">
        <v>2027</v>
      </c>
      <c r="N409" s="7" t="s">
        <v>2027</v>
      </c>
      <c r="O409" s="7" t="s">
        <v>2020</v>
      </c>
      <c r="P409" s="7" t="s">
        <v>2027</v>
      </c>
      <c r="Q409" t="s">
        <v>242</v>
      </c>
      <c r="R409" s="7" t="s">
        <v>2552</v>
      </c>
      <c r="S409" t="str">
        <f xml:space="preserve"> HYPERLINK("ReviewHtml/review_The_Book_of_Bantorra.html", "https://2danicritic.github.io/ReviewHtml/review_The_Book_of_Bantorra.html")</f>
        <v>https://2danicritic.github.io/ReviewHtml/review_The_Book_of_Bantorra.html</v>
      </c>
      <c r="U409" s="5">
        <f t="shared" si="6"/>
        <v>3.29</v>
      </c>
    </row>
    <row r="410" spans="2:21" x14ac:dyDescent="0.35">
      <c r="B410" s="7" t="s">
        <v>2569</v>
      </c>
      <c r="C410" t="s">
        <v>1075</v>
      </c>
      <c r="D410" s="7" t="s">
        <v>2095</v>
      </c>
      <c r="E410" t="s">
        <v>1555</v>
      </c>
      <c r="F410" t="s">
        <v>945</v>
      </c>
      <c r="G410" t="s">
        <v>1558</v>
      </c>
      <c r="H410" t="s">
        <v>946</v>
      </c>
      <c r="I410" s="7">
        <v>3.93</v>
      </c>
      <c r="J410" s="7" t="s">
        <v>2025</v>
      </c>
      <c r="K410" s="7" t="s">
        <v>2025</v>
      </c>
      <c r="L410" s="7" t="s">
        <v>2025</v>
      </c>
      <c r="M410" s="7" t="s">
        <v>2025</v>
      </c>
      <c r="N410" s="7" t="s">
        <v>2027</v>
      </c>
      <c r="O410" s="7" t="s">
        <v>2025</v>
      </c>
      <c r="P410" s="7" t="s">
        <v>2025</v>
      </c>
      <c r="Q410" t="s">
        <v>262</v>
      </c>
      <c r="R410" s="7" t="s">
        <v>2039</v>
      </c>
      <c r="S410" t="str">
        <f xml:space="preserve"> HYPERLINK("ReviewHtml/review_The_Boy_and_the_Beast.html", "https://2danicritic.github.io/ReviewHtml/review_The_Boy_and_the_Beast.html")</f>
        <v>https://2danicritic.github.io/ReviewHtml/review_The_Boy_and_the_Beast.html</v>
      </c>
      <c r="U410" s="5">
        <f t="shared" si="6"/>
        <v>3.93</v>
      </c>
    </row>
    <row r="411" spans="2:21" x14ac:dyDescent="0.35">
      <c r="B411" s="7" t="s">
        <v>2570</v>
      </c>
      <c r="C411" t="s">
        <v>1076</v>
      </c>
      <c r="D411" s="7" t="s">
        <v>2017</v>
      </c>
      <c r="E411" t="s">
        <v>1614</v>
      </c>
      <c r="F411" t="s">
        <v>1056</v>
      </c>
      <c r="G411" t="s">
        <v>1558</v>
      </c>
      <c r="H411" t="s">
        <v>1077</v>
      </c>
      <c r="I411" s="7">
        <v>4.8600000000000003</v>
      </c>
      <c r="J411" s="7" t="s">
        <v>2033</v>
      </c>
      <c r="K411" s="7" t="s">
        <v>2033</v>
      </c>
      <c r="L411" s="7" t="s">
        <v>2025</v>
      </c>
      <c r="M411" s="7" t="s">
        <v>2033</v>
      </c>
      <c r="N411" s="7" t="s">
        <v>2033</v>
      </c>
      <c r="O411" s="7" t="s">
        <v>2033</v>
      </c>
      <c r="P411" s="7" t="s">
        <v>2033</v>
      </c>
      <c r="Q411" t="s">
        <v>263</v>
      </c>
      <c r="R411" s="7" t="s">
        <v>2217</v>
      </c>
      <c r="S411" t="str">
        <f xml:space="preserve"> HYPERLINK("ReviewHtml/review_The_Breadwinner.html", "https://2danicritic.github.io/ReviewHtml/review_The_Breadwinner.html")</f>
        <v>https://2danicritic.github.io/ReviewHtml/review_The_Breadwinner.html</v>
      </c>
      <c r="U411" s="5">
        <f t="shared" si="6"/>
        <v>4.8600000000000003</v>
      </c>
    </row>
    <row r="412" spans="2:21" x14ac:dyDescent="0.35">
      <c r="B412" s="7" t="s">
        <v>2572</v>
      </c>
      <c r="C412" t="s">
        <v>1617</v>
      </c>
      <c r="D412" s="7" t="s">
        <v>2095</v>
      </c>
      <c r="E412" t="s">
        <v>1555</v>
      </c>
      <c r="F412" t="s">
        <v>1618</v>
      </c>
      <c r="G412" t="s">
        <v>1558</v>
      </c>
      <c r="H412" t="s">
        <v>1619</v>
      </c>
      <c r="I412" s="7">
        <v>3.14</v>
      </c>
      <c r="J412" s="7" t="s">
        <v>2019</v>
      </c>
      <c r="K412" s="7" t="s">
        <v>2019</v>
      </c>
      <c r="L412" s="7" t="s">
        <v>2019</v>
      </c>
      <c r="M412" s="7" t="s">
        <v>2027</v>
      </c>
      <c r="N412" s="7" t="s">
        <v>2027</v>
      </c>
      <c r="O412" s="7" t="s">
        <v>2025</v>
      </c>
      <c r="P412" s="7" t="s">
        <v>2027</v>
      </c>
      <c r="Q412" t="s">
        <v>1549</v>
      </c>
      <c r="R412" s="7" t="s">
        <v>2067</v>
      </c>
      <c r="S412" t="str">
        <f xml:space="preserve"> HYPERLINK("ReviewHtml/review_The_Case_of_Hana_&amp;_Alice.html", "https://2danicritic.github.io/ReviewHtml/review_The_Case_of_Hana_&amp;_Alice.html")</f>
        <v>https://2danicritic.github.io/ReviewHtml/review_The_Case_of_Hana_&amp;_Alice.html</v>
      </c>
      <c r="U412" s="5">
        <f t="shared" si="6"/>
        <v>3.14</v>
      </c>
    </row>
    <row r="413" spans="2:21" x14ac:dyDescent="0.35">
      <c r="B413" s="7" t="s">
        <v>2573</v>
      </c>
      <c r="C413" t="s">
        <v>1078</v>
      </c>
      <c r="D413" s="7" t="s">
        <v>2057</v>
      </c>
      <c r="E413" t="s">
        <v>1555</v>
      </c>
      <c r="F413" t="s">
        <v>748</v>
      </c>
      <c r="G413" t="s">
        <v>1558</v>
      </c>
      <c r="H413" t="s">
        <v>1079</v>
      </c>
      <c r="I413" s="7">
        <v>3.5</v>
      </c>
      <c r="J413" s="7" t="s">
        <v>2027</v>
      </c>
      <c r="K413" s="7" t="s">
        <v>2020</v>
      </c>
      <c r="L413" s="7" t="s">
        <v>2027</v>
      </c>
      <c r="M413" s="7" t="s">
        <v>2027</v>
      </c>
      <c r="N413" s="7" t="s">
        <v>2020</v>
      </c>
      <c r="O413" s="7" t="s">
        <v>2025</v>
      </c>
      <c r="P413" s="7" t="s">
        <v>2025</v>
      </c>
      <c r="Q413" t="s">
        <v>196</v>
      </c>
      <c r="R413" s="7" t="s">
        <v>2195</v>
      </c>
      <c r="S413" t="str">
        <f xml:space="preserve"> HYPERLINK("ReviewHtml/review_The_Cat_Returns.html", "https://2danicritic.github.io/ReviewHtml/review_The_Cat_Returns.html")</f>
        <v>https://2danicritic.github.io/ReviewHtml/review_The_Cat_Returns.html</v>
      </c>
      <c r="U413" s="5">
        <f t="shared" si="6"/>
        <v>3.5</v>
      </c>
    </row>
    <row r="414" spans="2:21" x14ac:dyDescent="0.35">
      <c r="B414" s="7" t="s">
        <v>2574</v>
      </c>
      <c r="C414" t="s">
        <v>1279</v>
      </c>
      <c r="D414" s="7" t="s">
        <v>2076</v>
      </c>
      <c r="E414" t="s">
        <v>1555</v>
      </c>
      <c r="F414" t="s">
        <v>1293</v>
      </c>
      <c r="G414" t="s">
        <v>1560</v>
      </c>
      <c r="H414" t="s">
        <v>1304</v>
      </c>
      <c r="I414" s="7">
        <v>2.36</v>
      </c>
      <c r="J414" s="7" t="s">
        <v>2019</v>
      </c>
      <c r="K414" s="7" t="s">
        <v>2019</v>
      </c>
      <c r="L414" s="7" t="s">
        <v>2020</v>
      </c>
      <c r="M414" s="7" t="s">
        <v>2027</v>
      </c>
      <c r="N414" s="7" t="s">
        <v>2141</v>
      </c>
      <c r="O414" s="7" t="s">
        <v>2029</v>
      </c>
      <c r="P414" s="7" t="s">
        <v>2141</v>
      </c>
      <c r="Q414" t="s">
        <v>1219</v>
      </c>
      <c r="R414" s="7" t="s">
        <v>2339</v>
      </c>
      <c r="S414" t="str">
        <f xml:space="preserve"> HYPERLINK("ReviewHtml/review_The_Comic_Artist_&amp;_His_Assistants.html", "https://2danicritic.github.io/ReviewHtml/review_The_Comic_Artist_&amp;_His_Assistants.html")</f>
        <v>https://2danicritic.github.io/ReviewHtml/review_The_Comic_Artist_&amp;_His_Assistants.html</v>
      </c>
      <c r="U414" s="5">
        <f t="shared" si="6"/>
        <v>2.36</v>
      </c>
    </row>
    <row r="415" spans="2:21" x14ac:dyDescent="0.35">
      <c r="B415" s="7" t="s">
        <v>2575</v>
      </c>
      <c r="C415" t="s">
        <v>1080</v>
      </c>
      <c r="D415" s="7" t="s">
        <v>2035</v>
      </c>
      <c r="E415" t="s">
        <v>1555</v>
      </c>
      <c r="F415" t="s">
        <v>659</v>
      </c>
      <c r="G415" t="s">
        <v>1558</v>
      </c>
      <c r="H415" t="s">
        <v>264</v>
      </c>
      <c r="I415" s="7">
        <v>3.71</v>
      </c>
      <c r="J415" s="7" t="s">
        <v>2025</v>
      </c>
      <c r="K415" s="7" t="s">
        <v>2025</v>
      </c>
      <c r="L415" s="7" t="s">
        <v>2025</v>
      </c>
      <c r="M415" s="7" t="s">
        <v>2027</v>
      </c>
      <c r="N415" s="7" t="s">
        <v>2027</v>
      </c>
      <c r="O415" s="7" t="s">
        <v>2020</v>
      </c>
      <c r="P415" s="7" t="s">
        <v>2025</v>
      </c>
      <c r="Q415" t="s">
        <v>265</v>
      </c>
      <c r="R415" s="7" t="s">
        <v>2286</v>
      </c>
      <c r="S415" t="str">
        <f xml:space="preserve"> HYPERLINK("ReviewHtml/review_The_Disappearance_of_Haruhi_Suzumiya.html", "https://2danicritic.github.io/ReviewHtml/review_The_Disappearance_of_Haruhi_Suzumiya.html")</f>
        <v>https://2danicritic.github.io/ReviewHtml/review_The_Disappearance_of_Haruhi_Suzumiya.html</v>
      </c>
      <c r="U415" s="5">
        <f t="shared" si="6"/>
        <v>3.71</v>
      </c>
    </row>
    <row r="416" spans="2:21" x14ac:dyDescent="0.35">
      <c r="B416" s="7" t="s">
        <v>2576</v>
      </c>
      <c r="C416" t="s">
        <v>1081</v>
      </c>
      <c r="D416" s="7" t="s">
        <v>2095</v>
      </c>
      <c r="E416" t="s">
        <v>1555</v>
      </c>
      <c r="F416" t="s">
        <v>773</v>
      </c>
      <c r="G416" t="s">
        <v>1560</v>
      </c>
      <c r="H416" t="s">
        <v>1082</v>
      </c>
      <c r="I416" s="7">
        <v>3</v>
      </c>
      <c r="J416" s="7" t="s">
        <v>2020</v>
      </c>
      <c r="K416" s="7" t="s">
        <v>2020</v>
      </c>
      <c r="L416" s="7" t="s">
        <v>2020</v>
      </c>
      <c r="M416" s="7" t="s">
        <v>2027</v>
      </c>
      <c r="N416" s="7" t="s">
        <v>2019</v>
      </c>
      <c r="O416" s="7" t="s">
        <v>2020</v>
      </c>
      <c r="P416" s="7" t="s">
        <v>2020</v>
      </c>
      <c r="Q416" t="s">
        <v>101</v>
      </c>
      <c r="R416" s="7" t="s">
        <v>2365</v>
      </c>
      <c r="S416" t="str">
        <f xml:space="preserve"> HYPERLINK("ReviewHtml/review_The_Disappearance_of_Nagato_Yuki-chan.html", "https://2danicritic.github.io/ReviewHtml/review_The_Disappearance_of_Nagato_Yuki-chan.html")</f>
        <v>https://2danicritic.github.io/ReviewHtml/review_The_Disappearance_of_Nagato_Yuki-chan.html</v>
      </c>
      <c r="U416" s="5">
        <f t="shared" si="6"/>
        <v>3</v>
      </c>
    </row>
    <row r="417" spans="2:21" x14ac:dyDescent="0.35">
      <c r="B417" s="7" t="s">
        <v>2577</v>
      </c>
      <c r="C417" t="s">
        <v>1083</v>
      </c>
      <c r="D417" s="7" t="s">
        <v>2017</v>
      </c>
      <c r="E417" t="s">
        <v>1555</v>
      </c>
      <c r="F417" t="s">
        <v>1084</v>
      </c>
      <c r="G417" t="s">
        <v>1561</v>
      </c>
      <c r="H417" t="s">
        <v>820</v>
      </c>
      <c r="I417" s="7">
        <v>2.93</v>
      </c>
      <c r="J417" s="7" t="s">
        <v>2027</v>
      </c>
      <c r="K417" s="7" t="s">
        <v>2027</v>
      </c>
      <c r="L417" s="7" t="s">
        <v>2029</v>
      </c>
      <c r="M417" s="7" t="s">
        <v>2029</v>
      </c>
      <c r="N417" s="7" t="s">
        <v>2019</v>
      </c>
      <c r="O417" s="7" t="s">
        <v>2020</v>
      </c>
      <c r="P417" s="7" t="s">
        <v>2025</v>
      </c>
      <c r="Q417" t="s">
        <v>266</v>
      </c>
      <c r="R417" s="7" t="s">
        <v>2212</v>
      </c>
      <c r="S417" t="str">
        <f xml:space="preserve"> HYPERLINK("ReviewHtml/review_The_Dragon_Dentist.html", "https://2danicritic.github.io/ReviewHtml/review_The_Dragon_Dentist.html")</f>
        <v>https://2danicritic.github.io/ReviewHtml/review_The_Dragon_Dentist.html</v>
      </c>
      <c r="U417" s="5">
        <f t="shared" si="6"/>
        <v>2.93</v>
      </c>
    </row>
    <row r="418" spans="2:21" x14ac:dyDescent="0.35">
      <c r="B418" s="7" t="s">
        <v>2578</v>
      </c>
      <c r="C418" t="s">
        <v>1085</v>
      </c>
      <c r="D418" s="7" t="s">
        <v>2095</v>
      </c>
      <c r="E418" t="s">
        <v>1555</v>
      </c>
      <c r="F418" t="s">
        <v>1086</v>
      </c>
      <c r="G418" t="s">
        <v>1558</v>
      </c>
      <c r="H418" t="s">
        <v>1087</v>
      </c>
      <c r="I418" s="7">
        <v>3.79</v>
      </c>
      <c r="J418" s="7" t="s">
        <v>2025</v>
      </c>
      <c r="K418" s="7" t="s">
        <v>2025</v>
      </c>
      <c r="L418" s="7" t="s">
        <v>2027</v>
      </c>
      <c r="M418" s="7" t="s">
        <v>2027</v>
      </c>
      <c r="N418" s="7" t="s">
        <v>2027</v>
      </c>
      <c r="O418" s="7" t="s">
        <v>2025</v>
      </c>
      <c r="P418" s="7" t="s">
        <v>2025</v>
      </c>
      <c r="Q418" t="s">
        <v>267</v>
      </c>
      <c r="R418" s="7" t="s">
        <v>2039</v>
      </c>
      <c r="S418" t="str">
        <f xml:space="preserve"> HYPERLINK("ReviewHtml/review_The_Empire_of_Corpses.html", "https://2danicritic.github.io/ReviewHtml/review_The_Empire_of_Corpses.html")</f>
        <v>https://2danicritic.github.io/ReviewHtml/review_The_Empire_of_Corpses.html</v>
      </c>
      <c r="U418" s="5">
        <f t="shared" si="6"/>
        <v>3.79</v>
      </c>
    </row>
    <row r="419" spans="2:21" x14ac:dyDescent="0.35">
      <c r="B419" s="7" t="s">
        <v>2579</v>
      </c>
      <c r="C419" t="s">
        <v>1088</v>
      </c>
      <c r="D419" s="7" t="s">
        <v>2080</v>
      </c>
      <c r="E419" t="s">
        <v>1555</v>
      </c>
      <c r="F419" t="s">
        <v>1033</v>
      </c>
      <c r="G419" t="s">
        <v>1558</v>
      </c>
      <c r="H419" t="s">
        <v>696</v>
      </c>
      <c r="I419" s="7">
        <v>2.21</v>
      </c>
      <c r="J419" s="7" t="s">
        <v>2029</v>
      </c>
      <c r="K419" s="7" t="s">
        <v>2019</v>
      </c>
      <c r="L419" s="7" t="s">
        <v>2027</v>
      </c>
      <c r="M419" s="7" t="s">
        <v>2141</v>
      </c>
      <c r="N419" s="7" t="s">
        <v>2029</v>
      </c>
      <c r="O419" s="7" t="s">
        <v>2029</v>
      </c>
      <c r="P419" s="7" t="s">
        <v>2029</v>
      </c>
      <c r="Q419" t="s">
        <v>241</v>
      </c>
      <c r="R419" s="7" t="s">
        <v>2212</v>
      </c>
      <c r="S419" t="str">
        <f xml:space="preserve"> HYPERLINK("ReviewHtml/review_The_Fantastic_Adventures_of_Unico.html", "https://2danicritic.github.io/ReviewHtml/review_The_Fantastic_Adventures_of_Unico.html")</f>
        <v>https://2danicritic.github.io/ReviewHtml/review_The_Fantastic_Adventures_of_Unico.html</v>
      </c>
      <c r="U419" s="5">
        <f t="shared" si="6"/>
        <v>2.21</v>
      </c>
    </row>
    <row r="420" spans="2:21" x14ac:dyDescent="0.35">
      <c r="B420" s="7" t="s">
        <v>2580</v>
      </c>
      <c r="C420" t="s">
        <v>1089</v>
      </c>
      <c r="D420" s="7" t="s">
        <v>2098</v>
      </c>
      <c r="E420" t="s">
        <v>1557</v>
      </c>
      <c r="F420" t="s">
        <v>1090</v>
      </c>
      <c r="G420" t="s">
        <v>1558</v>
      </c>
      <c r="H420" t="s">
        <v>268</v>
      </c>
      <c r="I420" s="7">
        <v>3.21</v>
      </c>
      <c r="J420" s="7" t="s">
        <v>2019</v>
      </c>
      <c r="K420" s="7" t="s">
        <v>2020</v>
      </c>
      <c r="L420" s="7" t="s">
        <v>2020</v>
      </c>
      <c r="M420" s="7" t="s">
        <v>2027</v>
      </c>
      <c r="N420" s="7" t="s">
        <v>2020</v>
      </c>
      <c r="O420" s="7" t="s">
        <v>2027</v>
      </c>
      <c r="P420" s="7" t="s">
        <v>2025</v>
      </c>
      <c r="Q420" t="s">
        <v>196</v>
      </c>
      <c r="R420" s="7" t="s">
        <v>2112</v>
      </c>
      <c r="S420" t="str">
        <f xml:space="preserve"> HYPERLINK("ReviewHtml/review_The_Flight_of_Dragons.html", "https://2danicritic.github.io/ReviewHtml/review_The_Flight_of_Dragons.html")</f>
        <v>https://2danicritic.github.io/ReviewHtml/review_The_Flight_of_Dragons.html</v>
      </c>
      <c r="U420" s="5">
        <f t="shared" si="6"/>
        <v>3.21</v>
      </c>
    </row>
    <row r="421" spans="2:21" x14ac:dyDescent="0.35">
      <c r="B421" s="7" t="s">
        <v>2581</v>
      </c>
      <c r="C421" t="s">
        <v>1323</v>
      </c>
      <c r="D421" s="7" t="s">
        <v>2076</v>
      </c>
      <c r="E421" t="s">
        <v>1555</v>
      </c>
      <c r="F421" t="s">
        <v>1432</v>
      </c>
      <c r="G421" t="s">
        <v>1560</v>
      </c>
      <c r="H421" t="s">
        <v>1462</v>
      </c>
      <c r="I421" s="7">
        <v>2.86</v>
      </c>
      <c r="J421" s="7" t="s">
        <v>2020</v>
      </c>
      <c r="K421" s="7" t="s">
        <v>2027</v>
      </c>
      <c r="L421" s="7" t="s">
        <v>2020</v>
      </c>
      <c r="M421" s="7" t="s">
        <v>2020</v>
      </c>
      <c r="N421" s="7" t="s">
        <v>2019</v>
      </c>
      <c r="O421" s="7" t="s">
        <v>2019</v>
      </c>
      <c r="P421" s="7" t="s">
        <v>2019</v>
      </c>
      <c r="Q421" t="s">
        <v>1324</v>
      </c>
      <c r="R421" s="7" t="s">
        <v>2104</v>
      </c>
      <c r="S421" t="str">
        <f xml:space="preserve"> HYPERLINK("ReviewHtml/review_The_Fruit_of_Grisaia,_The_Labyrinth_of_Grisaia,_The_Eden_of_Grisaia.html", "https://2danicritic.github.io/ReviewHtml/review_The_Fruit_of_Grisaia,_The_Labyrinth_of_Grisaia,_The_Eden_of_Grisaia.html")</f>
        <v>https://2danicritic.github.io/ReviewHtml/review_The_Fruit_of_Grisaia,_The_Labyrinth_of_Grisaia,_The_Eden_of_Grisaia.html</v>
      </c>
      <c r="U421" s="5">
        <f t="shared" si="6"/>
        <v>2.86</v>
      </c>
    </row>
    <row r="422" spans="2:21" x14ac:dyDescent="0.35">
      <c r="B422" s="7" t="s">
        <v>2582</v>
      </c>
      <c r="C422" t="s">
        <v>1091</v>
      </c>
      <c r="D422" s="7" t="s">
        <v>2037</v>
      </c>
      <c r="E422" t="s">
        <v>1555</v>
      </c>
      <c r="F422" t="s">
        <v>1092</v>
      </c>
      <c r="G422" t="s">
        <v>1560</v>
      </c>
      <c r="H422" t="s">
        <v>1093</v>
      </c>
      <c r="I422" s="7">
        <v>3.64</v>
      </c>
      <c r="J422" s="7" t="s">
        <v>2020</v>
      </c>
      <c r="K422" s="7" t="s">
        <v>2020</v>
      </c>
      <c r="L422" s="7" t="s">
        <v>2027</v>
      </c>
      <c r="M422" s="7" t="s">
        <v>2025</v>
      </c>
      <c r="N422" s="7" t="s">
        <v>2027</v>
      </c>
      <c r="O422" s="7" t="s">
        <v>2026</v>
      </c>
      <c r="P422" s="7" t="s">
        <v>2025</v>
      </c>
      <c r="Q422" t="s">
        <v>348</v>
      </c>
      <c r="R422" s="7" t="s">
        <v>2583</v>
      </c>
      <c r="S422" t="str">
        <f xml:space="preserve"> HYPERLINK("ReviewHtml/review_The_Future_Diary.html", "https://2danicritic.github.io/ReviewHtml/review_The_Future_Diary.html")</f>
        <v>https://2danicritic.github.io/ReviewHtml/review_The_Future_Diary.html</v>
      </c>
      <c r="U422" s="5">
        <f t="shared" si="6"/>
        <v>3.64</v>
      </c>
    </row>
    <row r="423" spans="2:21" x14ac:dyDescent="0.35">
      <c r="B423" s="7" t="s">
        <v>2584</v>
      </c>
      <c r="C423" t="s">
        <v>1094</v>
      </c>
      <c r="D423" s="7" t="s">
        <v>2023</v>
      </c>
      <c r="E423" t="s">
        <v>1555</v>
      </c>
      <c r="F423" t="s">
        <v>815</v>
      </c>
      <c r="G423" t="s">
        <v>1558</v>
      </c>
      <c r="H423" t="s">
        <v>269</v>
      </c>
      <c r="I423" s="7">
        <v>4.6399999999999997</v>
      </c>
      <c r="J423" s="7" t="s">
        <v>2025</v>
      </c>
      <c r="K423" s="7" t="s">
        <v>2033</v>
      </c>
      <c r="L423" s="7" t="s">
        <v>2033</v>
      </c>
      <c r="M423" s="7" t="s">
        <v>2026</v>
      </c>
      <c r="N423" s="7" t="s">
        <v>2026</v>
      </c>
      <c r="O423" s="7" t="s">
        <v>2026</v>
      </c>
      <c r="P423" s="7" t="s">
        <v>2033</v>
      </c>
      <c r="Q423" t="s">
        <v>270</v>
      </c>
      <c r="R423" s="7" t="s">
        <v>2585</v>
      </c>
      <c r="S423" t="str">
        <f xml:space="preserve"> HYPERLINK("ReviewHtml/review_The_Garden_of_Sinners.html", "https://2danicritic.github.io/ReviewHtml/review_The_Garden_of_Sinners.html")</f>
        <v>https://2danicritic.github.io/ReviewHtml/review_The_Garden_of_Sinners.html</v>
      </c>
      <c r="U423" s="5">
        <f t="shared" si="6"/>
        <v>4.6399999999999997</v>
      </c>
    </row>
    <row r="424" spans="2:21" x14ac:dyDescent="0.35">
      <c r="B424" s="7" t="s">
        <v>2586</v>
      </c>
      <c r="C424" t="s">
        <v>1095</v>
      </c>
      <c r="D424" s="7" t="s">
        <v>2102</v>
      </c>
      <c r="E424" t="s">
        <v>1555</v>
      </c>
      <c r="F424" t="s">
        <v>653</v>
      </c>
      <c r="G424" t="s">
        <v>1558</v>
      </c>
      <c r="H424" t="s">
        <v>654</v>
      </c>
      <c r="I424" s="7">
        <v>4.1399999999999997</v>
      </c>
      <c r="J424" s="7" t="s">
        <v>2026</v>
      </c>
      <c r="K424" s="7" t="s">
        <v>2026</v>
      </c>
      <c r="L424" s="7" t="s">
        <v>2027</v>
      </c>
      <c r="M424" s="7" t="s">
        <v>2027</v>
      </c>
      <c r="N424" s="7" t="s">
        <v>2026</v>
      </c>
      <c r="O424" s="7" t="s">
        <v>2027</v>
      </c>
      <c r="P424" s="7" t="s">
        <v>2033</v>
      </c>
      <c r="Q424" t="s">
        <v>101</v>
      </c>
      <c r="R424" s="7" t="s">
        <v>2146</v>
      </c>
      <c r="S424" t="str">
        <f xml:space="preserve"> HYPERLINK("ReviewHtml/review_The_Garden_of_Words.html", "https://2danicritic.github.io/ReviewHtml/review_The_Garden_of_Words.html")</f>
        <v>https://2danicritic.github.io/ReviewHtml/review_The_Garden_of_Words.html</v>
      </c>
      <c r="U424" s="5">
        <f t="shared" si="6"/>
        <v>4.1399999999999997</v>
      </c>
    </row>
    <row r="425" spans="2:21" x14ac:dyDescent="0.35">
      <c r="B425" s="7" t="s">
        <v>2587</v>
      </c>
      <c r="C425" t="s">
        <v>1096</v>
      </c>
      <c r="D425" s="7" t="s">
        <v>2051</v>
      </c>
      <c r="E425" t="s">
        <v>1555</v>
      </c>
      <c r="F425" t="s">
        <v>695</v>
      </c>
      <c r="G425" t="s">
        <v>1558</v>
      </c>
      <c r="H425" t="s">
        <v>946</v>
      </c>
      <c r="I425" s="7">
        <v>4.07</v>
      </c>
      <c r="J425" s="7" t="s">
        <v>2027</v>
      </c>
      <c r="K425" s="7" t="s">
        <v>2027</v>
      </c>
      <c r="L425" s="7" t="s">
        <v>2026</v>
      </c>
      <c r="M425" s="7" t="s">
        <v>2025</v>
      </c>
      <c r="N425" s="7" t="s">
        <v>2025</v>
      </c>
      <c r="O425" s="7" t="s">
        <v>2025</v>
      </c>
      <c r="P425" s="7" t="s">
        <v>2033</v>
      </c>
      <c r="Q425" t="s">
        <v>271</v>
      </c>
      <c r="R425" s="7" t="s">
        <v>2220</v>
      </c>
      <c r="S425" t="str">
        <f xml:space="preserve"> HYPERLINK("ReviewHtml/review_The_Girl_Who_Leapt_Through_Time.html", "https://2danicritic.github.io/ReviewHtml/review_The_Girl_Who_Leapt_Through_Time.html")</f>
        <v>https://2danicritic.github.io/ReviewHtml/review_The_Girl_Who_Leapt_Through_Time.html</v>
      </c>
      <c r="U425" s="5">
        <f t="shared" si="6"/>
        <v>4.07</v>
      </c>
    </row>
    <row r="426" spans="2:21" x14ac:dyDescent="0.35">
      <c r="B426" s="7" t="s">
        <v>2588</v>
      </c>
      <c r="C426" t="s">
        <v>1097</v>
      </c>
      <c r="D426" s="7" t="s">
        <v>2030</v>
      </c>
      <c r="E426" t="s">
        <v>1620</v>
      </c>
      <c r="F426" t="s">
        <v>1098</v>
      </c>
      <c r="G426" t="s">
        <v>1558</v>
      </c>
      <c r="H426" t="s">
        <v>272</v>
      </c>
      <c r="I426" s="7">
        <v>3</v>
      </c>
      <c r="J426" s="7" t="s">
        <v>2020</v>
      </c>
      <c r="K426" s="7" t="s">
        <v>2019</v>
      </c>
      <c r="L426" s="7" t="s">
        <v>2020</v>
      </c>
      <c r="M426" s="7" t="s">
        <v>2020</v>
      </c>
      <c r="N426" s="7" t="s">
        <v>2027</v>
      </c>
      <c r="O426" s="7" t="s">
        <v>2020</v>
      </c>
      <c r="P426" s="7" t="s">
        <v>2020</v>
      </c>
      <c r="Q426" t="s">
        <v>273</v>
      </c>
      <c r="R426" s="7" t="s">
        <v>2151</v>
      </c>
      <c r="S426" t="str">
        <f xml:space="preserve"> HYPERLINK("ReviewHtml/review_The_Girl_Without_Hands.html", "https://2danicritic.github.io/ReviewHtml/review_The_Girl_Without_Hands.html")</f>
        <v>https://2danicritic.github.io/ReviewHtml/review_The_Girl_Without_Hands.html</v>
      </c>
      <c r="U426" s="5">
        <f t="shared" si="6"/>
        <v>3</v>
      </c>
    </row>
    <row r="427" spans="2:21" x14ac:dyDescent="0.35">
      <c r="B427" s="7" t="s">
        <v>2589</v>
      </c>
      <c r="C427" t="s">
        <v>1833</v>
      </c>
      <c r="D427" s="7" t="s">
        <v>2030</v>
      </c>
      <c r="E427" t="s">
        <v>1555</v>
      </c>
      <c r="F427" t="s">
        <v>1293</v>
      </c>
      <c r="G427" t="s">
        <v>1560</v>
      </c>
      <c r="H427" t="s">
        <v>1778</v>
      </c>
      <c r="I427" s="7">
        <v>3.43</v>
      </c>
      <c r="J427" s="7" t="s">
        <v>2027</v>
      </c>
      <c r="K427" s="7" t="s">
        <v>2027</v>
      </c>
      <c r="L427" s="7" t="s">
        <v>2027</v>
      </c>
      <c r="M427" s="7" t="s">
        <v>2027</v>
      </c>
      <c r="N427" s="7" t="s">
        <v>2027</v>
      </c>
      <c r="O427" s="7" t="s">
        <v>2020</v>
      </c>
      <c r="P427" s="7" t="s">
        <v>2027</v>
      </c>
      <c r="Q427" t="s">
        <v>349</v>
      </c>
      <c r="R427" s="7" t="s">
        <v>2133</v>
      </c>
      <c r="S427" t="str">
        <f xml:space="preserve"> HYPERLINK("ReviewHtml/review_The_Great_Passage.html", "https://2danicritic.github.io/ReviewHtml/review_The_Great_Passage.html")</f>
        <v>https://2danicritic.github.io/ReviewHtml/review_The_Great_Passage.html</v>
      </c>
      <c r="U427" s="5">
        <f t="shared" si="6"/>
        <v>3.43</v>
      </c>
    </row>
    <row r="428" spans="2:21" x14ac:dyDescent="0.35">
      <c r="B428" s="7" t="s">
        <v>2365</v>
      </c>
      <c r="C428" t="s">
        <v>1416</v>
      </c>
      <c r="D428" s="7" t="s">
        <v>2590</v>
      </c>
      <c r="E428" t="s">
        <v>1557</v>
      </c>
      <c r="F428" t="s">
        <v>1433</v>
      </c>
      <c r="G428" t="s">
        <v>1558</v>
      </c>
      <c r="H428" t="s">
        <v>268</v>
      </c>
      <c r="I428" s="7">
        <v>3.64</v>
      </c>
      <c r="J428" s="7" t="s">
        <v>2029</v>
      </c>
      <c r="K428" s="7" t="s">
        <v>2027</v>
      </c>
      <c r="L428" s="7" t="s">
        <v>2026</v>
      </c>
      <c r="M428" s="7" t="s">
        <v>2025</v>
      </c>
      <c r="N428" s="7" t="s">
        <v>2027</v>
      </c>
      <c r="O428" s="7" t="s">
        <v>2027</v>
      </c>
      <c r="P428" s="7" t="s">
        <v>2026</v>
      </c>
      <c r="Q428" t="s">
        <v>196</v>
      </c>
      <c r="R428" s="7" t="s">
        <v>2199</v>
      </c>
      <c r="S428" t="str">
        <f xml:space="preserve"> HYPERLINK("ReviewHtml/review_The_Hobbit.html", "https://2danicritic.github.io/ReviewHtml/review_The_Hobbit.html")</f>
        <v>https://2danicritic.github.io/ReviewHtml/review_The_Hobbit.html</v>
      </c>
      <c r="U428" s="5">
        <f t="shared" si="6"/>
        <v>3.64</v>
      </c>
    </row>
    <row r="429" spans="2:21" x14ac:dyDescent="0.35">
      <c r="B429" s="7" t="s">
        <v>2591</v>
      </c>
      <c r="C429" t="s">
        <v>1099</v>
      </c>
      <c r="D429" s="7" t="s">
        <v>2035</v>
      </c>
      <c r="E429" t="s">
        <v>1620</v>
      </c>
      <c r="F429" t="s">
        <v>1100</v>
      </c>
      <c r="G429" t="s">
        <v>1558</v>
      </c>
      <c r="H429" t="s">
        <v>1101</v>
      </c>
      <c r="I429" s="7">
        <v>4.1399999999999997</v>
      </c>
      <c r="J429" s="7" t="s">
        <v>2033</v>
      </c>
      <c r="K429" s="7" t="s">
        <v>2026</v>
      </c>
      <c r="L429" s="7" t="s">
        <v>2027</v>
      </c>
      <c r="M429" s="7" t="s">
        <v>2020</v>
      </c>
      <c r="N429" s="7" t="s">
        <v>2033</v>
      </c>
      <c r="O429" s="7" t="s">
        <v>2020</v>
      </c>
      <c r="P429" s="7" t="s">
        <v>2033</v>
      </c>
      <c r="Q429" t="s">
        <v>349</v>
      </c>
      <c r="R429" s="7" t="s">
        <v>2201</v>
      </c>
      <c r="S429" t="str">
        <f xml:space="preserve"> HYPERLINK("ReviewHtml/review_The_Illusionist.html", "https://2danicritic.github.io/ReviewHtml/review_The_Illusionist.html")</f>
        <v>https://2danicritic.github.io/ReviewHtml/review_The_Illusionist.html</v>
      </c>
      <c r="U429" s="5">
        <f t="shared" si="6"/>
        <v>4.1399999999999997</v>
      </c>
    </row>
    <row r="430" spans="2:21" x14ac:dyDescent="0.35">
      <c r="B430" s="7" t="s">
        <v>2592</v>
      </c>
      <c r="C430" t="s">
        <v>2593</v>
      </c>
      <c r="D430" s="7" t="s">
        <v>2335</v>
      </c>
      <c r="E430" t="s">
        <v>1557</v>
      </c>
      <c r="F430" t="s">
        <v>2594</v>
      </c>
      <c r="G430" t="s">
        <v>1558</v>
      </c>
      <c r="H430" t="s">
        <v>1921</v>
      </c>
      <c r="I430" s="7">
        <v>3</v>
      </c>
      <c r="J430" s="7" t="s">
        <v>2019</v>
      </c>
      <c r="K430" s="7" t="s">
        <v>2020</v>
      </c>
      <c r="L430" s="7" t="s">
        <v>2027</v>
      </c>
      <c r="M430" s="7" t="s">
        <v>2027</v>
      </c>
      <c r="N430" s="7" t="s">
        <v>2019</v>
      </c>
      <c r="O430" s="7" t="s">
        <v>2027</v>
      </c>
      <c r="P430" s="7" t="s">
        <v>2019</v>
      </c>
      <c r="Q430" t="s">
        <v>2012</v>
      </c>
      <c r="R430" s="7" t="s">
        <v>2210</v>
      </c>
      <c r="S430" t="str">
        <f xml:space="preserve"> HYPERLINK("ReviewHtml/review_The_King_and_I.html", "https://2danicritic.github.io/ReviewHtml/review_The_King_and_I.html")</f>
        <v>https://2danicritic.github.io/ReviewHtml/review_The_King_and_I.html</v>
      </c>
      <c r="U430" s="5">
        <f t="shared" si="6"/>
        <v>3</v>
      </c>
    </row>
    <row r="431" spans="2:21" x14ac:dyDescent="0.35">
      <c r="B431" s="7" t="s">
        <v>2595</v>
      </c>
      <c r="C431" t="s">
        <v>1102</v>
      </c>
      <c r="D431" s="7" t="s">
        <v>2098</v>
      </c>
      <c r="E431" t="s">
        <v>1557</v>
      </c>
      <c r="F431" t="s">
        <v>1103</v>
      </c>
      <c r="G431" t="s">
        <v>1558</v>
      </c>
      <c r="H431" t="s">
        <v>274</v>
      </c>
      <c r="I431" s="7">
        <v>3.64</v>
      </c>
      <c r="J431" s="7" t="s">
        <v>2020</v>
      </c>
      <c r="K431" s="7" t="s">
        <v>2025</v>
      </c>
      <c r="L431" s="7" t="s">
        <v>2027</v>
      </c>
      <c r="M431" s="7" t="s">
        <v>2027</v>
      </c>
      <c r="N431" s="7" t="s">
        <v>2027</v>
      </c>
      <c r="O431" s="7" t="s">
        <v>2020</v>
      </c>
      <c r="P431" s="7" t="s">
        <v>2033</v>
      </c>
      <c r="Q431" t="s">
        <v>81</v>
      </c>
      <c r="R431" s="7" t="s">
        <v>2109</v>
      </c>
      <c r="S431" t="str">
        <f xml:space="preserve"> HYPERLINK("ReviewHtml/review_The_Last_Unicorn.html", "https://2danicritic.github.io/ReviewHtml/review_The_Last_Unicorn.html")</f>
        <v>https://2danicritic.github.io/ReviewHtml/review_The_Last_Unicorn.html</v>
      </c>
      <c r="U431" s="5">
        <f t="shared" si="6"/>
        <v>3.64</v>
      </c>
    </row>
    <row r="432" spans="2:21" x14ac:dyDescent="0.35">
      <c r="B432" s="7" t="s">
        <v>2596</v>
      </c>
      <c r="C432" t="s">
        <v>2597</v>
      </c>
      <c r="D432" s="7" t="s">
        <v>2197</v>
      </c>
      <c r="E432" t="s">
        <v>1566</v>
      </c>
      <c r="F432" t="s">
        <v>2598</v>
      </c>
      <c r="G432" t="s">
        <v>1558</v>
      </c>
      <c r="H432" t="s">
        <v>2599</v>
      </c>
      <c r="I432" s="7">
        <v>3.36</v>
      </c>
      <c r="J432" s="7" t="s">
        <v>2025</v>
      </c>
      <c r="K432" s="7" t="s">
        <v>2020</v>
      </c>
      <c r="L432" s="7" t="s">
        <v>2020</v>
      </c>
      <c r="M432" s="7" t="s">
        <v>2020</v>
      </c>
      <c r="N432" s="7" t="s">
        <v>2027</v>
      </c>
      <c r="O432" s="7" t="s">
        <v>2027</v>
      </c>
      <c r="P432" s="7" t="s">
        <v>2027</v>
      </c>
      <c r="Q432" t="s">
        <v>231</v>
      </c>
      <c r="R432" s="7" t="s">
        <v>2224</v>
      </c>
      <c r="S432" t="str">
        <f xml:space="preserve"> HYPERLINK("ReviewHtml/review_The_Legend_of_Hei.html", "https://2danicritic.github.io/ReviewHtml/review_The_Legend_of_Hei.html")</f>
        <v>https://2danicritic.github.io/ReviewHtml/review_The_Legend_of_Hei.html</v>
      </c>
      <c r="U432" s="5">
        <f t="shared" si="6"/>
        <v>3.36</v>
      </c>
    </row>
    <row r="433" spans="2:21" x14ac:dyDescent="0.35">
      <c r="B433" s="7" t="s">
        <v>2600</v>
      </c>
      <c r="C433" t="s">
        <v>1104</v>
      </c>
      <c r="D433" s="7" t="s">
        <v>2037</v>
      </c>
      <c r="E433" t="s">
        <v>1555</v>
      </c>
      <c r="F433" t="s">
        <v>1105</v>
      </c>
      <c r="G433" t="s">
        <v>1558</v>
      </c>
      <c r="H433" t="s">
        <v>1106</v>
      </c>
      <c r="I433" s="7">
        <v>2.21</v>
      </c>
      <c r="J433" s="7" t="s">
        <v>2027</v>
      </c>
      <c r="K433" s="7" t="s">
        <v>2029</v>
      </c>
      <c r="L433" s="7" t="s">
        <v>2029</v>
      </c>
      <c r="M433" s="7" t="s">
        <v>2029</v>
      </c>
      <c r="N433" s="7" t="s">
        <v>2029</v>
      </c>
      <c r="O433" s="7" t="s">
        <v>2029</v>
      </c>
      <c r="P433" s="7" t="s">
        <v>2029</v>
      </c>
      <c r="Q433" t="s">
        <v>208</v>
      </c>
      <c r="R433" s="7" t="s">
        <v>2220</v>
      </c>
      <c r="S433" t="str">
        <f xml:space="preserve"> HYPERLINK("ReviewHtml/review_The_Legend_of_the_Millennium_Dragon.html", "https://2danicritic.github.io/ReviewHtml/review_The_Legend_of_the_Millennium_Dragon.html")</f>
        <v>https://2danicritic.github.io/ReviewHtml/review_The_Legend_of_the_Millennium_Dragon.html</v>
      </c>
      <c r="U433" s="5">
        <f t="shared" si="6"/>
        <v>2.21</v>
      </c>
    </row>
    <row r="434" spans="2:21" x14ac:dyDescent="0.35">
      <c r="B434" s="7" t="s">
        <v>2601</v>
      </c>
      <c r="C434" t="s">
        <v>1107</v>
      </c>
      <c r="D434" s="7" t="s">
        <v>2041</v>
      </c>
      <c r="E434" t="s">
        <v>1555</v>
      </c>
      <c r="F434" t="s">
        <v>1108</v>
      </c>
      <c r="G434" t="s">
        <v>1558</v>
      </c>
      <c r="H434" t="s">
        <v>976</v>
      </c>
      <c r="I434" s="7">
        <v>3.29</v>
      </c>
      <c r="J434" s="7" t="s">
        <v>2027</v>
      </c>
      <c r="K434" s="7" t="s">
        <v>2027</v>
      </c>
      <c r="L434" s="7" t="s">
        <v>2027</v>
      </c>
      <c r="M434" s="7" t="s">
        <v>2019</v>
      </c>
      <c r="N434" s="7" t="s">
        <v>2020</v>
      </c>
      <c r="O434" s="7" t="s">
        <v>2020</v>
      </c>
      <c r="P434" s="7" t="s">
        <v>2025</v>
      </c>
      <c r="Q434" t="s">
        <v>275</v>
      </c>
      <c r="R434" s="7" t="s">
        <v>2149</v>
      </c>
      <c r="S434" t="str">
        <f xml:space="preserve"> HYPERLINK("ReviewHtml/review_The_Life_of_Guskou_Budori.html", "https://2danicritic.github.io/ReviewHtml/review_The_Life_of_Guskou_Budori.html")</f>
        <v>https://2danicritic.github.io/ReviewHtml/review_The_Life_of_Guskou_Budori.html</v>
      </c>
      <c r="U434" s="5">
        <f t="shared" si="6"/>
        <v>3.29</v>
      </c>
    </row>
    <row r="435" spans="2:21" x14ac:dyDescent="0.35">
      <c r="B435" s="7" t="s">
        <v>2602</v>
      </c>
      <c r="C435" t="s">
        <v>1417</v>
      </c>
      <c r="D435" s="7" t="s">
        <v>2398</v>
      </c>
      <c r="E435" t="s">
        <v>1557</v>
      </c>
      <c r="F435" t="s">
        <v>1434</v>
      </c>
      <c r="G435" t="s">
        <v>1558</v>
      </c>
      <c r="H435" t="s">
        <v>1174</v>
      </c>
      <c r="I435" s="7">
        <v>3.29</v>
      </c>
      <c r="J435" s="7" t="s">
        <v>2027</v>
      </c>
      <c r="K435" s="7" t="s">
        <v>2027</v>
      </c>
      <c r="L435" s="7" t="s">
        <v>2020</v>
      </c>
      <c r="M435" s="7" t="s">
        <v>2027</v>
      </c>
      <c r="N435" s="7" t="s">
        <v>2027</v>
      </c>
      <c r="O435" s="7" t="s">
        <v>2020</v>
      </c>
      <c r="P435" s="7" t="s">
        <v>2020</v>
      </c>
      <c r="Q435" t="s">
        <v>1360</v>
      </c>
      <c r="R435" s="7" t="s">
        <v>2252</v>
      </c>
      <c r="S435" t="str">
        <f xml:space="preserve"> HYPERLINK("ReviewHtml/review_The_Lord_of_the_Rings.html", "https://2danicritic.github.io/ReviewHtml/review_The_Lord_of_the_Rings.html")</f>
        <v>https://2danicritic.github.io/ReviewHtml/review_The_Lord_of_the_Rings.html</v>
      </c>
      <c r="U435" s="5">
        <f t="shared" si="6"/>
        <v>3.29</v>
      </c>
    </row>
    <row r="436" spans="2:21" x14ac:dyDescent="0.35">
      <c r="B436" s="7" t="s">
        <v>2603</v>
      </c>
      <c r="C436" t="s">
        <v>1109</v>
      </c>
      <c r="D436" s="7" t="s">
        <v>2051</v>
      </c>
      <c r="E436" t="s">
        <v>1555</v>
      </c>
      <c r="F436" t="s">
        <v>659</v>
      </c>
      <c r="G436" t="s">
        <v>1560</v>
      </c>
      <c r="H436" t="s">
        <v>910</v>
      </c>
      <c r="I436" s="7">
        <v>2.93</v>
      </c>
      <c r="J436" s="7" t="s">
        <v>2020</v>
      </c>
      <c r="K436" s="7" t="s">
        <v>2020</v>
      </c>
      <c r="L436" s="7" t="s">
        <v>2027</v>
      </c>
      <c r="M436" s="7" t="s">
        <v>2027</v>
      </c>
      <c r="N436" s="7" t="s">
        <v>2019</v>
      </c>
      <c r="O436" s="7" t="s">
        <v>2019</v>
      </c>
      <c r="P436" s="7" t="s">
        <v>2019</v>
      </c>
      <c r="Q436" t="s">
        <v>276</v>
      </c>
      <c r="R436" s="7" t="s">
        <v>2604</v>
      </c>
      <c r="S436" t="str">
        <f xml:space="preserve"> HYPERLINK("ReviewHtml/review_The_Melancholy_of_Haruhi_Suzumiya.html", "https://2danicritic.github.io/ReviewHtml/review_The_Melancholy_of_Haruhi_Suzumiya.html")</f>
        <v>https://2danicritic.github.io/ReviewHtml/review_The_Melancholy_of_Haruhi_Suzumiya.html</v>
      </c>
      <c r="U436" s="5">
        <f t="shared" si="6"/>
        <v>2.93</v>
      </c>
    </row>
    <row r="437" spans="2:21" x14ac:dyDescent="0.35">
      <c r="B437" s="7" t="s">
        <v>2605</v>
      </c>
      <c r="C437" t="s">
        <v>1110</v>
      </c>
      <c r="D437" s="7" t="s">
        <v>2066</v>
      </c>
      <c r="E437" t="s">
        <v>1555</v>
      </c>
      <c r="F437" t="s">
        <v>659</v>
      </c>
      <c r="G437" t="s">
        <v>1569</v>
      </c>
      <c r="H437" t="s">
        <v>1111</v>
      </c>
      <c r="I437" s="7">
        <v>2.36</v>
      </c>
      <c r="J437" s="7" t="s">
        <v>2141</v>
      </c>
      <c r="K437" s="7" t="s">
        <v>2019</v>
      </c>
      <c r="L437" s="7" t="s">
        <v>2019</v>
      </c>
      <c r="M437" s="7" t="s">
        <v>2020</v>
      </c>
      <c r="N437" s="7" t="s">
        <v>2141</v>
      </c>
      <c r="O437" s="7" t="s">
        <v>2019</v>
      </c>
      <c r="P437" s="7" t="s">
        <v>2020</v>
      </c>
      <c r="Q437" t="s">
        <v>277</v>
      </c>
      <c r="R437" s="7" t="s">
        <v>2248</v>
      </c>
      <c r="S437" t="str">
        <f xml:space="preserve"> HYPERLINK("ReviewHtml/review_The_Melancholy_of_Haruhi-Chan_Suzumiya.html", "https://2danicritic.github.io/ReviewHtml/review_The_Melancholy_of_Haruhi-Chan_Suzumiya.html")</f>
        <v>https://2danicritic.github.io/ReviewHtml/review_The_Melancholy_of_Haruhi-Chan_Suzumiya.html</v>
      </c>
      <c r="U437" s="5">
        <f t="shared" si="6"/>
        <v>2.36</v>
      </c>
    </row>
    <row r="438" spans="2:21" x14ac:dyDescent="0.35">
      <c r="B438" s="7" t="s">
        <v>2606</v>
      </c>
      <c r="C438" t="s">
        <v>1112</v>
      </c>
      <c r="D438" s="7" t="s">
        <v>2037</v>
      </c>
      <c r="E438" t="s">
        <v>1555</v>
      </c>
      <c r="F438" t="s">
        <v>966</v>
      </c>
      <c r="G438" t="s">
        <v>1560</v>
      </c>
      <c r="H438" t="s">
        <v>1022</v>
      </c>
      <c r="I438" s="7">
        <v>3.71</v>
      </c>
      <c r="J438" s="7" t="s">
        <v>2027</v>
      </c>
      <c r="K438" s="7" t="s">
        <v>2025</v>
      </c>
      <c r="L438" s="7" t="s">
        <v>2027</v>
      </c>
      <c r="M438" s="7" t="s">
        <v>2027</v>
      </c>
      <c r="N438" s="7" t="s">
        <v>2025</v>
      </c>
      <c r="O438" s="7" t="s">
        <v>2027</v>
      </c>
      <c r="P438" s="7" t="s">
        <v>2025</v>
      </c>
      <c r="Q438" t="s">
        <v>257</v>
      </c>
      <c r="R438" s="7" t="s">
        <v>2021</v>
      </c>
      <c r="S438" t="str">
        <f xml:space="preserve"> HYPERLINK("ReviewHtml/review_The_Mystic_Archives_of_Dantalian.html", "https://2danicritic.github.io/ReviewHtml/review_The_Mystic_Archives_of_Dantalian.html")</f>
        <v>https://2danicritic.github.io/ReviewHtml/review_The_Mystic_Archives_of_Dantalian.html</v>
      </c>
      <c r="U438" s="5">
        <f t="shared" si="6"/>
        <v>3.71</v>
      </c>
    </row>
    <row r="439" spans="2:21" x14ac:dyDescent="0.35">
      <c r="B439" s="7" t="s">
        <v>2607</v>
      </c>
      <c r="C439" t="s">
        <v>1113</v>
      </c>
      <c r="D439" s="7" t="s">
        <v>2017</v>
      </c>
      <c r="E439" t="s">
        <v>1555</v>
      </c>
      <c r="F439" t="s">
        <v>788</v>
      </c>
      <c r="G439" t="s">
        <v>1558</v>
      </c>
      <c r="H439" t="s">
        <v>789</v>
      </c>
      <c r="I439" s="7">
        <v>4.71</v>
      </c>
      <c r="J439" s="7" t="s">
        <v>2025</v>
      </c>
      <c r="K439" s="7" t="s">
        <v>2033</v>
      </c>
      <c r="L439" s="7" t="s">
        <v>2033</v>
      </c>
      <c r="M439" s="7" t="s">
        <v>2033</v>
      </c>
      <c r="N439" s="7" t="s">
        <v>2025</v>
      </c>
      <c r="O439" s="7" t="s">
        <v>2033</v>
      </c>
      <c r="P439" s="7" t="s">
        <v>2033</v>
      </c>
      <c r="Q439" t="s">
        <v>278</v>
      </c>
      <c r="R439" s="7" t="s">
        <v>2216</v>
      </c>
      <c r="S439" t="str">
        <f xml:space="preserve"> HYPERLINK("ReviewHtml/review_The_Night_Is_Short,_Walk_On_Girl.html", "https://2danicritic.github.io/ReviewHtml/review_The_Night_Is_Short,_Walk_On_Girl.html")</f>
        <v>https://2danicritic.github.io/ReviewHtml/review_The_Night_Is_Short,_Walk_On_Girl.html</v>
      </c>
      <c r="U439" s="5">
        <f t="shared" si="6"/>
        <v>4.71</v>
      </c>
    </row>
    <row r="440" spans="2:21" x14ac:dyDescent="0.35">
      <c r="B440" s="7" t="s">
        <v>2608</v>
      </c>
      <c r="C440" t="s">
        <v>1834</v>
      </c>
      <c r="D440" s="7" t="s">
        <v>2188</v>
      </c>
      <c r="E440" t="s">
        <v>1792</v>
      </c>
      <c r="F440" t="s">
        <v>1835</v>
      </c>
      <c r="G440" t="s">
        <v>1558</v>
      </c>
      <c r="H440" t="s">
        <v>1779</v>
      </c>
      <c r="I440" s="7">
        <v>2.93</v>
      </c>
      <c r="J440" s="7" t="s">
        <v>2019</v>
      </c>
      <c r="K440" s="7" t="s">
        <v>2020</v>
      </c>
      <c r="L440" s="7" t="s">
        <v>2027</v>
      </c>
      <c r="M440" s="7" t="s">
        <v>2020</v>
      </c>
      <c r="N440" s="7" t="s">
        <v>2020</v>
      </c>
      <c r="O440" s="7" t="s">
        <v>2019</v>
      </c>
      <c r="P440" s="7" t="s">
        <v>2020</v>
      </c>
      <c r="Q440" t="s">
        <v>1780</v>
      </c>
      <c r="R440" s="7" t="s">
        <v>2210</v>
      </c>
      <c r="S440" t="str">
        <f xml:space="preserve"> HYPERLINK("ReviewHtml/review_The_Nose_or_Conspiracy_of_Mavericks.html", "https://2danicritic.github.io/ReviewHtml/review_The_Nose_or_Conspiracy_of_Mavericks.html")</f>
        <v>https://2danicritic.github.io/ReviewHtml/review_The_Nose_or_Conspiracy_of_Mavericks.html</v>
      </c>
      <c r="U440" s="5">
        <f t="shared" si="6"/>
        <v>2.93</v>
      </c>
    </row>
    <row r="441" spans="2:21" x14ac:dyDescent="0.35">
      <c r="B441" s="7" t="s">
        <v>2609</v>
      </c>
      <c r="C441" t="s">
        <v>1114</v>
      </c>
      <c r="D441" s="7" t="s">
        <v>2041</v>
      </c>
      <c r="E441" t="s">
        <v>1555</v>
      </c>
      <c r="F441" t="s">
        <v>671</v>
      </c>
      <c r="G441" t="s">
        <v>1560</v>
      </c>
      <c r="H441" t="s">
        <v>984</v>
      </c>
      <c r="I441" s="7">
        <v>4</v>
      </c>
      <c r="J441" s="7" t="s">
        <v>2020</v>
      </c>
      <c r="K441" s="7" t="s">
        <v>2025</v>
      </c>
      <c r="L441" s="7" t="s">
        <v>2025</v>
      </c>
      <c r="M441" s="7" t="s">
        <v>2026</v>
      </c>
      <c r="N441" s="7" t="s">
        <v>2026</v>
      </c>
      <c r="O441" s="7" t="s">
        <v>2025</v>
      </c>
      <c r="P441" s="7" t="s">
        <v>2025</v>
      </c>
      <c r="Q441" t="s">
        <v>350</v>
      </c>
      <c r="R441" s="7" t="s">
        <v>2155</v>
      </c>
      <c r="S441" t="str">
        <f xml:space="preserve"> HYPERLINK("ReviewHtml/review_The_Pet_Girl_of_Sakurasou.html", "https://2danicritic.github.io/ReviewHtml/review_The_Pet_Girl_of_Sakurasou.html")</f>
        <v>https://2danicritic.github.io/ReviewHtml/review_The_Pet_Girl_of_Sakurasou.html</v>
      </c>
      <c r="U441" s="5">
        <f t="shared" si="6"/>
        <v>4</v>
      </c>
    </row>
    <row r="442" spans="2:21" x14ac:dyDescent="0.35">
      <c r="B442" s="7" t="s">
        <v>2610</v>
      </c>
      <c r="C442" t="s">
        <v>1115</v>
      </c>
      <c r="D442" s="7" t="s">
        <v>2167</v>
      </c>
      <c r="E442" t="s">
        <v>1555</v>
      </c>
      <c r="F442" t="s">
        <v>653</v>
      </c>
      <c r="G442" t="s">
        <v>1558</v>
      </c>
      <c r="H442" t="s">
        <v>654</v>
      </c>
      <c r="I442" s="7">
        <v>2.93</v>
      </c>
      <c r="J442" s="7" t="s">
        <v>2019</v>
      </c>
      <c r="K442" s="7" t="s">
        <v>2019</v>
      </c>
      <c r="L442" s="7" t="s">
        <v>2025</v>
      </c>
      <c r="M442" s="7" t="s">
        <v>2027</v>
      </c>
      <c r="N442" s="7" t="s">
        <v>2029</v>
      </c>
      <c r="O442" s="7" t="s">
        <v>2020</v>
      </c>
      <c r="P442" s="7" t="s">
        <v>2020</v>
      </c>
      <c r="Q442" t="s">
        <v>279</v>
      </c>
      <c r="R442" s="7" t="s">
        <v>2212</v>
      </c>
      <c r="S442" t="str">
        <f xml:space="preserve"> HYPERLINK("ReviewHtml/review_The_Place_Promised_in_Our_Early_Days.html", "https://2danicritic.github.io/ReviewHtml/review_The_Place_Promised_in_Our_Early_Days.html")</f>
        <v>https://2danicritic.github.io/ReviewHtml/review_The_Place_Promised_in_Our_Early_Days.html</v>
      </c>
      <c r="U442" s="5">
        <f t="shared" si="6"/>
        <v>2.93</v>
      </c>
    </row>
    <row r="443" spans="2:21" x14ac:dyDescent="0.35">
      <c r="B443" s="7" t="s">
        <v>2611</v>
      </c>
      <c r="C443" t="s">
        <v>1280</v>
      </c>
      <c r="D443" s="7" t="s">
        <v>2098</v>
      </c>
      <c r="E443" t="s">
        <v>57</v>
      </c>
      <c r="F443" t="s">
        <v>1294</v>
      </c>
      <c r="G443" t="s">
        <v>1558</v>
      </c>
      <c r="H443" t="s">
        <v>1305</v>
      </c>
      <c r="I443" s="7">
        <v>3.93</v>
      </c>
      <c r="J443" s="7" t="s">
        <v>2027</v>
      </c>
      <c r="K443" s="7" t="s">
        <v>2020</v>
      </c>
      <c r="L443" s="7" t="s">
        <v>2020</v>
      </c>
      <c r="M443" s="7" t="s">
        <v>2026</v>
      </c>
      <c r="N443" s="7" t="s">
        <v>2033</v>
      </c>
      <c r="O443" s="7" t="s">
        <v>2025</v>
      </c>
      <c r="P443" s="7" t="s">
        <v>2026</v>
      </c>
      <c r="Q443" t="s">
        <v>1220</v>
      </c>
      <c r="R443" s="7" t="s">
        <v>2227</v>
      </c>
      <c r="S443" t="str">
        <f xml:space="preserve"> HYPERLINK("ReviewHtml/review_The_Plague_Dogs.html", "https://2danicritic.github.io/ReviewHtml/review_The_Plague_Dogs.html")</f>
        <v>https://2danicritic.github.io/ReviewHtml/review_The_Plague_Dogs.html</v>
      </c>
      <c r="U443" s="5">
        <f t="shared" si="6"/>
        <v>3.93</v>
      </c>
    </row>
    <row r="444" spans="2:21" x14ac:dyDescent="0.35">
      <c r="B444" s="7" t="s">
        <v>2612</v>
      </c>
      <c r="C444" t="s">
        <v>1116</v>
      </c>
      <c r="D444" s="7" t="s">
        <v>2496</v>
      </c>
      <c r="E444" t="s">
        <v>1557</v>
      </c>
      <c r="F444" t="s">
        <v>1117</v>
      </c>
      <c r="G444" t="s">
        <v>1558</v>
      </c>
      <c r="H444" t="s">
        <v>280</v>
      </c>
      <c r="I444" s="7">
        <v>4.07</v>
      </c>
      <c r="J444" s="7" t="s">
        <v>2025</v>
      </c>
      <c r="K444" s="7" t="s">
        <v>2026</v>
      </c>
      <c r="L444" s="7" t="s">
        <v>2025</v>
      </c>
      <c r="M444" s="7" t="s">
        <v>2025</v>
      </c>
      <c r="N444" s="7" t="s">
        <v>2027</v>
      </c>
      <c r="O444" s="7" t="s">
        <v>2025</v>
      </c>
      <c r="P444" s="7" t="s">
        <v>2026</v>
      </c>
      <c r="Q444" t="s">
        <v>281</v>
      </c>
      <c r="R444" s="7" t="s">
        <v>2220</v>
      </c>
      <c r="S444" t="str">
        <f xml:space="preserve"> HYPERLINK("ReviewHtml/review_The_Prince_of_Egpyt.html", "https://2danicritic.github.io/ReviewHtml/review_The_Prince_of_Egpyt.html")</f>
        <v>https://2danicritic.github.io/ReviewHtml/review_The_Prince_of_Egpyt.html</v>
      </c>
      <c r="U444" s="5">
        <f t="shared" si="6"/>
        <v>4.07</v>
      </c>
    </row>
    <row r="445" spans="2:21" x14ac:dyDescent="0.35">
      <c r="B445" s="7" t="s">
        <v>2613</v>
      </c>
      <c r="C445" t="s">
        <v>1118</v>
      </c>
      <c r="D445" s="7" t="s">
        <v>2037</v>
      </c>
      <c r="E445" t="s">
        <v>1555</v>
      </c>
      <c r="F445" t="s">
        <v>695</v>
      </c>
      <c r="G445" t="s">
        <v>1558</v>
      </c>
      <c r="H445" t="s">
        <v>1119</v>
      </c>
      <c r="I445" s="7">
        <v>3.07</v>
      </c>
      <c r="J445" s="7" t="s">
        <v>2020</v>
      </c>
      <c r="K445" s="7" t="s">
        <v>2027</v>
      </c>
      <c r="L445" s="7" t="s">
        <v>2020</v>
      </c>
      <c r="M445" s="7" t="s">
        <v>2020</v>
      </c>
      <c r="N445" s="7" t="s">
        <v>2020</v>
      </c>
      <c r="O445" s="7" t="s">
        <v>2020</v>
      </c>
      <c r="P445" s="7" t="s">
        <v>2020</v>
      </c>
      <c r="Q445" t="s">
        <v>282</v>
      </c>
      <c r="R445" s="7" t="s">
        <v>2067</v>
      </c>
      <c r="S445" t="str">
        <f xml:space="preserve"> HYPERLINK("ReviewHtml/review_The_Princess_and_the_Pilot.html", "https://2danicritic.github.io/ReviewHtml/review_The_Princess_and_the_Pilot.html")</f>
        <v>https://2danicritic.github.io/ReviewHtml/review_The_Princess_and_the_Pilot.html</v>
      </c>
      <c r="U445" s="5">
        <f t="shared" si="6"/>
        <v>3.07</v>
      </c>
    </row>
    <row r="446" spans="2:21" x14ac:dyDescent="0.35">
      <c r="B446" s="7" t="s">
        <v>2614</v>
      </c>
      <c r="C446" t="s">
        <v>1966</v>
      </c>
      <c r="D446" s="7" t="s">
        <v>2197</v>
      </c>
      <c r="E446" t="s">
        <v>1555</v>
      </c>
      <c r="F446" t="s">
        <v>1977</v>
      </c>
      <c r="G446" t="s">
        <v>1560</v>
      </c>
      <c r="H446" t="s">
        <v>1978</v>
      </c>
      <c r="I446" s="7">
        <v>3.5</v>
      </c>
      <c r="J446" s="7" t="s">
        <v>2020</v>
      </c>
      <c r="K446" s="7" t="s">
        <v>2020</v>
      </c>
      <c r="L446" s="7" t="s">
        <v>2020</v>
      </c>
      <c r="M446" s="7" t="s">
        <v>2027</v>
      </c>
      <c r="N446" s="7" t="s">
        <v>2025</v>
      </c>
      <c r="O446" s="7" t="s">
        <v>2025</v>
      </c>
      <c r="P446" s="7" t="s">
        <v>2025</v>
      </c>
      <c r="Q446" t="s">
        <v>1952</v>
      </c>
      <c r="R446" s="7" t="s">
        <v>2049</v>
      </c>
      <c r="S446" t="str">
        <f xml:space="preserve"> HYPERLINK("ReviewHtml/review_The_Promised_Neverland.html", "https://2danicritic.github.io/ReviewHtml/review_The_Promised_Neverland.html")</f>
        <v>https://2danicritic.github.io/ReviewHtml/review_The_Promised_Neverland.html</v>
      </c>
      <c r="U446" s="5">
        <f t="shared" si="6"/>
        <v>3.5</v>
      </c>
    </row>
    <row r="447" spans="2:21" x14ac:dyDescent="0.35">
      <c r="B447" s="7" t="s">
        <v>2615</v>
      </c>
      <c r="C447" t="s">
        <v>2616</v>
      </c>
      <c r="D447" s="7" t="s">
        <v>2035</v>
      </c>
      <c r="E447" t="s">
        <v>1555</v>
      </c>
      <c r="F447" t="s">
        <v>1423</v>
      </c>
      <c r="G447" t="s">
        <v>1560</v>
      </c>
      <c r="H447" t="s">
        <v>2617</v>
      </c>
      <c r="I447" s="7">
        <v>2.57</v>
      </c>
      <c r="J447" s="7" t="s">
        <v>2019</v>
      </c>
      <c r="K447" s="7" t="s">
        <v>2019</v>
      </c>
      <c r="L447" s="7" t="s">
        <v>2020</v>
      </c>
      <c r="M447" s="7" t="s">
        <v>2020</v>
      </c>
      <c r="N447" s="7" t="s">
        <v>2019</v>
      </c>
      <c r="O447" s="7" t="s">
        <v>2019</v>
      </c>
      <c r="P447" s="7" t="s">
        <v>2029</v>
      </c>
      <c r="Q447" t="s">
        <v>2013</v>
      </c>
      <c r="R447" s="7" t="s">
        <v>2223</v>
      </c>
      <c r="S447" t="str">
        <f xml:space="preserve"> HYPERLINK("ReviewHtml/review_The_Qwaser_of_Stigmata.html", "https://2danicritic.github.io/ReviewHtml/review_The_Qwaser_of_Stigmata.html")</f>
        <v>https://2danicritic.github.io/ReviewHtml/review_The_Qwaser_of_Stigmata.html</v>
      </c>
      <c r="U447" s="5">
        <f t="shared" si="6"/>
        <v>2.57</v>
      </c>
    </row>
    <row r="448" spans="2:21" x14ac:dyDescent="0.35">
      <c r="B448" s="7" t="s">
        <v>2618</v>
      </c>
      <c r="C448" t="s">
        <v>1120</v>
      </c>
      <c r="D448" s="7" t="s">
        <v>2037</v>
      </c>
      <c r="E448" t="s">
        <v>1559</v>
      </c>
      <c r="F448" t="s">
        <v>1121</v>
      </c>
      <c r="G448" t="s">
        <v>1558</v>
      </c>
      <c r="H448" t="s">
        <v>283</v>
      </c>
      <c r="I448" s="7">
        <v>3.14</v>
      </c>
      <c r="J448" s="7" t="s">
        <v>2020</v>
      </c>
      <c r="K448" s="7" t="s">
        <v>2027</v>
      </c>
      <c r="L448" s="7" t="s">
        <v>2020</v>
      </c>
      <c r="M448" s="7" t="s">
        <v>2020</v>
      </c>
      <c r="N448" s="7" t="s">
        <v>2020</v>
      </c>
      <c r="O448" s="7" t="s">
        <v>2027</v>
      </c>
      <c r="P448" s="7" t="s">
        <v>2020</v>
      </c>
      <c r="Q448" t="s">
        <v>284</v>
      </c>
      <c r="R448" s="7" t="s">
        <v>2085</v>
      </c>
      <c r="S448" t="str">
        <f xml:space="preserve"> HYPERLINK("ReviewHtml/review_The_Rabbi's_Cat.html", "https://2danicritic.github.io/ReviewHtml/review_The_Rabbi's_Cat.html")</f>
        <v>https://2danicritic.github.io/ReviewHtml/review_The_Rabbi's_Cat.html</v>
      </c>
      <c r="U448" s="5">
        <f t="shared" si="6"/>
        <v>3.14</v>
      </c>
    </row>
    <row r="449" spans="2:21" x14ac:dyDescent="0.35">
      <c r="B449" s="7" t="s">
        <v>2619</v>
      </c>
      <c r="C449" t="s">
        <v>1122</v>
      </c>
      <c r="D449" s="7" t="s">
        <v>2030</v>
      </c>
      <c r="E449" t="s">
        <v>1559</v>
      </c>
      <c r="F449" t="s">
        <v>1123</v>
      </c>
      <c r="G449" t="s">
        <v>1558</v>
      </c>
      <c r="H449" t="s">
        <v>285</v>
      </c>
      <c r="I449" s="7">
        <v>3.71</v>
      </c>
      <c r="J449" s="7" t="s">
        <v>2025</v>
      </c>
      <c r="K449" s="7" t="s">
        <v>2025</v>
      </c>
      <c r="L449" s="7" t="s">
        <v>2025</v>
      </c>
      <c r="M449" s="7" t="s">
        <v>2020</v>
      </c>
      <c r="N449" s="7" t="s">
        <v>2025</v>
      </c>
      <c r="O449" s="7" t="s">
        <v>2029</v>
      </c>
      <c r="P449" s="7" t="s">
        <v>2033</v>
      </c>
      <c r="Q449" t="s">
        <v>286</v>
      </c>
      <c r="R449" s="7" t="s">
        <v>2085</v>
      </c>
      <c r="S449" t="str">
        <f xml:space="preserve"> HYPERLINK("ReviewHtml/review_The_Red_Turtle.html", "https://2danicritic.github.io/ReviewHtml/review_The_Red_Turtle.html")</f>
        <v>https://2danicritic.github.io/ReviewHtml/review_The_Red_Turtle.html</v>
      </c>
      <c r="U449" s="5">
        <f t="shared" si="6"/>
        <v>3.71</v>
      </c>
    </row>
    <row r="450" spans="2:21" x14ac:dyDescent="0.35">
      <c r="B450" s="7" t="s">
        <v>2620</v>
      </c>
      <c r="C450" t="s">
        <v>1418</v>
      </c>
      <c r="D450" s="7" t="s">
        <v>2621</v>
      </c>
      <c r="E450" t="s">
        <v>1557</v>
      </c>
      <c r="F450" t="s">
        <v>1103</v>
      </c>
      <c r="G450" t="s">
        <v>1558</v>
      </c>
      <c r="H450" t="s">
        <v>1361</v>
      </c>
      <c r="I450" s="7">
        <v>2.57</v>
      </c>
      <c r="J450" s="7" t="s">
        <v>2019</v>
      </c>
      <c r="K450" s="7" t="s">
        <v>2019</v>
      </c>
      <c r="L450" s="7" t="s">
        <v>2020</v>
      </c>
      <c r="M450" s="7" t="s">
        <v>2020</v>
      </c>
      <c r="N450" s="7" t="s">
        <v>2019</v>
      </c>
      <c r="O450" s="7" t="s">
        <v>2019</v>
      </c>
      <c r="P450" s="7" t="s">
        <v>2029</v>
      </c>
      <c r="Q450" t="s">
        <v>1362</v>
      </c>
      <c r="R450" s="7" t="s">
        <v>2220</v>
      </c>
      <c r="S450" t="str">
        <f xml:space="preserve"> HYPERLINK("ReviewHtml/review_The_Return_of_the_King.html", "https://2danicritic.github.io/ReviewHtml/review_The_Return_of_the_King.html")</f>
        <v>https://2danicritic.github.io/ReviewHtml/review_The_Return_of_the_King.html</v>
      </c>
      <c r="U450" s="5">
        <f t="shared" si="6"/>
        <v>2.57</v>
      </c>
    </row>
    <row r="451" spans="2:21" x14ac:dyDescent="0.35">
      <c r="B451" s="7" t="s">
        <v>2622</v>
      </c>
      <c r="C451" t="s">
        <v>1281</v>
      </c>
      <c r="D451" s="7" t="s">
        <v>2174</v>
      </c>
      <c r="E451" t="s">
        <v>1557</v>
      </c>
      <c r="F451" t="s">
        <v>1295</v>
      </c>
      <c r="G451" t="s">
        <v>1558</v>
      </c>
      <c r="H451" t="s">
        <v>1221</v>
      </c>
      <c r="I451" s="7">
        <v>3.71</v>
      </c>
      <c r="J451" s="7" t="s">
        <v>2027</v>
      </c>
      <c r="K451" s="7" t="s">
        <v>2025</v>
      </c>
      <c r="L451" s="7" t="s">
        <v>2027</v>
      </c>
      <c r="M451" s="7" t="s">
        <v>2025</v>
      </c>
      <c r="N451" s="7" t="s">
        <v>2019</v>
      </c>
      <c r="O451" s="7" t="s">
        <v>2026</v>
      </c>
      <c r="P451" s="7" t="s">
        <v>2025</v>
      </c>
      <c r="Q451" t="s">
        <v>185</v>
      </c>
      <c r="R451" s="7" t="s">
        <v>2212</v>
      </c>
      <c r="S451" t="str">
        <f xml:space="preserve"> HYPERLINK("ReviewHtml/review_The_Road_to_El_Dorado.html", "https://2danicritic.github.io/ReviewHtml/review_The_Road_to_El_Dorado.html")</f>
        <v>https://2danicritic.github.io/ReviewHtml/review_The_Road_to_El_Dorado.html</v>
      </c>
      <c r="U451" s="5">
        <f t="shared" si="6"/>
        <v>3.71</v>
      </c>
    </row>
    <row r="452" spans="2:21" x14ac:dyDescent="0.35">
      <c r="B452" s="7" t="s">
        <v>2623</v>
      </c>
      <c r="C452" t="s">
        <v>1124</v>
      </c>
      <c r="D452" s="7" t="s">
        <v>2066</v>
      </c>
      <c r="E452" t="s">
        <v>1614</v>
      </c>
      <c r="F452" t="s">
        <v>1056</v>
      </c>
      <c r="G452" t="s">
        <v>1558</v>
      </c>
      <c r="H452" t="s">
        <v>351</v>
      </c>
      <c r="I452" s="7">
        <v>3.79</v>
      </c>
      <c r="J452" s="7" t="s">
        <v>2027</v>
      </c>
      <c r="K452" s="7" t="s">
        <v>2033</v>
      </c>
      <c r="L452" s="7" t="s">
        <v>2027</v>
      </c>
      <c r="M452" s="7" t="s">
        <v>2027</v>
      </c>
      <c r="N452" s="7" t="s">
        <v>2020</v>
      </c>
      <c r="O452" s="7" t="s">
        <v>2027</v>
      </c>
      <c r="P452" s="7" t="s">
        <v>2026</v>
      </c>
      <c r="Q452" t="s">
        <v>347</v>
      </c>
      <c r="R452" s="7" t="s">
        <v>2195</v>
      </c>
      <c r="S452" t="str">
        <f xml:space="preserve"> HYPERLINK("ReviewHtml/review_The_Secret_of_Kells.html", "https://2danicritic.github.io/ReviewHtml/review_The_Secret_of_Kells.html")</f>
        <v>https://2danicritic.github.io/ReviewHtml/review_The_Secret_of_Kells.html</v>
      </c>
      <c r="U452" s="5">
        <f t="shared" ref="U452:U515" si="7">VALUE(I452)</f>
        <v>3.79</v>
      </c>
    </row>
    <row r="453" spans="2:21" x14ac:dyDescent="0.35">
      <c r="B453" s="7" t="s">
        <v>2162</v>
      </c>
      <c r="C453" t="s">
        <v>1125</v>
      </c>
      <c r="D453" s="7" t="s">
        <v>2098</v>
      </c>
      <c r="E453" t="s">
        <v>1557</v>
      </c>
      <c r="F453" t="s">
        <v>1039</v>
      </c>
      <c r="G453" t="s">
        <v>1558</v>
      </c>
      <c r="H453" t="s">
        <v>1040</v>
      </c>
      <c r="I453" s="7">
        <v>4.3600000000000003</v>
      </c>
      <c r="J453" s="7" t="s">
        <v>2026</v>
      </c>
      <c r="K453" s="7" t="s">
        <v>2025</v>
      </c>
      <c r="L453" s="7" t="s">
        <v>2026</v>
      </c>
      <c r="M453" s="7" t="s">
        <v>2026</v>
      </c>
      <c r="N453" s="7" t="s">
        <v>2026</v>
      </c>
      <c r="O453" s="7" t="s">
        <v>2026</v>
      </c>
      <c r="P453" s="7" t="s">
        <v>2025</v>
      </c>
      <c r="Q453" t="s">
        <v>287</v>
      </c>
      <c r="R453" s="7" t="s">
        <v>2190</v>
      </c>
      <c r="S453" t="str">
        <f xml:space="preserve"> HYPERLINK("ReviewHtml/review_The_Secret_of_Nimh.html", "https://2danicritic.github.io/ReviewHtml/review_The_Secret_of_Nimh.html")</f>
        <v>https://2danicritic.github.io/ReviewHtml/review_The_Secret_of_Nimh.html</v>
      </c>
      <c r="U453" s="5">
        <f t="shared" si="7"/>
        <v>4.3600000000000003</v>
      </c>
    </row>
    <row r="454" spans="2:21" x14ac:dyDescent="0.35">
      <c r="B454" s="7" t="s">
        <v>2624</v>
      </c>
      <c r="C454" t="s">
        <v>1126</v>
      </c>
      <c r="D454" s="7" t="s">
        <v>2035</v>
      </c>
      <c r="E454" t="s">
        <v>1555</v>
      </c>
      <c r="F454" t="s">
        <v>748</v>
      </c>
      <c r="G454" t="s">
        <v>1558</v>
      </c>
      <c r="H454" t="s">
        <v>195</v>
      </c>
      <c r="I454" s="7">
        <v>3.43</v>
      </c>
      <c r="J454" s="7" t="s">
        <v>2027</v>
      </c>
      <c r="K454" s="7" t="s">
        <v>2025</v>
      </c>
      <c r="L454" s="7" t="s">
        <v>2025</v>
      </c>
      <c r="M454" s="7" t="s">
        <v>2027</v>
      </c>
      <c r="N454" s="7" t="s">
        <v>2019</v>
      </c>
      <c r="O454" s="7" t="s">
        <v>2019</v>
      </c>
      <c r="P454" s="7" t="s">
        <v>2025</v>
      </c>
      <c r="Q454" t="s">
        <v>196</v>
      </c>
      <c r="R454" s="7" t="s">
        <v>2112</v>
      </c>
      <c r="S454" t="str">
        <f xml:space="preserve"> HYPERLINK("ReviewHtml/review_The_Secret_World_of_Arrietty.html", "https://2danicritic.github.io/ReviewHtml/review_The_Secret_World_of_Arrietty.html")</f>
        <v>https://2danicritic.github.io/ReviewHtml/review_The_Secret_World_of_Arrietty.html</v>
      </c>
      <c r="U454" s="5">
        <f t="shared" si="7"/>
        <v>3.43</v>
      </c>
    </row>
    <row r="455" spans="2:21" x14ac:dyDescent="0.35">
      <c r="B455" s="7" t="s">
        <v>2625</v>
      </c>
      <c r="C455" t="s">
        <v>1127</v>
      </c>
      <c r="D455" s="7" t="s">
        <v>2154</v>
      </c>
      <c r="E455" t="s">
        <v>1555</v>
      </c>
      <c r="F455" t="s">
        <v>732</v>
      </c>
      <c r="G455" t="s">
        <v>1558</v>
      </c>
      <c r="H455" t="s">
        <v>837</v>
      </c>
      <c r="I455" s="7">
        <v>3.36</v>
      </c>
      <c r="J455" s="7" t="s">
        <v>2025</v>
      </c>
      <c r="K455" s="7" t="s">
        <v>2020</v>
      </c>
      <c r="L455" s="7" t="s">
        <v>2025</v>
      </c>
      <c r="M455" s="7" t="s">
        <v>2027</v>
      </c>
      <c r="N455" s="7" t="s">
        <v>2025</v>
      </c>
      <c r="O455" s="7" t="s">
        <v>2029</v>
      </c>
      <c r="P455" s="7" t="s">
        <v>2027</v>
      </c>
      <c r="Q455" t="s">
        <v>288</v>
      </c>
      <c r="R455" s="7" t="s">
        <v>2243</v>
      </c>
      <c r="S455" t="str">
        <f xml:space="preserve"> HYPERLINK("ReviewHtml/review_The_Sky_Crawlers.html", "https://2danicritic.github.io/ReviewHtml/review_The_Sky_Crawlers.html")</f>
        <v>https://2danicritic.github.io/ReviewHtml/review_The_Sky_Crawlers.html</v>
      </c>
      <c r="U455" s="5">
        <f t="shared" si="7"/>
        <v>3.36</v>
      </c>
    </row>
    <row r="456" spans="2:21" x14ac:dyDescent="0.35">
      <c r="B456" s="7" t="s">
        <v>2626</v>
      </c>
      <c r="C456" t="s">
        <v>2627</v>
      </c>
      <c r="D456" s="7" t="s">
        <v>2219</v>
      </c>
      <c r="E456" t="s">
        <v>1557</v>
      </c>
      <c r="F456" t="s">
        <v>2628</v>
      </c>
      <c r="G456" t="s">
        <v>1558</v>
      </c>
      <c r="H456" t="s">
        <v>2014</v>
      </c>
      <c r="I456" s="7">
        <v>3.43</v>
      </c>
      <c r="J456" s="7" t="s">
        <v>2020</v>
      </c>
      <c r="K456" s="7" t="s">
        <v>2019</v>
      </c>
      <c r="L456" s="7" t="s">
        <v>2025</v>
      </c>
      <c r="M456" s="7" t="s">
        <v>2027</v>
      </c>
      <c r="N456" s="7" t="s">
        <v>2025</v>
      </c>
      <c r="O456" s="7" t="s">
        <v>2027</v>
      </c>
      <c r="P456" s="7" t="s">
        <v>2027</v>
      </c>
      <c r="Q456" t="s">
        <v>78</v>
      </c>
      <c r="R456" s="7" t="s">
        <v>2216</v>
      </c>
      <c r="S456" t="str">
        <f xml:space="preserve"> HYPERLINK("ReviewHtml/review_The_Spine_of_Night.html", "https://2danicritic.github.io/ReviewHtml/review_The_Spine_of_Night.html")</f>
        <v>https://2danicritic.github.io/ReviewHtml/review_The_Spine_of_Night.html</v>
      </c>
      <c r="U456" s="5">
        <f t="shared" si="7"/>
        <v>3.43</v>
      </c>
    </row>
    <row r="457" spans="2:21" x14ac:dyDescent="0.35">
      <c r="B457" s="7" t="s">
        <v>2629</v>
      </c>
      <c r="C457" t="s">
        <v>1919</v>
      </c>
      <c r="D457" s="7" t="s">
        <v>2453</v>
      </c>
      <c r="E457" t="s">
        <v>1557</v>
      </c>
      <c r="F457" t="s">
        <v>1920</v>
      </c>
      <c r="G457" t="s">
        <v>1558</v>
      </c>
      <c r="H457" t="s">
        <v>1921</v>
      </c>
      <c r="I457" s="7">
        <v>3.14</v>
      </c>
      <c r="J457" s="7" t="s">
        <v>2027</v>
      </c>
      <c r="K457" s="7" t="s">
        <v>2027</v>
      </c>
      <c r="L457" s="7" t="s">
        <v>2027</v>
      </c>
      <c r="M457" s="7" t="s">
        <v>2027</v>
      </c>
      <c r="N457" s="7" t="s">
        <v>2029</v>
      </c>
      <c r="O457" s="7" t="s">
        <v>2027</v>
      </c>
      <c r="P457" s="7" t="s">
        <v>2019</v>
      </c>
      <c r="Q457" t="s">
        <v>1884</v>
      </c>
      <c r="R457" s="7" t="s">
        <v>2212</v>
      </c>
      <c r="S457" t="str">
        <f xml:space="preserve"> HYPERLINK("ReviewHtml/review_The_Swan_Princess.html", "https://2danicritic.github.io/ReviewHtml/review_The_Swan_Princess.html")</f>
        <v>https://2danicritic.github.io/ReviewHtml/review_The_Swan_Princess.html</v>
      </c>
      <c r="U457" s="5">
        <f t="shared" si="7"/>
        <v>3.14</v>
      </c>
    </row>
    <row r="458" spans="2:21" x14ac:dyDescent="0.35">
      <c r="B458" s="7" t="s">
        <v>2630</v>
      </c>
      <c r="C458" t="s">
        <v>1128</v>
      </c>
      <c r="D458" s="7" t="s">
        <v>2102</v>
      </c>
      <c r="E458" t="s">
        <v>1555</v>
      </c>
      <c r="F458" t="s">
        <v>748</v>
      </c>
      <c r="G458" t="s">
        <v>1558</v>
      </c>
      <c r="H458" t="s">
        <v>844</v>
      </c>
      <c r="I458" s="7">
        <v>4.43</v>
      </c>
      <c r="J458" s="7" t="s">
        <v>2026</v>
      </c>
      <c r="K458" s="7" t="s">
        <v>2033</v>
      </c>
      <c r="L458" s="7" t="s">
        <v>2026</v>
      </c>
      <c r="M458" s="7" t="s">
        <v>2025</v>
      </c>
      <c r="N458" s="7" t="s">
        <v>2025</v>
      </c>
      <c r="O458" s="7" t="s">
        <v>2025</v>
      </c>
      <c r="P458" s="7" t="s">
        <v>2033</v>
      </c>
      <c r="Q458" t="s">
        <v>289</v>
      </c>
      <c r="R458" s="7" t="s">
        <v>2258</v>
      </c>
      <c r="S458" t="str">
        <f xml:space="preserve"> HYPERLINK("ReviewHtml/review_The_Tale_of_Princess_Kaguya.html", "https://2danicritic.github.io/ReviewHtml/review_The_Tale_of_Princess_Kaguya.html")</f>
        <v>https://2danicritic.github.io/ReviewHtml/review_The_Tale_of_Princess_Kaguya.html</v>
      </c>
      <c r="U458" s="5">
        <f t="shared" si="7"/>
        <v>4.43</v>
      </c>
    </row>
    <row r="459" spans="2:21" x14ac:dyDescent="0.35">
      <c r="B459" s="7" t="s">
        <v>2632</v>
      </c>
      <c r="C459" t="s">
        <v>1621</v>
      </c>
      <c r="D459" s="7" t="s">
        <v>2035</v>
      </c>
      <c r="E459" t="s">
        <v>1555</v>
      </c>
      <c r="F459" t="s">
        <v>695</v>
      </c>
      <c r="G459" t="s">
        <v>1560</v>
      </c>
      <c r="H459" t="s">
        <v>789</v>
      </c>
      <c r="I459" s="7">
        <v>3.43</v>
      </c>
      <c r="J459" s="7" t="s">
        <v>2020</v>
      </c>
      <c r="K459" s="7" t="s">
        <v>2025</v>
      </c>
      <c r="L459" s="7" t="s">
        <v>2020</v>
      </c>
      <c r="M459" s="7" t="s">
        <v>2027</v>
      </c>
      <c r="N459" s="7" t="s">
        <v>2027</v>
      </c>
      <c r="O459" s="7" t="s">
        <v>2027</v>
      </c>
      <c r="P459" s="7" t="s">
        <v>2027</v>
      </c>
      <c r="Q459" t="s">
        <v>1550</v>
      </c>
      <c r="R459" s="7" t="s">
        <v>2049</v>
      </c>
      <c r="S459" t="str">
        <f xml:space="preserve"> HYPERLINK("ReviewHtml/review_The_Tatami_Galaxy.html", "https://2danicritic.github.io/ReviewHtml/review_The_Tatami_Galaxy.html")</f>
        <v>https://2danicritic.github.io/ReviewHtml/review_The_Tatami_Galaxy.html</v>
      </c>
      <c r="U459" s="5">
        <f t="shared" si="7"/>
        <v>3.43</v>
      </c>
    </row>
    <row r="460" spans="2:21" x14ac:dyDescent="0.35">
      <c r="B460" s="7" t="s">
        <v>2633</v>
      </c>
      <c r="C460" t="s">
        <v>1922</v>
      </c>
      <c r="D460" s="7" t="s">
        <v>2095</v>
      </c>
      <c r="E460" t="s">
        <v>1555</v>
      </c>
      <c r="F460" t="s">
        <v>1892</v>
      </c>
      <c r="G460" t="s">
        <v>1560</v>
      </c>
      <c r="H460" t="s">
        <v>854</v>
      </c>
      <c r="I460" s="7">
        <v>2.71</v>
      </c>
      <c r="J460" s="7" t="s">
        <v>2019</v>
      </c>
      <c r="K460" s="7" t="s">
        <v>2019</v>
      </c>
      <c r="L460" s="7" t="s">
        <v>2027</v>
      </c>
      <c r="M460" s="7" t="s">
        <v>2020</v>
      </c>
      <c r="N460" s="7" t="s">
        <v>2019</v>
      </c>
      <c r="O460" s="7" t="s">
        <v>2019</v>
      </c>
      <c r="P460" s="7" t="s">
        <v>2019</v>
      </c>
      <c r="Q460" t="s">
        <v>1885</v>
      </c>
      <c r="R460" s="7" t="s">
        <v>2155</v>
      </c>
      <c r="S460" t="str">
        <f xml:space="preserve"> HYPERLINK("ReviewHtml/review_The_Testament_of_Sister_New_Devil.html", "https://2danicritic.github.io/ReviewHtml/review_The_Testament_of_Sister_New_Devil.html")</f>
        <v>https://2danicritic.github.io/ReviewHtml/review_The_Testament_of_Sister_New_Devil.html</v>
      </c>
      <c r="U460" s="5">
        <f t="shared" si="7"/>
        <v>2.71</v>
      </c>
    </row>
    <row r="461" spans="2:21" x14ac:dyDescent="0.35">
      <c r="B461" s="7" t="s">
        <v>2634</v>
      </c>
      <c r="C461" t="s">
        <v>1129</v>
      </c>
      <c r="D461" s="7" t="s">
        <v>2460</v>
      </c>
      <c r="E461" t="s">
        <v>1557</v>
      </c>
      <c r="F461" t="s">
        <v>290</v>
      </c>
      <c r="G461" t="s">
        <v>1558</v>
      </c>
      <c r="H461" t="s">
        <v>1130</v>
      </c>
      <c r="I461" s="7">
        <v>4</v>
      </c>
      <c r="J461" s="7" t="s">
        <v>2033</v>
      </c>
      <c r="K461" s="7" t="s">
        <v>2033</v>
      </c>
      <c r="L461" s="7" t="s">
        <v>2020</v>
      </c>
      <c r="M461" s="7" t="s">
        <v>2027</v>
      </c>
      <c r="N461" s="7" t="s">
        <v>2019</v>
      </c>
      <c r="O461" s="7" t="s">
        <v>2025</v>
      </c>
      <c r="P461" s="7" t="s">
        <v>2033</v>
      </c>
      <c r="Q461" t="s">
        <v>291</v>
      </c>
      <c r="R461" s="7" t="s">
        <v>2085</v>
      </c>
      <c r="S461" t="str">
        <f xml:space="preserve"> HYPERLINK("ReviewHtml/review_The_Thief_and_the_Cobbler.html", "https://2danicritic.github.io/ReviewHtml/review_The_Thief_and_the_Cobbler.html")</f>
        <v>https://2danicritic.github.io/ReviewHtml/review_The_Thief_and_the_Cobbler.html</v>
      </c>
      <c r="U461" s="5">
        <f t="shared" si="7"/>
        <v>4</v>
      </c>
    </row>
    <row r="462" spans="2:21" x14ac:dyDescent="0.35">
      <c r="B462" s="7" t="s">
        <v>2635</v>
      </c>
      <c r="C462" t="s">
        <v>1622</v>
      </c>
      <c r="D462" s="7" t="s">
        <v>2037</v>
      </c>
      <c r="E462" t="s">
        <v>1555</v>
      </c>
      <c r="F462" t="s">
        <v>695</v>
      </c>
      <c r="G462" t="s">
        <v>1558</v>
      </c>
      <c r="H462" t="s">
        <v>714</v>
      </c>
      <c r="I462" s="7">
        <v>3.5</v>
      </c>
      <c r="J462" s="7" t="s">
        <v>2027</v>
      </c>
      <c r="K462" s="7" t="s">
        <v>2027</v>
      </c>
      <c r="L462" s="7" t="s">
        <v>2020</v>
      </c>
      <c r="M462" s="7" t="s">
        <v>2020</v>
      </c>
      <c r="N462" s="7" t="s">
        <v>2027</v>
      </c>
      <c r="O462" s="7" t="s">
        <v>2025</v>
      </c>
      <c r="P462" s="7" t="s">
        <v>2025</v>
      </c>
      <c r="Q462" t="s">
        <v>306</v>
      </c>
      <c r="R462" s="7" t="s">
        <v>2212</v>
      </c>
      <c r="S462" t="str">
        <f xml:space="preserve"> HYPERLINK("ReviewHtml/review_The_Tibetan_Dog.html", "https://2danicritic.github.io/ReviewHtml/review_The_Tibetan_Dog.html")</f>
        <v>https://2danicritic.github.io/ReviewHtml/review_The_Tibetan_Dog.html</v>
      </c>
      <c r="U462" s="5">
        <f t="shared" si="7"/>
        <v>3.5</v>
      </c>
    </row>
    <row r="463" spans="2:21" x14ac:dyDescent="0.35">
      <c r="B463" s="7" t="s">
        <v>2636</v>
      </c>
      <c r="C463" t="s">
        <v>1131</v>
      </c>
      <c r="D463" s="7" t="s">
        <v>2171</v>
      </c>
      <c r="E463" t="s">
        <v>1559</v>
      </c>
      <c r="F463" t="s">
        <v>1132</v>
      </c>
      <c r="G463" t="s">
        <v>1558</v>
      </c>
      <c r="H463" t="s">
        <v>1101</v>
      </c>
      <c r="I463" s="7">
        <v>3.93</v>
      </c>
      <c r="J463" s="7" t="s">
        <v>2026</v>
      </c>
      <c r="K463" s="7" t="s">
        <v>2033</v>
      </c>
      <c r="L463" s="7" t="s">
        <v>2026</v>
      </c>
      <c r="M463" s="7" t="s">
        <v>2020</v>
      </c>
      <c r="N463" s="7" t="s">
        <v>2027</v>
      </c>
      <c r="O463" s="7" t="s">
        <v>2019</v>
      </c>
      <c r="P463" s="7" t="s">
        <v>2026</v>
      </c>
      <c r="Q463" t="s">
        <v>352</v>
      </c>
      <c r="R463" s="7" t="s">
        <v>2199</v>
      </c>
      <c r="S463" t="str">
        <f xml:space="preserve"> HYPERLINK("ReviewHtml/review_The_Triplets_of_Belleville.html", "https://2danicritic.github.io/ReviewHtml/review_The_Triplets_of_Belleville.html")</f>
        <v>https://2danicritic.github.io/ReviewHtml/review_The_Triplets_of_Belleville.html</v>
      </c>
      <c r="U463" s="5">
        <f t="shared" si="7"/>
        <v>3.93</v>
      </c>
    </row>
    <row r="464" spans="2:21" x14ac:dyDescent="0.35">
      <c r="B464" s="7" t="s">
        <v>2637</v>
      </c>
      <c r="C464" t="s">
        <v>1133</v>
      </c>
      <c r="D464" s="7" t="s">
        <v>2102</v>
      </c>
      <c r="E464" t="s">
        <v>1555</v>
      </c>
      <c r="F464" t="s">
        <v>748</v>
      </c>
      <c r="G464" t="s">
        <v>1558</v>
      </c>
      <c r="H464" t="s">
        <v>749</v>
      </c>
      <c r="I464" s="7">
        <v>3.36</v>
      </c>
      <c r="J464" s="7" t="s">
        <v>2025</v>
      </c>
      <c r="K464" s="7" t="s">
        <v>2027</v>
      </c>
      <c r="L464" s="7" t="s">
        <v>2027</v>
      </c>
      <c r="M464" s="7" t="s">
        <v>2027</v>
      </c>
      <c r="N464" s="7" t="s">
        <v>2027</v>
      </c>
      <c r="O464" s="7" t="s">
        <v>2019</v>
      </c>
      <c r="P464" s="7" t="s">
        <v>2020</v>
      </c>
      <c r="Q464" t="s">
        <v>292</v>
      </c>
      <c r="R464" s="7" t="s">
        <v>2193</v>
      </c>
      <c r="S464" t="str">
        <f xml:space="preserve"> HYPERLINK("ReviewHtml/review_The_Wind_Rises.html", "https://2danicritic.github.io/ReviewHtml/review_The_Wind_Rises.html")</f>
        <v>https://2danicritic.github.io/ReviewHtml/review_The_Wind_Rises.html</v>
      </c>
      <c r="U464" s="5">
        <f t="shared" si="7"/>
        <v>3.36</v>
      </c>
    </row>
    <row r="465" spans="2:21" x14ac:dyDescent="0.35">
      <c r="B465" s="7" t="s">
        <v>2638</v>
      </c>
      <c r="C465" t="s">
        <v>1746</v>
      </c>
      <c r="D465" s="7" t="s">
        <v>2197</v>
      </c>
      <c r="E465" t="s">
        <v>1555</v>
      </c>
      <c r="F465" t="s">
        <v>1747</v>
      </c>
      <c r="G465" t="s">
        <v>1558</v>
      </c>
      <c r="H465" t="s">
        <v>768</v>
      </c>
      <c r="I465" s="7">
        <v>3.07</v>
      </c>
      <c r="J465" s="7" t="s">
        <v>2027</v>
      </c>
      <c r="K465" s="7" t="s">
        <v>2027</v>
      </c>
      <c r="L465" s="7" t="s">
        <v>2027</v>
      </c>
      <c r="M465" s="7" t="s">
        <v>2027</v>
      </c>
      <c r="N465" s="7" t="s">
        <v>2029</v>
      </c>
      <c r="O465" s="7" t="s">
        <v>2020</v>
      </c>
      <c r="P465" s="7" t="s">
        <v>2019</v>
      </c>
      <c r="Q465" t="s">
        <v>1675</v>
      </c>
      <c r="R465" s="7" t="s">
        <v>2213</v>
      </c>
      <c r="S465" t="str">
        <f xml:space="preserve"> HYPERLINK("ReviewHtml/review_The_Wonderland.html", "https://2danicritic.github.io/ReviewHtml/review_The_Wonderland.html")</f>
        <v>https://2danicritic.github.io/ReviewHtml/review_The_Wonderland.html</v>
      </c>
      <c r="U465" s="5">
        <f t="shared" si="7"/>
        <v>3.07</v>
      </c>
    </row>
    <row r="466" spans="2:21" x14ac:dyDescent="0.35">
      <c r="B466" s="7" t="s">
        <v>2639</v>
      </c>
      <c r="C466" t="s">
        <v>1134</v>
      </c>
      <c r="D466" s="7" t="s">
        <v>2037</v>
      </c>
      <c r="E466" t="s">
        <v>1555</v>
      </c>
      <c r="F466" t="s">
        <v>653</v>
      </c>
      <c r="G466" t="s">
        <v>1561</v>
      </c>
      <c r="H466" t="s">
        <v>1135</v>
      </c>
      <c r="I466" s="7">
        <v>1.86</v>
      </c>
      <c r="J466" s="7" t="s">
        <v>2022</v>
      </c>
      <c r="K466" s="7" t="s">
        <v>2019</v>
      </c>
      <c r="L466" s="7" t="s">
        <v>2022</v>
      </c>
      <c r="M466" s="7" t="s">
        <v>2029</v>
      </c>
      <c r="N466" s="7" t="s">
        <v>2019</v>
      </c>
      <c r="O466" s="7" t="s">
        <v>2029</v>
      </c>
      <c r="P466" s="7" t="s">
        <v>2029</v>
      </c>
      <c r="Q466" t="s">
        <v>293</v>
      </c>
      <c r="R466" s="7" t="s">
        <v>2105</v>
      </c>
      <c r="S466" t="str">
        <f xml:space="preserve"> HYPERLINK("ReviewHtml/review_This_Boy_Can_Fight_Aliens.html", "https://2danicritic.github.io/ReviewHtml/review_This_Boy_Can_Fight_Aliens.html")</f>
        <v>https://2danicritic.github.io/ReviewHtml/review_This_Boy_Can_Fight_Aliens.html</v>
      </c>
      <c r="U466" s="5">
        <f t="shared" si="7"/>
        <v>1.86</v>
      </c>
    </row>
    <row r="467" spans="2:21" x14ac:dyDescent="0.35">
      <c r="B467" s="7" t="s">
        <v>2641</v>
      </c>
      <c r="C467" t="s">
        <v>1136</v>
      </c>
      <c r="D467" s="7" t="s">
        <v>2453</v>
      </c>
      <c r="E467" t="s">
        <v>1557</v>
      </c>
      <c r="F467" t="s">
        <v>1039</v>
      </c>
      <c r="G467" t="s">
        <v>1558</v>
      </c>
      <c r="H467" t="s">
        <v>294</v>
      </c>
      <c r="I467" s="7">
        <v>3.79</v>
      </c>
      <c r="J467" s="7" t="s">
        <v>2025</v>
      </c>
      <c r="K467" s="7" t="s">
        <v>2025</v>
      </c>
      <c r="L467" s="7" t="s">
        <v>2025</v>
      </c>
      <c r="M467" s="7" t="s">
        <v>2025</v>
      </c>
      <c r="N467" s="7" t="s">
        <v>2027</v>
      </c>
      <c r="O467" s="7" t="s">
        <v>2025</v>
      </c>
      <c r="P467" s="7" t="s">
        <v>2020</v>
      </c>
      <c r="Q467" t="s">
        <v>295</v>
      </c>
      <c r="R467" s="7" t="s">
        <v>2034</v>
      </c>
      <c r="S467" t="str">
        <f xml:space="preserve"> HYPERLINK("ReviewHtml/review_Thumbelina.html", "https://2danicritic.github.io/ReviewHtml/review_Thumbelina.html")</f>
        <v>https://2danicritic.github.io/ReviewHtml/review_Thumbelina.html</v>
      </c>
      <c r="U467" s="5">
        <f t="shared" si="7"/>
        <v>3.79</v>
      </c>
    </row>
    <row r="468" spans="2:21" x14ac:dyDescent="0.35">
      <c r="B468" s="7" t="s">
        <v>2642</v>
      </c>
      <c r="C468" t="s">
        <v>1137</v>
      </c>
      <c r="D468" s="7" t="s">
        <v>2035</v>
      </c>
      <c r="E468" t="s">
        <v>1555</v>
      </c>
      <c r="F468" t="s">
        <v>1138</v>
      </c>
      <c r="G468" t="s">
        <v>1558</v>
      </c>
      <c r="H468" t="s">
        <v>1139</v>
      </c>
      <c r="I468" s="7">
        <v>3.5</v>
      </c>
      <c r="J468" s="7" t="s">
        <v>2025</v>
      </c>
      <c r="K468" s="7" t="s">
        <v>2027</v>
      </c>
      <c r="L468" s="7" t="s">
        <v>2027</v>
      </c>
      <c r="M468" s="7" t="s">
        <v>2027</v>
      </c>
      <c r="N468" s="7" t="s">
        <v>2027</v>
      </c>
      <c r="O468" s="7" t="s">
        <v>2020</v>
      </c>
      <c r="P468" s="7" t="s">
        <v>2027</v>
      </c>
      <c r="Q468" t="s">
        <v>296</v>
      </c>
      <c r="R468" s="7" t="s">
        <v>2015</v>
      </c>
      <c r="S468" t="str">
        <f xml:space="preserve"> HYPERLINK("ReviewHtml/review_Time_of_Eve.html", "https://2danicritic.github.io/ReviewHtml/review_Time_of_Eve.html")</f>
        <v>https://2danicritic.github.io/ReviewHtml/review_Time_of_Eve.html</v>
      </c>
      <c r="U468" s="5">
        <f t="shared" si="7"/>
        <v>3.5</v>
      </c>
    </row>
    <row r="469" spans="2:21" x14ac:dyDescent="0.35">
      <c r="B469" s="7" t="s">
        <v>2643</v>
      </c>
      <c r="C469" t="s">
        <v>1282</v>
      </c>
      <c r="D469" s="7" t="s">
        <v>2135</v>
      </c>
      <c r="E469" t="s">
        <v>1570</v>
      </c>
      <c r="F469" t="s">
        <v>1296</v>
      </c>
      <c r="G469" t="s">
        <v>1558</v>
      </c>
      <c r="H469" t="s">
        <v>1222</v>
      </c>
      <c r="I469" s="7">
        <v>3.43</v>
      </c>
      <c r="J469" s="7" t="s">
        <v>2020</v>
      </c>
      <c r="K469" s="7" t="s">
        <v>2027</v>
      </c>
      <c r="L469" s="7" t="s">
        <v>2027</v>
      </c>
      <c r="M469" s="7" t="s">
        <v>2027</v>
      </c>
      <c r="N469" s="7" t="s">
        <v>2027</v>
      </c>
      <c r="O469" s="7" t="s">
        <v>2027</v>
      </c>
      <c r="P469" s="7" t="s">
        <v>2027</v>
      </c>
      <c r="Q469" t="s">
        <v>1223</v>
      </c>
      <c r="R469" s="7" t="s">
        <v>2194</v>
      </c>
      <c r="S469" t="str">
        <f xml:space="preserve"> HYPERLINK("ReviewHtml/review_Tito_and_the_Birds.html", "https://2danicritic.github.io/ReviewHtml/review_Tito_and_the_Birds.html")</f>
        <v>https://2danicritic.github.io/ReviewHtml/review_Tito_and_the_Birds.html</v>
      </c>
      <c r="U469" s="5">
        <f t="shared" si="7"/>
        <v>3.43</v>
      </c>
    </row>
    <row r="470" spans="2:21" x14ac:dyDescent="0.35">
      <c r="B470" s="7" t="s">
        <v>2644</v>
      </c>
      <c r="C470" t="s">
        <v>1967</v>
      </c>
      <c r="D470" s="7" t="s">
        <v>2154</v>
      </c>
      <c r="E470" t="s">
        <v>1555</v>
      </c>
      <c r="F470" t="s">
        <v>889</v>
      </c>
      <c r="G470" t="s">
        <v>1560</v>
      </c>
      <c r="H470" t="s">
        <v>1979</v>
      </c>
      <c r="I470" s="7">
        <v>2.86</v>
      </c>
      <c r="J470" s="7" t="s">
        <v>2020</v>
      </c>
      <c r="K470" s="7" t="s">
        <v>2019</v>
      </c>
      <c r="L470" s="7" t="s">
        <v>2027</v>
      </c>
      <c r="M470" s="7" t="s">
        <v>2019</v>
      </c>
      <c r="N470" s="7" t="s">
        <v>2141</v>
      </c>
      <c r="O470" s="7" t="s">
        <v>2027</v>
      </c>
      <c r="P470" s="7" t="s">
        <v>2027</v>
      </c>
      <c r="Q470" t="s">
        <v>1953</v>
      </c>
      <c r="R470" s="7" t="s">
        <v>2114</v>
      </c>
      <c r="S470" t="str">
        <f xml:space="preserve"> HYPERLINK("ReviewHtml/review_To_Love_Ru.html", "https://2danicritic.github.io/ReviewHtml/review_To_Love_Ru.html")</f>
        <v>https://2danicritic.github.io/ReviewHtml/review_To_Love_Ru.html</v>
      </c>
      <c r="U470" s="5">
        <f t="shared" si="7"/>
        <v>2.86</v>
      </c>
    </row>
    <row r="471" spans="2:21" x14ac:dyDescent="0.35">
      <c r="B471" s="7" t="s">
        <v>2645</v>
      </c>
      <c r="C471" t="s">
        <v>1748</v>
      </c>
      <c r="D471" s="7" t="s">
        <v>2076</v>
      </c>
      <c r="E471" t="s">
        <v>1555</v>
      </c>
      <c r="F471" t="s">
        <v>1749</v>
      </c>
      <c r="G471" t="s">
        <v>1560</v>
      </c>
      <c r="H471" t="s">
        <v>1750</v>
      </c>
      <c r="I471" s="7">
        <v>3.36</v>
      </c>
      <c r="J471" s="7" t="s">
        <v>2020</v>
      </c>
      <c r="K471" s="7" t="s">
        <v>2027</v>
      </c>
      <c r="L471" s="7" t="s">
        <v>2027</v>
      </c>
      <c r="M471" s="7" t="s">
        <v>2027</v>
      </c>
      <c r="N471" s="7" t="s">
        <v>2020</v>
      </c>
      <c r="O471" s="7" t="s">
        <v>2027</v>
      </c>
      <c r="P471" s="7" t="s">
        <v>2027</v>
      </c>
      <c r="Q471" t="s">
        <v>1676</v>
      </c>
      <c r="R471" s="7" t="s">
        <v>2155</v>
      </c>
      <c r="S471" t="str">
        <f xml:space="preserve"> HYPERLINK("ReviewHtml/review_Tokyo_Ghoul.html", "https://2danicritic.github.io/ReviewHtml/review_Tokyo_Ghoul.html")</f>
        <v>https://2danicritic.github.io/ReviewHtml/review_Tokyo_Ghoul.html</v>
      </c>
      <c r="U471" s="5">
        <f t="shared" si="7"/>
        <v>3.36</v>
      </c>
    </row>
    <row r="472" spans="2:21" x14ac:dyDescent="0.35">
      <c r="B472" s="7" t="s">
        <v>2646</v>
      </c>
      <c r="C472" t="s">
        <v>1140</v>
      </c>
      <c r="D472" s="7" t="s">
        <v>2171</v>
      </c>
      <c r="E472" t="s">
        <v>1555</v>
      </c>
      <c r="F472" t="s">
        <v>695</v>
      </c>
      <c r="G472" t="s">
        <v>1558</v>
      </c>
      <c r="H472" t="s">
        <v>1000</v>
      </c>
      <c r="I472" s="7">
        <v>3.5</v>
      </c>
      <c r="J472" s="7" t="s">
        <v>2027</v>
      </c>
      <c r="K472" s="7" t="s">
        <v>2027</v>
      </c>
      <c r="L472" s="7" t="s">
        <v>2020</v>
      </c>
      <c r="M472" s="7" t="s">
        <v>2025</v>
      </c>
      <c r="N472" s="7" t="s">
        <v>2027</v>
      </c>
      <c r="O472" s="7" t="s">
        <v>2020</v>
      </c>
      <c r="P472" s="7" t="s">
        <v>2025</v>
      </c>
      <c r="Q472" t="s">
        <v>297</v>
      </c>
      <c r="R472" s="7" t="s">
        <v>2214</v>
      </c>
      <c r="S472" t="str">
        <f xml:space="preserve"> HYPERLINK("ReviewHtml/review_Tokyo_Godfathers.html", "https://2danicritic.github.io/ReviewHtml/review_Tokyo_Godfathers.html")</f>
        <v>https://2danicritic.github.io/ReviewHtml/review_Tokyo_Godfathers.html</v>
      </c>
      <c r="U472" s="5">
        <f t="shared" si="7"/>
        <v>3.5</v>
      </c>
    </row>
    <row r="473" spans="2:21" x14ac:dyDescent="0.35">
      <c r="B473" s="7" t="s">
        <v>2647</v>
      </c>
      <c r="C473" t="s">
        <v>1141</v>
      </c>
      <c r="D473" s="7" t="s">
        <v>2621</v>
      </c>
      <c r="E473" t="s">
        <v>1555</v>
      </c>
      <c r="F473" t="s">
        <v>668</v>
      </c>
      <c r="G473" t="s">
        <v>1558</v>
      </c>
      <c r="H473" t="s">
        <v>298</v>
      </c>
      <c r="I473" s="7">
        <v>3.14</v>
      </c>
      <c r="J473" s="7" t="s">
        <v>2019</v>
      </c>
      <c r="K473" s="7" t="s">
        <v>2019</v>
      </c>
      <c r="L473" s="7" t="s">
        <v>2027</v>
      </c>
      <c r="M473" s="7" t="s">
        <v>2029</v>
      </c>
      <c r="N473" s="7" t="s">
        <v>2025</v>
      </c>
      <c r="O473" s="7" t="s">
        <v>2027</v>
      </c>
      <c r="P473" s="7" t="s">
        <v>2025</v>
      </c>
      <c r="Q473" t="s">
        <v>299</v>
      </c>
      <c r="R473" s="7" t="s">
        <v>2262</v>
      </c>
      <c r="S473" t="str">
        <f xml:space="preserve"> HYPERLINK("ReviewHtml/review_Tomorrow's_Joe.html", "https://2danicritic.github.io/ReviewHtml/review_Tomorrow's_Joe.html")</f>
        <v>https://2danicritic.github.io/ReviewHtml/review_Tomorrow's_Joe.html</v>
      </c>
      <c r="U473" s="5">
        <f t="shared" si="7"/>
        <v>3.14</v>
      </c>
    </row>
    <row r="474" spans="2:21" x14ac:dyDescent="0.35">
      <c r="B474" s="7" t="s">
        <v>2648</v>
      </c>
      <c r="C474" t="s">
        <v>1283</v>
      </c>
      <c r="D474" s="7" t="s">
        <v>2076</v>
      </c>
      <c r="E474" t="s">
        <v>1555</v>
      </c>
      <c r="F474" t="s">
        <v>1297</v>
      </c>
      <c r="G474" t="s">
        <v>1560</v>
      </c>
      <c r="H474" t="s">
        <v>1306</v>
      </c>
      <c r="I474" s="7">
        <v>2.86</v>
      </c>
      <c r="J474" s="7" t="s">
        <v>2029</v>
      </c>
      <c r="K474" s="7" t="s">
        <v>2029</v>
      </c>
      <c r="L474" s="7" t="s">
        <v>2027</v>
      </c>
      <c r="M474" s="7" t="s">
        <v>2027</v>
      </c>
      <c r="N474" s="7" t="s">
        <v>2029</v>
      </c>
      <c r="O474" s="7" t="s">
        <v>2025</v>
      </c>
      <c r="P474" s="7" t="s">
        <v>2020</v>
      </c>
      <c r="Q474" t="s">
        <v>145</v>
      </c>
      <c r="R474" s="7" t="s">
        <v>2292</v>
      </c>
      <c r="S474" t="str">
        <f xml:space="preserve"> HYPERLINK("ReviewHtml/review_Tonari_No_Seki-Kun_-_The_Master_of_Killing_Time.html", "https://2danicritic.github.io/ReviewHtml/review_Tonari_No_Seki-Kun_-_The_Master_of_Killing_Time.html")</f>
        <v>https://2danicritic.github.io/ReviewHtml/review_Tonari_No_Seki-Kun_-_The_Master_of_Killing_Time.html</v>
      </c>
      <c r="U474" s="5">
        <f t="shared" si="7"/>
        <v>2.86</v>
      </c>
    </row>
    <row r="475" spans="2:21" x14ac:dyDescent="0.35">
      <c r="B475" s="7" t="s">
        <v>2312</v>
      </c>
      <c r="C475" t="s">
        <v>1142</v>
      </c>
      <c r="D475" s="7" t="s">
        <v>2154</v>
      </c>
      <c r="E475" t="s">
        <v>1555</v>
      </c>
      <c r="F475" t="s">
        <v>671</v>
      </c>
      <c r="G475" t="s">
        <v>1560</v>
      </c>
      <c r="H475" t="s">
        <v>1143</v>
      </c>
      <c r="I475" s="7">
        <v>3.93</v>
      </c>
      <c r="J475" s="7" t="s">
        <v>2027</v>
      </c>
      <c r="K475" s="7" t="s">
        <v>2027</v>
      </c>
      <c r="L475" s="7" t="s">
        <v>2025</v>
      </c>
      <c r="M475" s="7" t="s">
        <v>2025</v>
      </c>
      <c r="N475" s="7" t="s">
        <v>2025</v>
      </c>
      <c r="O475" s="7" t="s">
        <v>2026</v>
      </c>
      <c r="P475" s="7" t="s">
        <v>2025</v>
      </c>
      <c r="Q475" t="s">
        <v>171</v>
      </c>
      <c r="R475" s="7" t="s">
        <v>2104</v>
      </c>
      <c r="S475" t="str">
        <f xml:space="preserve"> HYPERLINK("ReviewHtml/review_Toradora.html", "https://2danicritic.github.io/ReviewHtml/review_Toradora.html")</f>
        <v>https://2danicritic.github.io/ReviewHtml/review_Toradora.html</v>
      </c>
      <c r="U475" s="5">
        <f t="shared" si="7"/>
        <v>3.93</v>
      </c>
    </row>
    <row r="476" spans="2:21" x14ac:dyDescent="0.35">
      <c r="B476" s="7" t="s">
        <v>2649</v>
      </c>
      <c r="C476" t="s">
        <v>1144</v>
      </c>
      <c r="D476" s="7" t="s">
        <v>2037</v>
      </c>
      <c r="E476" t="s">
        <v>1555</v>
      </c>
      <c r="F476" t="s">
        <v>735</v>
      </c>
      <c r="G476" t="s">
        <v>1558</v>
      </c>
      <c r="H476" t="s">
        <v>792</v>
      </c>
      <c r="I476" s="7">
        <v>1.5</v>
      </c>
      <c r="J476" s="7" t="s">
        <v>2141</v>
      </c>
      <c r="K476" s="7" t="s">
        <v>2029</v>
      </c>
      <c r="L476" s="7" t="s">
        <v>2141</v>
      </c>
      <c r="M476" s="7" t="s">
        <v>2141</v>
      </c>
      <c r="N476" s="7" t="s">
        <v>2141</v>
      </c>
      <c r="O476" s="7" t="s">
        <v>2141</v>
      </c>
      <c r="P476" s="7" t="s">
        <v>2022</v>
      </c>
      <c r="Q476" t="s">
        <v>300</v>
      </c>
      <c r="R476" s="7" t="s">
        <v>2049</v>
      </c>
      <c r="S476" t="str">
        <f xml:space="preserve"> HYPERLINK("ReviewHtml/review_Towanoquon.html", "https://2danicritic.github.io/ReviewHtml/review_Towanoquon.html")</f>
        <v>https://2danicritic.github.io/ReviewHtml/review_Towanoquon.html</v>
      </c>
      <c r="U476" s="5">
        <f t="shared" si="7"/>
        <v>1.5</v>
      </c>
    </row>
    <row r="477" spans="2:21" x14ac:dyDescent="0.35">
      <c r="B477" s="7" t="s">
        <v>2650</v>
      </c>
      <c r="C477" t="s">
        <v>1751</v>
      </c>
      <c r="D477" s="7" t="s">
        <v>2095</v>
      </c>
      <c r="E477" t="s">
        <v>1555</v>
      </c>
      <c r="F477" t="s">
        <v>889</v>
      </c>
      <c r="G477" t="s">
        <v>1560</v>
      </c>
      <c r="H477" t="s">
        <v>1677</v>
      </c>
      <c r="I477" s="7">
        <v>2.93</v>
      </c>
      <c r="J477" s="7" t="s">
        <v>2019</v>
      </c>
      <c r="K477" s="7" t="s">
        <v>2020</v>
      </c>
      <c r="L477" s="7" t="s">
        <v>2027</v>
      </c>
      <c r="M477" s="7" t="s">
        <v>2020</v>
      </c>
      <c r="N477" s="7" t="s">
        <v>2019</v>
      </c>
      <c r="O477" s="7" t="s">
        <v>2027</v>
      </c>
      <c r="P477" s="7" t="s">
        <v>2019</v>
      </c>
      <c r="Q477" t="s">
        <v>1199</v>
      </c>
      <c r="R477" s="7" t="s">
        <v>2133</v>
      </c>
      <c r="S477" t="str">
        <f xml:space="preserve"> HYPERLINK("ReviewHtml/review_Triage_X.html", "https://2danicritic.github.io/ReviewHtml/review_Triage_X.html")</f>
        <v>https://2danicritic.github.io/ReviewHtml/review_Triage_X.html</v>
      </c>
      <c r="U477" s="5">
        <f t="shared" si="7"/>
        <v>2.93</v>
      </c>
    </row>
    <row r="478" spans="2:21" x14ac:dyDescent="0.35">
      <c r="B478" s="7" t="s">
        <v>2651</v>
      </c>
      <c r="C478" t="s">
        <v>1145</v>
      </c>
      <c r="D478" s="7" t="s">
        <v>2496</v>
      </c>
      <c r="E478" t="s">
        <v>1555</v>
      </c>
      <c r="F478" t="s">
        <v>695</v>
      </c>
      <c r="G478" t="s">
        <v>1560</v>
      </c>
      <c r="H478" t="s">
        <v>1146</v>
      </c>
      <c r="I478" s="7">
        <v>2.79</v>
      </c>
      <c r="J478" s="7" t="s">
        <v>2029</v>
      </c>
      <c r="K478" s="7" t="s">
        <v>2020</v>
      </c>
      <c r="L478" s="7" t="s">
        <v>2027</v>
      </c>
      <c r="M478" s="7" t="s">
        <v>2027</v>
      </c>
      <c r="N478" s="7" t="s">
        <v>2029</v>
      </c>
      <c r="O478" s="7" t="s">
        <v>2019</v>
      </c>
      <c r="P478" s="7" t="s">
        <v>2020</v>
      </c>
      <c r="Q478" t="s">
        <v>301</v>
      </c>
      <c r="R478" s="7" t="s">
        <v>2114</v>
      </c>
      <c r="S478" t="str">
        <f xml:space="preserve"> HYPERLINK("ReviewHtml/review_Trigun.html", "https://2danicritic.github.io/ReviewHtml/review_Trigun.html")</f>
        <v>https://2danicritic.github.io/ReviewHtml/review_Trigun.html</v>
      </c>
      <c r="U478" s="5">
        <f t="shared" si="7"/>
        <v>2.79</v>
      </c>
    </row>
    <row r="479" spans="2:21" x14ac:dyDescent="0.35">
      <c r="B479" s="7" t="s">
        <v>2652</v>
      </c>
      <c r="C479" t="s">
        <v>1147</v>
      </c>
      <c r="D479" s="7" t="s">
        <v>2035</v>
      </c>
      <c r="E479" t="s">
        <v>1555</v>
      </c>
      <c r="F479" t="s">
        <v>695</v>
      </c>
      <c r="G479" t="s">
        <v>1558</v>
      </c>
      <c r="H479" t="s">
        <v>1146</v>
      </c>
      <c r="I479" s="7">
        <v>3.64</v>
      </c>
      <c r="J479" s="7" t="s">
        <v>2027</v>
      </c>
      <c r="K479" s="7" t="s">
        <v>2027</v>
      </c>
      <c r="L479" s="7" t="s">
        <v>2027</v>
      </c>
      <c r="M479" s="7" t="s">
        <v>2025</v>
      </c>
      <c r="N479" s="7" t="s">
        <v>2027</v>
      </c>
      <c r="O479" s="7" t="s">
        <v>2027</v>
      </c>
      <c r="P479" s="7" t="s">
        <v>2025</v>
      </c>
      <c r="Q479" t="s">
        <v>189</v>
      </c>
      <c r="R479" s="7" t="s">
        <v>2212</v>
      </c>
      <c r="S479" t="str">
        <f xml:space="preserve"> HYPERLINK("ReviewHtml/review_Trigun_-_Badlands_Rumble.html", "https://2danicritic.github.io/ReviewHtml/review_Trigun_-_Badlands_Rumble.html")</f>
        <v>https://2danicritic.github.io/ReviewHtml/review_Trigun_-_Badlands_Rumble.html</v>
      </c>
      <c r="U479" s="5">
        <f t="shared" si="7"/>
        <v>3.64</v>
      </c>
    </row>
    <row r="480" spans="2:21" x14ac:dyDescent="0.35">
      <c r="B480" s="7" t="s">
        <v>2653</v>
      </c>
      <c r="C480" t="s">
        <v>1623</v>
      </c>
      <c r="D480" s="7" t="s">
        <v>2180</v>
      </c>
      <c r="E480" t="s">
        <v>1555</v>
      </c>
      <c r="F480" t="s">
        <v>665</v>
      </c>
      <c r="G480" t="s">
        <v>1560</v>
      </c>
      <c r="H480" t="s">
        <v>1624</v>
      </c>
      <c r="I480" s="7">
        <v>3.5</v>
      </c>
      <c r="J480" s="7" t="s">
        <v>2020</v>
      </c>
      <c r="K480" s="7" t="s">
        <v>2025</v>
      </c>
      <c r="L480" s="7" t="s">
        <v>2027</v>
      </c>
      <c r="M480" s="7" t="s">
        <v>2027</v>
      </c>
      <c r="N480" s="7" t="s">
        <v>2027</v>
      </c>
      <c r="O480" s="7" t="s">
        <v>2027</v>
      </c>
      <c r="P480" s="7" t="s">
        <v>2027</v>
      </c>
      <c r="Q480" t="s">
        <v>1551</v>
      </c>
      <c r="R480" s="7" t="s">
        <v>2155</v>
      </c>
      <c r="S480" t="str">
        <f xml:space="preserve"> HYPERLINK("ReviewHtml/review_Trinity_Blood.html", "https://2danicritic.github.io/ReviewHtml/review_Trinity_Blood.html")</f>
        <v>https://2danicritic.github.io/ReviewHtml/review_Trinity_Blood.html</v>
      </c>
      <c r="U480" s="5">
        <f t="shared" si="7"/>
        <v>3.5</v>
      </c>
    </row>
    <row r="481" spans="2:21" x14ac:dyDescent="0.35">
      <c r="B481" s="7" t="s">
        <v>2654</v>
      </c>
      <c r="C481" t="s">
        <v>1148</v>
      </c>
      <c r="D481" s="7" t="s">
        <v>2076</v>
      </c>
      <c r="E481" t="s">
        <v>1555</v>
      </c>
      <c r="F481" t="s">
        <v>1149</v>
      </c>
      <c r="G481" t="s">
        <v>1560</v>
      </c>
      <c r="H481" t="s">
        <v>685</v>
      </c>
      <c r="I481" s="7">
        <v>2.57</v>
      </c>
      <c r="J481" s="7" t="s">
        <v>2019</v>
      </c>
      <c r="K481" s="7" t="s">
        <v>2020</v>
      </c>
      <c r="L481" s="7" t="s">
        <v>2019</v>
      </c>
      <c r="M481" s="7" t="s">
        <v>2019</v>
      </c>
      <c r="N481" s="7" t="s">
        <v>2029</v>
      </c>
      <c r="O481" s="7" t="s">
        <v>2020</v>
      </c>
      <c r="P481" s="7" t="s">
        <v>2019</v>
      </c>
      <c r="Q481" t="s">
        <v>157</v>
      </c>
      <c r="R481" s="7" t="s">
        <v>2049</v>
      </c>
      <c r="S481" t="str">
        <f xml:space="preserve"> HYPERLINK("ReviewHtml/review_Trinity_Seven.html", "https://2danicritic.github.io/ReviewHtml/review_Trinity_Seven.html")</f>
        <v>https://2danicritic.github.io/ReviewHtml/review_Trinity_Seven.html</v>
      </c>
      <c r="U481" s="5">
        <f t="shared" si="7"/>
        <v>2.57</v>
      </c>
    </row>
    <row r="482" spans="2:21" x14ac:dyDescent="0.35">
      <c r="B482" s="7" t="s">
        <v>2655</v>
      </c>
      <c r="C482" t="s">
        <v>1150</v>
      </c>
      <c r="D482" s="7" t="s">
        <v>2095</v>
      </c>
      <c r="E482" t="s">
        <v>1555</v>
      </c>
      <c r="F482" t="s">
        <v>1151</v>
      </c>
      <c r="G482" t="s">
        <v>1561</v>
      </c>
      <c r="H482" t="s">
        <v>1152</v>
      </c>
      <c r="I482" s="7">
        <v>3.36</v>
      </c>
      <c r="J482" s="7" t="s">
        <v>2027</v>
      </c>
      <c r="K482" s="7" t="s">
        <v>2027</v>
      </c>
      <c r="L482" s="7" t="s">
        <v>2025</v>
      </c>
      <c r="M482" s="7" t="s">
        <v>2020</v>
      </c>
      <c r="N482" s="7" t="s">
        <v>2020</v>
      </c>
      <c r="O482" s="7" t="s">
        <v>2020</v>
      </c>
      <c r="P482" s="7" t="s">
        <v>2027</v>
      </c>
      <c r="Q482" t="s">
        <v>302</v>
      </c>
      <c r="R482" s="7" t="s">
        <v>2101</v>
      </c>
      <c r="S482" t="str">
        <f xml:space="preserve"> HYPERLINK("ReviewHtml/review_Typhoon_Noruda.html", "https://2danicritic.github.io/ReviewHtml/review_Typhoon_Noruda.html")</f>
        <v>https://2danicritic.github.io/ReviewHtml/review_Typhoon_Noruda.html</v>
      </c>
      <c r="U482" s="5">
        <f t="shared" si="7"/>
        <v>3.36</v>
      </c>
    </row>
    <row r="483" spans="2:21" x14ac:dyDescent="0.35">
      <c r="B483" s="7" t="s">
        <v>2656</v>
      </c>
      <c r="C483" t="s">
        <v>1836</v>
      </c>
      <c r="D483" s="7" t="s">
        <v>2066</v>
      </c>
      <c r="E483" t="s">
        <v>1555</v>
      </c>
      <c r="F483" t="s">
        <v>1293</v>
      </c>
      <c r="G483" t="s">
        <v>1560</v>
      </c>
      <c r="H483" t="s">
        <v>1781</v>
      </c>
      <c r="I483" s="7">
        <v>3.21</v>
      </c>
      <c r="J483" s="7" t="s">
        <v>2020</v>
      </c>
      <c r="K483" s="7" t="s">
        <v>2020</v>
      </c>
      <c r="L483" s="7" t="s">
        <v>2020</v>
      </c>
      <c r="M483" s="7" t="s">
        <v>2027</v>
      </c>
      <c r="N483" s="7" t="s">
        <v>2020</v>
      </c>
      <c r="O483" s="7" t="s">
        <v>2027</v>
      </c>
      <c r="P483" s="7" t="s">
        <v>2027</v>
      </c>
      <c r="Q483" t="s">
        <v>1363</v>
      </c>
      <c r="R483" s="7" t="s">
        <v>2021</v>
      </c>
      <c r="S483" t="str">
        <f xml:space="preserve"> HYPERLINK("ReviewHtml/review_Umi_Monogatari.html", "https://2danicritic.github.io/ReviewHtml/review_Umi_Monogatari.html")</f>
        <v>https://2danicritic.github.io/ReviewHtml/review_Umi_Monogatari.html</v>
      </c>
      <c r="U483" s="5">
        <f t="shared" si="7"/>
        <v>3.21</v>
      </c>
    </row>
    <row r="484" spans="2:21" x14ac:dyDescent="0.35">
      <c r="B484" s="7" t="s">
        <v>2657</v>
      </c>
      <c r="C484" t="s">
        <v>1419</v>
      </c>
      <c r="D484" s="7" t="s">
        <v>2102</v>
      </c>
      <c r="E484" t="s">
        <v>1555</v>
      </c>
      <c r="F484" t="s">
        <v>949</v>
      </c>
      <c r="G484" t="s">
        <v>1560</v>
      </c>
      <c r="H484" t="s">
        <v>1463</v>
      </c>
      <c r="I484" s="7">
        <v>2.93</v>
      </c>
      <c r="J484" s="7" t="s">
        <v>2020</v>
      </c>
      <c r="K484" s="7" t="s">
        <v>2027</v>
      </c>
      <c r="L484" s="7" t="s">
        <v>2020</v>
      </c>
      <c r="M484" s="7" t="s">
        <v>2027</v>
      </c>
      <c r="N484" s="7" t="s">
        <v>2019</v>
      </c>
      <c r="O484" s="7" t="s">
        <v>2019</v>
      </c>
      <c r="P484" s="7" t="s">
        <v>2019</v>
      </c>
      <c r="Q484" t="s">
        <v>1363</v>
      </c>
      <c r="R484" s="7" t="s">
        <v>2049</v>
      </c>
      <c r="S484" t="str">
        <f xml:space="preserve"> HYPERLINK("ReviewHtml/review_Unbreakable_Machine_Doll.html", "https://2danicritic.github.io/ReviewHtml/review_Unbreakable_Machine_Doll.html")</f>
        <v>https://2danicritic.github.io/ReviewHtml/review_Unbreakable_Machine_Doll.html</v>
      </c>
      <c r="U484" s="5">
        <f t="shared" si="7"/>
        <v>2.93</v>
      </c>
    </row>
    <row r="485" spans="2:21" x14ac:dyDescent="0.35">
      <c r="B485" s="7" t="s">
        <v>2658</v>
      </c>
      <c r="C485" t="s">
        <v>1153</v>
      </c>
      <c r="D485" s="7" t="s">
        <v>2129</v>
      </c>
      <c r="E485" t="s">
        <v>1555</v>
      </c>
      <c r="F485" t="s">
        <v>1033</v>
      </c>
      <c r="G485" t="s">
        <v>1558</v>
      </c>
      <c r="H485" t="s">
        <v>1154</v>
      </c>
      <c r="I485" s="7">
        <v>1.86</v>
      </c>
      <c r="J485" s="7" t="s">
        <v>2029</v>
      </c>
      <c r="K485" s="7" t="s">
        <v>2020</v>
      </c>
      <c r="L485" s="7" t="s">
        <v>2141</v>
      </c>
      <c r="M485" s="7" t="s">
        <v>2141</v>
      </c>
      <c r="N485" s="7" t="s">
        <v>2141</v>
      </c>
      <c r="O485" s="7" t="s">
        <v>2141</v>
      </c>
      <c r="P485" s="7" t="s">
        <v>2029</v>
      </c>
      <c r="Q485" t="s">
        <v>241</v>
      </c>
      <c r="R485" s="7" t="s">
        <v>2137</v>
      </c>
      <c r="S485" t="str">
        <f xml:space="preserve"> HYPERLINK("ReviewHtml/review_Unico_in_the_Island_of_Magic.html", "https://2danicritic.github.io/ReviewHtml/review_Unico_in_the_Island_of_Magic.html")</f>
        <v>https://2danicritic.github.io/ReviewHtml/review_Unico_in_the_Island_of_Magic.html</v>
      </c>
      <c r="U485" s="5">
        <f t="shared" si="7"/>
        <v>1.86</v>
      </c>
    </row>
    <row r="486" spans="2:21" x14ac:dyDescent="0.35">
      <c r="B486" s="7" t="s">
        <v>2659</v>
      </c>
      <c r="C486" t="s">
        <v>1155</v>
      </c>
      <c r="D486" s="7" t="s">
        <v>2449</v>
      </c>
      <c r="E486" t="s">
        <v>1555</v>
      </c>
      <c r="F486" t="s">
        <v>1105</v>
      </c>
      <c r="G486" t="s">
        <v>1558</v>
      </c>
      <c r="H486" t="s">
        <v>837</v>
      </c>
      <c r="I486" s="7">
        <v>2.4300000000000002</v>
      </c>
      <c r="J486" s="7" t="s">
        <v>2029</v>
      </c>
      <c r="K486" s="7" t="s">
        <v>2029</v>
      </c>
      <c r="L486" s="7" t="s">
        <v>2019</v>
      </c>
      <c r="M486" s="7" t="s">
        <v>2019</v>
      </c>
      <c r="N486" s="7" t="s">
        <v>2019</v>
      </c>
      <c r="O486" s="7" t="s">
        <v>2019</v>
      </c>
      <c r="P486" s="7" t="s">
        <v>2020</v>
      </c>
      <c r="Q486" t="s">
        <v>303</v>
      </c>
      <c r="R486" s="7" t="s">
        <v>2196</v>
      </c>
      <c r="S486" t="str">
        <f xml:space="preserve"> HYPERLINK("ReviewHtml/review_Urusei_Yatsura_-_Beautiful_Dreamer.html", "https://2danicritic.github.io/ReviewHtml/review_Urusei_Yatsura_-_Beautiful_Dreamer.html")</f>
        <v>https://2danicritic.github.io/ReviewHtml/review_Urusei_Yatsura_-_Beautiful_Dreamer.html</v>
      </c>
      <c r="U486" s="5">
        <f t="shared" si="7"/>
        <v>2.4300000000000002</v>
      </c>
    </row>
    <row r="487" spans="2:21" x14ac:dyDescent="0.35">
      <c r="B487" s="7" t="s">
        <v>2660</v>
      </c>
      <c r="C487" t="s">
        <v>1156</v>
      </c>
      <c r="D487" s="7" t="s">
        <v>2456</v>
      </c>
      <c r="E487" t="s">
        <v>1555</v>
      </c>
      <c r="F487" t="s">
        <v>1157</v>
      </c>
      <c r="G487" t="s">
        <v>1558</v>
      </c>
      <c r="H487" t="s">
        <v>1158</v>
      </c>
      <c r="I487" s="7">
        <v>2.4300000000000002</v>
      </c>
      <c r="J487" s="7" t="s">
        <v>2141</v>
      </c>
      <c r="K487" s="7" t="s">
        <v>2019</v>
      </c>
      <c r="L487" s="7" t="s">
        <v>2020</v>
      </c>
      <c r="M487" s="7" t="s">
        <v>2029</v>
      </c>
      <c r="N487" s="7" t="s">
        <v>2019</v>
      </c>
      <c r="O487" s="7" t="s">
        <v>2019</v>
      </c>
      <c r="P487" s="7" t="s">
        <v>2020</v>
      </c>
      <c r="Q487" t="s">
        <v>78</v>
      </c>
      <c r="R487" s="7" t="s">
        <v>2085</v>
      </c>
      <c r="S487" t="str">
        <f xml:space="preserve"> HYPERLINK("ReviewHtml/review_Vampire_Hunter_D.html", "https://2danicritic.github.io/ReviewHtml/review_Vampire_Hunter_D.html")</f>
        <v>https://2danicritic.github.io/ReviewHtml/review_Vampire_Hunter_D.html</v>
      </c>
      <c r="U487" s="5">
        <f t="shared" si="7"/>
        <v>2.4300000000000002</v>
      </c>
    </row>
    <row r="488" spans="2:21" x14ac:dyDescent="0.35">
      <c r="B488" s="7" t="s">
        <v>2661</v>
      </c>
      <c r="C488" t="s">
        <v>1159</v>
      </c>
      <c r="D488" s="7" t="s">
        <v>2174</v>
      </c>
      <c r="E488" t="s">
        <v>1555</v>
      </c>
      <c r="F488" t="s">
        <v>695</v>
      </c>
      <c r="G488" t="s">
        <v>1558</v>
      </c>
      <c r="H488" t="s">
        <v>980</v>
      </c>
      <c r="I488" s="7">
        <v>3.14</v>
      </c>
      <c r="J488" s="7" t="s">
        <v>2027</v>
      </c>
      <c r="K488" s="7" t="s">
        <v>2027</v>
      </c>
      <c r="L488" s="7" t="s">
        <v>2020</v>
      </c>
      <c r="M488" s="7" t="s">
        <v>2029</v>
      </c>
      <c r="N488" s="7" t="s">
        <v>2027</v>
      </c>
      <c r="O488" s="7" t="s">
        <v>2020</v>
      </c>
      <c r="P488" s="7" t="s">
        <v>2027</v>
      </c>
      <c r="Q488" t="s">
        <v>353</v>
      </c>
      <c r="R488" s="7" t="s">
        <v>2149</v>
      </c>
      <c r="S488" t="str">
        <f xml:space="preserve"> HYPERLINK("ReviewHtml/review_Vampire_Hunter_D_-_Bloodlust.html", "https://2danicritic.github.io/ReviewHtml/review_Vampire_Hunter_D_-_Bloodlust.html")</f>
        <v>https://2danicritic.github.io/ReviewHtml/review_Vampire_Hunter_D_-_Bloodlust.html</v>
      </c>
      <c r="U488" s="5">
        <f t="shared" si="7"/>
        <v>3.14</v>
      </c>
    </row>
    <row r="489" spans="2:21" x14ac:dyDescent="0.35">
      <c r="B489" s="7" t="s">
        <v>2662</v>
      </c>
      <c r="C489" t="s">
        <v>1752</v>
      </c>
      <c r="D489" s="7" t="s">
        <v>2135</v>
      </c>
      <c r="E489" t="s">
        <v>1555</v>
      </c>
      <c r="F489" t="s">
        <v>659</v>
      </c>
      <c r="G489" t="s">
        <v>1560</v>
      </c>
      <c r="H489" t="s">
        <v>706</v>
      </c>
      <c r="I489" s="7">
        <v>3.57</v>
      </c>
      <c r="J489" s="7" t="s">
        <v>2025</v>
      </c>
      <c r="K489" s="7" t="s">
        <v>2025</v>
      </c>
      <c r="L489" s="7" t="s">
        <v>2025</v>
      </c>
      <c r="M489" s="7" t="s">
        <v>2027</v>
      </c>
      <c r="N489" s="7" t="s">
        <v>2020</v>
      </c>
      <c r="O489" s="7" t="s">
        <v>2020</v>
      </c>
      <c r="P489" s="7" t="s">
        <v>2027</v>
      </c>
      <c r="Q489" t="s">
        <v>60</v>
      </c>
      <c r="R489" s="7" t="s">
        <v>2021</v>
      </c>
      <c r="S489" t="str">
        <f xml:space="preserve"> HYPERLINK("ReviewHtml/review_Violet_Evergarden.html", "https://2danicritic.github.io/ReviewHtml/review_Violet_Evergarden.html")</f>
        <v>https://2danicritic.github.io/ReviewHtml/review_Violet_Evergarden.html</v>
      </c>
      <c r="U489" s="5">
        <f t="shared" si="7"/>
        <v>3.57</v>
      </c>
    </row>
    <row r="490" spans="2:21" x14ac:dyDescent="0.35">
      <c r="B490" s="7" t="s">
        <v>2663</v>
      </c>
      <c r="C490" t="s">
        <v>1968</v>
      </c>
      <c r="D490" s="7" t="s">
        <v>2197</v>
      </c>
      <c r="E490" t="s">
        <v>1555</v>
      </c>
      <c r="F490" t="s">
        <v>659</v>
      </c>
      <c r="G490" t="s">
        <v>1558</v>
      </c>
      <c r="H490" t="s">
        <v>1980</v>
      </c>
      <c r="I490" s="7">
        <v>3.36</v>
      </c>
      <c r="J490" s="7" t="s">
        <v>2027</v>
      </c>
      <c r="K490" s="7" t="s">
        <v>2025</v>
      </c>
      <c r="L490" s="7" t="s">
        <v>2025</v>
      </c>
      <c r="M490" s="7" t="s">
        <v>2020</v>
      </c>
      <c r="N490" s="7" t="s">
        <v>2020</v>
      </c>
      <c r="O490" s="7" t="s">
        <v>2020</v>
      </c>
      <c r="P490" s="7" t="s">
        <v>2020</v>
      </c>
      <c r="Q490" t="s">
        <v>1954</v>
      </c>
      <c r="R490" s="7" t="s">
        <v>2216</v>
      </c>
      <c r="S490" t="str">
        <f xml:space="preserve"> HYPERLINK("ReviewHtml/review_Violet_Evergarden_-_Eternity_and_the_Auto_Memory_Doll.html", "https://2danicritic.github.io/ReviewHtml/review_Violet_Evergarden_-_Eternity_and_the_Auto_Memory_Doll.html")</f>
        <v>https://2danicritic.github.io/ReviewHtml/review_Violet_Evergarden_-_Eternity_and_the_Auto_Memory_Doll.html</v>
      </c>
      <c r="U490" s="5">
        <f t="shared" si="7"/>
        <v>3.36</v>
      </c>
    </row>
    <row r="491" spans="2:21" x14ac:dyDescent="0.35">
      <c r="B491" s="7" t="s">
        <v>2664</v>
      </c>
      <c r="C491" t="s">
        <v>1969</v>
      </c>
      <c r="D491" s="7" t="s">
        <v>2188</v>
      </c>
      <c r="E491" t="s">
        <v>1555</v>
      </c>
      <c r="F491" t="s">
        <v>659</v>
      </c>
      <c r="G491" t="s">
        <v>1558</v>
      </c>
      <c r="H491" t="s">
        <v>706</v>
      </c>
      <c r="I491" s="7">
        <v>3.79</v>
      </c>
      <c r="J491" s="7" t="s">
        <v>2025</v>
      </c>
      <c r="K491" s="7" t="s">
        <v>2025</v>
      </c>
      <c r="L491" s="7" t="s">
        <v>2025</v>
      </c>
      <c r="M491" s="7" t="s">
        <v>2027</v>
      </c>
      <c r="N491" s="7" t="s">
        <v>2027</v>
      </c>
      <c r="O491" s="7" t="s">
        <v>2025</v>
      </c>
      <c r="P491" s="7" t="s">
        <v>2027</v>
      </c>
      <c r="Q491" t="s">
        <v>60</v>
      </c>
      <c r="R491" s="7" t="s">
        <v>2261</v>
      </c>
      <c r="S491" t="str">
        <f xml:space="preserve"> HYPERLINK("ReviewHtml/review_Violet_Evergarden_-_The_Movie.html", "https://2danicritic.github.io/ReviewHtml/review_Violet_Evergarden_-_The_Movie.html")</f>
        <v>https://2danicritic.github.io/ReviewHtml/review_Violet_Evergarden_-_The_Movie.html</v>
      </c>
      <c r="U491" s="5">
        <f t="shared" si="7"/>
        <v>3.79</v>
      </c>
    </row>
    <row r="492" spans="2:21" x14ac:dyDescent="0.35">
      <c r="B492" s="7" t="s">
        <v>2665</v>
      </c>
      <c r="C492" t="s">
        <v>1160</v>
      </c>
      <c r="D492" s="7" t="s">
        <v>2057</v>
      </c>
      <c r="E492" t="s">
        <v>1555</v>
      </c>
      <c r="F492" t="s">
        <v>653</v>
      </c>
      <c r="G492" t="s">
        <v>1561</v>
      </c>
      <c r="H492" t="s">
        <v>654</v>
      </c>
      <c r="I492" s="7">
        <v>3.07</v>
      </c>
      <c r="J492" s="7" t="s">
        <v>2019</v>
      </c>
      <c r="K492" s="7" t="s">
        <v>2020</v>
      </c>
      <c r="L492" s="7" t="s">
        <v>2020</v>
      </c>
      <c r="M492" s="7" t="s">
        <v>2027</v>
      </c>
      <c r="N492" s="7" t="s">
        <v>2020</v>
      </c>
      <c r="O492" s="7" t="s">
        <v>2019</v>
      </c>
      <c r="P492" s="7" t="s">
        <v>2025</v>
      </c>
      <c r="Q492" t="s">
        <v>304</v>
      </c>
      <c r="R492" s="7" t="s">
        <v>2097</v>
      </c>
      <c r="S492" t="str">
        <f xml:space="preserve"> HYPERLINK("ReviewHtml/review_Voices_of_a_Distant_Star.html", "https://2danicritic.github.io/ReviewHtml/review_Voices_of_a_Distant_Star.html")</f>
        <v>https://2danicritic.github.io/ReviewHtml/review_Voices_of_a_Distant_Star.html</v>
      </c>
      <c r="U492" s="5">
        <f t="shared" si="7"/>
        <v>3.07</v>
      </c>
    </row>
    <row r="493" spans="2:21" x14ac:dyDescent="0.35">
      <c r="B493" s="7" t="s">
        <v>2666</v>
      </c>
      <c r="C493" t="s">
        <v>1970</v>
      </c>
      <c r="D493" s="7" t="s">
        <v>2041</v>
      </c>
      <c r="E493" t="s">
        <v>1555</v>
      </c>
      <c r="F493" t="s">
        <v>671</v>
      </c>
      <c r="G493" t="s">
        <v>1560</v>
      </c>
      <c r="H493" t="s">
        <v>1143</v>
      </c>
      <c r="I493" s="7">
        <v>3.5</v>
      </c>
      <c r="J493" s="7" t="s">
        <v>2020</v>
      </c>
      <c r="K493" s="7" t="s">
        <v>2027</v>
      </c>
      <c r="L493" s="7" t="s">
        <v>2027</v>
      </c>
      <c r="M493" s="7" t="s">
        <v>2020</v>
      </c>
      <c r="N493" s="7" t="s">
        <v>2027</v>
      </c>
      <c r="O493" s="7" t="s">
        <v>2025</v>
      </c>
      <c r="P493" s="7" t="s">
        <v>2025</v>
      </c>
      <c r="Q493" t="s">
        <v>1758</v>
      </c>
      <c r="R493" s="7" t="s">
        <v>2021</v>
      </c>
      <c r="S493" t="str">
        <f xml:space="preserve"> HYPERLINK("ReviewHtml/review_Waiting_in_the_Summer.html", "https://2danicritic.github.io/ReviewHtml/review_Waiting_in_the_Summer.html")</f>
        <v>https://2danicritic.github.io/ReviewHtml/review_Waiting_in_the_Summer.html</v>
      </c>
      <c r="U493" s="5">
        <f t="shared" si="7"/>
        <v>3.5</v>
      </c>
    </row>
    <row r="494" spans="2:21" x14ac:dyDescent="0.35">
      <c r="B494" s="7" t="s">
        <v>2667</v>
      </c>
      <c r="C494" t="s">
        <v>1284</v>
      </c>
      <c r="D494" s="7" t="s">
        <v>2398</v>
      </c>
      <c r="E494" t="s">
        <v>57</v>
      </c>
      <c r="F494" t="s">
        <v>1294</v>
      </c>
      <c r="G494" t="s">
        <v>1558</v>
      </c>
      <c r="H494" t="s">
        <v>1305</v>
      </c>
      <c r="I494" s="7">
        <v>4.21</v>
      </c>
      <c r="J494" s="7" t="s">
        <v>2027</v>
      </c>
      <c r="K494" s="7" t="s">
        <v>2027</v>
      </c>
      <c r="L494" s="7" t="s">
        <v>2025</v>
      </c>
      <c r="M494" s="7" t="s">
        <v>2026</v>
      </c>
      <c r="N494" s="7" t="s">
        <v>2033</v>
      </c>
      <c r="O494" s="7" t="s">
        <v>2025</v>
      </c>
      <c r="P494" s="7" t="s">
        <v>2033</v>
      </c>
      <c r="Q494" t="s">
        <v>1224</v>
      </c>
      <c r="R494" s="7" t="s">
        <v>2137</v>
      </c>
      <c r="S494" t="str">
        <f xml:space="preserve"> HYPERLINK("ReviewHtml/review_Watership_Down.html", "https://2danicritic.github.io/ReviewHtml/review_Watership_Down.html")</f>
        <v>https://2danicritic.github.io/ReviewHtml/review_Watership_Down.html</v>
      </c>
      <c r="U494" s="5">
        <f t="shared" si="7"/>
        <v>4.21</v>
      </c>
    </row>
    <row r="495" spans="2:21" x14ac:dyDescent="0.35">
      <c r="B495" s="7" t="s">
        <v>2668</v>
      </c>
      <c r="C495" t="s">
        <v>1625</v>
      </c>
      <c r="D495" s="7" t="s">
        <v>2197</v>
      </c>
      <c r="E495" t="s">
        <v>1555</v>
      </c>
      <c r="F495" t="s">
        <v>1626</v>
      </c>
      <c r="G495" t="s">
        <v>1558</v>
      </c>
      <c r="H495" t="s">
        <v>654</v>
      </c>
      <c r="I495" s="7">
        <v>3.79</v>
      </c>
      <c r="J495" s="7" t="s">
        <v>2025</v>
      </c>
      <c r="K495" s="7" t="s">
        <v>2025</v>
      </c>
      <c r="L495" s="7" t="s">
        <v>2025</v>
      </c>
      <c r="M495" s="7" t="s">
        <v>2027</v>
      </c>
      <c r="N495" s="7" t="s">
        <v>2027</v>
      </c>
      <c r="O495" s="7" t="s">
        <v>2025</v>
      </c>
      <c r="P495" s="7" t="s">
        <v>2027</v>
      </c>
      <c r="Q495" t="s">
        <v>1552</v>
      </c>
      <c r="R495" s="7" t="s">
        <v>2204</v>
      </c>
      <c r="S495" t="str">
        <f xml:space="preserve"> HYPERLINK("ReviewHtml/review_Weathering_With_You.html", "https://2danicritic.github.io/ReviewHtml/review_Weathering_With_You.html")</f>
        <v>https://2danicritic.github.io/ReviewHtml/review_Weathering_With_You.html</v>
      </c>
      <c r="U495" s="5">
        <f t="shared" si="7"/>
        <v>3.79</v>
      </c>
    </row>
    <row r="496" spans="2:21" x14ac:dyDescent="0.35">
      <c r="B496" s="7" t="s">
        <v>2669</v>
      </c>
      <c r="C496" t="s">
        <v>1161</v>
      </c>
      <c r="D496" s="7" t="s">
        <v>2051</v>
      </c>
      <c r="E496" t="s">
        <v>1555</v>
      </c>
      <c r="F496" t="s">
        <v>665</v>
      </c>
      <c r="G496" t="s">
        <v>1560</v>
      </c>
      <c r="H496" t="s">
        <v>1162</v>
      </c>
      <c r="I496" s="7">
        <v>3.43</v>
      </c>
      <c r="J496" s="7" t="s">
        <v>2020</v>
      </c>
      <c r="K496" s="7" t="s">
        <v>2020</v>
      </c>
      <c r="L496" s="7" t="s">
        <v>2027</v>
      </c>
      <c r="M496" s="7" t="s">
        <v>2020</v>
      </c>
      <c r="N496" s="7" t="s">
        <v>2027</v>
      </c>
      <c r="O496" s="7" t="s">
        <v>2025</v>
      </c>
      <c r="P496" s="7" t="s">
        <v>2025</v>
      </c>
      <c r="Q496" t="s">
        <v>305</v>
      </c>
      <c r="R496" s="7" t="s">
        <v>2155</v>
      </c>
      <c r="S496" t="str">
        <f xml:space="preserve"> HYPERLINK("ReviewHtml/review_Welcome_to_the_N.H.K..html", "https://2danicritic.github.io/ReviewHtml/review_Welcome_to_the_N.H.K..html")</f>
        <v>https://2danicritic.github.io/ReviewHtml/review_Welcome_to_the_N.H.K..html</v>
      </c>
      <c r="U496" s="5">
        <f t="shared" si="7"/>
        <v>3.43</v>
      </c>
    </row>
    <row r="497" spans="2:21" x14ac:dyDescent="0.35">
      <c r="B497" s="7" t="s">
        <v>2670</v>
      </c>
      <c r="C497" t="s">
        <v>1627</v>
      </c>
      <c r="D497" s="7" t="s">
        <v>2035</v>
      </c>
      <c r="E497" t="s">
        <v>1555</v>
      </c>
      <c r="F497" t="s">
        <v>716</v>
      </c>
      <c r="G497" t="s">
        <v>1558</v>
      </c>
      <c r="H497" t="s">
        <v>1628</v>
      </c>
      <c r="I497" s="7">
        <v>3.14</v>
      </c>
      <c r="J497" s="7" t="s">
        <v>2027</v>
      </c>
      <c r="K497" s="7" t="s">
        <v>2027</v>
      </c>
      <c r="L497" s="7" t="s">
        <v>2020</v>
      </c>
      <c r="M497" s="7" t="s">
        <v>2020</v>
      </c>
      <c r="N497" s="7" t="s">
        <v>2020</v>
      </c>
      <c r="O497" s="7" t="s">
        <v>2020</v>
      </c>
      <c r="P497" s="7" t="s">
        <v>2020</v>
      </c>
      <c r="Q497" t="s">
        <v>1553</v>
      </c>
      <c r="R497" s="7" t="s">
        <v>2059</v>
      </c>
      <c r="S497" t="str">
        <f xml:space="preserve"> HYPERLINK("ReviewHtml/review_Welcome_to_the_Space_Show.html", "https://2danicritic.github.io/ReviewHtml/review_Welcome_to_the_Space_Show.html")</f>
        <v>https://2danicritic.github.io/ReviewHtml/review_Welcome_to_the_Space_Show.html</v>
      </c>
      <c r="U497" s="5">
        <f t="shared" si="7"/>
        <v>3.14</v>
      </c>
    </row>
    <row r="498" spans="2:21" x14ac:dyDescent="0.35">
      <c r="B498" s="7" t="s">
        <v>2671</v>
      </c>
      <c r="C498" t="s">
        <v>1163</v>
      </c>
      <c r="D498" s="7" t="s">
        <v>2076</v>
      </c>
      <c r="E498" t="s">
        <v>1555</v>
      </c>
      <c r="F498" t="s">
        <v>748</v>
      </c>
      <c r="G498" t="s">
        <v>1558</v>
      </c>
      <c r="H498" t="s">
        <v>195</v>
      </c>
      <c r="I498" s="7">
        <v>3.64</v>
      </c>
      <c r="J498" s="7" t="s">
        <v>2025</v>
      </c>
      <c r="K498" s="7" t="s">
        <v>2027</v>
      </c>
      <c r="L498" s="7" t="s">
        <v>2027</v>
      </c>
      <c r="M498" s="7" t="s">
        <v>2025</v>
      </c>
      <c r="N498" s="7" t="s">
        <v>2027</v>
      </c>
      <c r="O498" s="7" t="s">
        <v>2020</v>
      </c>
      <c r="P498" s="7" t="s">
        <v>2025</v>
      </c>
      <c r="Q498" t="s">
        <v>306</v>
      </c>
      <c r="R498" s="7" t="s">
        <v>2227</v>
      </c>
      <c r="S498" t="str">
        <f xml:space="preserve"> HYPERLINK("ReviewHtml/review_When_Marnie_Was_There.html", "https://2danicritic.github.io/ReviewHtml/review_When_Marnie_Was_There.html")</f>
        <v>https://2danicritic.github.io/ReviewHtml/review_When_Marnie_Was_There.html</v>
      </c>
      <c r="U498" s="5">
        <f t="shared" si="7"/>
        <v>3.64</v>
      </c>
    </row>
    <row r="499" spans="2:21" x14ac:dyDescent="0.35">
      <c r="B499" s="7" t="s">
        <v>2672</v>
      </c>
      <c r="C499" t="s">
        <v>1164</v>
      </c>
      <c r="D499" s="7" t="s">
        <v>2084</v>
      </c>
      <c r="E499" t="s">
        <v>57</v>
      </c>
      <c r="F499" t="s">
        <v>1165</v>
      </c>
      <c r="G499" t="s">
        <v>1558</v>
      </c>
      <c r="H499" t="s">
        <v>1166</v>
      </c>
      <c r="I499" s="7">
        <v>3.79</v>
      </c>
      <c r="J499" s="7" t="s">
        <v>2025</v>
      </c>
      <c r="K499" s="7" t="s">
        <v>2025</v>
      </c>
      <c r="L499" s="7" t="s">
        <v>2025</v>
      </c>
      <c r="M499" s="7" t="s">
        <v>2025</v>
      </c>
      <c r="N499" s="7" t="s">
        <v>2027</v>
      </c>
      <c r="O499" s="7" t="s">
        <v>2020</v>
      </c>
      <c r="P499" s="7" t="s">
        <v>2025</v>
      </c>
      <c r="Q499" t="s">
        <v>307</v>
      </c>
      <c r="R499" s="7" t="s">
        <v>2043</v>
      </c>
      <c r="S499" t="str">
        <f xml:space="preserve"> HYPERLINK("ReviewHtml/review_When_The_Wind_Blows.html", "https://2danicritic.github.io/ReviewHtml/review_When_The_Wind_Blows.html")</f>
        <v>https://2danicritic.github.io/ReviewHtml/review_When_The_Wind_Blows.html</v>
      </c>
      <c r="U499" s="5">
        <f t="shared" si="7"/>
        <v>3.79</v>
      </c>
    </row>
    <row r="500" spans="2:21" x14ac:dyDescent="0.35">
      <c r="B500" s="7" t="s">
        <v>2673</v>
      </c>
      <c r="C500" t="s">
        <v>1167</v>
      </c>
      <c r="D500" s="7" t="s">
        <v>2124</v>
      </c>
      <c r="E500" t="s">
        <v>1555</v>
      </c>
      <c r="F500" t="s">
        <v>748</v>
      </c>
      <c r="G500" t="s">
        <v>1558</v>
      </c>
      <c r="H500" t="s">
        <v>1168</v>
      </c>
      <c r="I500" s="7">
        <v>4.07</v>
      </c>
      <c r="J500" s="7" t="s">
        <v>2027</v>
      </c>
      <c r="K500" s="7" t="s">
        <v>2020</v>
      </c>
      <c r="L500" s="7" t="s">
        <v>2025</v>
      </c>
      <c r="M500" s="7" t="s">
        <v>2027</v>
      </c>
      <c r="N500" s="7" t="s">
        <v>2033</v>
      </c>
      <c r="O500" s="7" t="s">
        <v>2026</v>
      </c>
      <c r="P500" s="7" t="s">
        <v>2033</v>
      </c>
      <c r="Q500" t="s">
        <v>308</v>
      </c>
      <c r="R500" s="7" t="s">
        <v>2198</v>
      </c>
      <c r="S500" t="str">
        <f xml:space="preserve"> HYPERLINK("ReviewHtml/review_Whisper_of_the_Heart.html", "https://2danicritic.github.io/ReviewHtml/review_Whisper_of_the_Heart.html")</f>
        <v>https://2danicritic.github.io/ReviewHtml/review_Whisper_of_the_Heart.html</v>
      </c>
      <c r="U500" s="5">
        <f t="shared" si="7"/>
        <v>4.07</v>
      </c>
    </row>
    <row r="501" spans="2:21" x14ac:dyDescent="0.35">
      <c r="B501" s="7" t="s">
        <v>2674</v>
      </c>
      <c r="C501" t="s">
        <v>1169</v>
      </c>
      <c r="D501" s="7" t="s">
        <v>2030</v>
      </c>
      <c r="E501" t="s">
        <v>1608</v>
      </c>
      <c r="F501" t="s">
        <v>1170</v>
      </c>
      <c r="G501" t="s">
        <v>1558</v>
      </c>
      <c r="H501" t="s">
        <v>1171</v>
      </c>
      <c r="I501" s="7">
        <v>3.14</v>
      </c>
      <c r="J501" s="7" t="s">
        <v>2029</v>
      </c>
      <c r="K501" s="7" t="s">
        <v>2029</v>
      </c>
      <c r="L501" s="7" t="s">
        <v>2019</v>
      </c>
      <c r="M501" s="7" t="s">
        <v>2025</v>
      </c>
      <c r="N501" s="7" t="s">
        <v>2025</v>
      </c>
      <c r="O501" s="7" t="s">
        <v>2027</v>
      </c>
      <c r="P501" s="7" t="s">
        <v>2025</v>
      </c>
      <c r="Q501" t="s">
        <v>111</v>
      </c>
      <c r="R501" s="7" t="s">
        <v>2210</v>
      </c>
      <c r="S501" t="str">
        <f xml:space="preserve"> HYPERLINK("ReviewHtml/review_Window_Horses_-_The_Poetic_Persian_Epiphany_of_Rosie_Ming.html", "https://2danicritic.github.io/ReviewHtml/review_Window_Horses_-_The_Poetic_Persian_Epiphany_of_Rosie_Ming.html")</f>
        <v>https://2danicritic.github.io/ReviewHtml/review_Window_Horses_-_The_Poetic_Persian_Epiphany_of_Rosie_Ming.html</v>
      </c>
      <c r="U501" s="5">
        <f t="shared" si="7"/>
        <v>3.14</v>
      </c>
    </row>
    <row r="502" spans="2:21" x14ac:dyDescent="0.35">
      <c r="B502" s="7" t="s">
        <v>2675</v>
      </c>
      <c r="C502" t="s">
        <v>1420</v>
      </c>
      <c r="D502" s="7" t="s">
        <v>2167</v>
      </c>
      <c r="E502" t="s">
        <v>1555</v>
      </c>
      <c r="F502" t="s">
        <v>732</v>
      </c>
      <c r="G502" t="s">
        <v>1560</v>
      </c>
      <c r="H502" t="s">
        <v>1464</v>
      </c>
      <c r="I502" s="7">
        <v>2.4300000000000002</v>
      </c>
      <c r="J502" s="7" t="s">
        <v>2029</v>
      </c>
      <c r="K502" s="7" t="s">
        <v>2019</v>
      </c>
      <c r="L502" s="7" t="s">
        <v>2019</v>
      </c>
      <c r="M502" s="7" t="s">
        <v>2020</v>
      </c>
      <c r="N502" s="7" t="s">
        <v>2019</v>
      </c>
      <c r="O502" s="7" t="s">
        <v>2029</v>
      </c>
      <c r="P502" s="7" t="s">
        <v>2019</v>
      </c>
      <c r="Q502" t="s">
        <v>1364</v>
      </c>
      <c r="R502" s="7" t="s">
        <v>2021</v>
      </c>
      <c r="S502" t="str">
        <f xml:space="preserve"> HYPERLINK("ReviewHtml/review_Windy_Tales.html", "https://2danicritic.github.io/ReviewHtml/review_Windy_Tales.html")</f>
        <v>https://2danicritic.github.io/ReviewHtml/review_Windy_Tales.html</v>
      </c>
      <c r="U502" s="5">
        <f t="shared" si="7"/>
        <v>2.4300000000000002</v>
      </c>
    </row>
    <row r="503" spans="2:21" x14ac:dyDescent="0.35">
      <c r="B503" s="7" t="s">
        <v>2676</v>
      </c>
      <c r="C503" t="s">
        <v>1971</v>
      </c>
      <c r="D503" s="7" t="s">
        <v>2076</v>
      </c>
      <c r="E503" t="s">
        <v>1555</v>
      </c>
      <c r="F503" t="s">
        <v>1981</v>
      </c>
      <c r="G503" t="s">
        <v>1560</v>
      </c>
      <c r="H503" t="s">
        <v>940</v>
      </c>
      <c r="I503" s="7">
        <v>3.14</v>
      </c>
      <c r="J503" s="7" t="s">
        <v>2025</v>
      </c>
      <c r="K503" s="7" t="s">
        <v>2027</v>
      </c>
      <c r="L503" s="7" t="s">
        <v>2020</v>
      </c>
      <c r="M503" s="7" t="s">
        <v>2019</v>
      </c>
      <c r="N503" s="7" t="s">
        <v>2019</v>
      </c>
      <c r="O503" s="7" t="s">
        <v>2020</v>
      </c>
      <c r="P503" s="7" t="s">
        <v>2027</v>
      </c>
      <c r="Q503" t="s">
        <v>1955</v>
      </c>
      <c r="R503" s="7" t="s">
        <v>2049</v>
      </c>
      <c r="S503" t="str">
        <f xml:space="preserve"> HYPERLINK("ReviewHtml/review_Wizard_Barristers.html", "https://2danicritic.github.io/ReviewHtml/review_Wizard_Barristers.html")</f>
        <v>https://2danicritic.github.io/ReviewHtml/review_Wizard_Barristers.html</v>
      </c>
      <c r="U503" s="5">
        <f t="shared" si="7"/>
        <v>3.14</v>
      </c>
    </row>
    <row r="504" spans="2:21" x14ac:dyDescent="0.35">
      <c r="B504" s="7" t="s">
        <v>2677</v>
      </c>
      <c r="C504" t="s">
        <v>1172</v>
      </c>
      <c r="D504" s="7" t="s">
        <v>2590</v>
      </c>
      <c r="E504" t="s">
        <v>1557</v>
      </c>
      <c r="F504" t="s">
        <v>1173</v>
      </c>
      <c r="G504" t="s">
        <v>1558</v>
      </c>
      <c r="H504" t="s">
        <v>1174</v>
      </c>
      <c r="I504" s="7">
        <v>1.79</v>
      </c>
      <c r="J504" s="7" t="s">
        <v>2141</v>
      </c>
      <c r="K504" s="7" t="s">
        <v>2019</v>
      </c>
      <c r="L504" s="7" t="s">
        <v>2019</v>
      </c>
      <c r="M504" s="7" t="s">
        <v>2019</v>
      </c>
      <c r="N504" s="7" t="s">
        <v>2022</v>
      </c>
      <c r="O504" s="7" t="s">
        <v>2141</v>
      </c>
      <c r="P504" s="7" t="s">
        <v>2022</v>
      </c>
      <c r="Q504" t="s">
        <v>266</v>
      </c>
      <c r="R504" s="7" t="s">
        <v>2085</v>
      </c>
      <c r="S504" t="str">
        <f xml:space="preserve"> HYPERLINK("ReviewHtml/review_Wizards.html", "https://2danicritic.github.io/ReviewHtml/review_Wizards.html")</f>
        <v>https://2danicritic.github.io/ReviewHtml/review_Wizards.html</v>
      </c>
      <c r="U504" s="5">
        <f t="shared" si="7"/>
        <v>1.79</v>
      </c>
    </row>
    <row r="505" spans="2:21" x14ac:dyDescent="0.35">
      <c r="B505" s="7" t="s">
        <v>2678</v>
      </c>
      <c r="C505" t="s">
        <v>1175</v>
      </c>
      <c r="D505" s="7" t="s">
        <v>2041</v>
      </c>
      <c r="E505" t="s">
        <v>1555</v>
      </c>
      <c r="F505" t="s">
        <v>1176</v>
      </c>
      <c r="G505" t="s">
        <v>1558</v>
      </c>
      <c r="H505" t="s">
        <v>946</v>
      </c>
      <c r="I505" s="7">
        <v>4.21</v>
      </c>
      <c r="J505" s="7" t="s">
        <v>2025</v>
      </c>
      <c r="K505" s="7" t="s">
        <v>2026</v>
      </c>
      <c r="L505" s="7" t="s">
        <v>2027</v>
      </c>
      <c r="M505" s="7" t="s">
        <v>2026</v>
      </c>
      <c r="N505" s="7" t="s">
        <v>2026</v>
      </c>
      <c r="O505" s="7" t="s">
        <v>2027</v>
      </c>
      <c r="P505" s="7" t="s">
        <v>2033</v>
      </c>
      <c r="Q505" t="s">
        <v>309</v>
      </c>
      <c r="R505" s="7" t="s">
        <v>2229</v>
      </c>
      <c r="S505" t="str">
        <f xml:space="preserve"> HYPERLINK("ReviewHtml/review_Wolf_Children.html", "https://2danicritic.github.io/ReviewHtml/review_Wolf_Children.html")</f>
        <v>https://2danicritic.github.io/ReviewHtml/review_Wolf_Children.html</v>
      </c>
      <c r="U505" s="5">
        <f t="shared" si="7"/>
        <v>4.21</v>
      </c>
    </row>
    <row r="506" spans="2:21" x14ac:dyDescent="0.35">
      <c r="B506" s="7" t="s">
        <v>2679</v>
      </c>
      <c r="C506" t="s">
        <v>1923</v>
      </c>
      <c r="D506" s="7" t="s">
        <v>2188</v>
      </c>
      <c r="E506" t="s">
        <v>1614</v>
      </c>
      <c r="F506" t="s">
        <v>1056</v>
      </c>
      <c r="G506" t="s">
        <v>1558</v>
      </c>
      <c r="H506" t="s">
        <v>1886</v>
      </c>
      <c r="I506" s="7">
        <v>3.86</v>
      </c>
      <c r="J506" s="7" t="s">
        <v>2027</v>
      </c>
      <c r="K506" s="7" t="s">
        <v>2025</v>
      </c>
      <c r="L506" s="7" t="s">
        <v>2026</v>
      </c>
      <c r="M506" s="7" t="s">
        <v>2027</v>
      </c>
      <c r="N506" s="7" t="s">
        <v>2027</v>
      </c>
      <c r="O506" s="7" t="s">
        <v>2025</v>
      </c>
      <c r="P506" s="7" t="s">
        <v>2025</v>
      </c>
      <c r="Q506" t="s">
        <v>1887</v>
      </c>
      <c r="R506" s="7" t="s">
        <v>2227</v>
      </c>
      <c r="S506" t="str">
        <f xml:space="preserve"> HYPERLINK("ReviewHtml/review_Wolfwalkers.html", "https://2danicritic.github.io/ReviewHtml/review_Wolfwalkers.html")</f>
        <v>https://2danicritic.github.io/ReviewHtml/review_Wolfwalkers.html</v>
      </c>
      <c r="U506" s="5">
        <f t="shared" si="7"/>
        <v>3.86</v>
      </c>
    </row>
    <row r="507" spans="2:21" x14ac:dyDescent="0.35">
      <c r="B507" s="7" t="s">
        <v>2680</v>
      </c>
      <c r="C507" t="s">
        <v>1177</v>
      </c>
      <c r="D507" s="7" t="s">
        <v>2037</v>
      </c>
      <c r="E507" t="s">
        <v>1567</v>
      </c>
      <c r="F507" t="s">
        <v>1178</v>
      </c>
      <c r="G507" t="s">
        <v>1558</v>
      </c>
      <c r="H507" t="s">
        <v>1179</v>
      </c>
      <c r="I507" s="7">
        <v>3.5</v>
      </c>
      <c r="J507" s="7" t="s">
        <v>2020</v>
      </c>
      <c r="K507" s="7" t="s">
        <v>2020</v>
      </c>
      <c r="L507" s="7" t="s">
        <v>2027</v>
      </c>
      <c r="M507" s="7" t="s">
        <v>2025</v>
      </c>
      <c r="N507" s="7" t="s">
        <v>2026</v>
      </c>
      <c r="O507" s="7" t="s">
        <v>2027</v>
      </c>
      <c r="P507" s="7" t="s">
        <v>2020</v>
      </c>
      <c r="Q507" t="s">
        <v>247</v>
      </c>
      <c r="R507" s="7" t="s">
        <v>2210</v>
      </c>
      <c r="S507" t="str">
        <f xml:space="preserve"> HYPERLINK("ReviewHtml/review_Wrinkles.html", "https://2danicritic.github.io/ReviewHtml/review_Wrinkles.html")</f>
        <v>https://2danicritic.github.io/ReviewHtml/review_Wrinkles.html</v>
      </c>
      <c r="U507" s="5">
        <f t="shared" si="7"/>
        <v>3.5</v>
      </c>
    </row>
    <row r="508" spans="2:21" x14ac:dyDescent="0.35">
      <c r="B508" s="7" t="s">
        <v>2681</v>
      </c>
      <c r="C508" t="s">
        <v>1421</v>
      </c>
      <c r="D508" s="7" t="s">
        <v>2074</v>
      </c>
      <c r="E508" t="s">
        <v>1555</v>
      </c>
      <c r="F508" t="s">
        <v>695</v>
      </c>
      <c r="G508" t="s">
        <v>1560</v>
      </c>
      <c r="H508" t="s">
        <v>980</v>
      </c>
      <c r="I508" s="7">
        <v>2.4300000000000002</v>
      </c>
      <c r="J508" s="7" t="s">
        <v>2019</v>
      </c>
      <c r="K508" s="7" t="s">
        <v>2027</v>
      </c>
      <c r="L508" s="7" t="s">
        <v>2027</v>
      </c>
      <c r="M508" s="7" t="s">
        <v>2019</v>
      </c>
      <c r="N508" s="7" t="s">
        <v>2141</v>
      </c>
      <c r="O508" s="7" t="s">
        <v>2141</v>
      </c>
      <c r="P508" s="7" t="s">
        <v>2029</v>
      </c>
      <c r="Q508" t="s">
        <v>1337</v>
      </c>
      <c r="R508" s="7" t="s">
        <v>2104</v>
      </c>
      <c r="S508" t="str">
        <f xml:space="preserve"> HYPERLINK("ReviewHtml/review_X.html", "https://2danicritic.github.io/ReviewHtml/review_X.html")</f>
        <v>https://2danicritic.github.io/ReviewHtml/review_X.html</v>
      </c>
      <c r="U508" s="5">
        <f t="shared" si="7"/>
        <v>2.4300000000000002</v>
      </c>
    </row>
    <row r="509" spans="2:21" x14ac:dyDescent="0.35">
      <c r="B509" s="7" t="s">
        <v>2682</v>
      </c>
      <c r="C509" t="s">
        <v>1629</v>
      </c>
      <c r="D509" s="7" t="s">
        <v>2683</v>
      </c>
      <c r="E509" t="s">
        <v>1555</v>
      </c>
      <c r="F509" t="s">
        <v>695</v>
      </c>
      <c r="G509" t="s">
        <v>1558</v>
      </c>
      <c r="H509" t="s">
        <v>937</v>
      </c>
      <c r="I509" s="7">
        <v>2.36</v>
      </c>
      <c r="J509" s="7" t="s">
        <v>2027</v>
      </c>
      <c r="K509" s="7" t="s">
        <v>2027</v>
      </c>
      <c r="L509" s="7" t="s">
        <v>2019</v>
      </c>
      <c r="M509" s="7" t="s">
        <v>2141</v>
      </c>
      <c r="N509" s="7" t="s">
        <v>2141</v>
      </c>
      <c r="O509" s="7" t="s">
        <v>2029</v>
      </c>
      <c r="P509" s="7" t="s">
        <v>2029</v>
      </c>
      <c r="Q509" t="s">
        <v>1554</v>
      </c>
      <c r="R509" s="7" t="s">
        <v>2067</v>
      </c>
      <c r="S509" t="str">
        <f xml:space="preserve"> HYPERLINK("ReviewHtml/review_X_-_The_Movie.html", "https://2danicritic.github.io/ReviewHtml/review_X_-_The_Movie.html")</f>
        <v>https://2danicritic.github.io/ReviewHtml/review_X_-_The_Movie.html</v>
      </c>
      <c r="U509" s="5">
        <f t="shared" si="7"/>
        <v>2.36</v>
      </c>
    </row>
    <row r="510" spans="2:21" x14ac:dyDescent="0.35">
      <c r="B510" s="7" t="s">
        <v>2684</v>
      </c>
      <c r="C510" t="s">
        <v>1180</v>
      </c>
      <c r="D510" s="7" t="s">
        <v>2051</v>
      </c>
      <c r="E510" t="s">
        <v>1555</v>
      </c>
      <c r="F510" t="s">
        <v>732</v>
      </c>
      <c r="G510" t="s">
        <v>1560</v>
      </c>
      <c r="H510" t="s">
        <v>1019</v>
      </c>
      <c r="I510" s="7">
        <v>2.36</v>
      </c>
      <c r="J510" s="7" t="s">
        <v>2020</v>
      </c>
      <c r="K510" s="7" t="s">
        <v>2027</v>
      </c>
      <c r="L510" s="7" t="s">
        <v>2019</v>
      </c>
      <c r="M510" s="7" t="s">
        <v>2029</v>
      </c>
      <c r="N510" s="7" t="s">
        <v>2029</v>
      </c>
      <c r="O510" s="7" t="s">
        <v>2141</v>
      </c>
      <c r="P510" s="7" t="s">
        <v>2029</v>
      </c>
      <c r="Q510" t="s">
        <v>310</v>
      </c>
      <c r="R510" s="7" t="s">
        <v>2155</v>
      </c>
      <c r="S510" t="str">
        <f xml:space="preserve"> HYPERLINK("ReviewHtml/review_xxxHolic.html", "https://2danicritic.github.io/ReviewHtml/review_xxxHolic.html")</f>
        <v>https://2danicritic.github.io/ReviewHtml/review_xxxHolic.html</v>
      </c>
      <c r="U510" s="5">
        <f t="shared" si="7"/>
        <v>2.36</v>
      </c>
    </row>
    <row r="511" spans="2:21" x14ac:dyDescent="0.35">
      <c r="B511" s="7" t="s">
        <v>2685</v>
      </c>
      <c r="C511" t="s">
        <v>1753</v>
      </c>
      <c r="D511" s="7" t="s">
        <v>2095</v>
      </c>
      <c r="E511" t="s">
        <v>1555</v>
      </c>
      <c r="F511" t="s">
        <v>1754</v>
      </c>
      <c r="G511" t="s">
        <v>1560</v>
      </c>
      <c r="H511" t="s">
        <v>1755</v>
      </c>
      <c r="I511" s="7">
        <v>3.14</v>
      </c>
      <c r="J511" s="7" t="s">
        <v>2029</v>
      </c>
      <c r="K511" s="7" t="s">
        <v>2019</v>
      </c>
      <c r="L511" s="7" t="s">
        <v>2019</v>
      </c>
      <c r="M511" s="7" t="s">
        <v>2027</v>
      </c>
      <c r="N511" s="7" t="s">
        <v>2027</v>
      </c>
      <c r="O511" s="7" t="s">
        <v>2026</v>
      </c>
      <c r="P511" s="7" t="s">
        <v>2027</v>
      </c>
      <c r="Q511" t="s">
        <v>1678</v>
      </c>
      <c r="R511" s="7" t="s">
        <v>2049</v>
      </c>
      <c r="S511" t="str">
        <f xml:space="preserve"> HYPERLINK("ReviewHtml/review_Yamada-kun_and_the_Seven_Witches.html", "https://2danicritic.github.io/ReviewHtml/review_Yamada-kun_and_the_Seven_Witches.html")</f>
        <v>https://2danicritic.github.io/ReviewHtml/review_Yamada-kun_and_the_Seven_Witches.html</v>
      </c>
      <c r="U511" s="5">
        <f t="shared" si="7"/>
        <v>3.14</v>
      </c>
    </row>
    <row r="512" spans="2:21" x14ac:dyDescent="0.35">
      <c r="B512" s="7" t="s">
        <v>2686</v>
      </c>
      <c r="C512" t="s">
        <v>1181</v>
      </c>
      <c r="D512" s="7" t="s">
        <v>2687</v>
      </c>
      <c r="E512" t="s">
        <v>57</v>
      </c>
      <c r="F512" t="s">
        <v>1182</v>
      </c>
      <c r="G512" t="s">
        <v>1558</v>
      </c>
      <c r="H512" t="s">
        <v>1183</v>
      </c>
      <c r="I512" s="7">
        <v>3.79</v>
      </c>
      <c r="J512" s="7" t="s">
        <v>2029</v>
      </c>
      <c r="K512" s="7" t="s">
        <v>2025</v>
      </c>
      <c r="L512" s="7" t="s">
        <v>2025</v>
      </c>
      <c r="M512" s="7" t="s">
        <v>2025</v>
      </c>
      <c r="N512" s="7" t="s">
        <v>2027</v>
      </c>
      <c r="O512" s="7" t="s">
        <v>2025</v>
      </c>
      <c r="P512" s="7" t="s">
        <v>2033</v>
      </c>
      <c r="Q512" t="s">
        <v>311</v>
      </c>
      <c r="R512" s="7" t="s">
        <v>2169</v>
      </c>
      <c r="S512" t="str">
        <f xml:space="preserve"> HYPERLINK("ReviewHtml/review_Yellow_Submarine.html", "https://2danicritic.github.io/ReviewHtml/review_Yellow_Submarine.html")</f>
        <v>https://2danicritic.github.io/ReviewHtml/review_Yellow_Submarine.html</v>
      </c>
      <c r="U512" s="5">
        <f t="shared" si="7"/>
        <v>3.79</v>
      </c>
    </row>
    <row r="513" spans="2:21" x14ac:dyDescent="0.35">
      <c r="B513" s="7" t="s">
        <v>2688</v>
      </c>
      <c r="C513" t="s">
        <v>1184</v>
      </c>
      <c r="D513" s="7" t="s">
        <v>2030</v>
      </c>
      <c r="E513" t="s">
        <v>1555</v>
      </c>
      <c r="F513" t="s">
        <v>653</v>
      </c>
      <c r="G513" t="s">
        <v>1558</v>
      </c>
      <c r="H513" t="s">
        <v>654</v>
      </c>
      <c r="I513" s="7">
        <v>4.29</v>
      </c>
      <c r="J513" s="7" t="s">
        <v>2026</v>
      </c>
      <c r="K513" s="7" t="s">
        <v>2026</v>
      </c>
      <c r="L513" s="7" t="s">
        <v>2025</v>
      </c>
      <c r="M513" s="7" t="s">
        <v>2025</v>
      </c>
      <c r="N513" s="7" t="s">
        <v>2025</v>
      </c>
      <c r="O513" s="7" t="s">
        <v>2025</v>
      </c>
      <c r="P513" s="7" t="s">
        <v>2033</v>
      </c>
      <c r="Q513" t="s">
        <v>281</v>
      </c>
      <c r="R513" s="7" t="s">
        <v>2232</v>
      </c>
      <c r="S513" t="str">
        <f xml:space="preserve"> HYPERLINK("ReviewHtml/review_Your_Name..html", "https://2danicritic.github.io/ReviewHtml/review_Your_Name..html")</f>
        <v>https://2danicritic.github.io/ReviewHtml/review_Your_Name..html</v>
      </c>
      <c r="U513" s="5">
        <f t="shared" si="7"/>
        <v>4.29</v>
      </c>
    </row>
    <row r="514" spans="2:21" x14ac:dyDescent="0.35">
      <c r="B514" s="7" t="s">
        <v>2689</v>
      </c>
      <c r="C514" t="s">
        <v>1185</v>
      </c>
      <c r="D514" s="7" t="s">
        <v>2030</v>
      </c>
      <c r="E514" t="s">
        <v>1555</v>
      </c>
      <c r="F514" t="s">
        <v>869</v>
      </c>
      <c r="G514" t="s">
        <v>1560</v>
      </c>
      <c r="H514" t="s">
        <v>926</v>
      </c>
      <c r="I514" s="7">
        <v>3.86</v>
      </c>
      <c r="J514" s="7" t="s">
        <v>2027</v>
      </c>
      <c r="K514" s="7" t="s">
        <v>2025</v>
      </c>
      <c r="L514" s="7" t="s">
        <v>2025</v>
      </c>
      <c r="M514" s="7" t="s">
        <v>2027</v>
      </c>
      <c r="N514" s="7" t="s">
        <v>2027</v>
      </c>
      <c r="O514" s="7" t="s">
        <v>2025</v>
      </c>
      <c r="P514" s="7" t="s">
        <v>2026</v>
      </c>
      <c r="Q514" t="s">
        <v>312</v>
      </c>
      <c r="R514" s="7" t="s">
        <v>2049</v>
      </c>
      <c r="S514" t="str">
        <f xml:space="preserve"> HYPERLINK("ReviewHtml/review_Yuri_on_Ice.html", "https://2danicritic.github.io/ReviewHtml/review_Yuri_on_Ice.html")</f>
        <v>https://2danicritic.github.io/ReviewHtml/review_Yuri_on_Ice.html</v>
      </c>
      <c r="U514" s="5">
        <f t="shared" si="7"/>
        <v>3.86</v>
      </c>
    </row>
    <row r="515" spans="2:21" x14ac:dyDescent="0.35">
      <c r="B515" s="7" t="s">
        <v>2690</v>
      </c>
      <c r="C515" t="s">
        <v>1756</v>
      </c>
      <c r="D515" s="7" t="s">
        <v>2041</v>
      </c>
      <c r="E515" t="s">
        <v>1559</v>
      </c>
      <c r="F515" t="s">
        <v>1578</v>
      </c>
      <c r="G515" t="s">
        <v>1558</v>
      </c>
      <c r="H515" t="s">
        <v>1679</v>
      </c>
      <c r="I515" s="7">
        <v>3.64</v>
      </c>
      <c r="J515" s="7" t="s">
        <v>2025</v>
      </c>
      <c r="K515" s="7" t="s">
        <v>2027</v>
      </c>
      <c r="L515" s="7" t="s">
        <v>2020</v>
      </c>
      <c r="M515" s="7" t="s">
        <v>2025</v>
      </c>
      <c r="N515" s="7" t="s">
        <v>2027</v>
      </c>
      <c r="O515" s="7" t="s">
        <v>2027</v>
      </c>
      <c r="P515" s="7" t="s">
        <v>2025</v>
      </c>
      <c r="Q515" t="s">
        <v>1680</v>
      </c>
      <c r="R515" s="7" t="s">
        <v>2199</v>
      </c>
      <c r="S515" t="str">
        <f xml:space="preserve"> HYPERLINK("ReviewHtml/review_Zarafa.html", "https://2danicritic.github.io/ReviewHtml/review_Zarafa.html")</f>
        <v>https://2danicritic.github.io/ReviewHtml/review_Zarafa.html</v>
      </c>
      <c r="U515" s="5">
        <f t="shared" si="7"/>
        <v>3.64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5F5-7C5F-42E1-9BD2-0823207F94AA}">
  <dimension ref="B1:BI440"/>
  <sheetViews>
    <sheetView workbookViewId="0">
      <selection activeCell="A4" sqref="A4"/>
    </sheetView>
  </sheetViews>
  <sheetFormatPr defaultRowHeight="14.5" x14ac:dyDescent="0.35"/>
  <cols>
    <col min="1" max="1" width="8.7265625" style="5"/>
    <col min="2" max="2" width="40.6328125" style="5" customWidth="1"/>
    <col min="3" max="3" width="6.6328125" style="8" customWidth="1"/>
    <col min="4" max="4" width="15.6328125" style="5" customWidth="1"/>
    <col min="5" max="5" width="20.6328125" style="5" customWidth="1"/>
    <col min="6" max="6" width="8.6328125" style="9" customWidth="1"/>
    <col min="7" max="7" width="40.6328125" style="5" customWidth="1"/>
    <col min="8" max="15" width="6.6328125" style="8" customWidth="1"/>
    <col min="16" max="16" width="60.6328125" style="5" customWidth="1"/>
    <col min="17" max="17" width="6.6328125" style="8" customWidth="1"/>
    <col min="18" max="18" width="100.6328125" style="5" customWidth="1"/>
    <col min="19" max="20" width="8.7265625" style="5"/>
    <col min="21" max="21" width="60.6328125" style="5" customWidth="1"/>
    <col min="22" max="22" width="6.6328125" style="8" customWidth="1"/>
    <col min="23" max="23" width="8.6328125" style="5" customWidth="1"/>
    <col min="24" max="24" width="30.6328125" style="5" customWidth="1"/>
    <col min="25" max="25" width="8.6328125" style="5" customWidth="1"/>
    <col min="26" max="26" width="30.6328125" style="5" customWidth="1"/>
    <col min="27" max="34" width="6.6328125" style="8" customWidth="1"/>
    <col min="35" max="35" width="60.6328125" style="5" customWidth="1"/>
    <col min="36" max="36" width="6.6328125" style="8" customWidth="1"/>
    <col min="37" max="37" width="100.6328125" style="5" customWidth="1"/>
    <col min="38" max="39" width="8.7265625" style="5"/>
    <col min="40" max="40" width="50.6328125" style="5" customWidth="1"/>
    <col min="41" max="41" width="6.6328125" style="8" customWidth="1"/>
    <col min="42" max="42" width="10.6328125" style="5" customWidth="1"/>
    <col min="43" max="43" width="30.6328125" style="5" customWidth="1"/>
    <col min="44" max="44" width="6.6328125" style="5" customWidth="1"/>
    <col min="45" max="45" width="30.6328125" style="5" customWidth="1"/>
    <col min="46" max="53" width="6.6328125" style="8" customWidth="1"/>
    <col min="54" max="54" width="60.6328125" style="5" customWidth="1"/>
    <col min="55" max="55" width="6.6328125" style="8" customWidth="1"/>
    <col min="56" max="56" width="60.6328125" style="5" customWidth="1"/>
    <col min="57" max="16384" width="8.7265625" style="5"/>
  </cols>
  <sheetData>
    <row r="1" spans="2:61" x14ac:dyDescent="0.35">
      <c r="B1" s="5" t="s">
        <v>317</v>
      </c>
      <c r="U1" s="5" t="s">
        <v>317</v>
      </c>
      <c r="BH1" s="5" t="str">
        <f>TRIM(CLEAN(SUBSTITUTE(AM1,CHAR(160)," ")))</f>
        <v/>
      </c>
      <c r="BI1" s="5" t="str">
        <f t="shared" ref="BI1" si="0">TRIM(CLEAN(SUBSTITUTE(AN1,CHAR(160)," ")))</f>
        <v/>
      </c>
    </row>
    <row r="2" spans="2:61" x14ac:dyDescent="0.35">
      <c r="B2" s="6" t="s">
        <v>316</v>
      </c>
      <c r="U2" s="6" t="s">
        <v>315</v>
      </c>
      <c r="AN2" s="6" t="s">
        <v>314</v>
      </c>
      <c r="BH2" s="5" t="str">
        <f t="shared" ref="BH2:BH65" si="1">TRIM(CLEAN(SUBSTITUTE(AM2,CHAR(160)," ")))</f>
        <v/>
      </c>
      <c r="BI2" s="5" t="str">
        <f>TRIM(CLEAN(SUBSTITUTE(A2,CHAR(160)," ")))</f>
        <v/>
      </c>
    </row>
    <row r="3" spans="2:61" x14ac:dyDescent="0.35">
      <c r="B3" s="15" t="s">
        <v>648</v>
      </c>
      <c r="C3" s="7" t="s">
        <v>329</v>
      </c>
      <c r="D3" t="s">
        <v>649</v>
      </c>
      <c r="E3" t="s">
        <v>650</v>
      </c>
      <c r="F3" t="s">
        <v>651</v>
      </c>
      <c r="G3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t="s">
        <v>51</v>
      </c>
      <c r="Q3" s="7" t="s">
        <v>313</v>
      </c>
      <c r="R3" t="s">
        <v>52</v>
      </c>
      <c r="U3" s="15" t="s">
        <v>648</v>
      </c>
      <c r="V3" s="7" t="s">
        <v>329</v>
      </c>
      <c r="W3" t="s">
        <v>649</v>
      </c>
      <c r="X3" t="s">
        <v>650</v>
      </c>
      <c r="Y3" t="s">
        <v>651</v>
      </c>
      <c r="Z3" t="s">
        <v>42</v>
      </c>
      <c r="AA3" s="7" t="s">
        <v>43</v>
      </c>
      <c r="AB3" s="7" t="s">
        <v>44</v>
      </c>
      <c r="AC3" s="7" t="s">
        <v>45</v>
      </c>
      <c r="AD3" s="7" t="s">
        <v>46</v>
      </c>
      <c r="AE3" s="7" t="s">
        <v>47</v>
      </c>
      <c r="AF3" s="7" t="s">
        <v>48</v>
      </c>
      <c r="AG3" s="7" t="s">
        <v>49</v>
      </c>
      <c r="AH3" s="7" t="s">
        <v>50</v>
      </c>
      <c r="AI3" t="s">
        <v>51</v>
      </c>
      <c r="AJ3" s="7" t="s">
        <v>313</v>
      </c>
      <c r="AK3" t="s">
        <v>52</v>
      </c>
      <c r="AN3" s="15" t="s">
        <v>648</v>
      </c>
      <c r="AO3" s="7" t="s">
        <v>329</v>
      </c>
      <c r="AP3" t="s">
        <v>649</v>
      </c>
      <c r="AQ3" t="s">
        <v>650</v>
      </c>
      <c r="AR3" t="s">
        <v>651</v>
      </c>
      <c r="AS3" t="s">
        <v>42</v>
      </c>
      <c r="AT3" s="7" t="s">
        <v>43</v>
      </c>
      <c r="AU3" s="7" t="s">
        <v>44</v>
      </c>
      <c r="AV3" s="7" t="s">
        <v>45</v>
      </c>
      <c r="AW3" s="7" t="s">
        <v>46</v>
      </c>
      <c r="AX3" s="7" t="s">
        <v>47</v>
      </c>
      <c r="AY3" s="7" t="s">
        <v>48</v>
      </c>
      <c r="AZ3" s="7" t="s">
        <v>49</v>
      </c>
      <c r="BA3" s="7" t="s">
        <v>50</v>
      </c>
      <c r="BB3" t="s">
        <v>51</v>
      </c>
      <c r="BC3" s="7" t="s">
        <v>313</v>
      </c>
      <c r="BD3" t="s">
        <v>52</v>
      </c>
      <c r="BH3" s="5" t="str">
        <f t="shared" si="1"/>
        <v/>
      </c>
      <c r="BI3" s="5" t="str">
        <f t="shared" ref="BI3:BI66" si="2">TRIM(CLEAN(SUBSTITUTE(A3,CHAR(160)," ")))</f>
        <v/>
      </c>
    </row>
    <row r="4" spans="2:61" x14ac:dyDescent="0.35">
      <c r="B4" t="s">
        <v>2218</v>
      </c>
      <c r="C4" s="7" t="s">
        <v>2219</v>
      </c>
      <c r="D4" t="s">
        <v>1557</v>
      </c>
      <c r="E4" t="s">
        <v>961</v>
      </c>
      <c r="F4" t="s">
        <v>1558</v>
      </c>
      <c r="G4" t="s">
        <v>962</v>
      </c>
      <c r="H4" s="7" t="s">
        <v>2019</v>
      </c>
      <c r="I4" s="7" t="s">
        <v>2141</v>
      </c>
      <c r="J4" s="7" t="s">
        <v>2029</v>
      </c>
      <c r="K4" s="7" t="s">
        <v>2019</v>
      </c>
      <c r="L4" s="7" t="s">
        <v>2019</v>
      </c>
      <c r="M4" s="7" t="s">
        <v>2027</v>
      </c>
      <c r="N4" s="7" t="s">
        <v>2020</v>
      </c>
      <c r="O4" s="7" t="s">
        <v>2019</v>
      </c>
      <c r="P4" t="s">
        <v>2005</v>
      </c>
      <c r="Q4" s="7" t="s">
        <v>2112</v>
      </c>
      <c r="R4" t="s">
        <v>2691</v>
      </c>
      <c r="U4" t="s">
        <v>2246</v>
      </c>
      <c r="V4" s="7" t="s">
        <v>2219</v>
      </c>
      <c r="W4" t="s">
        <v>1555</v>
      </c>
      <c r="X4" t="s">
        <v>1287</v>
      </c>
      <c r="Y4" t="s">
        <v>1558</v>
      </c>
      <c r="Z4" t="s">
        <v>1300</v>
      </c>
      <c r="AA4" s="7" t="s">
        <v>2159</v>
      </c>
      <c r="AB4" s="7" t="s">
        <v>2027</v>
      </c>
      <c r="AC4" s="7" t="s">
        <v>2025</v>
      </c>
      <c r="AD4" s="7" t="s">
        <v>2025</v>
      </c>
      <c r="AE4" s="7" t="s">
        <v>2027</v>
      </c>
      <c r="AF4" s="7" t="s">
        <v>2027</v>
      </c>
      <c r="AG4" s="7" t="s">
        <v>2027</v>
      </c>
      <c r="AH4" s="7" t="s">
        <v>2025</v>
      </c>
      <c r="AI4" t="s">
        <v>1762</v>
      </c>
      <c r="AJ4" s="7" t="s">
        <v>2247</v>
      </c>
      <c r="AK4" t="s">
        <v>2701</v>
      </c>
      <c r="AN4" t="s">
        <v>1902</v>
      </c>
      <c r="AO4" s="7" t="s">
        <v>2188</v>
      </c>
      <c r="AP4" t="s">
        <v>1555</v>
      </c>
      <c r="AQ4" t="s">
        <v>1086</v>
      </c>
      <c r="AR4" t="s">
        <v>1560</v>
      </c>
      <c r="AS4" t="s">
        <v>1709</v>
      </c>
      <c r="AT4" s="7" t="s">
        <v>2081</v>
      </c>
      <c r="AU4" s="7" t="s">
        <v>2020</v>
      </c>
      <c r="AV4" s="7" t="s">
        <v>2026</v>
      </c>
      <c r="AW4" s="7" t="s">
        <v>2025</v>
      </c>
      <c r="AX4" s="7" t="s">
        <v>2025</v>
      </c>
      <c r="AY4" s="7" t="s">
        <v>2026</v>
      </c>
      <c r="AZ4" s="7" t="s">
        <v>2026</v>
      </c>
      <c r="BA4" s="7" t="s">
        <v>2026</v>
      </c>
      <c r="BB4" t="s">
        <v>1874</v>
      </c>
      <c r="BC4" s="7" t="s">
        <v>2242</v>
      </c>
      <c r="BD4" t="s">
        <v>1931</v>
      </c>
      <c r="BH4" s="5" t="str">
        <f t="shared" si="1"/>
        <v/>
      </c>
      <c r="BI4" s="5" t="str">
        <f t="shared" si="2"/>
        <v/>
      </c>
    </row>
    <row r="5" spans="2:61" x14ac:dyDescent="0.35">
      <c r="B5" t="s">
        <v>2627</v>
      </c>
      <c r="C5" s="7" t="s">
        <v>2219</v>
      </c>
      <c r="D5" t="s">
        <v>1557</v>
      </c>
      <c r="E5" t="s">
        <v>2628</v>
      </c>
      <c r="F5" t="s">
        <v>1558</v>
      </c>
      <c r="G5" t="s">
        <v>2014</v>
      </c>
      <c r="H5" s="7" t="s">
        <v>2090</v>
      </c>
      <c r="I5" s="7" t="s">
        <v>2020</v>
      </c>
      <c r="J5" s="7" t="s">
        <v>2019</v>
      </c>
      <c r="K5" s="7" t="s">
        <v>2025</v>
      </c>
      <c r="L5" s="7" t="s">
        <v>2027</v>
      </c>
      <c r="M5" s="7" t="s">
        <v>2025</v>
      </c>
      <c r="N5" s="7" t="s">
        <v>2027</v>
      </c>
      <c r="O5" s="7" t="s">
        <v>2027</v>
      </c>
      <c r="P5" t="s">
        <v>78</v>
      </c>
      <c r="Q5" s="7" t="s">
        <v>2216</v>
      </c>
      <c r="R5" t="s">
        <v>2692</v>
      </c>
      <c r="U5" t="s">
        <v>1960</v>
      </c>
      <c r="V5" s="7" t="s">
        <v>2188</v>
      </c>
      <c r="W5" t="s">
        <v>1555</v>
      </c>
      <c r="X5" t="s">
        <v>815</v>
      </c>
      <c r="Y5" t="s">
        <v>1558</v>
      </c>
      <c r="Z5" t="s">
        <v>1900</v>
      </c>
      <c r="AA5" s="7" t="s">
        <v>2027</v>
      </c>
      <c r="AB5" s="7" t="s">
        <v>2025</v>
      </c>
      <c r="AC5" s="7" t="s">
        <v>2025</v>
      </c>
      <c r="AD5" s="7" t="s">
        <v>2025</v>
      </c>
      <c r="AE5" s="7" t="s">
        <v>2020</v>
      </c>
      <c r="AF5" s="7" t="s">
        <v>2019</v>
      </c>
      <c r="AG5" s="7" t="s">
        <v>2025</v>
      </c>
      <c r="AH5" s="7" t="s">
        <v>2020</v>
      </c>
      <c r="AI5" t="s">
        <v>1946</v>
      </c>
      <c r="AJ5" s="7" t="s">
        <v>2229</v>
      </c>
      <c r="AK5" t="s">
        <v>1984</v>
      </c>
      <c r="AN5" t="s">
        <v>1899</v>
      </c>
      <c r="AO5" s="7" t="s">
        <v>2197</v>
      </c>
      <c r="AP5" t="s">
        <v>1555</v>
      </c>
      <c r="AQ5" t="s">
        <v>815</v>
      </c>
      <c r="AR5" t="s">
        <v>1560</v>
      </c>
      <c r="AS5" t="s">
        <v>1900</v>
      </c>
      <c r="AT5" s="7" t="s">
        <v>2024</v>
      </c>
      <c r="AU5" s="7" t="s">
        <v>2025</v>
      </c>
      <c r="AV5" s="7" t="s">
        <v>2025</v>
      </c>
      <c r="AW5" s="7" t="s">
        <v>2025</v>
      </c>
      <c r="AX5" s="7" t="s">
        <v>2020</v>
      </c>
      <c r="AY5" s="7" t="s">
        <v>2020</v>
      </c>
      <c r="AZ5" s="7" t="s">
        <v>2026</v>
      </c>
      <c r="BA5" s="7" t="s">
        <v>2025</v>
      </c>
      <c r="BB5" t="s">
        <v>249</v>
      </c>
      <c r="BC5" s="7" t="s">
        <v>2114</v>
      </c>
      <c r="BD5" t="s">
        <v>1932</v>
      </c>
      <c r="BH5" s="5" t="str">
        <f t="shared" si="1"/>
        <v/>
      </c>
      <c r="BI5" s="5" t="str">
        <f t="shared" si="2"/>
        <v/>
      </c>
    </row>
    <row r="6" spans="2:61" x14ac:dyDescent="0.35">
      <c r="B6" t="s">
        <v>2187</v>
      </c>
      <c r="C6" s="7" t="s">
        <v>2188</v>
      </c>
      <c r="D6" t="s">
        <v>1559</v>
      </c>
      <c r="E6" t="s">
        <v>2189</v>
      </c>
      <c r="F6" t="s">
        <v>1558</v>
      </c>
      <c r="G6" t="s">
        <v>1447</v>
      </c>
      <c r="H6" s="7" t="s">
        <v>2090</v>
      </c>
      <c r="I6" s="7" t="s">
        <v>2020</v>
      </c>
      <c r="J6" s="7" t="s">
        <v>2027</v>
      </c>
      <c r="K6" s="7" t="s">
        <v>2027</v>
      </c>
      <c r="L6" s="7" t="s">
        <v>2027</v>
      </c>
      <c r="M6" s="7" t="s">
        <v>2027</v>
      </c>
      <c r="N6" s="7" t="s">
        <v>2027</v>
      </c>
      <c r="O6" s="7" t="s">
        <v>2027</v>
      </c>
      <c r="P6" t="s">
        <v>1318</v>
      </c>
      <c r="Q6" s="7" t="s">
        <v>2190</v>
      </c>
      <c r="R6" t="s">
        <v>2693</v>
      </c>
      <c r="U6" t="s">
        <v>1961</v>
      </c>
      <c r="V6" s="7" t="s">
        <v>2188</v>
      </c>
      <c r="W6" t="s">
        <v>1555</v>
      </c>
      <c r="X6" t="s">
        <v>682</v>
      </c>
      <c r="Y6" t="s">
        <v>1558</v>
      </c>
      <c r="Z6" t="s">
        <v>1975</v>
      </c>
      <c r="AA6" s="7" t="s">
        <v>2061</v>
      </c>
      <c r="AB6" s="7" t="s">
        <v>2020</v>
      </c>
      <c r="AC6" s="7" t="s">
        <v>2020</v>
      </c>
      <c r="AD6" s="7" t="s">
        <v>2019</v>
      </c>
      <c r="AE6" s="7" t="s">
        <v>2020</v>
      </c>
      <c r="AF6" s="7" t="s">
        <v>2020</v>
      </c>
      <c r="AG6" s="7" t="s">
        <v>2020</v>
      </c>
      <c r="AH6" s="7" t="s">
        <v>2020</v>
      </c>
      <c r="AI6" t="s">
        <v>1947</v>
      </c>
      <c r="AJ6" s="7" t="s">
        <v>2217</v>
      </c>
      <c r="AK6" t="s">
        <v>1985</v>
      </c>
      <c r="AN6" t="s">
        <v>1964</v>
      </c>
      <c r="AO6" s="7" t="s">
        <v>2197</v>
      </c>
      <c r="AP6" t="s">
        <v>1555</v>
      </c>
      <c r="AQ6" t="s">
        <v>1783</v>
      </c>
      <c r="AR6" t="s">
        <v>1560</v>
      </c>
      <c r="AS6" t="s">
        <v>1784</v>
      </c>
      <c r="AT6" s="7" t="s">
        <v>2070</v>
      </c>
      <c r="AU6" s="7" t="s">
        <v>2020</v>
      </c>
      <c r="AV6" s="7" t="s">
        <v>2025</v>
      </c>
      <c r="AW6" s="7" t="s">
        <v>2027</v>
      </c>
      <c r="AX6" s="7" t="s">
        <v>2027</v>
      </c>
      <c r="AY6" s="7" t="s">
        <v>2019</v>
      </c>
      <c r="AZ6" s="7" t="s">
        <v>2020</v>
      </c>
      <c r="BA6" s="7" t="s">
        <v>2019</v>
      </c>
      <c r="BB6" t="s">
        <v>1949</v>
      </c>
      <c r="BC6" s="7" t="s">
        <v>2077</v>
      </c>
      <c r="BD6" t="s">
        <v>1989</v>
      </c>
      <c r="BH6" s="5" t="str">
        <f t="shared" si="1"/>
        <v/>
      </c>
      <c r="BI6" s="5" t="str">
        <f t="shared" si="2"/>
        <v/>
      </c>
    </row>
    <row r="7" spans="2:61" x14ac:dyDescent="0.35">
      <c r="B7" t="s">
        <v>2240</v>
      </c>
      <c r="C7" s="7" t="s">
        <v>2188</v>
      </c>
      <c r="D7" t="s">
        <v>1608</v>
      </c>
      <c r="E7" t="s">
        <v>989</v>
      </c>
      <c r="F7" t="s">
        <v>1558</v>
      </c>
      <c r="G7" t="s">
        <v>990</v>
      </c>
      <c r="H7" s="7" t="s">
        <v>2181</v>
      </c>
      <c r="I7" s="7" t="s">
        <v>2019</v>
      </c>
      <c r="J7" s="7" t="s">
        <v>2019</v>
      </c>
      <c r="K7" s="7" t="s">
        <v>2029</v>
      </c>
      <c r="L7" s="7" t="s">
        <v>2141</v>
      </c>
      <c r="M7" s="7" t="s">
        <v>2029</v>
      </c>
      <c r="N7" s="7" t="s">
        <v>2019</v>
      </c>
      <c r="O7" s="7" t="s">
        <v>2019</v>
      </c>
      <c r="P7" t="s">
        <v>1214</v>
      </c>
      <c r="Q7" s="7" t="s">
        <v>2185</v>
      </c>
      <c r="R7" t="s">
        <v>2694</v>
      </c>
      <c r="U7" t="s">
        <v>2341</v>
      </c>
      <c r="V7" s="7" t="s">
        <v>2188</v>
      </c>
      <c r="W7" t="s">
        <v>1555</v>
      </c>
      <c r="X7" t="s">
        <v>735</v>
      </c>
      <c r="Y7" t="s">
        <v>1558</v>
      </c>
      <c r="Z7" t="s">
        <v>987</v>
      </c>
      <c r="AA7" s="7" t="s">
        <v>2048</v>
      </c>
      <c r="AB7" s="7" t="s">
        <v>2020</v>
      </c>
      <c r="AC7" s="7" t="s">
        <v>2020</v>
      </c>
      <c r="AD7" s="7" t="s">
        <v>2020</v>
      </c>
      <c r="AE7" s="7" t="s">
        <v>2020</v>
      </c>
      <c r="AF7" s="7" t="s">
        <v>2020</v>
      </c>
      <c r="AG7" s="7" t="s">
        <v>2027</v>
      </c>
      <c r="AH7" s="7" t="s">
        <v>2020</v>
      </c>
      <c r="AI7" t="s">
        <v>171</v>
      </c>
      <c r="AJ7" s="7" t="s">
        <v>2220</v>
      </c>
      <c r="AK7" t="s">
        <v>2702</v>
      </c>
      <c r="AN7" t="s">
        <v>2441</v>
      </c>
      <c r="AO7" s="7" t="s">
        <v>2197</v>
      </c>
      <c r="AP7" t="s">
        <v>1555</v>
      </c>
      <c r="AQ7" t="s">
        <v>2442</v>
      </c>
      <c r="AR7" t="s">
        <v>1560</v>
      </c>
      <c r="AS7" t="s">
        <v>2443</v>
      </c>
      <c r="AT7" s="7" t="s">
        <v>2018</v>
      </c>
      <c r="AU7" s="7" t="s">
        <v>2019</v>
      </c>
      <c r="AV7" s="7" t="s">
        <v>2020</v>
      </c>
      <c r="AW7" s="7" t="s">
        <v>2020</v>
      </c>
      <c r="AX7" s="7" t="s">
        <v>2020</v>
      </c>
      <c r="AY7" s="7" t="s">
        <v>2029</v>
      </c>
      <c r="AZ7" s="7" t="s">
        <v>2027</v>
      </c>
      <c r="BA7" s="7" t="s">
        <v>2029</v>
      </c>
      <c r="BB7" t="s">
        <v>2008</v>
      </c>
      <c r="BC7" s="7" t="s">
        <v>2262</v>
      </c>
      <c r="BD7" t="s">
        <v>2705</v>
      </c>
      <c r="BH7" s="5" t="str">
        <f t="shared" si="1"/>
        <v/>
      </c>
      <c r="BI7" s="5" t="str">
        <f t="shared" si="2"/>
        <v/>
      </c>
    </row>
    <row r="8" spans="2:61" x14ac:dyDescent="0.35">
      <c r="B8" t="s">
        <v>1791</v>
      </c>
      <c r="C8" s="7" t="s">
        <v>2188</v>
      </c>
      <c r="D8" t="s">
        <v>1792</v>
      </c>
      <c r="E8" t="s">
        <v>1793</v>
      </c>
      <c r="F8" t="s">
        <v>1558</v>
      </c>
      <c r="G8" t="s">
        <v>1794</v>
      </c>
      <c r="H8" s="7" t="s">
        <v>2020</v>
      </c>
      <c r="I8" s="7" t="s">
        <v>2027</v>
      </c>
      <c r="J8" s="7" t="s">
        <v>2020</v>
      </c>
      <c r="K8" s="7" t="s">
        <v>2027</v>
      </c>
      <c r="L8" s="7" t="s">
        <v>2020</v>
      </c>
      <c r="M8" s="7" t="s">
        <v>2019</v>
      </c>
      <c r="N8" s="7" t="s">
        <v>2020</v>
      </c>
      <c r="O8" s="7" t="s">
        <v>2019</v>
      </c>
      <c r="P8" t="s">
        <v>1763</v>
      </c>
      <c r="Q8" s="7" t="s">
        <v>2209</v>
      </c>
      <c r="R8" t="s">
        <v>1837</v>
      </c>
      <c r="U8" t="s">
        <v>1969</v>
      </c>
      <c r="V8" s="7" t="s">
        <v>2188</v>
      </c>
      <c r="W8" t="s">
        <v>1555</v>
      </c>
      <c r="X8" t="s">
        <v>659</v>
      </c>
      <c r="Y8" t="s">
        <v>1558</v>
      </c>
      <c r="Z8" t="s">
        <v>706</v>
      </c>
      <c r="AA8" s="7" t="s">
        <v>2024</v>
      </c>
      <c r="AB8" s="7" t="s">
        <v>2025</v>
      </c>
      <c r="AC8" s="7" t="s">
        <v>2025</v>
      </c>
      <c r="AD8" s="7" t="s">
        <v>2025</v>
      </c>
      <c r="AE8" s="7" t="s">
        <v>2027</v>
      </c>
      <c r="AF8" s="7" t="s">
        <v>2027</v>
      </c>
      <c r="AG8" s="7" t="s">
        <v>2025</v>
      </c>
      <c r="AH8" s="7" t="s">
        <v>2027</v>
      </c>
      <c r="AI8" t="s">
        <v>60</v>
      </c>
      <c r="AJ8" s="7" t="s">
        <v>2261</v>
      </c>
      <c r="AK8" t="s">
        <v>1986</v>
      </c>
      <c r="AN8" t="s">
        <v>1966</v>
      </c>
      <c r="AO8" s="7" t="s">
        <v>2197</v>
      </c>
      <c r="AP8" t="s">
        <v>1555</v>
      </c>
      <c r="AQ8" t="s">
        <v>1977</v>
      </c>
      <c r="AR8" t="s">
        <v>1560</v>
      </c>
      <c r="AS8" t="s">
        <v>1978</v>
      </c>
      <c r="AT8" s="7" t="s">
        <v>2027</v>
      </c>
      <c r="AU8" s="7" t="s">
        <v>2020</v>
      </c>
      <c r="AV8" s="7" t="s">
        <v>2020</v>
      </c>
      <c r="AW8" s="7" t="s">
        <v>2020</v>
      </c>
      <c r="AX8" s="7" t="s">
        <v>2027</v>
      </c>
      <c r="AY8" s="7" t="s">
        <v>2025</v>
      </c>
      <c r="AZ8" s="7" t="s">
        <v>2025</v>
      </c>
      <c r="BA8" s="7" t="s">
        <v>2025</v>
      </c>
      <c r="BB8" t="s">
        <v>1952</v>
      </c>
      <c r="BC8" s="7" t="s">
        <v>2049</v>
      </c>
      <c r="BD8" t="s">
        <v>1990</v>
      </c>
      <c r="BH8" s="5" t="str">
        <f t="shared" si="1"/>
        <v/>
      </c>
      <c r="BI8" s="5" t="str">
        <f t="shared" si="2"/>
        <v/>
      </c>
    </row>
    <row r="9" spans="2:61" x14ac:dyDescent="0.35">
      <c r="B9" t="s">
        <v>2302</v>
      </c>
      <c r="C9" s="7" t="s">
        <v>2188</v>
      </c>
      <c r="D9" t="s">
        <v>2303</v>
      </c>
      <c r="E9" t="s">
        <v>2304</v>
      </c>
      <c r="F9" t="s">
        <v>1558</v>
      </c>
      <c r="G9" t="s">
        <v>2305</v>
      </c>
      <c r="H9" s="7" t="s">
        <v>2070</v>
      </c>
      <c r="I9" s="7" t="s">
        <v>2020</v>
      </c>
      <c r="J9" s="7" t="s">
        <v>2020</v>
      </c>
      <c r="K9" s="7" t="s">
        <v>2020</v>
      </c>
      <c r="L9" s="7" t="s">
        <v>2027</v>
      </c>
      <c r="M9" s="7" t="s">
        <v>2020</v>
      </c>
      <c r="N9" s="7" t="s">
        <v>2027</v>
      </c>
      <c r="O9" s="7" t="s">
        <v>2020</v>
      </c>
      <c r="P9" t="s">
        <v>350</v>
      </c>
      <c r="Q9" s="7" t="s">
        <v>2194</v>
      </c>
      <c r="R9" t="s">
        <v>2695</v>
      </c>
      <c r="U9" t="s">
        <v>1894</v>
      </c>
      <c r="V9" s="7" t="s">
        <v>2197</v>
      </c>
      <c r="W9" t="s">
        <v>1555</v>
      </c>
      <c r="X9" t="s">
        <v>703</v>
      </c>
      <c r="Y9" t="s">
        <v>1558</v>
      </c>
      <c r="Z9" t="s">
        <v>1895</v>
      </c>
      <c r="AA9" s="7" t="s">
        <v>2038</v>
      </c>
      <c r="AB9" s="7" t="s">
        <v>2027</v>
      </c>
      <c r="AC9" s="7" t="s">
        <v>2026</v>
      </c>
      <c r="AD9" s="7" t="s">
        <v>2025</v>
      </c>
      <c r="AE9" s="7" t="s">
        <v>2020</v>
      </c>
      <c r="AF9" s="7" t="s">
        <v>2019</v>
      </c>
      <c r="AG9" s="7" t="s">
        <v>2019</v>
      </c>
      <c r="AH9" s="7" t="s">
        <v>2027</v>
      </c>
      <c r="AI9" t="s">
        <v>1869</v>
      </c>
      <c r="AJ9" s="7" t="s">
        <v>2198</v>
      </c>
      <c r="AK9" t="s">
        <v>1924</v>
      </c>
      <c r="AN9" t="s">
        <v>787</v>
      </c>
      <c r="AO9" s="7" t="s">
        <v>2135</v>
      </c>
      <c r="AP9" t="s">
        <v>1555</v>
      </c>
      <c r="AQ9" t="s">
        <v>788</v>
      </c>
      <c r="AR9" t="s">
        <v>1569</v>
      </c>
      <c r="AS9" t="s">
        <v>789</v>
      </c>
      <c r="AT9" s="7" t="s">
        <v>2031</v>
      </c>
      <c r="AU9" s="7" t="s">
        <v>2019</v>
      </c>
      <c r="AV9" s="7" t="s">
        <v>2020</v>
      </c>
      <c r="AW9" s="7" t="s">
        <v>2027</v>
      </c>
      <c r="AX9" s="7" t="s">
        <v>2020</v>
      </c>
      <c r="AY9" s="7" t="s">
        <v>2027</v>
      </c>
      <c r="AZ9" s="7" t="s">
        <v>2027</v>
      </c>
      <c r="BA9" s="7" t="s">
        <v>2025</v>
      </c>
      <c r="BB9" t="s">
        <v>121</v>
      </c>
      <c r="BC9" s="7" t="s">
        <v>2157</v>
      </c>
      <c r="BD9" t="s">
        <v>503</v>
      </c>
      <c r="BH9" s="5" t="str">
        <f t="shared" si="1"/>
        <v/>
      </c>
      <c r="BI9" s="5" t="str">
        <f t="shared" si="2"/>
        <v/>
      </c>
    </row>
    <row r="10" spans="2:61" x14ac:dyDescent="0.35">
      <c r="B10" t="s">
        <v>1813</v>
      </c>
      <c r="C10" s="7" t="s">
        <v>2188</v>
      </c>
      <c r="D10" t="s">
        <v>1814</v>
      </c>
      <c r="E10" t="s">
        <v>1815</v>
      </c>
      <c r="F10" t="s">
        <v>1558</v>
      </c>
      <c r="G10" t="s">
        <v>1770</v>
      </c>
      <c r="H10" s="7" t="s">
        <v>2052</v>
      </c>
      <c r="I10" s="7" t="s">
        <v>2029</v>
      </c>
      <c r="J10" s="7" t="s">
        <v>2019</v>
      </c>
      <c r="K10" s="7" t="s">
        <v>2019</v>
      </c>
      <c r="L10" s="7" t="s">
        <v>2020</v>
      </c>
      <c r="M10" s="7" t="s">
        <v>2020</v>
      </c>
      <c r="N10" s="7" t="s">
        <v>2019</v>
      </c>
      <c r="O10" s="7" t="s">
        <v>2019</v>
      </c>
      <c r="P10" t="s">
        <v>1771</v>
      </c>
      <c r="Q10" s="7" t="s">
        <v>2085</v>
      </c>
      <c r="R10" t="s">
        <v>1838</v>
      </c>
      <c r="U10" t="s">
        <v>1896</v>
      </c>
      <c r="V10" s="7" t="s">
        <v>2197</v>
      </c>
      <c r="W10" t="s">
        <v>1555</v>
      </c>
      <c r="X10" t="s">
        <v>760</v>
      </c>
      <c r="Y10" t="s">
        <v>1558</v>
      </c>
      <c r="Z10" t="s">
        <v>1897</v>
      </c>
      <c r="AA10" s="7" t="s">
        <v>2048</v>
      </c>
      <c r="AB10" s="7" t="s">
        <v>2020</v>
      </c>
      <c r="AC10" s="7" t="s">
        <v>2020</v>
      </c>
      <c r="AD10" s="7" t="s">
        <v>2025</v>
      </c>
      <c r="AE10" s="7" t="s">
        <v>2027</v>
      </c>
      <c r="AF10" s="7" t="s">
        <v>2029</v>
      </c>
      <c r="AG10" s="7" t="s">
        <v>2027</v>
      </c>
      <c r="AH10" s="7" t="s">
        <v>2019</v>
      </c>
      <c r="AI10" t="s">
        <v>1870</v>
      </c>
      <c r="AJ10" s="7" t="s">
        <v>2112</v>
      </c>
      <c r="AK10" t="s">
        <v>1925</v>
      </c>
      <c r="AN10" t="s">
        <v>1720</v>
      </c>
      <c r="AO10" s="7" t="s">
        <v>2135</v>
      </c>
      <c r="AP10" t="s">
        <v>1555</v>
      </c>
      <c r="AQ10" t="s">
        <v>1721</v>
      </c>
      <c r="AR10" t="s">
        <v>1560</v>
      </c>
      <c r="AS10" t="s">
        <v>1722</v>
      </c>
      <c r="AT10" s="7" t="s">
        <v>2052</v>
      </c>
      <c r="AU10" s="7" t="s">
        <v>2019</v>
      </c>
      <c r="AV10" s="7" t="s">
        <v>2019</v>
      </c>
      <c r="AW10" s="7" t="s">
        <v>2020</v>
      </c>
      <c r="AX10" s="7" t="s">
        <v>2020</v>
      </c>
      <c r="AY10" s="7" t="s">
        <v>2029</v>
      </c>
      <c r="AZ10" s="7" t="s">
        <v>2019</v>
      </c>
      <c r="BA10" s="7" t="s">
        <v>2019</v>
      </c>
      <c r="BB10" t="s">
        <v>1665</v>
      </c>
      <c r="BC10" s="7" t="s">
        <v>2049</v>
      </c>
      <c r="BD10" t="s">
        <v>1694</v>
      </c>
      <c r="BH10" s="5" t="str">
        <f t="shared" si="1"/>
        <v/>
      </c>
      <c r="BI10" s="5" t="str">
        <f t="shared" si="2"/>
        <v/>
      </c>
    </row>
    <row r="11" spans="2:61" x14ac:dyDescent="0.35">
      <c r="B11" t="s">
        <v>1816</v>
      </c>
      <c r="C11" s="7" t="s">
        <v>2188</v>
      </c>
      <c r="D11" t="s">
        <v>1570</v>
      </c>
      <c r="E11" t="s">
        <v>1817</v>
      </c>
      <c r="F11" t="s">
        <v>1558</v>
      </c>
      <c r="G11" t="s">
        <v>1818</v>
      </c>
      <c r="H11" s="7" t="s">
        <v>2042</v>
      </c>
      <c r="I11" s="7" t="s">
        <v>2027</v>
      </c>
      <c r="J11" s="7" t="s">
        <v>2027</v>
      </c>
      <c r="K11" s="7" t="s">
        <v>2020</v>
      </c>
      <c r="L11" s="7" t="s">
        <v>2027</v>
      </c>
      <c r="M11" s="7" t="s">
        <v>2020</v>
      </c>
      <c r="N11" s="7" t="s">
        <v>2020</v>
      </c>
      <c r="O11" s="7" t="s">
        <v>2020</v>
      </c>
      <c r="P11" t="s">
        <v>196</v>
      </c>
      <c r="Q11" s="7" t="s">
        <v>2221</v>
      </c>
      <c r="R11" t="s">
        <v>1839</v>
      </c>
      <c r="U11" t="s">
        <v>1372</v>
      </c>
      <c r="V11" s="7" t="s">
        <v>2197</v>
      </c>
      <c r="W11" t="s">
        <v>1555</v>
      </c>
      <c r="X11" t="s">
        <v>760</v>
      </c>
      <c r="Y11" t="s">
        <v>1558</v>
      </c>
      <c r="Z11" t="s">
        <v>763</v>
      </c>
      <c r="AA11" s="7" t="s">
        <v>2048</v>
      </c>
      <c r="AB11" s="7" t="s">
        <v>2027</v>
      </c>
      <c r="AC11" s="7" t="s">
        <v>2027</v>
      </c>
      <c r="AD11" s="7" t="s">
        <v>2027</v>
      </c>
      <c r="AE11" s="7" t="s">
        <v>2025</v>
      </c>
      <c r="AF11" s="7" t="s">
        <v>2141</v>
      </c>
      <c r="AG11" s="7" t="s">
        <v>2027</v>
      </c>
      <c r="AH11" s="7" t="s">
        <v>2029</v>
      </c>
      <c r="AI11" t="s">
        <v>1307</v>
      </c>
      <c r="AJ11" s="7" t="s">
        <v>2208</v>
      </c>
      <c r="AK11" t="s">
        <v>1474</v>
      </c>
      <c r="AN11" t="s">
        <v>1576</v>
      </c>
      <c r="AO11" s="7" t="s">
        <v>2135</v>
      </c>
      <c r="AP11" t="s">
        <v>1555</v>
      </c>
      <c r="AQ11" t="s">
        <v>690</v>
      </c>
      <c r="AR11" t="s">
        <v>1560</v>
      </c>
      <c r="AS11" t="s">
        <v>778</v>
      </c>
      <c r="AT11" s="7" t="s">
        <v>2042</v>
      </c>
      <c r="AU11" s="7" t="s">
        <v>2027</v>
      </c>
      <c r="AV11" s="7" t="s">
        <v>2027</v>
      </c>
      <c r="AW11" s="7" t="s">
        <v>2027</v>
      </c>
      <c r="AX11" s="7" t="s">
        <v>2025</v>
      </c>
      <c r="AY11" s="7" t="s">
        <v>2029</v>
      </c>
      <c r="AZ11" s="7" t="s">
        <v>2020</v>
      </c>
      <c r="BA11" s="7" t="s">
        <v>2020</v>
      </c>
      <c r="BB11" t="s">
        <v>1531</v>
      </c>
      <c r="BC11" s="7" t="s">
        <v>2250</v>
      </c>
      <c r="BD11" t="s">
        <v>1645</v>
      </c>
      <c r="BH11" s="5" t="str">
        <f t="shared" si="1"/>
        <v/>
      </c>
      <c r="BI11" s="5" t="str">
        <f t="shared" si="2"/>
        <v/>
      </c>
    </row>
    <row r="12" spans="2:61" x14ac:dyDescent="0.35">
      <c r="B12" t="s">
        <v>1834</v>
      </c>
      <c r="C12" s="7" t="s">
        <v>2188</v>
      </c>
      <c r="D12" t="s">
        <v>1792</v>
      </c>
      <c r="E12" t="s">
        <v>1835</v>
      </c>
      <c r="F12" t="s">
        <v>1558</v>
      </c>
      <c r="G12" t="s">
        <v>1779</v>
      </c>
      <c r="H12" s="7" t="s">
        <v>2061</v>
      </c>
      <c r="I12" s="7" t="s">
        <v>2019</v>
      </c>
      <c r="J12" s="7" t="s">
        <v>2020</v>
      </c>
      <c r="K12" s="7" t="s">
        <v>2027</v>
      </c>
      <c r="L12" s="7" t="s">
        <v>2020</v>
      </c>
      <c r="M12" s="7" t="s">
        <v>2020</v>
      </c>
      <c r="N12" s="7" t="s">
        <v>2019</v>
      </c>
      <c r="O12" s="7" t="s">
        <v>2020</v>
      </c>
      <c r="P12" t="s">
        <v>1780</v>
      </c>
      <c r="Q12" s="7" t="s">
        <v>2210</v>
      </c>
      <c r="R12" t="s">
        <v>1840</v>
      </c>
      <c r="U12" t="s">
        <v>1339</v>
      </c>
      <c r="V12" s="7" t="s">
        <v>2197</v>
      </c>
      <c r="W12" t="s">
        <v>1555</v>
      </c>
      <c r="X12" t="s">
        <v>671</v>
      </c>
      <c r="Y12" t="s">
        <v>1558</v>
      </c>
      <c r="Z12" t="s">
        <v>856</v>
      </c>
      <c r="AA12" s="7" t="s">
        <v>2048</v>
      </c>
      <c r="AB12" s="7" t="s">
        <v>2020</v>
      </c>
      <c r="AC12" s="7" t="s">
        <v>2020</v>
      </c>
      <c r="AD12" s="7" t="s">
        <v>2027</v>
      </c>
      <c r="AE12" s="7" t="s">
        <v>2027</v>
      </c>
      <c r="AF12" s="7" t="s">
        <v>2019</v>
      </c>
      <c r="AG12" s="7" t="s">
        <v>2027</v>
      </c>
      <c r="AH12" s="7" t="s">
        <v>2019</v>
      </c>
      <c r="AI12" t="s">
        <v>220</v>
      </c>
      <c r="AJ12" s="7" t="s">
        <v>2190</v>
      </c>
      <c r="AK12" t="s">
        <v>1479</v>
      </c>
      <c r="AN12" t="s">
        <v>1726</v>
      </c>
      <c r="AO12" s="7" t="s">
        <v>2135</v>
      </c>
      <c r="AP12" t="s">
        <v>1555</v>
      </c>
      <c r="AQ12" t="s">
        <v>732</v>
      </c>
      <c r="AR12" t="s">
        <v>1560</v>
      </c>
      <c r="AS12" t="s">
        <v>1727</v>
      </c>
      <c r="AT12" s="7" t="s">
        <v>2025</v>
      </c>
      <c r="AU12" s="7" t="s">
        <v>2027</v>
      </c>
      <c r="AV12" s="7" t="s">
        <v>2025</v>
      </c>
      <c r="AW12" s="7" t="s">
        <v>2026</v>
      </c>
      <c r="AX12" s="7" t="s">
        <v>2025</v>
      </c>
      <c r="AY12" s="7" t="s">
        <v>2027</v>
      </c>
      <c r="AZ12" s="7" t="s">
        <v>2026</v>
      </c>
      <c r="BA12" s="7" t="s">
        <v>2025</v>
      </c>
      <c r="BB12" t="s">
        <v>1666</v>
      </c>
      <c r="BC12" s="7" t="s">
        <v>2264</v>
      </c>
      <c r="BD12" t="s">
        <v>1695</v>
      </c>
      <c r="BH12" s="5" t="str">
        <f t="shared" si="1"/>
        <v/>
      </c>
      <c r="BI12" s="5" t="str">
        <f t="shared" si="2"/>
        <v/>
      </c>
    </row>
    <row r="13" spans="2:61" x14ac:dyDescent="0.35">
      <c r="B13" t="s">
        <v>1923</v>
      </c>
      <c r="C13" s="7" t="s">
        <v>2188</v>
      </c>
      <c r="D13" t="s">
        <v>1614</v>
      </c>
      <c r="E13" t="s">
        <v>1056</v>
      </c>
      <c r="F13" t="s">
        <v>1558</v>
      </c>
      <c r="G13" t="s">
        <v>1886</v>
      </c>
      <c r="H13" s="7" t="s">
        <v>2103</v>
      </c>
      <c r="I13" s="7" t="s">
        <v>2027</v>
      </c>
      <c r="J13" s="7" t="s">
        <v>2025</v>
      </c>
      <c r="K13" s="7" t="s">
        <v>2026</v>
      </c>
      <c r="L13" s="7" t="s">
        <v>2027</v>
      </c>
      <c r="M13" s="7" t="s">
        <v>2027</v>
      </c>
      <c r="N13" s="7" t="s">
        <v>2025</v>
      </c>
      <c r="O13" s="7" t="s">
        <v>2025</v>
      </c>
      <c r="P13" t="s">
        <v>1887</v>
      </c>
      <c r="Q13" s="7" t="s">
        <v>2227</v>
      </c>
      <c r="R13" t="s">
        <v>1982</v>
      </c>
      <c r="U13" t="s">
        <v>1733</v>
      </c>
      <c r="V13" s="7" t="s">
        <v>2197</v>
      </c>
      <c r="W13" t="s">
        <v>1555</v>
      </c>
      <c r="X13" t="s">
        <v>916</v>
      </c>
      <c r="Y13" t="s">
        <v>1558</v>
      </c>
      <c r="Z13" t="s">
        <v>1031</v>
      </c>
      <c r="AA13" s="7" t="s">
        <v>2063</v>
      </c>
      <c r="AB13" s="7" t="s">
        <v>2027</v>
      </c>
      <c r="AC13" s="7" t="s">
        <v>2025</v>
      </c>
      <c r="AD13" s="7" t="s">
        <v>2026</v>
      </c>
      <c r="AE13" s="7" t="s">
        <v>2025</v>
      </c>
      <c r="AF13" s="7" t="s">
        <v>2027</v>
      </c>
      <c r="AG13" s="7" t="s">
        <v>2025</v>
      </c>
      <c r="AH13" s="7" t="s">
        <v>2025</v>
      </c>
      <c r="AI13" t="s">
        <v>1199</v>
      </c>
      <c r="AJ13" s="7" t="s">
        <v>2166</v>
      </c>
      <c r="AK13" t="s">
        <v>1688</v>
      </c>
      <c r="AN13" t="s">
        <v>1963</v>
      </c>
      <c r="AO13" s="7" t="s">
        <v>2135</v>
      </c>
      <c r="AP13" t="s">
        <v>1555</v>
      </c>
      <c r="AQ13" t="s">
        <v>880</v>
      </c>
      <c r="AR13" t="s">
        <v>1560</v>
      </c>
      <c r="AS13" t="s">
        <v>1729</v>
      </c>
      <c r="AT13" s="7" t="s">
        <v>2019</v>
      </c>
      <c r="AU13" s="7" t="s">
        <v>2019</v>
      </c>
      <c r="AV13" s="7" t="s">
        <v>2019</v>
      </c>
      <c r="AW13" s="7" t="s">
        <v>2020</v>
      </c>
      <c r="AX13" s="7" t="s">
        <v>2020</v>
      </c>
      <c r="AY13" s="7" t="s">
        <v>2019</v>
      </c>
      <c r="AZ13" s="7" t="s">
        <v>2029</v>
      </c>
      <c r="BA13" s="7" t="s">
        <v>2029</v>
      </c>
      <c r="BB13" t="s">
        <v>64</v>
      </c>
      <c r="BC13" s="7" t="s">
        <v>2049</v>
      </c>
      <c r="BD13" t="s">
        <v>1991</v>
      </c>
      <c r="BH13" s="5" t="str">
        <f t="shared" si="1"/>
        <v/>
      </c>
      <c r="BI13" s="5" t="str">
        <f t="shared" si="2"/>
        <v/>
      </c>
    </row>
    <row r="14" spans="2:61" x14ac:dyDescent="0.35">
      <c r="B14" t="s">
        <v>1583</v>
      </c>
      <c r="C14" s="7" t="s">
        <v>2197</v>
      </c>
      <c r="D14" t="s">
        <v>1559</v>
      </c>
      <c r="E14" t="s">
        <v>1584</v>
      </c>
      <c r="F14" t="s">
        <v>1558</v>
      </c>
      <c r="G14" t="s">
        <v>1585</v>
      </c>
      <c r="H14" s="7" t="s">
        <v>2215</v>
      </c>
      <c r="I14" s="7" t="s">
        <v>2020</v>
      </c>
      <c r="J14" s="7" t="s">
        <v>2020</v>
      </c>
      <c r="K14" s="7" t="s">
        <v>2020</v>
      </c>
      <c r="L14" s="7" t="s">
        <v>2020</v>
      </c>
      <c r="M14" s="7" t="s">
        <v>2019</v>
      </c>
      <c r="N14" s="7" t="s">
        <v>2019</v>
      </c>
      <c r="O14" s="7" t="s">
        <v>2019</v>
      </c>
      <c r="P14" t="s">
        <v>1536</v>
      </c>
      <c r="Q14" s="7" t="s">
        <v>2202</v>
      </c>
      <c r="R14" t="s">
        <v>1630</v>
      </c>
      <c r="U14" t="s">
        <v>2475</v>
      </c>
      <c r="V14" s="7" t="s">
        <v>2197</v>
      </c>
      <c r="W14" t="s">
        <v>1555</v>
      </c>
      <c r="X14" t="s">
        <v>2476</v>
      </c>
      <c r="Y14" t="s">
        <v>1558</v>
      </c>
      <c r="Z14" t="s">
        <v>2477</v>
      </c>
      <c r="AA14" s="7" t="s">
        <v>2090</v>
      </c>
      <c r="AB14" s="7" t="s">
        <v>2020</v>
      </c>
      <c r="AC14" s="7" t="s">
        <v>2019</v>
      </c>
      <c r="AD14" s="7" t="s">
        <v>2020</v>
      </c>
      <c r="AE14" s="7" t="s">
        <v>2027</v>
      </c>
      <c r="AF14" s="7" t="s">
        <v>2027</v>
      </c>
      <c r="AG14" s="7" t="s">
        <v>2025</v>
      </c>
      <c r="AH14" s="7" t="s">
        <v>2026</v>
      </c>
      <c r="AI14" t="s">
        <v>2009</v>
      </c>
      <c r="AJ14" s="7" t="s">
        <v>2191</v>
      </c>
      <c r="AK14" t="s">
        <v>2703</v>
      </c>
      <c r="AN14" t="s">
        <v>1903</v>
      </c>
      <c r="AO14" s="7" t="s">
        <v>2135</v>
      </c>
      <c r="AP14" t="s">
        <v>1555</v>
      </c>
      <c r="AQ14" t="s">
        <v>949</v>
      </c>
      <c r="AR14" t="s">
        <v>1560</v>
      </c>
      <c r="AS14" t="s">
        <v>1827</v>
      </c>
      <c r="AT14" s="7" t="s">
        <v>2090</v>
      </c>
      <c r="AU14" s="7" t="s">
        <v>2019</v>
      </c>
      <c r="AV14" s="7" t="s">
        <v>2025</v>
      </c>
      <c r="AW14" s="7" t="s">
        <v>2025</v>
      </c>
      <c r="AX14" s="7" t="s">
        <v>2020</v>
      </c>
      <c r="AY14" s="7" t="s">
        <v>2020</v>
      </c>
      <c r="AZ14" s="7" t="s">
        <v>2027</v>
      </c>
      <c r="BA14" s="7" t="s">
        <v>2025</v>
      </c>
      <c r="BB14" t="s">
        <v>196</v>
      </c>
      <c r="BC14" s="7" t="s">
        <v>2021</v>
      </c>
      <c r="BD14" t="s">
        <v>1933</v>
      </c>
      <c r="BH14" s="5" t="str">
        <f t="shared" si="1"/>
        <v/>
      </c>
      <c r="BI14" s="5" t="str">
        <f t="shared" si="2"/>
        <v/>
      </c>
    </row>
    <row r="15" spans="2:61" x14ac:dyDescent="0.35">
      <c r="B15" t="s">
        <v>1586</v>
      </c>
      <c r="C15" s="7" t="s">
        <v>2197</v>
      </c>
      <c r="D15" t="s">
        <v>1567</v>
      </c>
      <c r="E15" t="s">
        <v>1587</v>
      </c>
      <c r="F15" t="s">
        <v>1558</v>
      </c>
      <c r="G15" t="s">
        <v>1588</v>
      </c>
      <c r="H15" s="7" t="s">
        <v>2159</v>
      </c>
      <c r="I15" s="7" t="s">
        <v>2025</v>
      </c>
      <c r="J15" s="7" t="s">
        <v>2025</v>
      </c>
      <c r="K15" s="7" t="s">
        <v>2027</v>
      </c>
      <c r="L15" s="7" t="s">
        <v>2027</v>
      </c>
      <c r="M15" s="7" t="s">
        <v>2027</v>
      </c>
      <c r="N15" s="7" t="s">
        <v>2025</v>
      </c>
      <c r="O15" s="7" t="s">
        <v>2027</v>
      </c>
      <c r="P15" t="s">
        <v>1537</v>
      </c>
      <c r="Q15" s="7" t="s">
        <v>2082</v>
      </c>
      <c r="R15" t="s">
        <v>1631</v>
      </c>
      <c r="U15" t="s">
        <v>1401</v>
      </c>
      <c r="V15" s="7" t="s">
        <v>2197</v>
      </c>
      <c r="W15" t="s">
        <v>1555</v>
      </c>
      <c r="X15" t="s">
        <v>895</v>
      </c>
      <c r="Y15" t="s">
        <v>1558</v>
      </c>
      <c r="Z15" t="s">
        <v>896</v>
      </c>
      <c r="AA15" s="7" t="s">
        <v>2063</v>
      </c>
      <c r="AB15" s="7" t="s">
        <v>2027</v>
      </c>
      <c r="AC15" s="7" t="s">
        <v>2026</v>
      </c>
      <c r="AD15" s="7" t="s">
        <v>2025</v>
      </c>
      <c r="AE15" s="7" t="s">
        <v>2027</v>
      </c>
      <c r="AF15" s="7" t="s">
        <v>2027</v>
      </c>
      <c r="AG15" s="7" t="s">
        <v>2026</v>
      </c>
      <c r="AH15" s="7" t="s">
        <v>2025</v>
      </c>
      <c r="AI15" t="s">
        <v>1349</v>
      </c>
      <c r="AJ15" s="7" t="s">
        <v>2198</v>
      </c>
      <c r="AK15" t="s">
        <v>1490</v>
      </c>
      <c r="AN15" t="s">
        <v>1907</v>
      </c>
      <c r="AO15" s="7" t="s">
        <v>2135</v>
      </c>
      <c r="AP15" t="s">
        <v>1555</v>
      </c>
      <c r="AQ15" t="s">
        <v>1293</v>
      </c>
      <c r="AR15" t="s">
        <v>1561</v>
      </c>
      <c r="AS15" t="s">
        <v>1908</v>
      </c>
      <c r="AT15" s="7" t="s">
        <v>2090</v>
      </c>
      <c r="AU15" s="7" t="s">
        <v>2020</v>
      </c>
      <c r="AV15" s="7" t="s">
        <v>2027</v>
      </c>
      <c r="AW15" s="7" t="s">
        <v>2027</v>
      </c>
      <c r="AX15" s="7" t="s">
        <v>2027</v>
      </c>
      <c r="AY15" s="7" t="s">
        <v>2020</v>
      </c>
      <c r="AZ15" s="7" t="s">
        <v>2025</v>
      </c>
      <c r="BA15" s="7" t="s">
        <v>2027</v>
      </c>
      <c r="BB15" t="s">
        <v>171</v>
      </c>
      <c r="BC15" s="7" t="s">
        <v>2170</v>
      </c>
      <c r="BD15" t="s">
        <v>1934</v>
      </c>
      <c r="BH15" s="5" t="str">
        <f t="shared" si="1"/>
        <v/>
      </c>
      <c r="BI15" s="5" t="str">
        <f t="shared" si="2"/>
        <v/>
      </c>
    </row>
    <row r="16" spans="2:61" x14ac:dyDescent="0.35">
      <c r="B16" t="s">
        <v>1806</v>
      </c>
      <c r="C16" s="7" t="s">
        <v>2197</v>
      </c>
      <c r="D16" t="s">
        <v>1807</v>
      </c>
      <c r="E16" t="s">
        <v>1808</v>
      </c>
      <c r="F16" t="s">
        <v>1558</v>
      </c>
      <c r="G16" t="s">
        <v>1809</v>
      </c>
      <c r="H16" s="7" t="s">
        <v>2371</v>
      </c>
      <c r="I16" s="7" t="s">
        <v>2141</v>
      </c>
      <c r="J16" s="7" t="s">
        <v>2141</v>
      </c>
      <c r="K16" s="7" t="s">
        <v>2141</v>
      </c>
      <c r="L16" s="7" t="s">
        <v>2141</v>
      </c>
      <c r="M16" s="7" t="s">
        <v>2029</v>
      </c>
      <c r="N16" s="7" t="s">
        <v>2029</v>
      </c>
      <c r="O16" s="7" t="s">
        <v>2141</v>
      </c>
      <c r="P16" t="s">
        <v>1769</v>
      </c>
      <c r="Q16" s="7" t="s">
        <v>2184</v>
      </c>
      <c r="R16" t="s">
        <v>1841</v>
      </c>
      <c r="U16" t="s">
        <v>1745</v>
      </c>
      <c r="V16" s="7" t="s">
        <v>2197</v>
      </c>
      <c r="W16" t="s">
        <v>1555</v>
      </c>
      <c r="X16" t="s">
        <v>788</v>
      </c>
      <c r="Y16" t="s">
        <v>1558</v>
      </c>
      <c r="Z16" t="s">
        <v>789</v>
      </c>
      <c r="AA16" s="7" t="s">
        <v>2125</v>
      </c>
      <c r="AB16" s="7" t="s">
        <v>2027</v>
      </c>
      <c r="AC16" s="7" t="s">
        <v>2025</v>
      </c>
      <c r="AD16" s="7" t="s">
        <v>2027</v>
      </c>
      <c r="AE16" s="7" t="s">
        <v>2025</v>
      </c>
      <c r="AF16" s="7" t="s">
        <v>2020</v>
      </c>
      <c r="AG16" s="7" t="s">
        <v>2027</v>
      </c>
      <c r="AH16" s="7" t="s">
        <v>2027</v>
      </c>
      <c r="AI16" t="s">
        <v>101</v>
      </c>
      <c r="AJ16" s="7" t="s">
        <v>2082</v>
      </c>
      <c r="AK16" t="s">
        <v>1689</v>
      </c>
      <c r="AN16" t="s">
        <v>1392</v>
      </c>
      <c r="AO16" s="7" t="s">
        <v>2135</v>
      </c>
      <c r="AP16" t="s">
        <v>1555</v>
      </c>
      <c r="AQ16" t="s">
        <v>916</v>
      </c>
      <c r="AR16" t="s">
        <v>1560</v>
      </c>
      <c r="AS16" t="s">
        <v>1449</v>
      </c>
      <c r="AT16" s="7" t="s">
        <v>2024</v>
      </c>
      <c r="AU16" s="7" t="s">
        <v>2020</v>
      </c>
      <c r="AV16" s="7" t="s">
        <v>2027</v>
      </c>
      <c r="AW16" s="7" t="s">
        <v>2026</v>
      </c>
      <c r="AX16" s="7" t="s">
        <v>2025</v>
      </c>
      <c r="AY16" s="7" t="s">
        <v>2025</v>
      </c>
      <c r="AZ16" s="7" t="s">
        <v>2025</v>
      </c>
      <c r="BA16" s="7" t="s">
        <v>2027</v>
      </c>
      <c r="BB16" t="s">
        <v>1345</v>
      </c>
      <c r="BC16" s="7" t="s">
        <v>2410</v>
      </c>
      <c r="BD16" t="s">
        <v>1511</v>
      </c>
      <c r="BH16" s="5" t="str">
        <f t="shared" si="1"/>
        <v/>
      </c>
      <c r="BI16" s="5" t="str">
        <f t="shared" si="2"/>
        <v/>
      </c>
    </row>
    <row r="17" spans="2:61" x14ac:dyDescent="0.35">
      <c r="B17" t="s">
        <v>1811</v>
      </c>
      <c r="C17" s="7" t="s">
        <v>2197</v>
      </c>
      <c r="D17" t="s">
        <v>1559</v>
      </c>
      <c r="E17" t="s">
        <v>1428</v>
      </c>
      <c r="F17" t="s">
        <v>1558</v>
      </c>
      <c r="G17" t="s">
        <v>1812</v>
      </c>
      <c r="H17" s="7" t="s">
        <v>2215</v>
      </c>
      <c r="I17" s="7" t="s">
        <v>2019</v>
      </c>
      <c r="J17" s="7" t="s">
        <v>2019</v>
      </c>
      <c r="K17" s="7" t="s">
        <v>2020</v>
      </c>
      <c r="L17" s="7" t="s">
        <v>2027</v>
      </c>
      <c r="M17" s="7" t="s">
        <v>2020</v>
      </c>
      <c r="N17" s="7" t="s">
        <v>2019</v>
      </c>
      <c r="O17" s="7" t="s">
        <v>2019</v>
      </c>
      <c r="P17" t="s">
        <v>286</v>
      </c>
      <c r="Q17" s="7" t="s">
        <v>2214</v>
      </c>
      <c r="R17" t="s">
        <v>1842</v>
      </c>
      <c r="U17" t="s">
        <v>1746</v>
      </c>
      <c r="V17" s="7" t="s">
        <v>2197</v>
      </c>
      <c r="W17" t="s">
        <v>1555</v>
      </c>
      <c r="X17" t="s">
        <v>1747</v>
      </c>
      <c r="Y17" t="s">
        <v>1558</v>
      </c>
      <c r="Z17" t="s">
        <v>768</v>
      </c>
      <c r="AA17" s="7" t="s">
        <v>2048</v>
      </c>
      <c r="AB17" s="7" t="s">
        <v>2027</v>
      </c>
      <c r="AC17" s="7" t="s">
        <v>2027</v>
      </c>
      <c r="AD17" s="7" t="s">
        <v>2027</v>
      </c>
      <c r="AE17" s="7" t="s">
        <v>2027</v>
      </c>
      <c r="AF17" s="7" t="s">
        <v>2029</v>
      </c>
      <c r="AG17" s="7" t="s">
        <v>2020</v>
      </c>
      <c r="AH17" s="7" t="s">
        <v>2019</v>
      </c>
      <c r="AI17" t="s">
        <v>1675</v>
      </c>
      <c r="AJ17" s="7" t="s">
        <v>2213</v>
      </c>
      <c r="AK17" t="s">
        <v>1690</v>
      </c>
      <c r="AN17" t="s">
        <v>1752</v>
      </c>
      <c r="AO17" s="7" t="s">
        <v>2135</v>
      </c>
      <c r="AP17" t="s">
        <v>1555</v>
      </c>
      <c r="AQ17" t="s">
        <v>659</v>
      </c>
      <c r="AR17" t="s">
        <v>1560</v>
      </c>
      <c r="AS17" t="s">
        <v>706</v>
      </c>
      <c r="AT17" s="7" t="s">
        <v>2125</v>
      </c>
      <c r="AU17" s="7" t="s">
        <v>2025</v>
      </c>
      <c r="AV17" s="7" t="s">
        <v>2025</v>
      </c>
      <c r="AW17" s="7" t="s">
        <v>2025</v>
      </c>
      <c r="AX17" s="7" t="s">
        <v>2027</v>
      </c>
      <c r="AY17" s="7" t="s">
        <v>2020</v>
      </c>
      <c r="AZ17" s="7" t="s">
        <v>2020</v>
      </c>
      <c r="BA17" s="7" t="s">
        <v>2027</v>
      </c>
      <c r="BB17" t="s">
        <v>60</v>
      </c>
      <c r="BC17" s="7" t="s">
        <v>2021</v>
      </c>
      <c r="BD17" t="s">
        <v>1696</v>
      </c>
      <c r="BH17" s="5" t="str">
        <f t="shared" si="1"/>
        <v/>
      </c>
      <c r="BI17" s="5" t="str">
        <f t="shared" si="2"/>
        <v/>
      </c>
    </row>
    <row r="18" spans="2:61" x14ac:dyDescent="0.35">
      <c r="B18" t="s">
        <v>2597</v>
      </c>
      <c r="C18" s="7" t="s">
        <v>2197</v>
      </c>
      <c r="D18" t="s">
        <v>1566</v>
      </c>
      <c r="E18" t="s">
        <v>2598</v>
      </c>
      <c r="F18" t="s">
        <v>1558</v>
      </c>
      <c r="G18" t="s">
        <v>2599</v>
      </c>
      <c r="H18" s="7" t="s">
        <v>2038</v>
      </c>
      <c r="I18" s="7" t="s">
        <v>2025</v>
      </c>
      <c r="J18" s="7" t="s">
        <v>2020</v>
      </c>
      <c r="K18" s="7" t="s">
        <v>2020</v>
      </c>
      <c r="L18" s="7" t="s">
        <v>2020</v>
      </c>
      <c r="M18" s="7" t="s">
        <v>2027</v>
      </c>
      <c r="N18" s="7" t="s">
        <v>2027</v>
      </c>
      <c r="O18" s="7" t="s">
        <v>2027</v>
      </c>
      <c r="P18" t="s">
        <v>231</v>
      </c>
      <c r="Q18" s="7" t="s">
        <v>2224</v>
      </c>
      <c r="R18" t="s">
        <v>2696</v>
      </c>
      <c r="U18" t="s">
        <v>1968</v>
      </c>
      <c r="V18" s="7" t="s">
        <v>2197</v>
      </c>
      <c r="W18" t="s">
        <v>1555</v>
      </c>
      <c r="X18" t="s">
        <v>659</v>
      </c>
      <c r="Y18" t="s">
        <v>1558</v>
      </c>
      <c r="Z18" t="s">
        <v>1980</v>
      </c>
      <c r="AA18" s="7" t="s">
        <v>2038</v>
      </c>
      <c r="AB18" s="7" t="s">
        <v>2027</v>
      </c>
      <c r="AC18" s="7" t="s">
        <v>2025</v>
      </c>
      <c r="AD18" s="7" t="s">
        <v>2025</v>
      </c>
      <c r="AE18" s="7" t="s">
        <v>2020</v>
      </c>
      <c r="AF18" s="7" t="s">
        <v>2020</v>
      </c>
      <c r="AG18" s="7" t="s">
        <v>2020</v>
      </c>
      <c r="AH18" s="7" t="s">
        <v>2020</v>
      </c>
      <c r="AI18" t="s">
        <v>1954</v>
      </c>
      <c r="AJ18" s="7" t="s">
        <v>2216</v>
      </c>
      <c r="AK18" t="s">
        <v>1987</v>
      </c>
      <c r="AN18" t="s">
        <v>2016</v>
      </c>
      <c r="AO18" s="7" t="s">
        <v>2017</v>
      </c>
      <c r="AP18" t="s">
        <v>1555</v>
      </c>
      <c r="AQ18" t="s">
        <v>665</v>
      </c>
      <c r="AR18" t="s">
        <v>1560</v>
      </c>
      <c r="AS18" t="s">
        <v>2001</v>
      </c>
      <c r="AT18" s="7" t="s">
        <v>2018</v>
      </c>
      <c r="AU18" s="7" t="s">
        <v>2019</v>
      </c>
      <c r="AV18" s="7" t="s">
        <v>2020</v>
      </c>
      <c r="AW18" s="7" t="s">
        <v>2020</v>
      </c>
      <c r="AX18" s="7" t="s">
        <v>2019</v>
      </c>
      <c r="AY18" s="7" t="s">
        <v>2020</v>
      </c>
      <c r="AZ18" s="7" t="s">
        <v>2019</v>
      </c>
      <c r="BA18" s="7" t="s">
        <v>2019</v>
      </c>
      <c r="BB18" t="s">
        <v>2002</v>
      </c>
      <c r="BC18" s="7" t="s">
        <v>2021</v>
      </c>
      <c r="BD18" t="s">
        <v>2706</v>
      </c>
      <c r="BH18" s="5" t="str">
        <f t="shared" si="1"/>
        <v/>
      </c>
      <c r="BI18" s="5" t="str">
        <f t="shared" si="2"/>
        <v/>
      </c>
    </row>
    <row r="19" spans="2:61" x14ac:dyDescent="0.35">
      <c r="B19" t="s">
        <v>1715</v>
      </c>
      <c r="C19" s="7" t="s">
        <v>2135</v>
      </c>
      <c r="D19" t="s">
        <v>1567</v>
      </c>
      <c r="E19" t="s">
        <v>1716</v>
      </c>
      <c r="F19" t="s">
        <v>1558</v>
      </c>
      <c r="G19" t="s">
        <v>1717</v>
      </c>
      <c r="H19" s="7" t="s">
        <v>2070</v>
      </c>
      <c r="I19" s="7" t="s">
        <v>2029</v>
      </c>
      <c r="J19" s="7" t="s">
        <v>2020</v>
      </c>
      <c r="K19" s="7" t="s">
        <v>2027</v>
      </c>
      <c r="L19" s="7" t="s">
        <v>2027</v>
      </c>
      <c r="M19" s="7" t="s">
        <v>2027</v>
      </c>
      <c r="N19" s="7" t="s">
        <v>2027</v>
      </c>
      <c r="O19" s="7" t="s">
        <v>2020</v>
      </c>
      <c r="P19" t="s">
        <v>337</v>
      </c>
      <c r="Q19" s="7" t="s">
        <v>2126</v>
      </c>
      <c r="R19" t="s">
        <v>1681</v>
      </c>
      <c r="U19" t="s">
        <v>1625</v>
      </c>
      <c r="V19" s="7" t="s">
        <v>2197</v>
      </c>
      <c r="W19" t="s">
        <v>1555</v>
      </c>
      <c r="X19" t="s">
        <v>1626</v>
      </c>
      <c r="Y19" t="s">
        <v>1558</v>
      </c>
      <c r="Z19" t="s">
        <v>654</v>
      </c>
      <c r="AA19" s="7" t="s">
        <v>2024</v>
      </c>
      <c r="AB19" s="7" t="s">
        <v>2025</v>
      </c>
      <c r="AC19" s="7" t="s">
        <v>2025</v>
      </c>
      <c r="AD19" s="7" t="s">
        <v>2025</v>
      </c>
      <c r="AE19" s="7" t="s">
        <v>2027</v>
      </c>
      <c r="AF19" s="7" t="s">
        <v>2027</v>
      </c>
      <c r="AG19" s="7" t="s">
        <v>2025</v>
      </c>
      <c r="AH19" s="7" t="s">
        <v>2027</v>
      </c>
      <c r="AI19" t="s">
        <v>1552</v>
      </c>
      <c r="AJ19" s="7" t="s">
        <v>2204</v>
      </c>
      <c r="AK19" t="s">
        <v>1634</v>
      </c>
      <c r="AN19" t="s">
        <v>2047</v>
      </c>
      <c r="AO19" s="7" t="s">
        <v>2017</v>
      </c>
      <c r="AP19" t="s">
        <v>1555</v>
      </c>
      <c r="AQ19" t="s">
        <v>799</v>
      </c>
      <c r="AR19" t="s">
        <v>1560</v>
      </c>
      <c r="AS19" t="s">
        <v>2003</v>
      </c>
      <c r="AT19" s="7" t="s">
        <v>2048</v>
      </c>
      <c r="AU19" s="7" t="s">
        <v>2019</v>
      </c>
      <c r="AV19" s="7" t="s">
        <v>2020</v>
      </c>
      <c r="AW19" s="7" t="s">
        <v>2025</v>
      </c>
      <c r="AX19" s="7" t="s">
        <v>2027</v>
      </c>
      <c r="AY19" s="7" t="s">
        <v>2019</v>
      </c>
      <c r="AZ19" s="7" t="s">
        <v>2027</v>
      </c>
      <c r="BA19" s="7" t="s">
        <v>2019</v>
      </c>
      <c r="BB19" t="s">
        <v>350</v>
      </c>
      <c r="BC19" s="7" t="s">
        <v>2049</v>
      </c>
      <c r="BD19" t="s">
        <v>2707</v>
      </c>
      <c r="BH19" s="5" t="str">
        <f t="shared" si="1"/>
        <v/>
      </c>
      <c r="BI19" s="5" t="str">
        <f t="shared" si="2"/>
        <v/>
      </c>
    </row>
    <row r="20" spans="2:61" x14ac:dyDescent="0.35">
      <c r="B20" t="s">
        <v>1380</v>
      </c>
      <c r="C20" s="7" t="s">
        <v>2135</v>
      </c>
      <c r="D20" t="s">
        <v>1559</v>
      </c>
      <c r="E20" t="s">
        <v>1425</v>
      </c>
      <c r="F20" t="s">
        <v>1558</v>
      </c>
      <c r="G20" t="s">
        <v>1443</v>
      </c>
      <c r="H20" s="7" t="s">
        <v>2090</v>
      </c>
      <c r="I20" s="7" t="s">
        <v>2019</v>
      </c>
      <c r="J20" s="7" t="s">
        <v>2020</v>
      </c>
      <c r="K20" s="7" t="s">
        <v>2027</v>
      </c>
      <c r="L20" s="7" t="s">
        <v>2027</v>
      </c>
      <c r="M20" s="7" t="s">
        <v>2025</v>
      </c>
      <c r="N20" s="7" t="s">
        <v>2027</v>
      </c>
      <c r="O20" s="7" t="s">
        <v>2025</v>
      </c>
      <c r="P20" t="s">
        <v>1314</v>
      </c>
      <c r="Q20" s="7" t="s">
        <v>2109</v>
      </c>
      <c r="R20" t="s">
        <v>1466</v>
      </c>
      <c r="U20" t="s">
        <v>697</v>
      </c>
      <c r="V20" s="7" t="s">
        <v>2135</v>
      </c>
      <c r="W20" t="s">
        <v>1555</v>
      </c>
      <c r="X20" t="s">
        <v>698</v>
      </c>
      <c r="Y20" t="s">
        <v>1558</v>
      </c>
      <c r="Z20" t="s">
        <v>699</v>
      </c>
      <c r="AA20" s="7" t="s">
        <v>2125</v>
      </c>
      <c r="AB20" s="7" t="s">
        <v>2025</v>
      </c>
      <c r="AC20" s="7" t="s">
        <v>2025</v>
      </c>
      <c r="AD20" s="7" t="s">
        <v>2025</v>
      </c>
      <c r="AE20" s="7" t="s">
        <v>2027</v>
      </c>
      <c r="AF20" s="7" t="s">
        <v>2029</v>
      </c>
      <c r="AG20" s="7" t="s">
        <v>2025</v>
      </c>
      <c r="AH20" s="7" t="s">
        <v>2027</v>
      </c>
      <c r="AI20" t="s">
        <v>338</v>
      </c>
      <c r="AJ20" s="7" t="s">
        <v>2043</v>
      </c>
      <c r="AK20" t="s">
        <v>408</v>
      </c>
      <c r="AN20" t="s">
        <v>1711</v>
      </c>
      <c r="AO20" s="7" t="s">
        <v>2017</v>
      </c>
      <c r="AP20" t="s">
        <v>1555</v>
      </c>
      <c r="AQ20" t="s">
        <v>695</v>
      </c>
      <c r="AR20" t="s">
        <v>1560</v>
      </c>
      <c r="AS20" t="s">
        <v>996</v>
      </c>
      <c r="AT20" s="7" t="s">
        <v>2061</v>
      </c>
      <c r="AU20" s="7" t="s">
        <v>2019</v>
      </c>
      <c r="AV20" s="7" t="s">
        <v>2027</v>
      </c>
      <c r="AW20" s="7" t="s">
        <v>2020</v>
      </c>
      <c r="AX20" s="7" t="s">
        <v>2020</v>
      </c>
      <c r="AY20" s="7" t="s">
        <v>2027</v>
      </c>
      <c r="AZ20" s="7" t="s">
        <v>2029</v>
      </c>
      <c r="BA20" s="7" t="s">
        <v>2020</v>
      </c>
      <c r="BB20" t="s">
        <v>288</v>
      </c>
      <c r="BC20" s="7" t="s">
        <v>2049</v>
      </c>
      <c r="BD20" t="s">
        <v>1697</v>
      </c>
      <c r="BH20" s="5" t="str">
        <f t="shared" si="1"/>
        <v/>
      </c>
      <c r="BI20" s="5" t="str">
        <f t="shared" si="2"/>
        <v/>
      </c>
    </row>
    <row r="21" spans="2:61" x14ac:dyDescent="0.35">
      <c r="B21" t="s">
        <v>1275</v>
      </c>
      <c r="C21" s="7" t="s">
        <v>2135</v>
      </c>
      <c r="D21" t="s">
        <v>1610</v>
      </c>
      <c r="E21" t="s">
        <v>1292</v>
      </c>
      <c r="F21" t="s">
        <v>1558</v>
      </c>
      <c r="G21" t="s">
        <v>1302</v>
      </c>
      <c r="H21" s="7" t="s">
        <v>2103</v>
      </c>
      <c r="I21" s="7" t="s">
        <v>2027</v>
      </c>
      <c r="J21" s="7" t="s">
        <v>2025</v>
      </c>
      <c r="K21" s="7" t="s">
        <v>2025</v>
      </c>
      <c r="L21" s="7" t="s">
        <v>2025</v>
      </c>
      <c r="M21" s="7" t="s">
        <v>2027</v>
      </c>
      <c r="N21" s="7" t="s">
        <v>2025</v>
      </c>
      <c r="O21" s="7" t="s">
        <v>2025</v>
      </c>
      <c r="P21" t="s">
        <v>1212</v>
      </c>
      <c r="Q21" s="7" t="s">
        <v>2082</v>
      </c>
      <c r="R21" t="s">
        <v>1225</v>
      </c>
      <c r="U21" t="s">
        <v>1788</v>
      </c>
      <c r="V21" s="7" t="s">
        <v>2135</v>
      </c>
      <c r="W21" t="s">
        <v>1555</v>
      </c>
      <c r="X21" t="s">
        <v>682</v>
      </c>
      <c r="Y21" t="s">
        <v>1558</v>
      </c>
      <c r="Z21" t="s">
        <v>1451</v>
      </c>
      <c r="AA21" s="7" t="s">
        <v>2038</v>
      </c>
      <c r="AB21" s="7" t="s">
        <v>2027</v>
      </c>
      <c r="AC21" s="7" t="s">
        <v>2027</v>
      </c>
      <c r="AD21" s="7" t="s">
        <v>2027</v>
      </c>
      <c r="AE21" s="7" t="s">
        <v>2027</v>
      </c>
      <c r="AF21" s="7" t="s">
        <v>2019</v>
      </c>
      <c r="AG21" s="7" t="s">
        <v>2025</v>
      </c>
      <c r="AH21" s="7" t="s">
        <v>2020</v>
      </c>
      <c r="AI21" t="s">
        <v>1760</v>
      </c>
      <c r="AJ21" s="7" t="s">
        <v>2067</v>
      </c>
      <c r="AK21" t="s">
        <v>1843</v>
      </c>
      <c r="AN21" t="s">
        <v>1890</v>
      </c>
      <c r="AO21" s="7" t="s">
        <v>2017</v>
      </c>
      <c r="AP21" t="s">
        <v>1555</v>
      </c>
      <c r="AQ21" t="s">
        <v>671</v>
      </c>
      <c r="AR21" t="s">
        <v>1560</v>
      </c>
      <c r="AS21" t="s">
        <v>856</v>
      </c>
      <c r="AT21" s="7" t="s">
        <v>2027</v>
      </c>
      <c r="AU21" s="7" t="s">
        <v>2020</v>
      </c>
      <c r="AV21" s="7" t="s">
        <v>2020</v>
      </c>
      <c r="AW21" s="7" t="s">
        <v>2027</v>
      </c>
      <c r="AX21" s="7" t="s">
        <v>2027</v>
      </c>
      <c r="AY21" s="7" t="s">
        <v>2025</v>
      </c>
      <c r="AZ21" s="7" t="s">
        <v>2027</v>
      </c>
      <c r="BA21" s="7" t="s">
        <v>2025</v>
      </c>
      <c r="BB21" t="s">
        <v>1867</v>
      </c>
      <c r="BC21" s="7" t="s">
        <v>2021</v>
      </c>
      <c r="BD21" t="s">
        <v>1935</v>
      </c>
      <c r="BH21" s="5" t="str">
        <f t="shared" si="1"/>
        <v/>
      </c>
      <c r="BI21" s="5" t="str">
        <f t="shared" si="2"/>
        <v/>
      </c>
    </row>
    <row r="22" spans="2:61" x14ac:dyDescent="0.35">
      <c r="B22" t="s">
        <v>1071</v>
      </c>
      <c r="C22" s="7" t="s">
        <v>2135</v>
      </c>
      <c r="D22" t="s">
        <v>1557</v>
      </c>
      <c r="E22" t="s">
        <v>1072</v>
      </c>
      <c r="F22" t="s">
        <v>1558</v>
      </c>
      <c r="G22" t="s">
        <v>259</v>
      </c>
      <c r="H22" s="7" t="s">
        <v>2018</v>
      </c>
      <c r="I22" s="7" t="s">
        <v>2019</v>
      </c>
      <c r="J22" s="7" t="s">
        <v>2019</v>
      </c>
      <c r="K22" s="7" t="s">
        <v>2019</v>
      </c>
      <c r="L22" s="7" t="s">
        <v>2025</v>
      </c>
      <c r="M22" s="7" t="s">
        <v>2029</v>
      </c>
      <c r="N22" s="7" t="s">
        <v>2027</v>
      </c>
      <c r="O22" s="7" t="s">
        <v>2029</v>
      </c>
      <c r="P22" t="s">
        <v>260</v>
      </c>
      <c r="Q22" s="7" t="s">
        <v>2209</v>
      </c>
      <c r="R22" t="s">
        <v>354</v>
      </c>
      <c r="U22" t="s">
        <v>1265</v>
      </c>
      <c r="V22" s="7" t="s">
        <v>2135</v>
      </c>
      <c r="W22" t="s">
        <v>1555</v>
      </c>
      <c r="X22" t="s">
        <v>1289</v>
      </c>
      <c r="Y22" t="s">
        <v>1558</v>
      </c>
      <c r="Z22" t="s">
        <v>1197</v>
      </c>
      <c r="AA22" s="7" t="s">
        <v>2027</v>
      </c>
      <c r="AB22" s="7" t="s">
        <v>2027</v>
      </c>
      <c r="AC22" s="7" t="s">
        <v>2020</v>
      </c>
      <c r="AD22" s="7" t="s">
        <v>2027</v>
      </c>
      <c r="AE22" s="7" t="s">
        <v>2027</v>
      </c>
      <c r="AF22" s="7" t="s">
        <v>2027</v>
      </c>
      <c r="AG22" s="7" t="s">
        <v>2025</v>
      </c>
      <c r="AH22" s="7" t="s">
        <v>2027</v>
      </c>
      <c r="AI22" t="s">
        <v>101</v>
      </c>
      <c r="AJ22" s="7" t="s">
        <v>2233</v>
      </c>
      <c r="AK22" t="s">
        <v>1235</v>
      </c>
      <c r="AN22" t="s">
        <v>737</v>
      </c>
      <c r="AO22" s="7" t="s">
        <v>2017</v>
      </c>
      <c r="AP22" t="s">
        <v>1555</v>
      </c>
      <c r="AQ22" t="s">
        <v>735</v>
      </c>
      <c r="AR22" t="s">
        <v>1560</v>
      </c>
      <c r="AS22" t="s">
        <v>112</v>
      </c>
      <c r="AT22" s="7" t="s">
        <v>2121</v>
      </c>
      <c r="AU22" s="7" t="s">
        <v>2025</v>
      </c>
      <c r="AV22" s="7" t="s">
        <v>2025</v>
      </c>
      <c r="AW22" s="7" t="s">
        <v>2026</v>
      </c>
      <c r="AX22" s="7" t="s">
        <v>2025</v>
      </c>
      <c r="AY22" s="7" t="s">
        <v>2025</v>
      </c>
      <c r="AZ22" s="7" t="s">
        <v>2026</v>
      </c>
      <c r="BA22" s="7" t="s">
        <v>2033</v>
      </c>
      <c r="BB22" t="s">
        <v>340</v>
      </c>
      <c r="BC22" s="7" t="s">
        <v>2049</v>
      </c>
      <c r="BD22" t="s">
        <v>504</v>
      </c>
      <c r="BH22" s="5" t="str">
        <f t="shared" si="1"/>
        <v/>
      </c>
      <c r="BI22" s="5" t="str">
        <f t="shared" si="2"/>
        <v/>
      </c>
    </row>
    <row r="23" spans="2:61" x14ac:dyDescent="0.35">
      <c r="B23" t="s">
        <v>1282</v>
      </c>
      <c r="C23" s="7" t="s">
        <v>2135</v>
      </c>
      <c r="D23" t="s">
        <v>1570</v>
      </c>
      <c r="E23" t="s">
        <v>1296</v>
      </c>
      <c r="F23" t="s">
        <v>1558</v>
      </c>
      <c r="G23" t="s">
        <v>1222</v>
      </c>
      <c r="H23" s="7" t="s">
        <v>2090</v>
      </c>
      <c r="I23" s="7" t="s">
        <v>2020</v>
      </c>
      <c r="J23" s="7" t="s">
        <v>2027</v>
      </c>
      <c r="K23" s="7" t="s">
        <v>2027</v>
      </c>
      <c r="L23" s="7" t="s">
        <v>2027</v>
      </c>
      <c r="M23" s="7" t="s">
        <v>2027</v>
      </c>
      <c r="N23" s="7" t="s">
        <v>2027</v>
      </c>
      <c r="O23" s="7" t="s">
        <v>2027</v>
      </c>
      <c r="P23" t="s">
        <v>1223</v>
      </c>
      <c r="Q23" s="7" t="s">
        <v>2194</v>
      </c>
      <c r="R23" t="s">
        <v>1226</v>
      </c>
      <c r="U23" t="s">
        <v>903</v>
      </c>
      <c r="V23" s="7" t="s">
        <v>2135</v>
      </c>
      <c r="W23" t="s">
        <v>1555</v>
      </c>
      <c r="X23" t="s">
        <v>659</v>
      </c>
      <c r="Y23" t="s">
        <v>1558</v>
      </c>
      <c r="Z23" t="s">
        <v>660</v>
      </c>
      <c r="AA23" s="7" t="s">
        <v>2058</v>
      </c>
      <c r="AB23" s="7" t="s">
        <v>2027</v>
      </c>
      <c r="AC23" s="7" t="s">
        <v>2025</v>
      </c>
      <c r="AD23" s="7" t="s">
        <v>2025</v>
      </c>
      <c r="AE23" s="7" t="s">
        <v>2025</v>
      </c>
      <c r="AF23" s="7" t="s">
        <v>2027</v>
      </c>
      <c r="AG23" s="7" t="s">
        <v>2020</v>
      </c>
      <c r="AH23" s="7" t="s">
        <v>2027</v>
      </c>
      <c r="AI23" t="s">
        <v>137</v>
      </c>
      <c r="AJ23" s="7" t="s">
        <v>2212</v>
      </c>
      <c r="AK23" t="s">
        <v>434</v>
      </c>
      <c r="AN23" t="s">
        <v>1574</v>
      </c>
      <c r="AO23" s="7" t="s">
        <v>2017</v>
      </c>
      <c r="AP23" t="s">
        <v>1555</v>
      </c>
      <c r="AQ23" t="s">
        <v>716</v>
      </c>
      <c r="AR23" t="s">
        <v>1560</v>
      </c>
      <c r="AS23" t="s">
        <v>1575</v>
      </c>
      <c r="AT23" s="7" t="s">
        <v>2027</v>
      </c>
      <c r="AU23" s="7" t="s">
        <v>2027</v>
      </c>
      <c r="AV23" s="7" t="s">
        <v>2027</v>
      </c>
      <c r="AW23" s="7" t="s">
        <v>2025</v>
      </c>
      <c r="AX23" s="7" t="s">
        <v>2020</v>
      </c>
      <c r="AY23" s="7" t="s">
        <v>2020</v>
      </c>
      <c r="AZ23" s="7" t="s">
        <v>2025</v>
      </c>
      <c r="BA23" s="7" t="s">
        <v>2027</v>
      </c>
      <c r="BB23" t="s">
        <v>147</v>
      </c>
      <c r="BC23" s="7" t="s">
        <v>2104</v>
      </c>
      <c r="BD23" t="s">
        <v>1646</v>
      </c>
      <c r="BH23" s="5" t="str">
        <f t="shared" si="1"/>
        <v/>
      </c>
      <c r="BI23" s="5" t="str">
        <f t="shared" si="2"/>
        <v/>
      </c>
    </row>
    <row r="24" spans="2:61" x14ac:dyDescent="0.35">
      <c r="B24" t="s">
        <v>850</v>
      </c>
      <c r="C24" s="7" t="s">
        <v>2017</v>
      </c>
      <c r="D24" t="s">
        <v>1566</v>
      </c>
      <c r="E24" t="s">
        <v>851</v>
      </c>
      <c r="F24" t="s">
        <v>1558</v>
      </c>
      <c r="G24" t="s">
        <v>852</v>
      </c>
      <c r="H24" s="7" t="s">
        <v>2125</v>
      </c>
      <c r="I24" s="7" t="s">
        <v>2022</v>
      </c>
      <c r="J24" s="7" t="s">
        <v>2025</v>
      </c>
      <c r="K24" s="7" t="s">
        <v>2025</v>
      </c>
      <c r="L24" s="7" t="s">
        <v>2025</v>
      </c>
      <c r="M24" s="7" t="s">
        <v>2025</v>
      </c>
      <c r="N24" s="7" t="s">
        <v>2025</v>
      </c>
      <c r="O24" s="7" t="s">
        <v>2025</v>
      </c>
      <c r="P24" t="s">
        <v>153</v>
      </c>
      <c r="Q24" s="7" t="s">
        <v>2195</v>
      </c>
      <c r="R24" t="s">
        <v>355</v>
      </c>
      <c r="U24" t="s">
        <v>930</v>
      </c>
      <c r="V24" s="7" t="s">
        <v>2135</v>
      </c>
      <c r="W24" t="s">
        <v>1555</v>
      </c>
      <c r="X24" t="s">
        <v>675</v>
      </c>
      <c r="Y24" t="s">
        <v>1558</v>
      </c>
      <c r="Z24" t="s">
        <v>931</v>
      </c>
      <c r="AA24" s="7" t="s">
        <v>2025</v>
      </c>
      <c r="AB24" s="7" t="s">
        <v>2027</v>
      </c>
      <c r="AC24" s="7" t="s">
        <v>2025</v>
      </c>
      <c r="AD24" s="7" t="s">
        <v>2026</v>
      </c>
      <c r="AE24" s="7" t="s">
        <v>2027</v>
      </c>
      <c r="AF24" s="7" t="s">
        <v>2025</v>
      </c>
      <c r="AG24" s="7" t="s">
        <v>2025</v>
      </c>
      <c r="AH24" s="7" t="s">
        <v>2026</v>
      </c>
      <c r="AI24" t="s">
        <v>194</v>
      </c>
      <c r="AJ24" s="7" t="s">
        <v>2213</v>
      </c>
      <c r="AK24" t="s">
        <v>443</v>
      </c>
      <c r="AN24" t="s">
        <v>1728</v>
      </c>
      <c r="AO24" s="7" t="s">
        <v>2017</v>
      </c>
      <c r="AP24" t="s">
        <v>1555</v>
      </c>
      <c r="AQ24" t="s">
        <v>880</v>
      </c>
      <c r="AR24" t="s">
        <v>1560</v>
      </c>
      <c r="AS24" t="s">
        <v>1729</v>
      </c>
      <c r="AT24" s="7" t="s">
        <v>2103</v>
      </c>
      <c r="AU24" s="7" t="s">
        <v>2020</v>
      </c>
      <c r="AV24" s="7" t="s">
        <v>2027</v>
      </c>
      <c r="AW24" s="7" t="s">
        <v>2026</v>
      </c>
      <c r="AX24" s="7" t="s">
        <v>2020</v>
      </c>
      <c r="AY24" s="7" t="s">
        <v>2025</v>
      </c>
      <c r="AZ24" s="7" t="s">
        <v>2025</v>
      </c>
      <c r="BA24" s="7" t="s">
        <v>2033</v>
      </c>
      <c r="BB24" t="s">
        <v>1667</v>
      </c>
      <c r="BC24" s="7" t="s">
        <v>2049</v>
      </c>
      <c r="BD24" t="s">
        <v>1698</v>
      </c>
      <c r="BH24" s="5" t="str">
        <f t="shared" si="1"/>
        <v/>
      </c>
      <c r="BI24" s="5" t="str">
        <f t="shared" si="2"/>
        <v/>
      </c>
    </row>
    <row r="25" spans="2:61" x14ac:dyDescent="0.35">
      <c r="B25" t="s">
        <v>865</v>
      </c>
      <c r="C25" s="7" t="s">
        <v>2017</v>
      </c>
      <c r="D25" t="s">
        <v>1568</v>
      </c>
      <c r="E25" t="s">
        <v>866</v>
      </c>
      <c r="F25" t="s">
        <v>1558</v>
      </c>
      <c r="G25" t="s">
        <v>867</v>
      </c>
      <c r="H25" s="7" t="s">
        <v>2090</v>
      </c>
      <c r="I25" s="7" t="s">
        <v>2020</v>
      </c>
      <c r="J25" s="7" t="s">
        <v>2020</v>
      </c>
      <c r="K25" s="7" t="s">
        <v>2020</v>
      </c>
      <c r="L25" s="7" t="s">
        <v>2025</v>
      </c>
      <c r="M25" s="7" t="s">
        <v>2025</v>
      </c>
      <c r="N25" s="7" t="s">
        <v>2025</v>
      </c>
      <c r="O25" s="7" t="s">
        <v>2020</v>
      </c>
      <c r="P25" t="s">
        <v>165</v>
      </c>
      <c r="Q25" s="7" t="s">
        <v>2043</v>
      </c>
      <c r="R25" t="s">
        <v>356</v>
      </c>
      <c r="U25" t="s">
        <v>944</v>
      </c>
      <c r="V25" s="7" t="s">
        <v>2135</v>
      </c>
      <c r="W25" t="s">
        <v>1555</v>
      </c>
      <c r="X25" t="s">
        <v>945</v>
      </c>
      <c r="Y25" t="s">
        <v>1558</v>
      </c>
      <c r="Z25" t="s">
        <v>946</v>
      </c>
      <c r="AA25" s="7" t="s">
        <v>2024</v>
      </c>
      <c r="AB25" s="7" t="s">
        <v>2025</v>
      </c>
      <c r="AC25" s="7" t="s">
        <v>2027</v>
      </c>
      <c r="AD25" s="7" t="s">
        <v>2025</v>
      </c>
      <c r="AE25" s="7" t="s">
        <v>2025</v>
      </c>
      <c r="AF25" s="7" t="s">
        <v>2019</v>
      </c>
      <c r="AG25" s="7" t="s">
        <v>2026</v>
      </c>
      <c r="AH25" s="7" t="s">
        <v>2025</v>
      </c>
      <c r="AI25" t="s">
        <v>343</v>
      </c>
      <c r="AJ25" s="7" t="s">
        <v>2220</v>
      </c>
      <c r="AK25" t="s">
        <v>447</v>
      </c>
      <c r="AN25" t="s">
        <v>1764</v>
      </c>
      <c r="AO25" s="7" t="s">
        <v>2017</v>
      </c>
      <c r="AP25" t="s">
        <v>1555</v>
      </c>
      <c r="AQ25" t="s">
        <v>671</v>
      </c>
      <c r="AR25" t="s">
        <v>1560</v>
      </c>
      <c r="AS25" t="s">
        <v>1797</v>
      </c>
      <c r="AT25" s="7" t="s">
        <v>2215</v>
      </c>
      <c r="AU25" s="7" t="s">
        <v>2019</v>
      </c>
      <c r="AV25" s="7" t="s">
        <v>2020</v>
      </c>
      <c r="AW25" s="7" t="s">
        <v>2020</v>
      </c>
      <c r="AX25" s="7" t="s">
        <v>2020</v>
      </c>
      <c r="AY25" s="7" t="s">
        <v>2029</v>
      </c>
      <c r="AZ25" s="7" t="s">
        <v>2027</v>
      </c>
      <c r="BA25" s="7" t="s">
        <v>2019</v>
      </c>
      <c r="BB25" t="s">
        <v>1765</v>
      </c>
      <c r="BC25" s="7" t="s">
        <v>2049</v>
      </c>
      <c r="BD25" t="s">
        <v>1845</v>
      </c>
      <c r="BH25" s="5" t="str">
        <f t="shared" si="1"/>
        <v/>
      </c>
      <c r="BI25" s="5" t="str">
        <f t="shared" si="2"/>
        <v/>
      </c>
    </row>
    <row r="26" spans="2:61" x14ac:dyDescent="0.35">
      <c r="B26" t="s">
        <v>911</v>
      </c>
      <c r="C26" s="7" t="s">
        <v>2017</v>
      </c>
      <c r="D26" t="s">
        <v>1591</v>
      </c>
      <c r="E26" t="s">
        <v>912</v>
      </c>
      <c r="F26" t="s">
        <v>1558</v>
      </c>
      <c r="G26" t="s">
        <v>183</v>
      </c>
      <c r="H26" s="7" t="s">
        <v>2116</v>
      </c>
      <c r="I26" s="7" t="s">
        <v>2025</v>
      </c>
      <c r="J26" s="7" t="s">
        <v>2026</v>
      </c>
      <c r="K26" s="7" t="s">
        <v>2025</v>
      </c>
      <c r="L26" s="7" t="s">
        <v>2026</v>
      </c>
      <c r="M26" s="7" t="s">
        <v>2027</v>
      </c>
      <c r="N26" s="7" t="s">
        <v>2020</v>
      </c>
      <c r="O26" s="7" t="s">
        <v>2033</v>
      </c>
      <c r="P26" t="s">
        <v>184</v>
      </c>
      <c r="Q26" s="7" t="s">
        <v>2112</v>
      </c>
      <c r="R26" t="s">
        <v>357</v>
      </c>
      <c r="U26" t="s">
        <v>1268</v>
      </c>
      <c r="V26" s="7" t="s">
        <v>2135</v>
      </c>
      <c r="W26" t="s">
        <v>1555</v>
      </c>
      <c r="X26" t="s">
        <v>933</v>
      </c>
      <c r="Y26" t="s">
        <v>1556</v>
      </c>
      <c r="Z26" t="s">
        <v>1200</v>
      </c>
      <c r="AA26" s="7" t="s">
        <v>2063</v>
      </c>
      <c r="AB26" s="7" t="s">
        <v>2026</v>
      </c>
      <c r="AC26" s="7" t="s">
        <v>2025</v>
      </c>
      <c r="AD26" s="7" t="s">
        <v>2027</v>
      </c>
      <c r="AE26" s="7" t="s">
        <v>2020</v>
      </c>
      <c r="AF26" s="7" t="s">
        <v>2025</v>
      </c>
      <c r="AG26" s="7" t="s">
        <v>2025</v>
      </c>
      <c r="AH26" s="7" t="s">
        <v>2026</v>
      </c>
      <c r="AI26" t="s">
        <v>1201</v>
      </c>
      <c r="AJ26" s="7" t="s">
        <v>2160</v>
      </c>
      <c r="AK26" t="s">
        <v>1236</v>
      </c>
      <c r="AN26" t="s">
        <v>1905</v>
      </c>
      <c r="AO26" s="7" t="s">
        <v>2017</v>
      </c>
      <c r="AP26" t="s">
        <v>1555</v>
      </c>
      <c r="AQ26" t="s">
        <v>1906</v>
      </c>
      <c r="AR26" t="s">
        <v>1560</v>
      </c>
      <c r="AS26" t="s">
        <v>1093</v>
      </c>
      <c r="AT26" s="7" t="s">
        <v>2048</v>
      </c>
      <c r="AU26" s="7" t="s">
        <v>2027</v>
      </c>
      <c r="AV26" s="7" t="s">
        <v>2027</v>
      </c>
      <c r="AW26" s="7" t="s">
        <v>2020</v>
      </c>
      <c r="AX26" s="7" t="s">
        <v>2020</v>
      </c>
      <c r="AY26" s="7" t="s">
        <v>2020</v>
      </c>
      <c r="AZ26" s="7" t="s">
        <v>2020</v>
      </c>
      <c r="BA26" s="7" t="s">
        <v>2019</v>
      </c>
      <c r="BB26" t="s">
        <v>1879</v>
      </c>
      <c r="BC26" s="7" t="s">
        <v>2049</v>
      </c>
      <c r="BD26" t="s">
        <v>1936</v>
      </c>
      <c r="BH26" s="5" t="str">
        <f t="shared" si="1"/>
        <v/>
      </c>
      <c r="BI26" s="5" t="str">
        <f t="shared" si="2"/>
        <v/>
      </c>
    </row>
    <row r="27" spans="2:61" x14ac:dyDescent="0.35">
      <c r="B27" t="s">
        <v>942</v>
      </c>
      <c r="C27" s="7" t="s">
        <v>2017</v>
      </c>
      <c r="D27" t="s">
        <v>1559</v>
      </c>
      <c r="E27" t="s">
        <v>703</v>
      </c>
      <c r="F27" t="s">
        <v>1558</v>
      </c>
      <c r="G27" t="s">
        <v>199</v>
      </c>
      <c r="H27" s="7" t="s">
        <v>2090</v>
      </c>
      <c r="I27" s="7" t="s">
        <v>2027</v>
      </c>
      <c r="J27" s="7" t="s">
        <v>2027</v>
      </c>
      <c r="K27" s="7" t="s">
        <v>2027</v>
      </c>
      <c r="L27" s="7" t="s">
        <v>2027</v>
      </c>
      <c r="M27" s="7" t="s">
        <v>2027</v>
      </c>
      <c r="N27" s="7" t="s">
        <v>2027</v>
      </c>
      <c r="O27" s="7" t="s">
        <v>2020</v>
      </c>
      <c r="P27" t="s">
        <v>200</v>
      </c>
      <c r="Q27" s="7" t="s">
        <v>2212</v>
      </c>
      <c r="R27" t="s">
        <v>358</v>
      </c>
      <c r="U27" t="s">
        <v>1819</v>
      </c>
      <c r="V27" s="7" t="s">
        <v>2135</v>
      </c>
      <c r="W27" t="s">
        <v>1555</v>
      </c>
      <c r="X27" t="s">
        <v>1820</v>
      </c>
      <c r="Y27" t="s">
        <v>1558</v>
      </c>
      <c r="Z27" t="s">
        <v>1821</v>
      </c>
      <c r="AA27" s="7" t="s">
        <v>2024</v>
      </c>
      <c r="AB27" s="7" t="s">
        <v>2027</v>
      </c>
      <c r="AC27" s="7" t="s">
        <v>2027</v>
      </c>
      <c r="AD27" s="7" t="s">
        <v>2027</v>
      </c>
      <c r="AE27" s="7" t="s">
        <v>2027</v>
      </c>
      <c r="AF27" s="7" t="s">
        <v>2025</v>
      </c>
      <c r="AG27" s="7" t="s">
        <v>2025</v>
      </c>
      <c r="AH27" s="7" t="s">
        <v>2026</v>
      </c>
      <c r="AI27" t="s">
        <v>1772</v>
      </c>
      <c r="AJ27" s="7" t="s">
        <v>2217</v>
      </c>
      <c r="AK27" t="s">
        <v>1844</v>
      </c>
      <c r="AN27" t="s">
        <v>2360</v>
      </c>
      <c r="AO27" s="7" t="s">
        <v>2017</v>
      </c>
      <c r="AP27" t="s">
        <v>1555</v>
      </c>
      <c r="AQ27" t="s">
        <v>949</v>
      </c>
      <c r="AR27" t="s">
        <v>1560</v>
      </c>
      <c r="AS27" t="s">
        <v>1975</v>
      </c>
      <c r="AT27" s="7" t="s">
        <v>2027</v>
      </c>
      <c r="AU27" s="7" t="s">
        <v>2019</v>
      </c>
      <c r="AV27" s="7" t="s">
        <v>2020</v>
      </c>
      <c r="AW27" s="7" t="s">
        <v>2027</v>
      </c>
      <c r="AX27" s="7" t="s">
        <v>2027</v>
      </c>
      <c r="AY27" s="7" t="s">
        <v>2025</v>
      </c>
      <c r="AZ27" s="7" t="s">
        <v>2025</v>
      </c>
      <c r="BA27" s="7" t="s">
        <v>2025</v>
      </c>
      <c r="BB27" t="s">
        <v>2007</v>
      </c>
      <c r="BC27" s="7" t="s">
        <v>2049</v>
      </c>
      <c r="BD27" t="s">
        <v>2708</v>
      </c>
      <c r="BH27" s="5" t="str">
        <f t="shared" si="1"/>
        <v/>
      </c>
      <c r="BI27" s="5" t="str">
        <f t="shared" si="2"/>
        <v/>
      </c>
    </row>
    <row r="28" spans="2:61" x14ac:dyDescent="0.35">
      <c r="B28" t="s">
        <v>957</v>
      </c>
      <c r="C28" s="7" t="s">
        <v>2017</v>
      </c>
      <c r="D28" t="s">
        <v>1568</v>
      </c>
      <c r="E28" t="s">
        <v>958</v>
      </c>
      <c r="F28" t="s">
        <v>1558</v>
      </c>
      <c r="G28" t="s">
        <v>959</v>
      </c>
      <c r="H28" s="7" t="s">
        <v>2019</v>
      </c>
      <c r="I28" s="7" t="s">
        <v>2020</v>
      </c>
      <c r="J28" s="7" t="s">
        <v>2029</v>
      </c>
      <c r="K28" s="7" t="s">
        <v>2020</v>
      </c>
      <c r="L28" s="7" t="s">
        <v>2020</v>
      </c>
      <c r="M28" s="7" t="s">
        <v>2020</v>
      </c>
      <c r="N28" s="7" t="s">
        <v>2029</v>
      </c>
      <c r="O28" s="7" t="s">
        <v>2141</v>
      </c>
      <c r="P28" t="s">
        <v>204</v>
      </c>
      <c r="Q28" s="7" t="s">
        <v>2085</v>
      </c>
      <c r="R28" t="s">
        <v>359</v>
      </c>
      <c r="U28" t="s">
        <v>1398</v>
      </c>
      <c r="V28" s="7" t="s">
        <v>2135</v>
      </c>
      <c r="W28" t="s">
        <v>1555</v>
      </c>
      <c r="X28" t="s">
        <v>1151</v>
      </c>
      <c r="Y28" t="s">
        <v>1558</v>
      </c>
      <c r="Z28" t="s">
        <v>1453</v>
      </c>
      <c r="AA28" s="7" t="s">
        <v>2159</v>
      </c>
      <c r="AB28" s="7" t="s">
        <v>2027</v>
      </c>
      <c r="AC28" s="7" t="s">
        <v>2025</v>
      </c>
      <c r="AD28" s="7" t="s">
        <v>2027</v>
      </c>
      <c r="AE28" s="7" t="s">
        <v>2020</v>
      </c>
      <c r="AF28" s="7" t="s">
        <v>2025</v>
      </c>
      <c r="AG28" s="7" t="s">
        <v>2025</v>
      </c>
      <c r="AH28" s="7" t="s">
        <v>2025</v>
      </c>
      <c r="AI28" t="s">
        <v>1320</v>
      </c>
      <c r="AJ28" s="7" t="s">
        <v>2239</v>
      </c>
      <c r="AK28" t="s">
        <v>1488</v>
      </c>
      <c r="AN28" t="s">
        <v>1594</v>
      </c>
      <c r="AO28" s="7" t="s">
        <v>2017</v>
      </c>
      <c r="AP28" t="s">
        <v>1555</v>
      </c>
      <c r="AQ28" t="s">
        <v>1595</v>
      </c>
      <c r="AR28" t="s">
        <v>1560</v>
      </c>
      <c r="AS28" t="s">
        <v>714</v>
      </c>
      <c r="AT28" s="7" t="s">
        <v>2025</v>
      </c>
      <c r="AU28" s="7" t="s">
        <v>2020</v>
      </c>
      <c r="AV28" s="7" t="s">
        <v>2025</v>
      </c>
      <c r="AW28" s="7" t="s">
        <v>2026</v>
      </c>
      <c r="AX28" s="7" t="s">
        <v>2027</v>
      </c>
      <c r="AY28" s="7" t="s">
        <v>2025</v>
      </c>
      <c r="AZ28" s="7" t="s">
        <v>2026</v>
      </c>
      <c r="BA28" s="7" t="s">
        <v>2026</v>
      </c>
      <c r="BB28" t="s">
        <v>1541</v>
      </c>
      <c r="BC28" s="7" t="s">
        <v>2077</v>
      </c>
      <c r="BD28" t="s">
        <v>1647</v>
      </c>
      <c r="BH28" s="5" t="str">
        <f t="shared" si="1"/>
        <v/>
      </c>
      <c r="BI28" s="5" t="str">
        <f t="shared" si="2"/>
        <v/>
      </c>
    </row>
    <row r="29" spans="2:61" x14ac:dyDescent="0.35">
      <c r="B29" t="s">
        <v>1073</v>
      </c>
      <c r="C29" s="7" t="s">
        <v>2017</v>
      </c>
      <c r="D29" t="s">
        <v>1559</v>
      </c>
      <c r="E29" t="s">
        <v>1074</v>
      </c>
      <c r="F29" t="s">
        <v>1556</v>
      </c>
      <c r="G29" t="s">
        <v>261</v>
      </c>
      <c r="H29" s="7" t="s">
        <v>2031</v>
      </c>
      <c r="I29" s="7" t="s">
        <v>2020</v>
      </c>
      <c r="J29" s="7" t="s">
        <v>2027</v>
      </c>
      <c r="K29" s="7" t="s">
        <v>2020</v>
      </c>
      <c r="L29" s="7" t="s">
        <v>2019</v>
      </c>
      <c r="M29" s="7" t="s">
        <v>2019</v>
      </c>
      <c r="N29" s="7" t="s">
        <v>2026</v>
      </c>
      <c r="O29" s="7" t="s">
        <v>2025</v>
      </c>
      <c r="P29" t="s">
        <v>185</v>
      </c>
      <c r="Q29" s="7" t="s">
        <v>2201</v>
      </c>
      <c r="R29" t="s">
        <v>360</v>
      </c>
      <c r="U29" t="s">
        <v>721</v>
      </c>
      <c r="V29" s="7" t="s">
        <v>2017</v>
      </c>
      <c r="W29" t="s">
        <v>1555</v>
      </c>
      <c r="X29" t="s">
        <v>716</v>
      </c>
      <c r="Y29" t="s">
        <v>1558</v>
      </c>
      <c r="Z29" t="s">
        <v>719</v>
      </c>
      <c r="AA29" s="7" t="s">
        <v>2027</v>
      </c>
      <c r="AB29" s="7" t="s">
        <v>2027</v>
      </c>
      <c r="AC29" s="7" t="s">
        <v>2027</v>
      </c>
      <c r="AD29" s="7" t="s">
        <v>2027</v>
      </c>
      <c r="AE29" s="7" t="s">
        <v>2027</v>
      </c>
      <c r="AF29" s="7" t="s">
        <v>2019</v>
      </c>
      <c r="AG29" s="7" t="s">
        <v>2026</v>
      </c>
      <c r="AH29" s="7" t="s">
        <v>2027</v>
      </c>
      <c r="AI29" t="s">
        <v>339</v>
      </c>
      <c r="AJ29" s="7" t="s">
        <v>2067</v>
      </c>
      <c r="AK29" t="s">
        <v>412</v>
      </c>
      <c r="AN29" t="s">
        <v>947</v>
      </c>
      <c r="AO29" s="7" t="s">
        <v>2017</v>
      </c>
      <c r="AP29" t="s">
        <v>1555</v>
      </c>
      <c r="AQ29" t="s">
        <v>659</v>
      </c>
      <c r="AR29" t="s">
        <v>1560</v>
      </c>
      <c r="AS29" t="s">
        <v>673</v>
      </c>
      <c r="AT29" s="7" t="s">
        <v>2103</v>
      </c>
      <c r="AU29" s="7" t="s">
        <v>2025</v>
      </c>
      <c r="AV29" s="7" t="s">
        <v>2025</v>
      </c>
      <c r="AW29" s="7" t="s">
        <v>2025</v>
      </c>
      <c r="AX29" s="7" t="s">
        <v>2020</v>
      </c>
      <c r="AY29" s="7" t="s">
        <v>2020</v>
      </c>
      <c r="AZ29" s="7" t="s">
        <v>2026</v>
      </c>
      <c r="BA29" s="7" t="s">
        <v>2026</v>
      </c>
      <c r="BB29" t="s">
        <v>344</v>
      </c>
      <c r="BC29" s="7" t="s">
        <v>2077</v>
      </c>
      <c r="BD29" t="s">
        <v>505</v>
      </c>
      <c r="BH29" s="5" t="str">
        <f t="shared" si="1"/>
        <v/>
      </c>
      <c r="BI29" s="5" t="str">
        <f t="shared" si="2"/>
        <v/>
      </c>
    </row>
    <row r="30" spans="2:61" x14ac:dyDescent="0.35">
      <c r="B30" t="s">
        <v>1076</v>
      </c>
      <c r="C30" s="7" t="s">
        <v>2017</v>
      </c>
      <c r="D30" t="s">
        <v>1614</v>
      </c>
      <c r="E30" t="s">
        <v>1056</v>
      </c>
      <c r="F30" t="s">
        <v>1558</v>
      </c>
      <c r="G30" t="s">
        <v>1077</v>
      </c>
      <c r="H30" s="7" t="s">
        <v>2571</v>
      </c>
      <c r="I30" s="7" t="s">
        <v>2033</v>
      </c>
      <c r="J30" s="7" t="s">
        <v>2033</v>
      </c>
      <c r="K30" s="7" t="s">
        <v>2025</v>
      </c>
      <c r="L30" s="7" t="s">
        <v>2033</v>
      </c>
      <c r="M30" s="7" t="s">
        <v>2033</v>
      </c>
      <c r="N30" s="7" t="s">
        <v>2033</v>
      </c>
      <c r="O30" s="7" t="s">
        <v>2033</v>
      </c>
      <c r="P30" t="s">
        <v>263</v>
      </c>
      <c r="Q30" s="7" t="s">
        <v>2217</v>
      </c>
      <c r="R30" t="s">
        <v>361</v>
      </c>
      <c r="U30" t="s">
        <v>1258</v>
      </c>
      <c r="V30" s="7" t="s">
        <v>2017</v>
      </c>
      <c r="W30" t="s">
        <v>1555</v>
      </c>
      <c r="X30" t="s">
        <v>760</v>
      </c>
      <c r="Y30" t="s">
        <v>1558</v>
      </c>
      <c r="Z30" t="s">
        <v>763</v>
      </c>
      <c r="AA30" s="7" t="s">
        <v>2058</v>
      </c>
      <c r="AB30" s="7" t="s">
        <v>2027</v>
      </c>
      <c r="AC30" s="7" t="s">
        <v>2027</v>
      </c>
      <c r="AD30" s="7" t="s">
        <v>2027</v>
      </c>
      <c r="AE30" s="7" t="s">
        <v>2027</v>
      </c>
      <c r="AF30" s="7" t="s">
        <v>2025</v>
      </c>
      <c r="AG30" s="7" t="s">
        <v>2025</v>
      </c>
      <c r="AH30" s="7" t="s">
        <v>2027</v>
      </c>
      <c r="AI30" t="s">
        <v>1188</v>
      </c>
      <c r="AJ30" s="7" t="s">
        <v>2207</v>
      </c>
      <c r="AK30" t="s">
        <v>1237</v>
      </c>
      <c r="AN30" t="s">
        <v>1910</v>
      </c>
      <c r="AO30" s="7" t="s">
        <v>2017</v>
      </c>
      <c r="AP30" t="s">
        <v>1555</v>
      </c>
      <c r="AQ30" t="s">
        <v>1911</v>
      </c>
      <c r="AR30" t="s">
        <v>1560</v>
      </c>
      <c r="AS30" t="s">
        <v>1912</v>
      </c>
      <c r="AT30" s="7" t="s">
        <v>2070</v>
      </c>
      <c r="AU30" s="7" t="s">
        <v>2019</v>
      </c>
      <c r="AV30" s="7" t="s">
        <v>2020</v>
      </c>
      <c r="AW30" s="7" t="s">
        <v>2019</v>
      </c>
      <c r="AX30" s="7" t="s">
        <v>2025</v>
      </c>
      <c r="AY30" s="7" t="s">
        <v>2020</v>
      </c>
      <c r="AZ30" s="7" t="s">
        <v>2025</v>
      </c>
      <c r="BA30" s="7" t="s">
        <v>2020</v>
      </c>
      <c r="BB30" t="s">
        <v>172</v>
      </c>
      <c r="BC30" s="7" t="s">
        <v>2133</v>
      </c>
      <c r="BD30" t="s">
        <v>1937</v>
      </c>
      <c r="BH30" s="5" t="str">
        <f t="shared" si="1"/>
        <v/>
      </c>
      <c r="BI30" s="5" t="str">
        <f t="shared" si="2"/>
        <v/>
      </c>
    </row>
    <row r="31" spans="2:61" x14ac:dyDescent="0.35">
      <c r="B31" t="s">
        <v>708</v>
      </c>
      <c r="C31" s="7" t="s">
        <v>2030</v>
      </c>
      <c r="D31" t="s">
        <v>1566</v>
      </c>
      <c r="E31" t="s">
        <v>709</v>
      </c>
      <c r="F31" t="s">
        <v>1558</v>
      </c>
      <c r="G31" t="s">
        <v>80</v>
      </c>
      <c r="H31" s="7" t="s">
        <v>2125</v>
      </c>
      <c r="I31" s="7" t="s">
        <v>2020</v>
      </c>
      <c r="J31" s="7" t="s">
        <v>2025</v>
      </c>
      <c r="K31" s="7" t="s">
        <v>2020</v>
      </c>
      <c r="L31" s="7" t="s">
        <v>2020</v>
      </c>
      <c r="M31" s="7" t="s">
        <v>2025</v>
      </c>
      <c r="N31" s="7" t="s">
        <v>2027</v>
      </c>
      <c r="O31" s="7" t="s">
        <v>2026</v>
      </c>
      <c r="P31" t="s">
        <v>81</v>
      </c>
      <c r="Q31" s="7" t="s">
        <v>2149</v>
      </c>
      <c r="R31" t="s">
        <v>362</v>
      </c>
      <c r="U31" t="s">
        <v>809</v>
      </c>
      <c r="V31" s="7" t="s">
        <v>2017</v>
      </c>
      <c r="W31" t="s">
        <v>1555</v>
      </c>
      <c r="X31" t="s">
        <v>716</v>
      </c>
      <c r="Y31" t="s">
        <v>1558</v>
      </c>
      <c r="Z31" t="s">
        <v>810</v>
      </c>
      <c r="AA31" s="7" t="s">
        <v>2018</v>
      </c>
      <c r="AB31" s="7" t="s">
        <v>2019</v>
      </c>
      <c r="AC31" s="7" t="s">
        <v>2019</v>
      </c>
      <c r="AD31" s="7" t="s">
        <v>2020</v>
      </c>
      <c r="AE31" s="7" t="s">
        <v>2019</v>
      </c>
      <c r="AF31" s="7" t="s">
        <v>2029</v>
      </c>
      <c r="AG31" s="7" t="s">
        <v>2027</v>
      </c>
      <c r="AH31" s="7" t="s">
        <v>2020</v>
      </c>
      <c r="AI31" t="s">
        <v>130</v>
      </c>
      <c r="AJ31" s="7" t="s">
        <v>2043</v>
      </c>
      <c r="AK31" t="s">
        <v>420</v>
      </c>
      <c r="AN31" t="s">
        <v>1599</v>
      </c>
      <c r="AO31" s="7" t="s">
        <v>2017</v>
      </c>
      <c r="AP31" t="s">
        <v>1555</v>
      </c>
      <c r="AQ31" t="s">
        <v>1600</v>
      </c>
      <c r="AR31" t="s">
        <v>1560</v>
      </c>
      <c r="AS31" t="s">
        <v>1601</v>
      </c>
      <c r="AT31" s="7" t="s">
        <v>2092</v>
      </c>
      <c r="AU31" s="7" t="s">
        <v>2029</v>
      </c>
      <c r="AV31" s="7" t="s">
        <v>2029</v>
      </c>
      <c r="AW31" s="7" t="s">
        <v>2020</v>
      </c>
      <c r="AX31" s="7" t="s">
        <v>2019</v>
      </c>
      <c r="AY31" s="7" t="s">
        <v>2029</v>
      </c>
      <c r="AZ31" s="7" t="s">
        <v>2020</v>
      </c>
      <c r="BA31" s="7" t="s">
        <v>2019</v>
      </c>
      <c r="BB31" t="s">
        <v>172</v>
      </c>
      <c r="BC31" s="7" t="s">
        <v>2133</v>
      </c>
      <c r="BD31" t="s">
        <v>1648</v>
      </c>
      <c r="BH31" s="5" t="str">
        <f t="shared" si="1"/>
        <v/>
      </c>
      <c r="BI31" s="5" t="str">
        <f t="shared" si="2"/>
        <v/>
      </c>
    </row>
    <row r="32" spans="2:61" x14ac:dyDescent="0.35">
      <c r="B32" t="s">
        <v>806</v>
      </c>
      <c r="C32" s="7" t="s">
        <v>2030</v>
      </c>
      <c r="D32" t="s">
        <v>57</v>
      </c>
      <c r="E32" t="s">
        <v>807</v>
      </c>
      <c r="F32" t="s">
        <v>1558</v>
      </c>
      <c r="G32" t="s">
        <v>808</v>
      </c>
      <c r="H32" s="7" t="s">
        <v>2090</v>
      </c>
      <c r="I32" s="7" t="s">
        <v>2025</v>
      </c>
      <c r="J32" s="7" t="s">
        <v>2025</v>
      </c>
      <c r="K32" s="7" t="s">
        <v>2027</v>
      </c>
      <c r="L32" s="7" t="s">
        <v>2027</v>
      </c>
      <c r="M32" s="7" t="s">
        <v>2029</v>
      </c>
      <c r="N32" s="7" t="s">
        <v>2020</v>
      </c>
      <c r="O32" s="7" t="s">
        <v>2025</v>
      </c>
      <c r="P32" t="s">
        <v>129</v>
      </c>
      <c r="Q32" s="7" t="s">
        <v>2034</v>
      </c>
      <c r="R32" t="s">
        <v>363</v>
      </c>
      <c r="U32" t="s">
        <v>817</v>
      </c>
      <c r="V32" s="7" t="s">
        <v>2017</v>
      </c>
      <c r="W32" t="s">
        <v>1555</v>
      </c>
      <c r="X32" t="s">
        <v>690</v>
      </c>
      <c r="Y32" t="s">
        <v>1558</v>
      </c>
      <c r="Z32" t="s">
        <v>133</v>
      </c>
      <c r="AA32" s="7" t="s">
        <v>2019</v>
      </c>
      <c r="AB32" s="7" t="s">
        <v>2020</v>
      </c>
      <c r="AC32" s="7" t="s">
        <v>2020</v>
      </c>
      <c r="AD32" s="7" t="s">
        <v>2027</v>
      </c>
      <c r="AE32" s="7" t="s">
        <v>2019</v>
      </c>
      <c r="AF32" s="7" t="s">
        <v>2141</v>
      </c>
      <c r="AG32" s="7" t="s">
        <v>2019</v>
      </c>
      <c r="AH32" s="7" t="s">
        <v>2141</v>
      </c>
      <c r="AI32" t="s">
        <v>134</v>
      </c>
      <c r="AJ32" s="7" t="s">
        <v>2212</v>
      </c>
      <c r="AK32" t="s">
        <v>421</v>
      </c>
      <c r="AN32" t="s">
        <v>1916</v>
      </c>
      <c r="AO32" s="7" t="s">
        <v>2017</v>
      </c>
      <c r="AP32" t="s">
        <v>1555</v>
      </c>
      <c r="AQ32" t="s">
        <v>1917</v>
      </c>
      <c r="AR32" t="s">
        <v>1560</v>
      </c>
      <c r="AS32" t="s">
        <v>1022</v>
      </c>
      <c r="AT32" s="7" t="s">
        <v>2024</v>
      </c>
      <c r="AU32" s="7" t="s">
        <v>2027</v>
      </c>
      <c r="AV32" s="7" t="s">
        <v>2027</v>
      </c>
      <c r="AW32" s="7" t="s">
        <v>2025</v>
      </c>
      <c r="AX32" s="7" t="s">
        <v>2025</v>
      </c>
      <c r="AY32" s="7" t="s">
        <v>2027</v>
      </c>
      <c r="AZ32" s="7" t="s">
        <v>2025</v>
      </c>
      <c r="BA32" s="7" t="s">
        <v>2025</v>
      </c>
      <c r="BB32" t="s">
        <v>1883</v>
      </c>
      <c r="BC32" s="7" t="s">
        <v>2049</v>
      </c>
      <c r="BD32" t="s">
        <v>1938</v>
      </c>
      <c r="BH32" s="5" t="str">
        <f t="shared" si="1"/>
        <v/>
      </c>
      <c r="BI32" s="5" t="str">
        <f t="shared" si="2"/>
        <v/>
      </c>
    </row>
    <row r="33" spans="2:61" x14ac:dyDescent="0.35">
      <c r="B33" t="s">
        <v>904</v>
      </c>
      <c r="C33" s="7" t="s">
        <v>2030</v>
      </c>
      <c r="D33" t="s">
        <v>1559</v>
      </c>
      <c r="E33" t="s">
        <v>905</v>
      </c>
      <c r="F33" t="s">
        <v>1558</v>
      </c>
      <c r="G33" t="s">
        <v>180</v>
      </c>
      <c r="H33" s="7" t="s">
        <v>2070</v>
      </c>
      <c r="I33" s="7" t="s">
        <v>2020</v>
      </c>
      <c r="J33" s="7" t="s">
        <v>2027</v>
      </c>
      <c r="K33" s="7" t="s">
        <v>2025</v>
      </c>
      <c r="L33" s="7" t="s">
        <v>2019</v>
      </c>
      <c r="M33" s="7" t="s">
        <v>2027</v>
      </c>
      <c r="N33" s="7" t="s">
        <v>2019</v>
      </c>
      <c r="O33" s="7" t="s">
        <v>2020</v>
      </c>
      <c r="P33" t="s">
        <v>181</v>
      </c>
      <c r="Q33" s="7" t="s">
        <v>2195</v>
      </c>
      <c r="R33" t="s">
        <v>364</v>
      </c>
      <c r="U33" t="s">
        <v>913</v>
      </c>
      <c r="V33" s="7" t="s">
        <v>2017</v>
      </c>
      <c r="W33" t="s">
        <v>1555</v>
      </c>
      <c r="X33" t="s">
        <v>788</v>
      </c>
      <c r="Y33" t="s">
        <v>1558</v>
      </c>
      <c r="Z33" t="s">
        <v>789</v>
      </c>
      <c r="AA33" s="7" t="s">
        <v>2121</v>
      </c>
      <c r="AB33" s="7" t="s">
        <v>2025</v>
      </c>
      <c r="AC33" s="7" t="s">
        <v>2025</v>
      </c>
      <c r="AD33" s="7" t="s">
        <v>2033</v>
      </c>
      <c r="AE33" s="7" t="s">
        <v>2027</v>
      </c>
      <c r="AF33" s="7" t="s">
        <v>2025</v>
      </c>
      <c r="AG33" s="7" t="s">
        <v>2026</v>
      </c>
      <c r="AH33" s="7" t="s">
        <v>2033</v>
      </c>
      <c r="AI33" t="s">
        <v>185</v>
      </c>
      <c r="AJ33" s="7" t="s">
        <v>2204</v>
      </c>
      <c r="AK33" t="s">
        <v>436</v>
      </c>
      <c r="AN33" t="s">
        <v>1828</v>
      </c>
      <c r="AO33" s="7" t="s">
        <v>2017</v>
      </c>
      <c r="AP33" t="s">
        <v>1555</v>
      </c>
      <c r="AQ33" t="s">
        <v>1829</v>
      </c>
      <c r="AR33" t="s">
        <v>1560</v>
      </c>
      <c r="AS33" t="s">
        <v>1775</v>
      </c>
      <c r="AT33" s="7" t="s">
        <v>2177</v>
      </c>
      <c r="AU33" s="7" t="s">
        <v>2019</v>
      </c>
      <c r="AV33" s="7" t="s">
        <v>2019</v>
      </c>
      <c r="AW33" s="7" t="s">
        <v>2019</v>
      </c>
      <c r="AX33" s="7" t="s">
        <v>2019</v>
      </c>
      <c r="AY33" s="7" t="s">
        <v>2029</v>
      </c>
      <c r="AZ33" s="7" t="s">
        <v>2019</v>
      </c>
      <c r="BA33" s="7" t="s">
        <v>2029</v>
      </c>
      <c r="BB33" t="s">
        <v>1776</v>
      </c>
      <c r="BC33" s="7" t="s">
        <v>2505</v>
      </c>
      <c r="BD33" t="s">
        <v>1846</v>
      </c>
      <c r="BH33" s="5" t="str">
        <f t="shared" si="1"/>
        <v/>
      </c>
      <c r="BI33" s="5" t="str">
        <f t="shared" si="2"/>
        <v/>
      </c>
    </row>
    <row r="34" spans="2:61" x14ac:dyDescent="0.35">
      <c r="B34" t="s">
        <v>960</v>
      </c>
      <c r="C34" s="7" t="s">
        <v>2030</v>
      </c>
      <c r="D34" t="s">
        <v>1557</v>
      </c>
      <c r="E34" t="s">
        <v>961</v>
      </c>
      <c r="F34" t="s">
        <v>1558</v>
      </c>
      <c r="G34" t="s">
        <v>962</v>
      </c>
      <c r="H34" s="7" t="s">
        <v>2314</v>
      </c>
      <c r="I34" s="7" t="s">
        <v>2141</v>
      </c>
      <c r="J34" s="7" t="s">
        <v>2029</v>
      </c>
      <c r="K34" s="7" t="s">
        <v>2029</v>
      </c>
      <c r="L34" s="7" t="s">
        <v>2029</v>
      </c>
      <c r="M34" s="7" t="s">
        <v>2029</v>
      </c>
      <c r="N34" s="7" t="s">
        <v>2029</v>
      </c>
      <c r="O34" s="7" t="s">
        <v>2022</v>
      </c>
      <c r="P34" t="s">
        <v>205</v>
      </c>
      <c r="Q34" s="7" t="s">
        <v>2195</v>
      </c>
      <c r="R34" t="s">
        <v>365</v>
      </c>
      <c r="U34" t="s">
        <v>1592</v>
      </c>
      <c r="V34" s="7" t="s">
        <v>2017</v>
      </c>
      <c r="W34" t="s">
        <v>1555</v>
      </c>
      <c r="X34" t="s">
        <v>916</v>
      </c>
      <c r="Y34" t="s">
        <v>1558</v>
      </c>
      <c r="Z34" t="s">
        <v>1031</v>
      </c>
      <c r="AA34" s="7" t="s">
        <v>2025</v>
      </c>
      <c r="AB34" s="7" t="s">
        <v>2027</v>
      </c>
      <c r="AC34" s="7" t="s">
        <v>2026</v>
      </c>
      <c r="AD34" s="7" t="s">
        <v>2026</v>
      </c>
      <c r="AE34" s="7" t="s">
        <v>2027</v>
      </c>
      <c r="AF34" s="7" t="s">
        <v>2020</v>
      </c>
      <c r="AG34" s="7" t="s">
        <v>2026</v>
      </c>
      <c r="AH34" s="7" t="s">
        <v>2026</v>
      </c>
      <c r="AI34" t="s">
        <v>88</v>
      </c>
      <c r="AJ34" s="7" t="s">
        <v>2158</v>
      </c>
      <c r="AK34" t="s">
        <v>1635</v>
      </c>
      <c r="AN34" t="s">
        <v>1615</v>
      </c>
      <c r="AO34" s="7" t="s">
        <v>2017</v>
      </c>
      <c r="AP34" t="s">
        <v>1555</v>
      </c>
      <c r="AQ34" t="s">
        <v>1086</v>
      </c>
      <c r="AR34" t="s">
        <v>1560</v>
      </c>
      <c r="AS34" t="s">
        <v>1616</v>
      </c>
      <c r="AT34" s="7" t="s">
        <v>2063</v>
      </c>
      <c r="AU34" s="7" t="s">
        <v>2020</v>
      </c>
      <c r="AV34" s="7" t="s">
        <v>2025</v>
      </c>
      <c r="AW34" s="7" t="s">
        <v>2025</v>
      </c>
      <c r="AX34" s="7" t="s">
        <v>2027</v>
      </c>
      <c r="AY34" s="7" t="s">
        <v>2025</v>
      </c>
      <c r="AZ34" s="7" t="s">
        <v>2026</v>
      </c>
      <c r="BA34" s="7" t="s">
        <v>2026</v>
      </c>
      <c r="BB34" t="s">
        <v>1548</v>
      </c>
      <c r="BC34" s="7" t="s">
        <v>2552</v>
      </c>
      <c r="BD34" t="s">
        <v>1649</v>
      </c>
      <c r="BH34" s="5" t="str">
        <f t="shared" si="1"/>
        <v/>
      </c>
      <c r="BI34" s="5" t="str">
        <f t="shared" si="2"/>
        <v/>
      </c>
    </row>
    <row r="35" spans="2:61" x14ac:dyDescent="0.35">
      <c r="B35" t="s">
        <v>971</v>
      </c>
      <c r="C35" s="7" t="s">
        <v>2030</v>
      </c>
      <c r="D35" t="s">
        <v>1557</v>
      </c>
      <c r="E35" t="s">
        <v>972</v>
      </c>
      <c r="F35" t="s">
        <v>1558</v>
      </c>
      <c r="G35" t="s">
        <v>973</v>
      </c>
      <c r="H35" s="7" t="s">
        <v>2231</v>
      </c>
      <c r="I35" s="7" t="s">
        <v>2029</v>
      </c>
      <c r="J35" s="7" t="s">
        <v>2029</v>
      </c>
      <c r="K35" s="7" t="s">
        <v>2029</v>
      </c>
      <c r="L35" s="7" t="s">
        <v>2025</v>
      </c>
      <c r="M35" s="7" t="s">
        <v>2029</v>
      </c>
      <c r="N35" s="7" t="s">
        <v>2029</v>
      </c>
      <c r="O35" s="7" t="s">
        <v>2022</v>
      </c>
      <c r="P35" t="s">
        <v>211</v>
      </c>
      <c r="Q35" s="7" t="s">
        <v>2106</v>
      </c>
      <c r="R35" t="s">
        <v>366</v>
      </c>
      <c r="U35" t="s">
        <v>932</v>
      </c>
      <c r="V35" s="7" t="s">
        <v>2017</v>
      </c>
      <c r="W35" t="s">
        <v>1555</v>
      </c>
      <c r="X35" t="s">
        <v>933</v>
      </c>
      <c r="Y35" t="s">
        <v>1558</v>
      </c>
      <c r="Z35" t="s">
        <v>195</v>
      </c>
      <c r="AA35" s="7" t="s">
        <v>2061</v>
      </c>
      <c r="AB35" s="7" t="s">
        <v>2027</v>
      </c>
      <c r="AC35" s="7" t="s">
        <v>2027</v>
      </c>
      <c r="AD35" s="7" t="s">
        <v>2025</v>
      </c>
      <c r="AE35" s="7" t="s">
        <v>2019</v>
      </c>
      <c r="AF35" s="7" t="s">
        <v>2029</v>
      </c>
      <c r="AG35" s="7" t="s">
        <v>2019</v>
      </c>
      <c r="AH35" s="7" t="s">
        <v>2019</v>
      </c>
      <c r="AI35" t="s">
        <v>196</v>
      </c>
      <c r="AJ35" s="7" t="s">
        <v>2227</v>
      </c>
      <c r="AK35" t="s">
        <v>444</v>
      </c>
      <c r="AN35" t="s">
        <v>1083</v>
      </c>
      <c r="AO35" s="7" t="s">
        <v>2017</v>
      </c>
      <c r="AP35" t="s">
        <v>1555</v>
      </c>
      <c r="AQ35" t="s">
        <v>1084</v>
      </c>
      <c r="AR35" t="s">
        <v>1561</v>
      </c>
      <c r="AS35" t="s">
        <v>820</v>
      </c>
      <c r="AT35" s="7" t="s">
        <v>2061</v>
      </c>
      <c r="AU35" s="7" t="s">
        <v>2027</v>
      </c>
      <c r="AV35" s="7" t="s">
        <v>2027</v>
      </c>
      <c r="AW35" s="7" t="s">
        <v>2029</v>
      </c>
      <c r="AX35" s="7" t="s">
        <v>2029</v>
      </c>
      <c r="AY35" s="7" t="s">
        <v>2019</v>
      </c>
      <c r="AZ35" s="7" t="s">
        <v>2020</v>
      </c>
      <c r="BA35" s="7" t="s">
        <v>2025</v>
      </c>
      <c r="BB35" t="s">
        <v>266</v>
      </c>
      <c r="BC35" s="7" t="s">
        <v>2212</v>
      </c>
      <c r="BD35" t="s">
        <v>506</v>
      </c>
      <c r="BH35" s="5" t="str">
        <f t="shared" si="1"/>
        <v/>
      </c>
      <c r="BI35" s="5" t="str">
        <f t="shared" si="2"/>
        <v/>
      </c>
    </row>
    <row r="36" spans="2:61" x14ac:dyDescent="0.35">
      <c r="B36" t="s">
        <v>988</v>
      </c>
      <c r="C36" s="7" t="s">
        <v>2030</v>
      </c>
      <c r="D36" t="s">
        <v>1608</v>
      </c>
      <c r="E36" t="s">
        <v>989</v>
      </c>
      <c r="F36" t="s">
        <v>1558</v>
      </c>
      <c r="G36" t="s">
        <v>990</v>
      </c>
      <c r="H36" s="7" t="s">
        <v>2061</v>
      </c>
      <c r="I36" s="7" t="s">
        <v>2020</v>
      </c>
      <c r="J36" s="7" t="s">
        <v>2019</v>
      </c>
      <c r="K36" s="7" t="s">
        <v>2019</v>
      </c>
      <c r="L36" s="7" t="s">
        <v>2141</v>
      </c>
      <c r="M36" s="7" t="s">
        <v>2027</v>
      </c>
      <c r="N36" s="7" t="s">
        <v>2027</v>
      </c>
      <c r="O36" s="7" t="s">
        <v>2025</v>
      </c>
      <c r="P36" t="s">
        <v>219</v>
      </c>
      <c r="Q36" s="7" t="s">
        <v>2036</v>
      </c>
      <c r="R36" t="s">
        <v>367</v>
      </c>
      <c r="U36" t="s">
        <v>1596</v>
      </c>
      <c r="V36" s="7" t="s">
        <v>2017</v>
      </c>
      <c r="W36" t="s">
        <v>1555</v>
      </c>
      <c r="X36" t="s">
        <v>682</v>
      </c>
      <c r="Y36" t="s">
        <v>1558</v>
      </c>
      <c r="Z36" t="s">
        <v>1597</v>
      </c>
      <c r="AA36" s="7" t="s">
        <v>2181</v>
      </c>
      <c r="AB36" s="7" t="s">
        <v>2019</v>
      </c>
      <c r="AC36" s="7" t="s">
        <v>2019</v>
      </c>
      <c r="AD36" s="7" t="s">
        <v>2029</v>
      </c>
      <c r="AE36" s="7" t="s">
        <v>2019</v>
      </c>
      <c r="AF36" s="7" t="s">
        <v>2029</v>
      </c>
      <c r="AG36" s="7" t="s">
        <v>2019</v>
      </c>
      <c r="AH36" s="7" t="s">
        <v>2141</v>
      </c>
      <c r="AI36" t="s">
        <v>1542</v>
      </c>
      <c r="AJ36" s="7" t="s">
        <v>2217</v>
      </c>
      <c r="AK36" t="s">
        <v>1636</v>
      </c>
      <c r="AN36" t="s">
        <v>1707</v>
      </c>
      <c r="AO36" s="7" t="s">
        <v>2030</v>
      </c>
      <c r="AP36" t="s">
        <v>1555</v>
      </c>
      <c r="AQ36" t="s">
        <v>1708</v>
      </c>
      <c r="AR36" t="s">
        <v>1560</v>
      </c>
      <c r="AS36" t="s">
        <v>1709</v>
      </c>
      <c r="AT36" s="7" t="s">
        <v>2031</v>
      </c>
      <c r="AU36" s="7" t="s">
        <v>2020</v>
      </c>
      <c r="AV36" s="7" t="s">
        <v>2027</v>
      </c>
      <c r="AW36" s="7" t="s">
        <v>2027</v>
      </c>
      <c r="AX36" s="7" t="s">
        <v>2027</v>
      </c>
      <c r="AY36" s="7" t="s">
        <v>2027</v>
      </c>
      <c r="AZ36" s="7" t="s">
        <v>2020</v>
      </c>
      <c r="BA36" s="7" t="s">
        <v>2020</v>
      </c>
      <c r="BB36" t="s">
        <v>1662</v>
      </c>
      <c r="BC36" s="7" t="s">
        <v>2021</v>
      </c>
      <c r="BD36" t="s">
        <v>1699</v>
      </c>
      <c r="BH36" s="5" t="str">
        <f t="shared" si="1"/>
        <v/>
      </c>
      <c r="BI36" s="5" t="str">
        <f t="shared" si="2"/>
        <v/>
      </c>
    </row>
    <row r="37" spans="2:61" x14ac:dyDescent="0.35">
      <c r="B37" t="s">
        <v>1097</v>
      </c>
      <c r="C37" s="7" t="s">
        <v>2030</v>
      </c>
      <c r="D37" t="s">
        <v>1620</v>
      </c>
      <c r="E37" t="s">
        <v>1098</v>
      </c>
      <c r="F37" t="s">
        <v>1558</v>
      </c>
      <c r="G37" t="s">
        <v>272</v>
      </c>
      <c r="H37" s="7" t="s">
        <v>2020</v>
      </c>
      <c r="I37" s="7" t="s">
        <v>2020</v>
      </c>
      <c r="J37" s="7" t="s">
        <v>2019</v>
      </c>
      <c r="K37" s="7" t="s">
        <v>2020</v>
      </c>
      <c r="L37" s="7" t="s">
        <v>2020</v>
      </c>
      <c r="M37" s="7" t="s">
        <v>2027</v>
      </c>
      <c r="N37" s="7" t="s">
        <v>2020</v>
      </c>
      <c r="O37" s="7" t="s">
        <v>2020</v>
      </c>
      <c r="P37" t="s">
        <v>273</v>
      </c>
      <c r="Q37" s="7" t="s">
        <v>2151</v>
      </c>
      <c r="R37" t="s">
        <v>368</v>
      </c>
      <c r="U37" t="s">
        <v>967</v>
      </c>
      <c r="V37" s="7" t="s">
        <v>2017</v>
      </c>
      <c r="W37" t="s">
        <v>1555</v>
      </c>
      <c r="X37" t="s">
        <v>968</v>
      </c>
      <c r="Y37" t="s">
        <v>1558</v>
      </c>
      <c r="Z37" t="s">
        <v>802</v>
      </c>
      <c r="AA37" s="7" t="s">
        <v>2061</v>
      </c>
      <c r="AB37" s="7" t="s">
        <v>2020</v>
      </c>
      <c r="AC37" s="7" t="s">
        <v>2027</v>
      </c>
      <c r="AD37" s="7" t="s">
        <v>2027</v>
      </c>
      <c r="AE37" s="7" t="s">
        <v>2019</v>
      </c>
      <c r="AF37" s="7" t="s">
        <v>2029</v>
      </c>
      <c r="AG37" s="7" t="s">
        <v>2020</v>
      </c>
      <c r="AH37" s="7" t="s">
        <v>2020</v>
      </c>
      <c r="AI37" t="s">
        <v>209</v>
      </c>
      <c r="AJ37" s="7" t="s">
        <v>2198</v>
      </c>
      <c r="AK37" t="s">
        <v>450</v>
      </c>
      <c r="AN37" t="s">
        <v>775</v>
      </c>
      <c r="AO37" s="7" t="s">
        <v>2030</v>
      </c>
      <c r="AP37" t="s">
        <v>1555</v>
      </c>
      <c r="AQ37" t="s">
        <v>776</v>
      </c>
      <c r="AR37" t="s">
        <v>1560</v>
      </c>
      <c r="AS37" t="s">
        <v>112</v>
      </c>
      <c r="AT37" s="7" t="s">
        <v>2052</v>
      </c>
      <c r="AU37" s="7" t="s">
        <v>2019</v>
      </c>
      <c r="AV37" s="7" t="s">
        <v>2020</v>
      </c>
      <c r="AW37" s="7" t="s">
        <v>2019</v>
      </c>
      <c r="AX37" s="7" t="s">
        <v>2029</v>
      </c>
      <c r="AY37" s="7" t="s">
        <v>2029</v>
      </c>
      <c r="AZ37" s="7" t="s">
        <v>2020</v>
      </c>
      <c r="BA37" s="7" t="s">
        <v>2020</v>
      </c>
      <c r="BB37" t="s">
        <v>113</v>
      </c>
      <c r="BC37" s="7" t="s">
        <v>2049</v>
      </c>
      <c r="BD37" t="s">
        <v>507</v>
      </c>
      <c r="BH37" s="5" t="str">
        <f t="shared" si="1"/>
        <v/>
      </c>
      <c r="BI37" s="5" t="str">
        <f t="shared" si="2"/>
        <v/>
      </c>
    </row>
    <row r="38" spans="2:61" x14ac:dyDescent="0.35">
      <c r="B38" t="s">
        <v>1122</v>
      </c>
      <c r="C38" s="7" t="s">
        <v>2030</v>
      </c>
      <c r="D38" t="s">
        <v>1559</v>
      </c>
      <c r="E38" t="s">
        <v>1123</v>
      </c>
      <c r="F38" t="s">
        <v>1558</v>
      </c>
      <c r="G38" t="s">
        <v>285</v>
      </c>
      <c r="H38" s="7" t="s">
        <v>2159</v>
      </c>
      <c r="I38" s="7" t="s">
        <v>2025</v>
      </c>
      <c r="J38" s="7" t="s">
        <v>2025</v>
      </c>
      <c r="K38" s="7" t="s">
        <v>2025</v>
      </c>
      <c r="L38" s="7" t="s">
        <v>2020</v>
      </c>
      <c r="M38" s="7" t="s">
        <v>2025</v>
      </c>
      <c r="N38" s="7" t="s">
        <v>2029</v>
      </c>
      <c r="O38" s="7" t="s">
        <v>2033</v>
      </c>
      <c r="P38" t="s">
        <v>286</v>
      </c>
      <c r="Q38" s="7" t="s">
        <v>2085</v>
      </c>
      <c r="R38" t="s">
        <v>369</v>
      </c>
      <c r="U38" t="s">
        <v>985</v>
      </c>
      <c r="V38" s="7" t="s">
        <v>2017</v>
      </c>
      <c r="W38" t="s">
        <v>1555</v>
      </c>
      <c r="X38" t="s">
        <v>695</v>
      </c>
      <c r="Y38" t="s">
        <v>1558</v>
      </c>
      <c r="Z38" t="s">
        <v>984</v>
      </c>
      <c r="AA38" s="7" t="s">
        <v>2025</v>
      </c>
      <c r="AB38" s="7" t="s">
        <v>2025</v>
      </c>
      <c r="AC38" s="7" t="s">
        <v>2025</v>
      </c>
      <c r="AD38" s="7" t="s">
        <v>2025</v>
      </c>
      <c r="AE38" s="7" t="s">
        <v>2025</v>
      </c>
      <c r="AF38" s="7" t="s">
        <v>2025</v>
      </c>
      <c r="AG38" s="7" t="s">
        <v>2025</v>
      </c>
      <c r="AH38" s="7" t="s">
        <v>2025</v>
      </c>
      <c r="AI38" t="s">
        <v>217</v>
      </c>
      <c r="AJ38" s="7" t="s">
        <v>2096</v>
      </c>
      <c r="AK38" t="s">
        <v>454</v>
      </c>
      <c r="AN38" t="s">
        <v>795</v>
      </c>
      <c r="AO38" s="7" t="s">
        <v>2030</v>
      </c>
      <c r="AP38" t="s">
        <v>1555</v>
      </c>
      <c r="AQ38" t="s">
        <v>796</v>
      </c>
      <c r="AR38" t="s">
        <v>1560</v>
      </c>
      <c r="AS38" t="s">
        <v>797</v>
      </c>
      <c r="AT38" s="7" t="s">
        <v>2159</v>
      </c>
      <c r="AU38" s="7" t="s">
        <v>2020</v>
      </c>
      <c r="AV38" s="7" t="s">
        <v>2025</v>
      </c>
      <c r="AW38" s="7" t="s">
        <v>2027</v>
      </c>
      <c r="AX38" s="7" t="s">
        <v>2025</v>
      </c>
      <c r="AY38" s="7" t="s">
        <v>2020</v>
      </c>
      <c r="AZ38" s="7" t="s">
        <v>2026</v>
      </c>
      <c r="BA38" s="7" t="s">
        <v>2025</v>
      </c>
      <c r="BB38" t="s">
        <v>124</v>
      </c>
      <c r="BC38" s="7" t="s">
        <v>2049</v>
      </c>
      <c r="BD38" t="s">
        <v>508</v>
      </c>
      <c r="BH38" s="5" t="str">
        <f t="shared" si="1"/>
        <v/>
      </c>
      <c r="BI38" s="5" t="str">
        <f t="shared" si="2"/>
        <v/>
      </c>
    </row>
    <row r="39" spans="2:61" x14ac:dyDescent="0.35">
      <c r="B39" t="s">
        <v>1169</v>
      </c>
      <c r="C39" s="7" t="s">
        <v>2030</v>
      </c>
      <c r="D39" t="s">
        <v>1608</v>
      </c>
      <c r="E39" t="s">
        <v>1170</v>
      </c>
      <c r="F39" t="s">
        <v>1558</v>
      </c>
      <c r="G39" t="s">
        <v>1171</v>
      </c>
      <c r="H39" s="7" t="s">
        <v>2070</v>
      </c>
      <c r="I39" s="7" t="s">
        <v>2029</v>
      </c>
      <c r="J39" s="7" t="s">
        <v>2029</v>
      </c>
      <c r="K39" s="7" t="s">
        <v>2019</v>
      </c>
      <c r="L39" s="7" t="s">
        <v>2025</v>
      </c>
      <c r="M39" s="7" t="s">
        <v>2025</v>
      </c>
      <c r="N39" s="7" t="s">
        <v>2027</v>
      </c>
      <c r="O39" s="7" t="s">
        <v>2025</v>
      </c>
      <c r="P39" t="s">
        <v>111</v>
      </c>
      <c r="Q39" s="7" t="s">
        <v>2210</v>
      </c>
      <c r="R39" t="s">
        <v>370</v>
      </c>
      <c r="U39" t="s">
        <v>1113</v>
      </c>
      <c r="V39" s="7" t="s">
        <v>2017</v>
      </c>
      <c r="W39" t="s">
        <v>1555</v>
      </c>
      <c r="X39" t="s">
        <v>788</v>
      </c>
      <c r="Y39" t="s">
        <v>1558</v>
      </c>
      <c r="Z39" t="s">
        <v>789</v>
      </c>
      <c r="AA39" s="7" t="s">
        <v>2222</v>
      </c>
      <c r="AB39" s="7" t="s">
        <v>2025</v>
      </c>
      <c r="AC39" s="7" t="s">
        <v>2033</v>
      </c>
      <c r="AD39" s="7" t="s">
        <v>2033</v>
      </c>
      <c r="AE39" s="7" t="s">
        <v>2033</v>
      </c>
      <c r="AF39" s="7" t="s">
        <v>2025</v>
      </c>
      <c r="AG39" s="7" t="s">
        <v>2033</v>
      </c>
      <c r="AH39" s="7" t="s">
        <v>2033</v>
      </c>
      <c r="AI39" t="s">
        <v>278</v>
      </c>
      <c r="AJ39" s="7" t="s">
        <v>2216</v>
      </c>
      <c r="AK39" t="s">
        <v>483</v>
      </c>
      <c r="AN39" t="s">
        <v>1329</v>
      </c>
      <c r="AO39" s="7" t="s">
        <v>2030</v>
      </c>
      <c r="AP39" t="s">
        <v>1555</v>
      </c>
      <c r="AQ39" t="s">
        <v>716</v>
      </c>
      <c r="AR39" t="s">
        <v>1560</v>
      </c>
      <c r="AS39" t="s">
        <v>1439</v>
      </c>
      <c r="AT39" s="7" t="s">
        <v>2024</v>
      </c>
      <c r="AU39" s="7" t="s">
        <v>2027</v>
      </c>
      <c r="AV39" s="7" t="s">
        <v>2027</v>
      </c>
      <c r="AW39" s="7" t="s">
        <v>2027</v>
      </c>
      <c r="AX39" s="7" t="s">
        <v>2025</v>
      </c>
      <c r="AY39" s="7" t="s">
        <v>2025</v>
      </c>
      <c r="AZ39" s="7" t="s">
        <v>2025</v>
      </c>
      <c r="BA39" s="7" t="s">
        <v>2025</v>
      </c>
      <c r="BB39" t="s">
        <v>1309</v>
      </c>
      <c r="BC39" s="7" t="s">
        <v>2049</v>
      </c>
      <c r="BD39" t="s">
        <v>1498</v>
      </c>
      <c r="BH39" s="5" t="str">
        <f t="shared" si="1"/>
        <v/>
      </c>
      <c r="BI39" s="5" t="str">
        <f t="shared" si="2"/>
        <v/>
      </c>
    </row>
    <row r="40" spans="2:61" x14ac:dyDescent="0.35">
      <c r="B40" t="s">
        <v>677</v>
      </c>
      <c r="C40" s="7" t="s">
        <v>2095</v>
      </c>
      <c r="D40" t="s">
        <v>1559</v>
      </c>
      <c r="E40" t="s">
        <v>678</v>
      </c>
      <c r="F40" t="s">
        <v>1558</v>
      </c>
      <c r="G40" t="s">
        <v>68</v>
      </c>
      <c r="H40" s="7" t="s">
        <v>2027</v>
      </c>
      <c r="I40" s="7" t="s">
        <v>2027</v>
      </c>
      <c r="J40" s="7" t="s">
        <v>2025</v>
      </c>
      <c r="K40" s="7" t="s">
        <v>2020</v>
      </c>
      <c r="L40" s="7" t="s">
        <v>2020</v>
      </c>
      <c r="M40" s="7" t="s">
        <v>2027</v>
      </c>
      <c r="N40" s="7" t="s">
        <v>2027</v>
      </c>
      <c r="O40" s="7" t="s">
        <v>2025</v>
      </c>
      <c r="P40" t="s">
        <v>69</v>
      </c>
      <c r="Q40" s="7" t="s">
        <v>2096</v>
      </c>
      <c r="R40" t="s">
        <v>371</v>
      </c>
      <c r="U40" t="s">
        <v>658</v>
      </c>
      <c r="V40" s="7" t="s">
        <v>2030</v>
      </c>
      <c r="W40" t="s">
        <v>1555</v>
      </c>
      <c r="X40" t="s">
        <v>659</v>
      </c>
      <c r="Y40" t="s">
        <v>1558</v>
      </c>
      <c r="Z40" t="s">
        <v>660</v>
      </c>
      <c r="AA40" s="7" t="s">
        <v>2026</v>
      </c>
      <c r="AB40" s="7" t="s">
        <v>2025</v>
      </c>
      <c r="AC40" s="7" t="s">
        <v>2025</v>
      </c>
      <c r="AD40" s="7" t="s">
        <v>2033</v>
      </c>
      <c r="AE40" s="7" t="s">
        <v>2033</v>
      </c>
      <c r="AF40" s="7" t="s">
        <v>2026</v>
      </c>
      <c r="AG40" s="7" t="s">
        <v>2025</v>
      </c>
      <c r="AH40" s="7" t="s">
        <v>2033</v>
      </c>
      <c r="AI40" t="s">
        <v>60</v>
      </c>
      <c r="AJ40" s="7" t="s">
        <v>2045</v>
      </c>
      <c r="AK40" t="s">
        <v>401</v>
      </c>
      <c r="AN40" t="s">
        <v>821</v>
      </c>
      <c r="AO40" s="7" t="s">
        <v>2030</v>
      </c>
      <c r="AP40" t="s">
        <v>1555</v>
      </c>
      <c r="AQ40" t="s">
        <v>822</v>
      </c>
      <c r="AR40" t="s">
        <v>1560</v>
      </c>
      <c r="AS40" t="s">
        <v>823</v>
      </c>
      <c r="AT40" s="7" t="s">
        <v>2159</v>
      </c>
      <c r="AU40" s="7" t="s">
        <v>2025</v>
      </c>
      <c r="AV40" s="7" t="s">
        <v>2025</v>
      </c>
      <c r="AW40" s="7" t="s">
        <v>2027</v>
      </c>
      <c r="AX40" s="7" t="s">
        <v>2020</v>
      </c>
      <c r="AY40" s="7" t="s">
        <v>2027</v>
      </c>
      <c r="AZ40" s="7" t="s">
        <v>2025</v>
      </c>
      <c r="BA40" s="7" t="s">
        <v>2025</v>
      </c>
      <c r="BB40" t="s">
        <v>136</v>
      </c>
      <c r="BC40" s="7" t="s">
        <v>2021</v>
      </c>
      <c r="BD40" t="s">
        <v>509</v>
      </c>
      <c r="BH40" s="5" t="str">
        <f t="shared" si="1"/>
        <v/>
      </c>
      <c r="BI40" s="5" t="str">
        <f t="shared" si="2"/>
        <v/>
      </c>
    </row>
    <row r="41" spans="2:61" x14ac:dyDescent="0.35">
      <c r="B41" t="s">
        <v>710</v>
      </c>
      <c r="C41" s="7" t="s">
        <v>2095</v>
      </c>
      <c r="D41" t="s">
        <v>1567</v>
      </c>
      <c r="E41" t="s">
        <v>711</v>
      </c>
      <c r="F41" t="s">
        <v>1558</v>
      </c>
      <c r="G41" t="s">
        <v>82</v>
      </c>
      <c r="H41" s="7" t="s">
        <v>2111</v>
      </c>
      <c r="I41" s="7" t="s">
        <v>2020</v>
      </c>
      <c r="J41" s="7" t="s">
        <v>2027</v>
      </c>
      <c r="K41" s="7" t="s">
        <v>2020</v>
      </c>
      <c r="L41" s="7" t="s">
        <v>2020</v>
      </c>
      <c r="M41" s="7" t="s">
        <v>2020</v>
      </c>
      <c r="N41" s="7" t="s">
        <v>2019</v>
      </c>
      <c r="O41" s="7" t="s">
        <v>2029</v>
      </c>
      <c r="P41" t="s">
        <v>83</v>
      </c>
      <c r="Q41" s="7" t="s">
        <v>2151</v>
      </c>
      <c r="R41" t="s">
        <v>372</v>
      </c>
      <c r="U41" t="s">
        <v>834</v>
      </c>
      <c r="V41" s="7" t="s">
        <v>2030</v>
      </c>
      <c r="W41" t="s">
        <v>1555</v>
      </c>
      <c r="X41" t="s">
        <v>835</v>
      </c>
      <c r="Y41" t="s">
        <v>1558</v>
      </c>
      <c r="Z41" t="s">
        <v>827</v>
      </c>
      <c r="AA41" s="7" t="s">
        <v>2125</v>
      </c>
      <c r="AB41" s="7" t="s">
        <v>2027</v>
      </c>
      <c r="AC41" s="7" t="s">
        <v>2025</v>
      </c>
      <c r="AD41" s="7" t="s">
        <v>2027</v>
      </c>
      <c r="AE41" s="7" t="s">
        <v>2020</v>
      </c>
      <c r="AF41" s="7" t="s">
        <v>2025</v>
      </c>
      <c r="AG41" s="7" t="s">
        <v>2020</v>
      </c>
      <c r="AH41" s="7" t="s">
        <v>2025</v>
      </c>
      <c r="AI41" t="s">
        <v>142</v>
      </c>
      <c r="AJ41" s="7" t="s">
        <v>2213</v>
      </c>
      <c r="AK41" t="s">
        <v>423</v>
      </c>
      <c r="AN41" t="s">
        <v>845</v>
      </c>
      <c r="AO41" s="7" t="s">
        <v>2030</v>
      </c>
      <c r="AP41" t="s">
        <v>1555</v>
      </c>
      <c r="AQ41" t="s">
        <v>716</v>
      </c>
      <c r="AR41" t="s">
        <v>1560</v>
      </c>
      <c r="AS41" t="s">
        <v>846</v>
      </c>
      <c r="AT41" s="7" t="s">
        <v>2058</v>
      </c>
      <c r="AU41" s="7" t="s">
        <v>2027</v>
      </c>
      <c r="AV41" s="7" t="s">
        <v>2026</v>
      </c>
      <c r="AW41" s="7" t="s">
        <v>2027</v>
      </c>
      <c r="AX41" s="7" t="s">
        <v>2027</v>
      </c>
      <c r="AY41" s="7" t="s">
        <v>2020</v>
      </c>
      <c r="AZ41" s="7" t="s">
        <v>2027</v>
      </c>
      <c r="BA41" s="7" t="s">
        <v>2025</v>
      </c>
      <c r="BB41" t="s">
        <v>147</v>
      </c>
      <c r="BC41" s="7" t="s">
        <v>2049</v>
      </c>
      <c r="BD41" t="s">
        <v>510</v>
      </c>
      <c r="BH41" s="5" t="str">
        <f t="shared" si="1"/>
        <v/>
      </c>
      <c r="BI41" s="5" t="str">
        <f t="shared" si="2"/>
        <v/>
      </c>
    </row>
    <row r="42" spans="2:61" x14ac:dyDescent="0.35">
      <c r="B42" t="s">
        <v>1389</v>
      </c>
      <c r="C42" s="7" t="s">
        <v>2095</v>
      </c>
      <c r="D42" t="s">
        <v>1559</v>
      </c>
      <c r="E42" t="s">
        <v>1428</v>
      </c>
      <c r="F42" t="s">
        <v>1558</v>
      </c>
      <c r="G42" t="s">
        <v>1447</v>
      </c>
      <c r="H42" s="7" t="s">
        <v>2024</v>
      </c>
      <c r="I42" s="7" t="s">
        <v>2027</v>
      </c>
      <c r="J42" s="7" t="s">
        <v>2025</v>
      </c>
      <c r="K42" s="7" t="s">
        <v>2027</v>
      </c>
      <c r="L42" s="7" t="s">
        <v>2027</v>
      </c>
      <c r="M42" s="7" t="s">
        <v>2025</v>
      </c>
      <c r="N42" s="7" t="s">
        <v>2027</v>
      </c>
      <c r="O42" s="7" t="s">
        <v>2026</v>
      </c>
      <c r="P42" t="s">
        <v>1318</v>
      </c>
      <c r="Q42" s="7" t="s">
        <v>2085</v>
      </c>
      <c r="R42" t="s">
        <v>1467</v>
      </c>
      <c r="U42" t="s">
        <v>868</v>
      </c>
      <c r="V42" s="7" t="s">
        <v>2030</v>
      </c>
      <c r="W42" t="s">
        <v>1555</v>
      </c>
      <c r="X42" t="s">
        <v>869</v>
      </c>
      <c r="Y42" t="s">
        <v>1558</v>
      </c>
      <c r="Z42" t="s">
        <v>725</v>
      </c>
      <c r="AA42" s="7" t="s">
        <v>2159</v>
      </c>
      <c r="AB42" s="7" t="s">
        <v>2020</v>
      </c>
      <c r="AC42" s="7" t="s">
        <v>2025</v>
      </c>
      <c r="AD42" s="7" t="s">
        <v>2025</v>
      </c>
      <c r="AE42" s="7" t="s">
        <v>2019</v>
      </c>
      <c r="AF42" s="7" t="s">
        <v>2025</v>
      </c>
      <c r="AG42" s="7" t="s">
        <v>2027</v>
      </c>
      <c r="AH42" s="7" t="s">
        <v>2033</v>
      </c>
      <c r="AI42" t="s">
        <v>166</v>
      </c>
      <c r="AJ42" s="7" t="s">
        <v>2248</v>
      </c>
      <c r="AK42" t="s">
        <v>431</v>
      </c>
      <c r="AN42" t="s">
        <v>1798</v>
      </c>
      <c r="AO42" s="7" t="s">
        <v>2030</v>
      </c>
      <c r="AP42" t="s">
        <v>1555</v>
      </c>
      <c r="AQ42" t="s">
        <v>732</v>
      </c>
      <c r="AR42" t="s">
        <v>1560</v>
      </c>
      <c r="AS42" t="s">
        <v>1799</v>
      </c>
      <c r="AT42" s="7" t="s">
        <v>2025</v>
      </c>
      <c r="AU42" s="7" t="s">
        <v>2020</v>
      </c>
      <c r="AV42" s="7" t="s">
        <v>2025</v>
      </c>
      <c r="AW42" s="7" t="s">
        <v>2025</v>
      </c>
      <c r="AX42" s="7" t="s">
        <v>2025</v>
      </c>
      <c r="AY42" s="7" t="s">
        <v>2026</v>
      </c>
      <c r="AZ42" s="7" t="s">
        <v>2025</v>
      </c>
      <c r="BA42" s="7" t="s">
        <v>2026</v>
      </c>
      <c r="BB42" t="s">
        <v>1766</v>
      </c>
      <c r="BC42" s="7" t="s">
        <v>2049</v>
      </c>
      <c r="BD42" t="s">
        <v>1847</v>
      </c>
      <c r="BH42" s="5" t="str">
        <f t="shared" si="1"/>
        <v/>
      </c>
      <c r="BI42" s="5" t="str">
        <f t="shared" si="2"/>
        <v/>
      </c>
    </row>
    <row r="43" spans="2:61" x14ac:dyDescent="0.35">
      <c r="B43" t="s">
        <v>1730</v>
      </c>
      <c r="C43" s="7" t="s">
        <v>2076</v>
      </c>
      <c r="D43" t="s">
        <v>1668</v>
      </c>
      <c r="E43" t="s">
        <v>1731</v>
      </c>
      <c r="F43" t="s">
        <v>1558</v>
      </c>
      <c r="G43" t="s">
        <v>1732</v>
      </c>
      <c r="H43" s="7" t="s">
        <v>2038</v>
      </c>
      <c r="I43" s="7" t="s">
        <v>2027</v>
      </c>
      <c r="J43" s="7" t="s">
        <v>2025</v>
      </c>
      <c r="K43" s="7" t="s">
        <v>2027</v>
      </c>
      <c r="L43" s="7" t="s">
        <v>2027</v>
      </c>
      <c r="M43" s="7" t="s">
        <v>2020</v>
      </c>
      <c r="N43" s="7" t="s">
        <v>2020</v>
      </c>
      <c r="O43" s="7" t="s">
        <v>2020</v>
      </c>
      <c r="P43" t="s">
        <v>1669</v>
      </c>
      <c r="Q43" s="7" t="s">
        <v>2043</v>
      </c>
      <c r="R43" t="s">
        <v>1682</v>
      </c>
      <c r="U43" t="s">
        <v>900</v>
      </c>
      <c r="V43" s="7" t="s">
        <v>2030</v>
      </c>
      <c r="W43" t="s">
        <v>1555</v>
      </c>
      <c r="X43" t="s">
        <v>690</v>
      </c>
      <c r="Y43" t="s">
        <v>1558</v>
      </c>
      <c r="Z43" t="s">
        <v>74</v>
      </c>
      <c r="AA43" s="7" t="s">
        <v>2245</v>
      </c>
      <c r="AB43" s="7" t="s">
        <v>2033</v>
      </c>
      <c r="AC43" s="7" t="s">
        <v>2026</v>
      </c>
      <c r="AD43" s="7" t="s">
        <v>2026</v>
      </c>
      <c r="AE43" s="7" t="s">
        <v>2025</v>
      </c>
      <c r="AF43" s="7" t="s">
        <v>2025</v>
      </c>
      <c r="AG43" s="7" t="s">
        <v>2033</v>
      </c>
      <c r="AH43" s="7" t="s">
        <v>2033</v>
      </c>
      <c r="AI43" t="s">
        <v>176</v>
      </c>
      <c r="AJ43" s="7" t="s">
        <v>2353</v>
      </c>
      <c r="AK43" t="s">
        <v>433</v>
      </c>
      <c r="AN43" t="s">
        <v>891</v>
      </c>
      <c r="AO43" s="7" t="s">
        <v>2030</v>
      </c>
      <c r="AP43" t="s">
        <v>1555</v>
      </c>
      <c r="AQ43" t="s">
        <v>889</v>
      </c>
      <c r="AR43" t="s">
        <v>1560</v>
      </c>
      <c r="AS43" t="s">
        <v>892</v>
      </c>
      <c r="AT43" s="7" t="s">
        <v>2090</v>
      </c>
      <c r="AU43" s="7" t="s">
        <v>2027</v>
      </c>
      <c r="AV43" s="7" t="s">
        <v>2027</v>
      </c>
      <c r="AW43" s="7" t="s">
        <v>2027</v>
      </c>
      <c r="AX43" s="7" t="s">
        <v>2020</v>
      </c>
      <c r="AY43" s="7" t="s">
        <v>2029</v>
      </c>
      <c r="AZ43" s="7" t="s">
        <v>2026</v>
      </c>
      <c r="BA43" s="7" t="s">
        <v>2025</v>
      </c>
      <c r="BB43" t="s">
        <v>173</v>
      </c>
      <c r="BC43" s="7" t="s">
        <v>2049</v>
      </c>
      <c r="BD43" t="s">
        <v>511</v>
      </c>
      <c r="BH43" s="5" t="str">
        <f t="shared" si="1"/>
        <v/>
      </c>
      <c r="BI43" s="5" t="str">
        <f t="shared" si="2"/>
        <v/>
      </c>
    </row>
    <row r="44" spans="2:61" x14ac:dyDescent="0.35">
      <c r="B44" t="s">
        <v>1045</v>
      </c>
      <c r="C44" s="7" t="s">
        <v>2076</v>
      </c>
      <c r="D44" t="s">
        <v>1568</v>
      </c>
      <c r="E44" t="s">
        <v>1046</v>
      </c>
      <c r="F44" t="s">
        <v>1558</v>
      </c>
      <c r="G44" t="s">
        <v>1047</v>
      </c>
      <c r="H44" s="7" t="s">
        <v>2061</v>
      </c>
      <c r="I44" s="7" t="s">
        <v>2019</v>
      </c>
      <c r="J44" s="7" t="s">
        <v>2020</v>
      </c>
      <c r="K44" s="7" t="s">
        <v>2019</v>
      </c>
      <c r="L44" s="7" t="s">
        <v>2020</v>
      </c>
      <c r="M44" s="7" t="s">
        <v>2019</v>
      </c>
      <c r="N44" s="7" t="s">
        <v>2020</v>
      </c>
      <c r="O44" s="7" t="s">
        <v>2025</v>
      </c>
      <c r="P44" t="s">
        <v>243</v>
      </c>
      <c r="Q44" s="7" t="s">
        <v>2202</v>
      </c>
      <c r="R44" t="s">
        <v>373</v>
      </c>
      <c r="U44" t="s">
        <v>1273</v>
      </c>
      <c r="V44" s="7" t="s">
        <v>2030</v>
      </c>
      <c r="W44" t="s">
        <v>1555</v>
      </c>
      <c r="X44" t="s">
        <v>682</v>
      </c>
      <c r="Y44" t="s">
        <v>1558</v>
      </c>
      <c r="Z44" t="s">
        <v>1301</v>
      </c>
      <c r="AA44" s="7" t="s">
        <v>2031</v>
      </c>
      <c r="AB44" s="7" t="s">
        <v>2027</v>
      </c>
      <c r="AC44" s="7" t="s">
        <v>2020</v>
      </c>
      <c r="AD44" s="7" t="s">
        <v>2027</v>
      </c>
      <c r="AE44" s="7" t="s">
        <v>2027</v>
      </c>
      <c r="AF44" s="7" t="s">
        <v>2019</v>
      </c>
      <c r="AG44" s="7" t="s">
        <v>2025</v>
      </c>
      <c r="AH44" s="7" t="s">
        <v>2020</v>
      </c>
      <c r="AI44" t="s">
        <v>1210</v>
      </c>
      <c r="AJ44" s="7" t="s">
        <v>2039</v>
      </c>
      <c r="AK44" t="s">
        <v>1238</v>
      </c>
      <c r="AN44" t="s">
        <v>1800</v>
      </c>
      <c r="AO44" s="7" t="s">
        <v>2030</v>
      </c>
      <c r="AP44" t="s">
        <v>1555</v>
      </c>
      <c r="AQ44" t="s">
        <v>895</v>
      </c>
      <c r="AR44" t="s">
        <v>1560</v>
      </c>
      <c r="AS44" t="s">
        <v>1801</v>
      </c>
      <c r="AT44" s="7" t="s">
        <v>2042</v>
      </c>
      <c r="AU44" s="7" t="s">
        <v>2027</v>
      </c>
      <c r="AV44" s="7" t="s">
        <v>2025</v>
      </c>
      <c r="AW44" s="7" t="s">
        <v>2027</v>
      </c>
      <c r="AX44" s="7" t="s">
        <v>2019</v>
      </c>
      <c r="AY44" s="7" t="s">
        <v>2019</v>
      </c>
      <c r="AZ44" s="7" t="s">
        <v>2027</v>
      </c>
      <c r="BA44" s="7" t="s">
        <v>2020</v>
      </c>
      <c r="BB44" t="s">
        <v>1767</v>
      </c>
      <c r="BC44" s="7" t="s">
        <v>2049</v>
      </c>
      <c r="BD44" t="s">
        <v>1848</v>
      </c>
      <c r="BH44" s="5" t="str">
        <f t="shared" si="1"/>
        <v/>
      </c>
      <c r="BI44" s="5" t="str">
        <f t="shared" si="2"/>
        <v/>
      </c>
    </row>
    <row r="45" spans="2:61" x14ac:dyDescent="0.35">
      <c r="B45" t="s">
        <v>1055</v>
      </c>
      <c r="C45" s="7" t="s">
        <v>2076</v>
      </c>
      <c r="D45" t="s">
        <v>1614</v>
      </c>
      <c r="E45" t="s">
        <v>1056</v>
      </c>
      <c r="F45" t="s">
        <v>1558</v>
      </c>
      <c r="G45" t="s">
        <v>1057</v>
      </c>
      <c r="H45" s="7" t="s">
        <v>2038</v>
      </c>
      <c r="I45" s="7" t="s">
        <v>2027</v>
      </c>
      <c r="J45" s="7" t="s">
        <v>2026</v>
      </c>
      <c r="K45" s="7" t="s">
        <v>2025</v>
      </c>
      <c r="L45" s="7" t="s">
        <v>2027</v>
      </c>
      <c r="M45" s="7" t="s">
        <v>2019</v>
      </c>
      <c r="N45" s="7" t="s">
        <v>2019</v>
      </c>
      <c r="O45" s="7" t="s">
        <v>2020</v>
      </c>
      <c r="P45" t="s">
        <v>347</v>
      </c>
      <c r="Q45" s="7" t="s">
        <v>2217</v>
      </c>
      <c r="R45" t="s">
        <v>374</v>
      </c>
      <c r="U45" t="s">
        <v>1184</v>
      </c>
      <c r="V45" s="7" t="s">
        <v>2030</v>
      </c>
      <c r="W45" t="s">
        <v>1555</v>
      </c>
      <c r="X45" t="s">
        <v>653</v>
      </c>
      <c r="Y45" t="s">
        <v>1558</v>
      </c>
      <c r="Z45" t="s">
        <v>654</v>
      </c>
      <c r="AA45" s="7" t="s">
        <v>2121</v>
      </c>
      <c r="AB45" s="7" t="s">
        <v>2026</v>
      </c>
      <c r="AC45" s="7" t="s">
        <v>2026</v>
      </c>
      <c r="AD45" s="7" t="s">
        <v>2025</v>
      </c>
      <c r="AE45" s="7" t="s">
        <v>2025</v>
      </c>
      <c r="AF45" s="7" t="s">
        <v>2025</v>
      </c>
      <c r="AG45" s="7" t="s">
        <v>2025</v>
      </c>
      <c r="AH45" s="7" t="s">
        <v>2033</v>
      </c>
      <c r="AI45" t="s">
        <v>281</v>
      </c>
      <c r="AJ45" s="7" t="s">
        <v>2232</v>
      </c>
      <c r="AK45" t="s">
        <v>502</v>
      </c>
      <c r="AN45" t="s">
        <v>1802</v>
      </c>
      <c r="AO45" s="7" t="s">
        <v>2030</v>
      </c>
      <c r="AP45" t="s">
        <v>1555</v>
      </c>
      <c r="AQ45" t="s">
        <v>812</v>
      </c>
      <c r="AR45" t="s">
        <v>1560</v>
      </c>
      <c r="AS45" t="s">
        <v>1803</v>
      </c>
      <c r="AT45" s="7" t="s">
        <v>2038</v>
      </c>
      <c r="AU45" s="7" t="s">
        <v>2020</v>
      </c>
      <c r="AV45" s="7" t="s">
        <v>2020</v>
      </c>
      <c r="AW45" s="7" t="s">
        <v>2027</v>
      </c>
      <c r="AX45" s="7" t="s">
        <v>2027</v>
      </c>
      <c r="AY45" s="7" t="s">
        <v>2020</v>
      </c>
      <c r="AZ45" s="7" t="s">
        <v>2025</v>
      </c>
      <c r="BA45" s="7" t="s">
        <v>2027</v>
      </c>
      <c r="BB45" t="s">
        <v>1768</v>
      </c>
      <c r="BC45" s="7" t="s">
        <v>2133</v>
      </c>
      <c r="BD45" t="s">
        <v>1849</v>
      </c>
      <c r="BH45" s="5" t="str">
        <f t="shared" si="1"/>
        <v/>
      </c>
      <c r="BI45" s="5" t="str">
        <f t="shared" si="2"/>
        <v/>
      </c>
    </row>
    <row r="46" spans="2:61" x14ac:dyDescent="0.35">
      <c r="B46" t="s">
        <v>1712</v>
      </c>
      <c r="C46" s="7" t="s">
        <v>2102</v>
      </c>
      <c r="D46" t="s">
        <v>1559</v>
      </c>
      <c r="E46" t="s">
        <v>1121</v>
      </c>
      <c r="F46" t="s">
        <v>1558</v>
      </c>
      <c r="G46" t="s">
        <v>1664</v>
      </c>
      <c r="H46" s="7" t="s">
        <v>2108</v>
      </c>
      <c r="I46" s="7" t="s">
        <v>2019</v>
      </c>
      <c r="J46" s="7" t="s">
        <v>2020</v>
      </c>
      <c r="K46" s="7" t="s">
        <v>2019</v>
      </c>
      <c r="L46" s="7" t="s">
        <v>2020</v>
      </c>
      <c r="M46" s="7" t="s">
        <v>2019</v>
      </c>
      <c r="N46" s="7" t="s">
        <v>2019</v>
      </c>
      <c r="O46" s="7" t="s">
        <v>2019</v>
      </c>
      <c r="P46" t="s">
        <v>171</v>
      </c>
      <c r="Q46" s="7" t="s">
        <v>2109</v>
      </c>
      <c r="R46" t="s">
        <v>1683</v>
      </c>
      <c r="U46" t="s">
        <v>707</v>
      </c>
      <c r="V46" s="7" t="s">
        <v>2095</v>
      </c>
      <c r="W46" t="s">
        <v>1555</v>
      </c>
      <c r="X46" t="s">
        <v>659</v>
      </c>
      <c r="Y46" t="s">
        <v>1558</v>
      </c>
      <c r="Z46" t="s">
        <v>706</v>
      </c>
      <c r="AA46" s="7" t="s">
        <v>2031</v>
      </c>
      <c r="AB46" s="7" t="s">
        <v>2025</v>
      </c>
      <c r="AC46" s="7" t="s">
        <v>2027</v>
      </c>
      <c r="AD46" s="7" t="s">
        <v>2020</v>
      </c>
      <c r="AE46" s="7" t="s">
        <v>2020</v>
      </c>
      <c r="AF46" s="7" t="s">
        <v>2020</v>
      </c>
      <c r="AG46" s="7" t="s">
        <v>2027</v>
      </c>
      <c r="AH46" s="7" t="s">
        <v>2020</v>
      </c>
      <c r="AI46" t="s">
        <v>79</v>
      </c>
      <c r="AJ46" s="7" t="s">
        <v>2147</v>
      </c>
      <c r="AK46" t="s">
        <v>411</v>
      </c>
      <c r="AN46" t="s">
        <v>1804</v>
      </c>
      <c r="AO46" s="7" t="s">
        <v>2030</v>
      </c>
      <c r="AP46" t="s">
        <v>1555</v>
      </c>
      <c r="AQ46" t="s">
        <v>1595</v>
      </c>
      <c r="AR46" t="s">
        <v>1560</v>
      </c>
      <c r="AS46" t="s">
        <v>1805</v>
      </c>
      <c r="AT46" s="7" t="s">
        <v>2042</v>
      </c>
      <c r="AU46" s="7" t="s">
        <v>2020</v>
      </c>
      <c r="AV46" s="7" t="s">
        <v>2027</v>
      </c>
      <c r="AW46" s="7" t="s">
        <v>2027</v>
      </c>
      <c r="AX46" s="7" t="s">
        <v>2027</v>
      </c>
      <c r="AY46" s="7" t="s">
        <v>2019</v>
      </c>
      <c r="AZ46" s="7" t="s">
        <v>2027</v>
      </c>
      <c r="BA46" s="7" t="s">
        <v>2020</v>
      </c>
      <c r="BB46" t="s">
        <v>145</v>
      </c>
      <c r="BC46" s="7" t="s">
        <v>2368</v>
      </c>
      <c r="BD46" t="s">
        <v>1850</v>
      </c>
      <c r="BH46" s="5" t="str">
        <f t="shared" si="1"/>
        <v/>
      </c>
      <c r="BI46" s="5" t="str">
        <f t="shared" si="2"/>
        <v/>
      </c>
    </row>
    <row r="47" spans="2:61" x14ac:dyDescent="0.35">
      <c r="B47" t="s">
        <v>740</v>
      </c>
      <c r="C47" s="7" t="s">
        <v>2102</v>
      </c>
      <c r="D47" t="s">
        <v>1570</v>
      </c>
      <c r="E47" t="s">
        <v>741</v>
      </c>
      <c r="F47" t="s">
        <v>1558</v>
      </c>
      <c r="G47" t="s">
        <v>742</v>
      </c>
      <c r="H47" s="7" t="s">
        <v>2061</v>
      </c>
      <c r="I47" s="7" t="s">
        <v>2020</v>
      </c>
      <c r="J47" s="7" t="s">
        <v>2025</v>
      </c>
      <c r="K47" s="7" t="s">
        <v>2019</v>
      </c>
      <c r="L47" s="7" t="s">
        <v>2019</v>
      </c>
      <c r="M47" s="7" t="s">
        <v>2027</v>
      </c>
      <c r="N47" s="7" t="s">
        <v>2029</v>
      </c>
      <c r="O47" s="7" t="s">
        <v>2020</v>
      </c>
      <c r="P47" t="s">
        <v>96</v>
      </c>
      <c r="Q47" s="7" t="s">
        <v>2085</v>
      </c>
      <c r="R47" t="s">
        <v>375</v>
      </c>
      <c r="U47" t="s">
        <v>1901</v>
      </c>
      <c r="V47" s="7" t="s">
        <v>2095</v>
      </c>
      <c r="W47" t="s">
        <v>1555</v>
      </c>
      <c r="X47" t="s">
        <v>682</v>
      </c>
      <c r="Y47" t="s">
        <v>1558</v>
      </c>
      <c r="Z47" t="s">
        <v>881</v>
      </c>
      <c r="AA47" s="7" t="s">
        <v>2052</v>
      </c>
      <c r="AB47" s="7" t="s">
        <v>2029</v>
      </c>
      <c r="AC47" s="7" t="s">
        <v>2020</v>
      </c>
      <c r="AD47" s="7" t="s">
        <v>2019</v>
      </c>
      <c r="AE47" s="7" t="s">
        <v>2027</v>
      </c>
      <c r="AF47" s="7" t="s">
        <v>2029</v>
      </c>
      <c r="AG47" s="7" t="s">
        <v>2020</v>
      </c>
      <c r="AH47" s="7" t="s">
        <v>2029</v>
      </c>
      <c r="AI47" t="s">
        <v>1873</v>
      </c>
      <c r="AJ47" s="7" t="s">
        <v>2235</v>
      </c>
      <c r="AK47" t="s">
        <v>1926</v>
      </c>
      <c r="AN47" t="s">
        <v>1602</v>
      </c>
      <c r="AO47" s="7" t="s">
        <v>2030</v>
      </c>
      <c r="AP47" t="s">
        <v>1555</v>
      </c>
      <c r="AQ47" t="s">
        <v>735</v>
      </c>
      <c r="AR47" t="s">
        <v>1560</v>
      </c>
      <c r="AS47" t="s">
        <v>1603</v>
      </c>
      <c r="AT47" s="7" t="s">
        <v>2090</v>
      </c>
      <c r="AU47" s="7" t="s">
        <v>2027</v>
      </c>
      <c r="AV47" s="7" t="s">
        <v>2027</v>
      </c>
      <c r="AW47" s="7" t="s">
        <v>2027</v>
      </c>
      <c r="AX47" s="7" t="s">
        <v>2027</v>
      </c>
      <c r="AY47" s="7" t="s">
        <v>2020</v>
      </c>
      <c r="AZ47" s="7" t="s">
        <v>2025</v>
      </c>
      <c r="BA47" s="7" t="s">
        <v>2020</v>
      </c>
      <c r="BB47" t="s">
        <v>1544</v>
      </c>
      <c r="BC47" s="7" t="s">
        <v>2438</v>
      </c>
      <c r="BD47" t="s">
        <v>1650</v>
      </c>
      <c r="BH47" s="5" t="str">
        <f t="shared" si="1"/>
        <v/>
      </c>
      <c r="BI47" s="5" t="str">
        <f t="shared" si="2"/>
        <v/>
      </c>
    </row>
    <row r="48" spans="2:61" x14ac:dyDescent="0.35">
      <c r="B48" t="s">
        <v>56</v>
      </c>
      <c r="C48" s="7" t="s">
        <v>2041</v>
      </c>
      <c r="D48" t="s">
        <v>57</v>
      </c>
      <c r="E48" t="s">
        <v>657</v>
      </c>
      <c r="F48" t="s">
        <v>1558</v>
      </c>
      <c r="G48" t="s">
        <v>58</v>
      </c>
      <c r="H48" s="7" t="s">
        <v>2042</v>
      </c>
      <c r="I48" s="7" t="s">
        <v>2020</v>
      </c>
      <c r="J48" s="7" t="s">
        <v>2027</v>
      </c>
      <c r="K48" s="7" t="s">
        <v>2019</v>
      </c>
      <c r="L48" s="7" t="s">
        <v>2020</v>
      </c>
      <c r="M48" s="7" t="s">
        <v>2027</v>
      </c>
      <c r="N48" s="7" t="s">
        <v>2020</v>
      </c>
      <c r="O48" s="7" t="s">
        <v>2025</v>
      </c>
      <c r="P48" t="s">
        <v>59</v>
      </c>
      <c r="Q48" s="7" t="s">
        <v>2043</v>
      </c>
      <c r="R48" t="s">
        <v>376</v>
      </c>
      <c r="U48" t="s">
        <v>2282</v>
      </c>
      <c r="V48" s="7" t="s">
        <v>2095</v>
      </c>
      <c r="W48" t="s">
        <v>1555</v>
      </c>
      <c r="X48" t="s">
        <v>732</v>
      </c>
      <c r="Y48" t="s">
        <v>1558</v>
      </c>
      <c r="Z48" t="s">
        <v>1799</v>
      </c>
      <c r="AA48" s="7" t="s">
        <v>2042</v>
      </c>
      <c r="AB48" s="7" t="s">
        <v>2027</v>
      </c>
      <c r="AC48" s="7" t="s">
        <v>2027</v>
      </c>
      <c r="AD48" s="7" t="s">
        <v>2027</v>
      </c>
      <c r="AE48" s="7" t="s">
        <v>2025</v>
      </c>
      <c r="AF48" s="7" t="s">
        <v>2020</v>
      </c>
      <c r="AG48" s="7" t="s">
        <v>2019</v>
      </c>
      <c r="AH48" s="7" t="s">
        <v>2019</v>
      </c>
      <c r="AI48" t="s">
        <v>1189</v>
      </c>
      <c r="AJ48" s="7" t="s">
        <v>2067</v>
      </c>
      <c r="AK48" t="s">
        <v>2704</v>
      </c>
      <c r="AN48" t="s">
        <v>1736</v>
      </c>
      <c r="AO48" s="7" t="s">
        <v>2030</v>
      </c>
      <c r="AP48" t="s">
        <v>1555</v>
      </c>
      <c r="AQ48" t="s">
        <v>659</v>
      </c>
      <c r="AR48" t="s">
        <v>1560</v>
      </c>
      <c r="AS48" t="s">
        <v>910</v>
      </c>
      <c r="AT48" s="7" t="s">
        <v>2061</v>
      </c>
      <c r="AU48" s="7" t="s">
        <v>2027</v>
      </c>
      <c r="AV48" s="7" t="s">
        <v>2027</v>
      </c>
      <c r="AW48" s="7" t="s">
        <v>2020</v>
      </c>
      <c r="AX48" s="7" t="s">
        <v>2020</v>
      </c>
      <c r="AY48" s="7" t="s">
        <v>2029</v>
      </c>
      <c r="AZ48" s="7" t="s">
        <v>2020</v>
      </c>
      <c r="BA48" s="7" t="s">
        <v>2019</v>
      </c>
      <c r="BB48" t="s">
        <v>1670</v>
      </c>
      <c r="BC48" s="7" t="s">
        <v>2077</v>
      </c>
      <c r="BD48" t="s">
        <v>1700</v>
      </c>
      <c r="BH48" s="5" t="str">
        <f t="shared" si="1"/>
        <v/>
      </c>
      <c r="BI48" s="5" t="str">
        <f t="shared" si="2"/>
        <v/>
      </c>
    </row>
    <row r="49" spans="2:61" x14ac:dyDescent="0.35">
      <c r="B49" t="s">
        <v>804</v>
      </c>
      <c r="C49" s="7" t="s">
        <v>2041</v>
      </c>
      <c r="D49" t="s">
        <v>1559</v>
      </c>
      <c r="E49" t="s">
        <v>805</v>
      </c>
      <c r="F49" t="s">
        <v>1558</v>
      </c>
      <c r="G49" t="s">
        <v>127</v>
      </c>
      <c r="H49" s="7" t="s">
        <v>2063</v>
      </c>
      <c r="I49" s="7" t="s">
        <v>2025</v>
      </c>
      <c r="J49" s="7" t="s">
        <v>2025</v>
      </c>
      <c r="K49" s="7" t="s">
        <v>2025</v>
      </c>
      <c r="L49" s="7" t="s">
        <v>2027</v>
      </c>
      <c r="M49" s="7" t="s">
        <v>2025</v>
      </c>
      <c r="N49" s="7" t="s">
        <v>2025</v>
      </c>
      <c r="O49" s="7" t="s">
        <v>2025</v>
      </c>
      <c r="P49" t="s">
        <v>128</v>
      </c>
      <c r="Q49" s="7" t="s">
        <v>2201</v>
      </c>
      <c r="R49" t="s">
        <v>377</v>
      </c>
      <c r="U49" t="s">
        <v>1381</v>
      </c>
      <c r="V49" s="7" t="s">
        <v>2095</v>
      </c>
      <c r="W49" t="s">
        <v>1555</v>
      </c>
      <c r="X49" t="s">
        <v>1426</v>
      </c>
      <c r="Y49" t="s">
        <v>1558</v>
      </c>
      <c r="Z49" t="s">
        <v>1019</v>
      </c>
      <c r="AA49" s="7" t="s">
        <v>2090</v>
      </c>
      <c r="AB49" s="7" t="s">
        <v>2025</v>
      </c>
      <c r="AC49" s="7" t="s">
        <v>2027</v>
      </c>
      <c r="AD49" s="7" t="s">
        <v>2025</v>
      </c>
      <c r="AE49" s="7" t="s">
        <v>2020</v>
      </c>
      <c r="AF49" s="7" t="s">
        <v>2029</v>
      </c>
      <c r="AG49" s="7" t="s">
        <v>2025</v>
      </c>
      <c r="AH49" s="7" t="s">
        <v>2027</v>
      </c>
      <c r="AI49" t="s">
        <v>1315</v>
      </c>
      <c r="AJ49" s="7" t="s">
        <v>2239</v>
      </c>
      <c r="AK49" t="s">
        <v>1478</v>
      </c>
      <c r="AN49" t="s">
        <v>1739</v>
      </c>
      <c r="AO49" s="7" t="s">
        <v>2030</v>
      </c>
      <c r="AP49" t="s">
        <v>1555</v>
      </c>
      <c r="AQ49" t="s">
        <v>916</v>
      </c>
      <c r="AR49" t="s">
        <v>1560</v>
      </c>
      <c r="AS49" t="s">
        <v>1672</v>
      </c>
      <c r="AT49" s="7" t="s">
        <v>2058</v>
      </c>
      <c r="AU49" s="7" t="s">
        <v>2020</v>
      </c>
      <c r="AV49" s="7" t="s">
        <v>2025</v>
      </c>
      <c r="AW49" s="7" t="s">
        <v>2027</v>
      </c>
      <c r="AX49" s="7" t="s">
        <v>2025</v>
      </c>
      <c r="AY49" s="7" t="s">
        <v>2027</v>
      </c>
      <c r="AZ49" s="7" t="s">
        <v>2025</v>
      </c>
      <c r="BA49" s="7" t="s">
        <v>2027</v>
      </c>
      <c r="BB49" t="s">
        <v>101</v>
      </c>
      <c r="BC49" s="7" t="s">
        <v>2021</v>
      </c>
      <c r="BD49" t="s">
        <v>1701</v>
      </c>
      <c r="BH49" s="5" t="str">
        <f t="shared" si="1"/>
        <v/>
      </c>
      <c r="BI49" s="5" t="str">
        <f t="shared" si="2"/>
        <v/>
      </c>
    </row>
    <row r="50" spans="2:61" x14ac:dyDescent="0.35">
      <c r="B50" t="s">
        <v>876</v>
      </c>
      <c r="C50" s="7" t="s">
        <v>2041</v>
      </c>
      <c r="D50" t="s">
        <v>1557</v>
      </c>
      <c r="E50" t="s">
        <v>877</v>
      </c>
      <c r="F50" t="s">
        <v>1558</v>
      </c>
      <c r="G50" t="s">
        <v>878</v>
      </c>
      <c r="H50" s="7" t="s">
        <v>2125</v>
      </c>
      <c r="I50" s="7" t="s">
        <v>2027</v>
      </c>
      <c r="J50" s="7" t="s">
        <v>2020</v>
      </c>
      <c r="K50" s="7" t="s">
        <v>2019</v>
      </c>
      <c r="L50" s="7" t="s">
        <v>2020</v>
      </c>
      <c r="M50" s="7" t="s">
        <v>2026</v>
      </c>
      <c r="N50" s="7" t="s">
        <v>2027</v>
      </c>
      <c r="O50" s="7" t="s">
        <v>2033</v>
      </c>
      <c r="P50" t="s">
        <v>167</v>
      </c>
      <c r="Q50" s="7" t="s">
        <v>2176</v>
      </c>
      <c r="R50" t="s">
        <v>378</v>
      </c>
      <c r="U50" t="s">
        <v>849</v>
      </c>
      <c r="V50" s="7" t="s">
        <v>2095</v>
      </c>
      <c r="W50" t="s">
        <v>1555</v>
      </c>
      <c r="X50" t="s">
        <v>703</v>
      </c>
      <c r="Y50" t="s">
        <v>1558</v>
      </c>
      <c r="Z50" t="s">
        <v>151</v>
      </c>
      <c r="AA50" s="7" t="s">
        <v>2081</v>
      </c>
      <c r="AB50" s="7" t="s">
        <v>2025</v>
      </c>
      <c r="AC50" s="7" t="s">
        <v>2026</v>
      </c>
      <c r="AD50" s="7" t="s">
        <v>2025</v>
      </c>
      <c r="AE50" s="7" t="s">
        <v>2025</v>
      </c>
      <c r="AF50" s="7" t="s">
        <v>2026</v>
      </c>
      <c r="AG50" s="7" t="s">
        <v>2027</v>
      </c>
      <c r="AH50" s="7" t="s">
        <v>2026</v>
      </c>
      <c r="AI50" t="s">
        <v>152</v>
      </c>
      <c r="AJ50" s="7" t="s">
        <v>2239</v>
      </c>
      <c r="AK50" t="s">
        <v>428</v>
      </c>
      <c r="AN50" t="s">
        <v>1399</v>
      </c>
      <c r="AO50" s="7" t="s">
        <v>2030</v>
      </c>
      <c r="AP50" t="s">
        <v>1555</v>
      </c>
      <c r="AQ50" t="s">
        <v>1430</v>
      </c>
      <c r="AR50" t="s">
        <v>1609</v>
      </c>
      <c r="AS50" t="s">
        <v>1454</v>
      </c>
      <c r="AT50" s="7" t="s">
        <v>2048</v>
      </c>
      <c r="AU50" s="7" t="s">
        <v>2020</v>
      </c>
      <c r="AV50" s="7" t="s">
        <v>2020</v>
      </c>
      <c r="AW50" s="7" t="s">
        <v>2027</v>
      </c>
      <c r="AX50" s="7" t="s">
        <v>2027</v>
      </c>
      <c r="AY50" s="7" t="s">
        <v>2020</v>
      </c>
      <c r="AZ50" s="7" t="s">
        <v>2019</v>
      </c>
      <c r="BA50" s="7" t="s">
        <v>2020</v>
      </c>
      <c r="BB50" t="s">
        <v>1215</v>
      </c>
      <c r="BC50" s="7" t="s">
        <v>2345</v>
      </c>
      <c r="BD50" t="s">
        <v>1489</v>
      </c>
      <c r="BH50" s="5" t="str">
        <f t="shared" si="1"/>
        <v/>
      </c>
      <c r="BI50" s="5" t="str">
        <f t="shared" si="2"/>
        <v/>
      </c>
    </row>
    <row r="51" spans="2:61" x14ac:dyDescent="0.35">
      <c r="B51" t="s">
        <v>1756</v>
      </c>
      <c r="C51" s="7" t="s">
        <v>2041</v>
      </c>
      <c r="D51" t="s">
        <v>1559</v>
      </c>
      <c r="E51" t="s">
        <v>1578</v>
      </c>
      <c r="F51" t="s">
        <v>1558</v>
      </c>
      <c r="G51" t="s">
        <v>1679</v>
      </c>
      <c r="H51" s="7" t="s">
        <v>2058</v>
      </c>
      <c r="I51" s="7" t="s">
        <v>2025</v>
      </c>
      <c r="J51" s="7" t="s">
        <v>2027</v>
      </c>
      <c r="K51" s="7" t="s">
        <v>2020</v>
      </c>
      <c r="L51" s="7" t="s">
        <v>2025</v>
      </c>
      <c r="M51" s="7" t="s">
        <v>2027</v>
      </c>
      <c r="N51" s="7" t="s">
        <v>2027</v>
      </c>
      <c r="O51" s="7" t="s">
        <v>2025</v>
      </c>
      <c r="P51" t="s">
        <v>1680</v>
      </c>
      <c r="Q51" s="7" t="s">
        <v>2199</v>
      </c>
      <c r="R51" t="s">
        <v>1684</v>
      </c>
      <c r="U51" t="s">
        <v>1075</v>
      </c>
      <c r="V51" s="7" t="s">
        <v>2095</v>
      </c>
      <c r="W51" t="s">
        <v>1555</v>
      </c>
      <c r="X51" t="s">
        <v>945</v>
      </c>
      <c r="Y51" t="s">
        <v>1558</v>
      </c>
      <c r="Z51" t="s">
        <v>946</v>
      </c>
      <c r="AA51" s="7" t="s">
        <v>2063</v>
      </c>
      <c r="AB51" s="7" t="s">
        <v>2025</v>
      </c>
      <c r="AC51" s="7" t="s">
        <v>2025</v>
      </c>
      <c r="AD51" s="7" t="s">
        <v>2025</v>
      </c>
      <c r="AE51" s="7" t="s">
        <v>2025</v>
      </c>
      <c r="AF51" s="7" t="s">
        <v>2027</v>
      </c>
      <c r="AG51" s="7" t="s">
        <v>2025</v>
      </c>
      <c r="AH51" s="7" t="s">
        <v>2025</v>
      </c>
      <c r="AI51" t="s">
        <v>262</v>
      </c>
      <c r="AJ51" s="7" t="s">
        <v>2039</v>
      </c>
      <c r="AK51" t="s">
        <v>473</v>
      </c>
      <c r="AN51" t="s">
        <v>1830</v>
      </c>
      <c r="AO51" s="7" t="s">
        <v>2030</v>
      </c>
      <c r="AP51" t="s">
        <v>1555</v>
      </c>
      <c r="AQ51" t="s">
        <v>1754</v>
      </c>
      <c r="AR51" t="s">
        <v>1560</v>
      </c>
      <c r="AS51" t="s">
        <v>1831</v>
      </c>
      <c r="AT51" s="7" t="s">
        <v>2108</v>
      </c>
      <c r="AU51" s="7" t="s">
        <v>2019</v>
      </c>
      <c r="AV51" s="7" t="s">
        <v>2020</v>
      </c>
      <c r="AW51" s="7" t="s">
        <v>2019</v>
      </c>
      <c r="AX51" s="7" t="s">
        <v>2020</v>
      </c>
      <c r="AY51" s="7" t="s">
        <v>2019</v>
      </c>
      <c r="AZ51" s="7" t="s">
        <v>2019</v>
      </c>
      <c r="BA51" s="7" t="s">
        <v>2019</v>
      </c>
      <c r="BB51" t="s">
        <v>204</v>
      </c>
      <c r="BC51" s="7" t="s">
        <v>2115</v>
      </c>
      <c r="BD51" t="s">
        <v>1851</v>
      </c>
      <c r="BH51" s="5" t="str">
        <f t="shared" si="1"/>
        <v/>
      </c>
      <c r="BI51" s="5" t="str">
        <f t="shared" si="2"/>
        <v/>
      </c>
    </row>
    <row r="52" spans="2:61" x14ac:dyDescent="0.35">
      <c r="B52" t="s">
        <v>1120</v>
      </c>
      <c r="C52" s="7" t="s">
        <v>2037</v>
      </c>
      <c r="D52" t="s">
        <v>1559</v>
      </c>
      <c r="E52" t="s">
        <v>1121</v>
      </c>
      <c r="F52" t="s">
        <v>1558</v>
      </c>
      <c r="G52" t="s">
        <v>283</v>
      </c>
      <c r="H52" s="7" t="s">
        <v>2070</v>
      </c>
      <c r="I52" s="7" t="s">
        <v>2020</v>
      </c>
      <c r="J52" s="7" t="s">
        <v>2027</v>
      </c>
      <c r="K52" s="7" t="s">
        <v>2020</v>
      </c>
      <c r="L52" s="7" t="s">
        <v>2020</v>
      </c>
      <c r="M52" s="7" t="s">
        <v>2020</v>
      </c>
      <c r="N52" s="7" t="s">
        <v>2027</v>
      </c>
      <c r="O52" s="7" t="s">
        <v>2020</v>
      </c>
      <c r="P52" t="s">
        <v>284</v>
      </c>
      <c r="Q52" s="7" t="s">
        <v>2085</v>
      </c>
      <c r="R52" t="s">
        <v>379</v>
      </c>
      <c r="U52" t="s">
        <v>1617</v>
      </c>
      <c r="V52" s="7" t="s">
        <v>2095</v>
      </c>
      <c r="W52" t="s">
        <v>1555</v>
      </c>
      <c r="X52" t="s">
        <v>1618</v>
      </c>
      <c r="Y52" t="s">
        <v>1558</v>
      </c>
      <c r="Z52" t="s">
        <v>1619</v>
      </c>
      <c r="AA52" s="7" t="s">
        <v>2070</v>
      </c>
      <c r="AB52" s="7" t="s">
        <v>2019</v>
      </c>
      <c r="AC52" s="7" t="s">
        <v>2019</v>
      </c>
      <c r="AD52" s="7" t="s">
        <v>2019</v>
      </c>
      <c r="AE52" s="7" t="s">
        <v>2027</v>
      </c>
      <c r="AF52" s="7" t="s">
        <v>2027</v>
      </c>
      <c r="AG52" s="7" t="s">
        <v>2025</v>
      </c>
      <c r="AH52" s="7" t="s">
        <v>2027</v>
      </c>
      <c r="AI52" t="s">
        <v>1549</v>
      </c>
      <c r="AJ52" s="7" t="s">
        <v>2067</v>
      </c>
      <c r="AK52" t="s">
        <v>1637</v>
      </c>
      <c r="AN52" t="s">
        <v>1833</v>
      </c>
      <c r="AO52" s="7" t="s">
        <v>2030</v>
      </c>
      <c r="AP52" t="s">
        <v>1555</v>
      </c>
      <c r="AQ52" t="s">
        <v>1293</v>
      </c>
      <c r="AR52" t="s">
        <v>1560</v>
      </c>
      <c r="AS52" t="s">
        <v>1778</v>
      </c>
      <c r="AT52" s="7" t="s">
        <v>2090</v>
      </c>
      <c r="AU52" s="7" t="s">
        <v>2027</v>
      </c>
      <c r="AV52" s="7" t="s">
        <v>2027</v>
      </c>
      <c r="AW52" s="7" t="s">
        <v>2027</v>
      </c>
      <c r="AX52" s="7" t="s">
        <v>2027</v>
      </c>
      <c r="AY52" s="7" t="s">
        <v>2027</v>
      </c>
      <c r="AZ52" s="7" t="s">
        <v>2020</v>
      </c>
      <c r="BA52" s="7" t="s">
        <v>2027</v>
      </c>
      <c r="BB52" t="s">
        <v>349</v>
      </c>
      <c r="BC52" s="7" t="s">
        <v>2133</v>
      </c>
      <c r="BD52" t="s">
        <v>1852</v>
      </c>
      <c r="BH52" s="5" t="str">
        <f t="shared" si="1"/>
        <v/>
      </c>
      <c r="BI52" s="5" t="str">
        <f t="shared" si="2"/>
        <v/>
      </c>
    </row>
    <row r="53" spans="2:61" x14ac:dyDescent="0.35">
      <c r="B53" t="s">
        <v>1177</v>
      </c>
      <c r="C53" s="7" t="s">
        <v>2037</v>
      </c>
      <c r="D53" t="s">
        <v>1567</v>
      </c>
      <c r="E53" t="s">
        <v>1178</v>
      </c>
      <c r="F53" t="s">
        <v>1558</v>
      </c>
      <c r="G53" t="s">
        <v>1179</v>
      </c>
      <c r="H53" s="7" t="s">
        <v>2027</v>
      </c>
      <c r="I53" s="7" t="s">
        <v>2020</v>
      </c>
      <c r="J53" s="7" t="s">
        <v>2020</v>
      </c>
      <c r="K53" s="7" t="s">
        <v>2027</v>
      </c>
      <c r="L53" s="7" t="s">
        <v>2025</v>
      </c>
      <c r="M53" s="7" t="s">
        <v>2026</v>
      </c>
      <c r="N53" s="7" t="s">
        <v>2027</v>
      </c>
      <c r="O53" s="7" t="s">
        <v>2020</v>
      </c>
      <c r="P53" t="s">
        <v>247</v>
      </c>
      <c r="Q53" s="7" t="s">
        <v>2210</v>
      </c>
      <c r="R53" t="s">
        <v>380</v>
      </c>
      <c r="U53" t="s">
        <v>1085</v>
      </c>
      <c r="V53" s="7" t="s">
        <v>2095</v>
      </c>
      <c r="W53" t="s">
        <v>1555</v>
      </c>
      <c r="X53" t="s">
        <v>1086</v>
      </c>
      <c r="Y53" t="s">
        <v>1558</v>
      </c>
      <c r="Z53" t="s">
        <v>1087</v>
      </c>
      <c r="AA53" s="7" t="s">
        <v>2024</v>
      </c>
      <c r="AB53" s="7" t="s">
        <v>2025</v>
      </c>
      <c r="AC53" s="7" t="s">
        <v>2025</v>
      </c>
      <c r="AD53" s="7" t="s">
        <v>2027</v>
      </c>
      <c r="AE53" s="7" t="s">
        <v>2027</v>
      </c>
      <c r="AF53" s="7" t="s">
        <v>2027</v>
      </c>
      <c r="AG53" s="7" t="s">
        <v>2025</v>
      </c>
      <c r="AH53" s="7" t="s">
        <v>2025</v>
      </c>
      <c r="AI53" t="s">
        <v>267</v>
      </c>
      <c r="AJ53" s="7" t="s">
        <v>2039</v>
      </c>
      <c r="AK53" t="s">
        <v>476</v>
      </c>
      <c r="AN53" t="s">
        <v>1185</v>
      </c>
      <c r="AO53" s="7" t="s">
        <v>2030</v>
      </c>
      <c r="AP53" t="s">
        <v>1555</v>
      </c>
      <c r="AQ53" t="s">
        <v>869</v>
      </c>
      <c r="AR53" t="s">
        <v>1560</v>
      </c>
      <c r="AS53" t="s">
        <v>926</v>
      </c>
      <c r="AT53" s="7" t="s">
        <v>2103</v>
      </c>
      <c r="AU53" s="7" t="s">
        <v>2027</v>
      </c>
      <c r="AV53" s="7" t="s">
        <v>2025</v>
      </c>
      <c r="AW53" s="7" t="s">
        <v>2025</v>
      </c>
      <c r="AX53" s="7" t="s">
        <v>2027</v>
      </c>
      <c r="AY53" s="7" t="s">
        <v>2027</v>
      </c>
      <c r="AZ53" s="7" t="s">
        <v>2025</v>
      </c>
      <c r="BA53" s="7" t="s">
        <v>2026</v>
      </c>
      <c r="BB53" t="s">
        <v>312</v>
      </c>
      <c r="BC53" s="7" t="s">
        <v>2049</v>
      </c>
      <c r="BD53" t="s">
        <v>512</v>
      </c>
      <c r="BH53" s="5" t="str">
        <f t="shared" si="1"/>
        <v/>
      </c>
      <c r="BI53" s="5" t="str">
        <f t="shared" si="2"/>
        <v/>
      </c>
    </row>
    <row r="54" spans="2:61" x14ac:dyDescent="0.35">
      <c r="B54" t="s">
        <v>655</v>
      </c>
      <c r="C54" s="7" t="s">
        <v>2035</v>
      </c>
      <c r="D54" t="s">
        <v>1559</v>
      </c>
      <c r="E54" t="s">
        <v>656</v>
      </c>
      <c r="F54" t="s">
        <v>1558</v>
      </c>
      <c r="G54" t="s">
        <v>54</v>
      </c>
      <c r="H54" s="7" t="s">
        <v>2031</v>
      </c>
      <c r="I54" s="7" t="s">
        <v>2020</v>
      </c>
      <c r="J54" s="7" t="s">
        <v>2025</v>
      </c>
      <c r="K54" s="7" t="s">
        <v>2027</v>
      </c>
      <c r="L54" s="7" t="s">
        <v>2027</v>
      </c>
      <c r="M54" s="7" t="s">
        <v>2020</v>
      </c>
      <c r="N54" s="7" t="s">
        <v>2020</v>
      </c>
      <c r="O54" s="7" t="s">
        <v>2020</v>
      </c>
      <c r="P54" t="s">
        <v>55</v>
      </c>
      <c r="Q54" s="7" t="s">
        <v>2036</v>
      </c>
      <c r="R54" t="s">
        <v>381</v>
      </c>
      <c r="U54" t="s">
        <v>1385</v>
      </c>
      <c r="V54" s="7" t="s">
        <v>2076</v>
      </c>
      <c r="W54" t="s">
        <v>1555</v>
      </c>
      <c r="X54" t="s">
        <v>1340</v>
      </c>
      <c r="Y54" t="s">
        <v>1556</v>
      </c>
      <c r="Z54" t="s">
        <v>1445</v>
      </c>
      <c r="AA54" s="7" t="s">
        <v>2031</v>
      </c>
      <c r="AB54" s="7" t="s">
        <v>2027</v>
      </c>
      <c r="AC54" s="7" t="s">
        <v>2027</v>
      </c>
      <c r="AD54" s="7" t="s">
        <v>2027</v>
      </c>
      <c r="AE54" s="7" t="s">
        <v>2020</v>
      </c>
      <c r="AF54" s="7" t="s">
        <v>2019</v>
      </c>
      <c r="AG54" s="7" t="s">
        <v>2027</v>
      </c>
      <c r="AH54" s="7" t="s">
        <v>2027</v>
      </c>
      <c r="AI54" t="s">
        <v>1341</v>
      </c>
      <c r="AJ54" s="7" t="s">
        <v>2333</v>
      </c>
      <c r="AK54" t="s">
        <v>1480</v>
      </c>
      <c r="AN54" t="s">
        <v>1957</v>
      </c>
      <c r="AO54" s="7" t="s">
        <v>2095</v>
      </c>
      <c r="AP54" t="s">
        <v>1555</v>
      </c>
      <c r="AQ54" t="s">
        <v>949</v>
      </c>
      <c r="AR54" t="s">
        <v>1560</v>
      </c>
      <c r="AS54" t="s">
        <v>676</v>
      </c>
      <c r="AT54" s="7" t="s">
        <v>2090</v>
      </c>
      <c r="AU54" s="7" t="s">
        <v>2020</v>
      </c>
      <c r="AV54" s="7" t="s">
        <v>2020</v>
      </c>
      <c r="AW54" s="7" t="s">
        <v>2020</v>
      </c>
      <c r="AX54" s="7" t="s">
        <v>2025</v>
      </c>
      <c r="AY54" s="7" t="s">
        <v>2027</v>
      </c>
      <c r="AZ54" s="7" t="s">
        <v>2025</v>
      </c>
      <c r="BA54" s="7" t="s">
        <v>2027</v>
      </c>
      <c r="BB54" t="s">
        <v>1542</v>
      </c>
      <c r="BC54" s="7" t="s">
        <v>2100</v>
      </c>
      <c r="BD54" t="s">
        <v>1992</v>
      </c>
      <c r="BH54" s="5" t="str">
        <f t="shared" si="1"/>
        <v/>
      </c>
      <c r="BI54" s="5" t="str">
        <f t="shared" si="2"/>
        <v/>
      </c>
    </row>
    <row r="55" spans="2:61" x14ac:dyDescent="0.35">
      <c r="B55" t="s">
        <v>755</v>
      </c>
      <c r="C55" s="7" t="s">
        <v>2035</v>
      </c>
      <c r="D55" t="s">
        <v>1567</v>
      </c>
      <c r="E55" t="s">
        <v>756</v>
      </c>
      <c r="F55" t="s">
        <v>1558</v>
      </c>
      <c r="G55" t="s">
        <v>757</v>
      </c>
      <c r="H55" s="7" t="s">
        <v>2125</v>
      </c>
      <c r="I55" s="7" t="s">
        <v>2025</v>
      </c>
      <c r="J55" s="7" t="s">
        <v>2025</v>
      </c>
      <c r="K55" s="7" t="s">
        <v>2026</v>
      </c>
      <c r="L55" s="7" t="s">
        <v>2027</v>
      </c>
      <c r="M55" s="7" t="s">
        <v>2020</v>
      </c>
      <c r="N55" s="7" t="s">
        <v>2020</v>
      </c>
      <c r="O55" s="7" t="s">
        <v>2020</v>
      </c>
      <c r="P55" t="s">
        <v>101</v>
      </c>
      <c r="Q55" s="7" t="s">
        <v>2196</v>
      </c>
      <c r="R55" t="s">
        <v>382</v>
      </c>
      <c r="U55" t="s">
        <v>1387</v>
      </c>
      <c r="V55" s="7" t="s">
        <v>2076</v>
      </c>
      <c r="W55" t="s">
        <v>1555</v>
      </c>
      <c r="X55" t="s">
        <v>883</v>
      </c>
      <c r="Y55" t="s">
        <v>1558</v>
      </c>
      <c r="Z55" t="s">
        <v>884</v>
      </c>
      <c r="AA55" s="7" t="s">
        <v>2070</v>
      </c>
      <c r="AB55" s="7" t="s">
        <v>2025</v>
      </c>
      <c r="AC55" s="7" t="s">
        <v>2025</v>
      </c>
      <c r="AD55" s="7" t="s">
        <v>2027</v>
      </c>
      <c r="AE55" s="7" t="s">
        <v>2020</v>
      </c>
      <c r="AF55" s="7" t="s">
        <v>2019</v>
      </c>
      <c r="AG55" s="7" t="s">
        <v>2019</v>
      </c>
      <c r="AH55" s="7" t="s">
        <v>2019</v>
      </c>
      <c r="AI55" t="s">
        <v>1317</v>
      </c>
      <c r="AJ55" s="7" t="s">
        <v>2194</v>
      </c>
      <c r="AK55" t="s">
        <v>1482</v>
      </c>
      <c r="AN55" t="s">
        <v>1782</v>
      </c>
      <c r="AO55" s="7" t="s">
        <v>2095</v>
      </c>
      <c r="AP55" t="s">
        <v>1555</v>
      </c>
      <c r="AQ55" t="s">
        <v>1783</v>
      </c>
      <c r="AR55" t="s">
        <v>1560</v>
      </c>
      <c r="AS55" t="s">
        <v>1784</v>
      </c>
      <c r="AT55" s="7" t="s">
        <v>2038</v>
      </c>
      <c r="AU55" s="7" t="s">
        <v>2019</v>
      </c>
      <c r="AV55" s="7" t="s">
        <v>2027</v>
      </c>
      <c r="AW55" s="7" t="s">
        <v>2027</v>
      </c>
      <c r="AX55" s="7" t="s">
        <v>2027</v>
      </c>
      <c r="AY55" s="7" t="s">
        <v>2027</v>
      </c>
      <c r="AZ55" s="7" t="s">
        <v>2027</v>
      </c>
      <c r="BA55" s="7" t="s">
        <v>2027</v>
      </c>
      <c r="BB55" t="s">
        <v>1757</v>
      </c>
      <c r="BC55" s="7" t="s">
        <v>2049</v>
      </c>
      <c r="BD55" t="s">
        <v>1853</v>
      </c>
      <c r="BH55" s="5" t="str">
        <f t="shared" si="1"/>
        <v/>
      </c>
      <c r="BI55" s="5" t="str">
        <f t="shared" si="2"/>
        <v/>
      </c>
    </row>
    <row r="56" spans="2:61" x14ac:dyDescent="0.35">
      <c r="B56" t="s">
        <v>1099</v>
      </c>
      <c r="C56" s="7" t="s">
        <v>2035</v>
      </c>
      <c r="D56" t="s">
        <v>1620</v>
      </c>
      <c r="E56" t="s">
        <v>1100</v>
      </c>
      <c r="F56" t="s">
        <v>1558</v>
      </c>
      <c r="G56" t="s">
        <v>1101</v>
      </c>
      <c r="H56" s="7" t="s">
        <v>2081</v>
      </c>
      <c r="I56" s="7" t="s">
        <v>2033</v>
      </c>
      <c r="J56" s="7" t="s">
        <v>2026</v>
      </c>
      <c r="K56" s="7" t="s">
        <v>2027</v>
      </c>
      <c r="L56" s="7" t="s">
        <v>2020</v>
      </c>
      <c r="M56" s="7" t="s">
        <v>2033</v>
      </c>
      <c r="N56" s="7" t="s">
        <v>2020</v>
      </c>
      <c r="O56" s="7" t="s">
        <v>2033</v>
      </c>
      <c r="P56" t="s">
        <v>349</v>
      </c>
      <c r="Q56" s="7" t="s">
        <v>2201</v>
      </c>
      <c r="R56" t="s">
        <v>383</v>
      </c>
      <c r="U56" t="s">
        <v>1267</v>
      </c>
      <c r="V56" s="7" t="s">
        <v>2076</v>
      </c>
      <c r="W56" t="s">
        <v>1555</v>
      </c>
      <c r="X56" t="s">
        <v>916</v>
      </c>
      <c r="Y56" t="s">
        <v>1558</v>
      </c>
      <c r="Z56" t="s">
        <v>1031</v>
      </c>
      <c r="AA56" s="7" t="s">
        <v>2237</v>
      </c>
      <c r="AB56" s="7" t="s">
        <v>2025</v>
      </c>
      <c r="AC56" s="7" t="s">
        <v>2026</v>
      </c>
      <c r="AD56" s="7" t="s">
        <v>2026</v>
      </c>
      <c r="AE56" s="7" t="s">
        <v>2027</v>
      </c>
      <c r="AF56" s="7" t="s">
        <v>2027</v>
      </c>
      <c r="AG56" s="7" t="s">
        <v>2026</v>
      </c>
      <c r="AH56" s="7" t="s">
        <v>2033</v>
      </c>
      <c r="AI56" t="s">
        <v>1199</v>
      </c>
      <c r="AJ56" s="7" t="s">
        <v>2156</v>
      </c>
      <c r="AK56" t="s">
        <v>1239</v>
      </c>
      <c r="AN56" t="s">
        <v>734</v>
      </c>
      <c r="AO56" s="7" t="s">
        <v>2095</v>
      </c>
      <c r="AP56" t="s">
        <v>1555</v>
      </c>
      <c r="AQ56" t="s">
        <v>735</v>
      </c>
      <c r="AR56" t="s">
        <v>1560</v>
      </c>
      <c r="AS56" t="s">
        <v>736</v>
      </c>
      <c r="AT56" s="7" t="s">
        <v>2081</v>
      </c>
      <c r="AU56" s="7" t="s">
        <v>2027</v>
      </c>
      <c r="AV56" s="7" t="s">
        <v>2025</v>
      </c>
      <c r="AW56" s="7" t="s">
        <v>2025</v>
      </c>
      <c r="AX56" s="7" t="s">
        <v>2025</v>
      </c>
      <c r="AY56" s="7" t="s">
        <v>2025</v>
      </c>
      <c r="AZ56" s="7" t="s">
        <v>2026</v>
      </c>
      <c r="BA56" s="7" t="s">
        <v>2033</v>
      </c>
      <c r="BB56" t="s">
        <v>94</v>
      </c>
      <c r="BC56" s="7" t="s">
        <v>2021</v>
      </c>
      <c r="BD56" t="s">
        <v>513</v>
      </c>
      <c r="BH56" s="5" t="str">
        <f t="shared" si="1"/>
        <v/>
      </c>
      <c r="BI56" s="5" t="str">
        <f t="shared" si="2"/>
        <v/>
      </c>
    </row>
    <row r="57" spans="2:61" x14ac:dyDescent="0.35">
      <c r="B57" t="s">
        <v>1723</v>
      </c>
      <c r="C57" s="7" t="s">
        <v>2066</v>
      </c>
      <c r="D57" t="s">
        <v>1557</v>
      </c>
      <c r="E57" t="s">
        <v>1724</v>
      </c>
      <c r="F57" t="s">
        <v>1558</v>
      </c>
      <c r="G57" t="s">
        <v>1725</v>
      </c>
      <c r="H57" s="7" t="s">
        <v>2181</v>
      </c>
      <c r="I57" s="7" t="s">
        <v>2019</v>
      </c>
      <c r="J57" s="7" t="s">
        <v>2019</v>
      </c>
      <c r="K57" s="7" t="s">
        <v>2019</v>
      </c>
      <c r="L57" s="7" t="s">
        <v>2029</v>
      </c>
      <c r="M57" s="7" t="s">
        <v>2029</v>
      </c>
      <c r="N57" s="7" t="s">
        <v>2029</v>
      </c>
      <c r="O57" s="7" t="s">
        <v>2029</v>
      </c>
      <c r="P57" t="s">
        <v>196</v>
      </c>
      <c r="Q57" s="7" t="s">
        <v>2085</v>
      </c>
      <c r="R57" t="s">
        <v>1685</v>
      </c>
      <c r="U57" t="s">
        <v>1163</v>
      </c>
      <c r="V57" s="7" t="s">
        <v>2076</v>
      </c>
      <c r="W57" t="s">
        <v>1555</v>
      </c>
      <c r="X57" t="s">
        <v>748</v>
      </c>
      <c r="Y57" t="s">
        <v>1558</v>
      </c>
      <c r="Z57" t="s">
        <v>195</v>
      </c>
      <c r="AA57" s="7" t="s">
        <v>2058</v>
      </c>
      <c r="AB57" s="7" t="s">
        <v>2025</v>
      </c>
      <c r="AC57" s="7" t="s">
        <v>2027</v>
      </c>
      <c r="AD57" s="7" t="s">
        <v>2027</v>
      </c>
      <c r="AE57" s="7" t="s">
        <v>2025</v>
      </c>
      <c r="AF57" s="7" t="s">
        <v>2027</v>
      </c>
      <c r="AG57" s="7" t="s">
        <v>2020</v>
      </c>
      <c r="AH57" s="7" t="s">
        <v>2025</v>
      </c>
      <c r="AI57" t="s">
        <v>306</v>
      </c>
      <c r="AJ57" s="7" t="s">
        <v>2227</v>
      </c>
      <c r="AK57" t="s">
        <v>499</v>
      </c>
      <c r="AN57" t="s">
        <v>1891</v>
      </c>
      <c r="AO57" s="7" t="s">
        <v>2095</v>
      </c>
      <c r="AP57" t="s">
        <v>1555</v>
      </c>
      <c r="AQ57" t="s">
        <v>1892</v>
      </c>
      <c r="AR57" t="s">
        <v>1560</v>
      </c>
      <c r="AS57" t="s">
        <v>1893</v>
      </c>
      <c r="AT57" s="7" t="s">
        <v>2042</v>
      </c>
      <c r="AU57" s="7" t="s">
        <v>2019</v>
      </c>
      <c r="AV57" s="7" t="s">
        <v>2020</v>
      </c>
      <c r="AW57" s="7" t="s">
        <v>2027</v>
      </c>
      <c r="AX57" s="7" t="s">
        <v>2020</v>
      </c>
      <c r="AY57" s="7" t="s">
        <v>2020</v>
      </c>
      <c r="AZ57" s="7" t="s">
        <v>2025</v>
      </c>
      <c r="BA57" s="7" t="s">
        <v>2027</v>
      </c>
      <c r="BB57" t="s">
        <v>1868</v>
      </c>
      <c r="BC57" s="7" t="s">
        <v>2049</v>
      </c>
      <c r="BD57" t="s">
        <v>1939</v>
      </c>
      <c r="BH57" s="5" t="str">
        <f t="shared" si="1"/>
        <v/>
      </c>
      <c r="BI57" s="5" t="str">
        <f t="shared" si="2"/>
        <v/>
      </c>
    </row>
    <row r="58" spans="2:61" x14ac:dyDescent="0.35">
      <c r="B58" t="s">
        <v>1124</v>
      </c>
      <c r="C58" s="7" t="s">
        <v>2066</v>
      </c>
      <c r="D58" t="s">
        <v>1614</v>
      </c>
      <c r="E58" t="s">
        <v>1056</v>
      </c>
      <c r="F58" t="s">
        <v>1558</v>
      </c>
      <c r="G58" t="s">
        <v>351</v>
      </c>
      <c r="H58" s="7" t="s">
        <v>2024</v>
      </c>
      <c r="I58" s="7" t="s">
        <v>2027</v>
      </c>
      <c r="J58" s="7" t="s">
        <v>2033</v>
      </c>
      <c r="K58" s="7" t="s">
        <v>2027</v>
      </c>
      <c r="L58" s="7" t="s">
        <v>2027</v>
      </c>
      <c r="M58" s="7" t="s">
        <v>2020</v>
      </c>
      <c r="N58" s="7" t="s">
        <v>2027</v>
      </c>
      <c r="O58" s="7" t="s">
        <v>2026</v>
      </c>
      <c r="P58" t="s">
        <v>347</v>
      </c>
      <c r="Q58" s="7" t="s">
        <v>2195</v>
      </c>
      <c r="R58" t="s">
        <v>384</v>
      </c>
      <c r="U58" t="s">
        <v>679</v>
      </c>
      <c r="V58" s="7" t="s">
        <v>2102</v>
      </c>
      <c r="W58" t="s">
        <v>1555</v>
      </c>
      <c r="X58" t="s">
        <v>680</v>
      </c>
      <c r="Y58" t="s">
        <v>1558</v>
      </c>
      <c r="Z58" t="s">
        <v>676</v>
      </c>
      <c r="AA58" s="7" t="s">
        <v>2070</v>
      </c>
      <c r="AB58" s="7" t="s">
        <v>2020</v>
      </c>
      <c r="AC58" s="7" t="s">
        <v>2020</v>
      </c>
      <c r="AD58" s="7" t="s">
        <v>2025</v>
      </c>
      <c r="AE58" s="7" t="s">
        <v>2019</v>
      </c>
      <c r="AF58" s="7" t="s">
        <v>2027</v>
      </c>
      <c r="AG58" s="7" t="s">
        <v>2020</v>
      </c>
      <c r="AH58" s="7" t="s">
        <v>2020</v>
      </c>
      <c r="AI58" t="s">
        <v>70</v>
      </c>
      <c r="AJ58" s="7" t="s">
        <v>2106</v>
      </c>
      <c r="AK58" t="s">
        <v>405</v>
      </c>
      <c r="AN58" t="s">
        <v>1787</v>
      </c>
      <c r="AO58" s="7" t="s">
        <v>2095</v>
      </c>
      <c r="AP58" t="s">
        <v>1555</v>
      </c>
      <c r="AQ58" t="s">
        <v>799</v>
      </c>
      <c r="AR58" t="s">
        <v>1560</v>
      </c>
      <c r="AS58" t="s">
        <v>1759</v>
      </c>
      <c r="AT58" s="7" t="s">
        <v>2048</v>
      </c>
      <c r="AU58" s="7" t="s">
        <v>2020</v>
      </c>
      <c r="AV58" s="7" t="s">
        <v>2020</v>
      </c>
      <c r="AW58" s="7" t="s">
        <v>2020</v>
      </c>
      <c r="AX58" s="7" t="s">
        <v>2020</v>
      </c>
      <c r="AY58" s="7" t="s">
        <v>2020</v>
      </c>
      <c r="AZ58" s="7" t="s">
        <v>2027</v>
      </c>
      <c r="BA58" s="7" t="s">
        <v>2020</v>
      </c>
      <c r="BB58" t="s">
        <v>157</v>
      </c>
      <c r="BC58" s="7" t="s">
        <v>2049</v>
      </c>
      <c r="BD58" t="s">
        <v>1854</v>
      </c>
      <c r="BH58" s="5" t="str">
        <f t="shared" si="1"/>
        <v/>
      </c>
      <c r="BI58" s="5" t="str">
        <f t="shared" si="2"/>
        <v/>
      </c>
    </row>
    <row r="59" spans="2:61" x14ac:dyDescent="0.35">
      <c r="B59" t="s">
        <v>1734</v>
      </c>
      <c r="C59" s="7" t="s">
        <v>2154</v>
      </c>
      <c r="D59" t="s">
        <v>1559</v>
      </c>
      <c r="E59" t="s">
        <v>656</v>
      </c>
      <c r="F59" t="s">
        <v>1558</v>
      </c>
      <c r="G59" t="s">
        <v>1735</v>
      </c>
      <c r="H59" s="7" t="s">
        <v>2125</v>
      </c>
      <c r="I59" s="7" t="s">
        <v>2027</v>
      </c>
      <c r="J59" s="7" t="s">
        <v>2025</v>
      </c>
      <c r="K59" s="7" t="s">
        <v>2027</v>
      </c>
      <c r="L59" s="7" t="s">
        <v>2020</v>
      </c>
      <c r="M59" s="7" t="s">
        <v>2027</v>
      </c>
      <c r="N59" s="7" t="s">
        <v>2025</v>
      </c>
      <c r="O59" s="7" t="s">
        <v>2027</v>
      </c>
      <c r="P59" t="s">
        <v>347</v>
      </c>
      <c r="Q59" s="7" t="s">
        <v>2137</v>
      </c>
      <c r="R59" t="s">
        <v>1686</v>
      </c>
      <c r="U59" t="s">
        <v>1368</v>
      </c>
      <c r="V59" s="7" t="s">
        <v>2102</v>
      </c>
      <c r="W59" t="s">
        <v>1555</v>
      </c>
      <c r="X59" t="s">
        <v>665</v>
      </c>
      <c r="Y59" t="s">
        <v>1558</v>
      </c>
      <c r="Z59" t="s">
        <v>1436</v>
      </c>
      <c r="AA59" s="7" t="s">
        <v>2061</v>
      </c>
      <c r="AB59" s="7" t="s">
        <v>2027</v>
      </c>
      <c r="AC59" s="7" t="s">
        <v>2027</v>
      </c>
      <c r="AD59" s="7" t="s">
        <v>2027</v>
      </c>
      <c r="AE59" s="7" t="s">
        <v>2027</v>
      </c>
      <c r="AF59" s="7" t="s">
        <v>2029</v>
      </c>
      <c r="AG59" s="7" t="s">
        <v>2019</v>
      </c>
      <c r="AH59" s="7" t="s">
        <v>2029</v>
      </c>
      <c r="AI59" t="s">
        <v>1333</v>
      </c>
      <c r="AJ59" s="7" t="s">
        <v>2137</v>
      </c>
      <c r="AK59" t="s">
        <v>1473</v>
      </c>
      <c r="AN59" t="s">
        <v>759</v>
      </c>
      <c r="AO59" s="7" t="s">
        <v>2095</v>
      </c>
      <c r="AP59" t="s">
        <v>1555</v>
      </c>
      <c r="AQ59" t="s">
        <v>760</v>
      </c>
      <c r="AR59" t="s">
        <v>1561</v>
      </c>
      <c r="AS59" t="s">
        <v>761</v>
      </c>
      <c r="AT59" s="7" t="s">
        <v>2103</v>
      </c>
      <c r="AU59" s="7" t="s">
        <v>2025</v>
      </c>
      <c r="AV59" s="7" t="s">
        <v>2025</v>
      </c>
      <c r="AW59" s="7" t="s">
        <v>2025</v>
      </c>
      <c r="AX59" s="7" t="s">
        <v>2025</v>
      </c>
      <c r="AY59" s="7" t="s">
        <v>2027</v>
      </c>
      <c r="AZ59" s="7" t="s">
        <v>2027</v>
      </c>
      <c r="BA59" s="7" t="s">
        <v>2025</v>
      </c>
      <c r="BB59" t="s">
        <v>103</v>
      </c>
      <c r="BC59" s="7" t="s">
        <v>2205</v>
      </c>
      <c r="BD59" t="s">
        <v>514</v>
      </c>
      <c r="BH59" s="5" t="str">
        <f t="shared" si="1"/>
        <v/>
      </c>
      <c r="BI59" s="5" t="str">
        <f t="shared" si="2"/>
        <v/>
      </c>
    </row>
    <row r="60" spans="2:61" x14ac:dyDescent="0.35">
      <c r="B60" t="s">
        <v>1577</v>
      </c>
      <c r="C60" s="7" t="s">
        <v>2023</v>
      </c>
      <c r="D60" t="s">
        <v>1559</v>
      </c>
      <c r="E60" t="s">
        <v>1578</v>
      </c>
      <c r="F60" t="s">
        <v>1556</v>
      </c>
      <c r="G60" t="s">
        <v>1532</v>
      </c>
      <c r="H60" s="7" t="s">
        <v>2111</v>
      </c>
      <c r="I60" s="7" t="s">
        <v>2019</v>
      </c>
      <c r="J60" s="7" t="s">
        <v>2027</v>
      </c>
      <c r="K60" s="7" t="s">
        <v>2020</v>
      </c>
      <c r="L60" s="7" t="s">
        <v>2019</v>
      </c>
      <c r="M60" s="7" t="s">
        <v>2020</v>
      </c>
      <c r="N60" s="7" t="s">
        <v>2020</v>
      </c>
      <c r="O60" s="7" t="s">
        <v>2019</v>
      </c>
      <c r="P60" t="s">
        <v>1533</v>
      </c>
      <c r="Q60" s="7" t="s">
        <v>2043</v>
      </c>
      <c r="R60" t="s">
        <v>1632</v>
      </c>
      <c r="U60" t="s">
        <v>1373</v>
      </c>
      <c r="V60" s="7" t="s">
        <v>2102</v>
      </c>
      <c r="W60" t="s">
        <v>1555</v>
      </c>
      <c r="X60" t="s">
        <v>682</v>
      </c>
      <c r="Y60" t="s">
        <v>1558</v>
      </c>
      <c r="Z60" t="s">
        <v>1438</v>
      </c>
      <c r="AA60" s="7" t="s">
        <v>2048</v>
      </c>
      <c r="AB60" s="7" t="s">
        <v>2020</v>
      </c>
      <c r="AC60" s="7" t="s">
        <v>2020</v>
      </c>
      <c r="AD60" s="7" t="s">
        <v>2027</v>
      </c>
      <c r="AE60" s="7" t="s">
        <v>2025</v>
      </c>
      <c r="AF60" s="7" t="s">
        <v>2141</v>
      </c>
      <c r="AG60" s="7" t="s">
        <v>2025</v>
      </c>
      <c r="AH60" s="7" t="s">
        <v>2019</v>
      </c>
      <c r="AI60" t="s">
        <v>1308</v>
      </c>
      <c r="AJ60" s="7" t="s">
        <v>2149</v>
      </c>
      <c r="AK60" t="s">
        <v>1475</v>
      </c>
      <c r="AN60" t="s">
        <v>785</v>
      </c>
      <c r="AO60" s="7" t="s">
        <v>2095</v>
      </c>
      <c r="AP60" t="s">
        <v>1555</v>
      </c>
      <c r="AQ60" t="s">
        <v>695</v>
      </c>
      <c r="AR60" t="s">
        <v>1560</v>
      </c>
      <c r="AS60" t="s">
        <v>786</v>
      </c>
      <c r="AT60" s="7" t="s">
        <v>2058</v>
      </c>
      <c r="AU60" s="7" t="s">
        <v>2027</v>
      </c>
      <c r="AV60" s="7" t="s">
        <v>2025</v>
      </c>
      <c r="AW60" s="7" t="s">
        <v>2027</v>
      </c>
      <c r="AX60" s="7" t="s">
        <v>2027</v>
      </c>
      <c r="AY60" s="7" t="s">
        <v>2027</v>
      </c>
      <c r="AZ60" s="7" t="s">
        <v>2027</v>
      </c>
      <c r="BA60" s="7" t="s">
        <v>2025</v>
      </c>
      <c r="BB60" t="s">
        <v>120</v>
      </c>
      <c r="BC60" s="7" t="s">
        <v>2049</v>
      </c>
      <c r="BD60" t="s">
        <v>515</v>
      </c>
      <c r="BH60" s="5" t="str">
        <f t="shared" si="1"/>
        <v/>
      </c>
      <c r="BI60" s="5" t="str">
        <f t="shared" si="2"/>
        <v/>
      </c>
    </row>
    <row r="61" spans="2:61" x14ac:dyDescent="0.35">
      <c r="B61" t="s">
        <v>1580</v>
      </c>
      <c r="C61" s="7" t="s">
        <v>2023</v>
      </c>
      <c r="D61" t="s">
        <v>1559</v>
      </c>
      <c r="E61" t="s">
        <v>1581</v>
      </c>
      <c r="F61" t="s">
        <v>1558</v>
      </c>
      <c r="G61" t="s">
        <v>1582</v>
      </c>
      <c r="H61" s="7" t="s">
        <v>2038</v>
      </c>
      <c r="I61" s="7" t="s">
        <v>2025</v>
      </c>
      <c r="J61" s="7" t="s">
        <v>2027</v>
      </c>
      <c r="K61" s="7" t="s">
        <v>2025</v>
      </c>
      <c r="L61" s="7" t="s">
        <v>2019</v>
      </c>
      <c r="M61" s="7" t="s">
        <v>2020</v>
      </c>
      <c r="N61" s="7" t="s">
        <v>2027</v>
      </c>
      <c r="O61" s="7" t="s">
        <v>2020</v>
      </c>
      <c r="P61" t="s">
        <v>185</v>
      </c>
      <c r="Q61" s="7" t="s">
        <v>2212</v>
      </c>
      <c r="R61" t="s">
        <v>1633</v>
      </c>
      <c r="U61" t="s">
        <v>928</v>
      </c>
      <c r="V61" s="7" t="s">
        <v>2102</v>
      </c>
      <c r="W61" t="s">
        <v>1555</v>
      </c>
      <c r="X61" t="s">
        <v>690</v>
      </c>
      <c r="Y61" t="s">
        <v>1558</v>
      </c>
      <c r="Z61" t="s">
        <v>929</v>
      </c>
      <c r="AA61" s="7" t="s">
        <v>2121</v>
      </c>
      <c r="AB61" s="7" t="s">
        <v>2025</v>
      </c>
      <c r="AC61" s="7" t="s">
        <v>2026</v>
      </c>
      <c r="AD61" s="7" t="s">
        <v>2026</v>
      </c>
      <c r="AE61" s="7" t="s">
        <v>2020</v>
      </c>
      <c r="AF61" s="7" t="s">
        <v>2026</v>
      </c>
      <c r="AG61" s="7" t="s">
        <v>2026</v>
      </c>
      <c r="AH61" s="7" t="s">
        <v>2033</v>
      </c>
      <c r="AI61" t="s">
        <v>193</v>
      </c>
      <c r="AJ61" s="7" t="s">
        <v>2200</v>
      </c>
      <c r="AK61" t="s">
        <v>442</v>
      </c>
      <c r="AN61" t="s">
        <v>826</v>
      </c>
      <c r="AO61" s="7" t="s">
        <v>2095</v>
      </c>
      <c r="AP61" t="s">
        <v>1555</v>
      </c>
      <c r="AQ61" t="s">
        <v>781</v>
      </c>
      <c r="AR61" t="s">
        <v>1560</v>
      </c>
      <c r="AS61" t="s">
        <v>827</v>
      </c>
      <c r="AT61" s="7" t="s">
        <v>2027</v>
      </c>
      <c r="AU61" s="7" t="s">
        <v>2020</v>
      </c>
      <c r="AV61" s="7" t="s">
        <v>2027</v>
      </c>
      <c r="AW61" s="7" t="s">
        <v>2025</v>
      </c>
      <c r="AX61" s="7" t="s">
        <v>2027</v>
      </c>
      <c r="AY61" s="7" t="s">
        <v>2020</v>
      </c>
      <c r="AZ61" s="7" t="s">
        <v>2027</v>
      </c>
      <c r="BA61" s="7" t="s">
        <v>2025</v>
      </c>
      <c r="BB61" t="s">
        <v>138</v>
      </c>
      <c r="BC61" s="7" t="s">
        <v>2049</v>
      </c>
      <c r="BD61" t="s">
        <v>516</v>
      </c>
      <c r="BH61" s="5" t="str">
        <f t="shared" si="1"/>
        <v/>
      </c>
      <c r="BI61" s="5" t="str">
        <f t="shared" si="2"/>
        <v/>
      </c>
    </row>
    <row r="62" spans="2:61" x14ac:dyDescent="0.35">
      <c r="B62" t="s">
        <v>1737</v>
      </c>
      <c r="C62" s="7" t="s">
        <v>2023</v>
      </c>
      <c r="D62" t="s">
        <v>1567</v>
      </c>
      <c r="E62" t="s">
        <v>1738</v>
      </c>
      <c r="F62" t="s">
        <v>1558</v>
      </c>
      <c r="G62" t="s">
        <v>1671</v>
      </c>
      <c r="H62" s="7" t="s">
        <v>2038</v>
      </c>
      <c r="I62" s="7" t="s">
        <v>2027</v>
      </c>
      <c r="J62" s="7" t="s">
        <v>2025</v>
      </c>
      <c r="K62" s="7" t="s">
        <v>2027</v>
      </c>
      <c r="L62" s="7" t="s">
        <v>2020</v>
      </c>
      <c r="M62" s="7" t="s">
        <v>2020</v>
      </c>
      <c r="N62" s="7" t="s">
        <v>2020</v>
      </c>
      <c r="O62" s="7" t="s">
        <v>2027</v>
      </c>
      <c r="P62" t="s">
        <v>196</v>
      </c>
      <c r="Q62" s="7" t="s">
        <v>2209</v>
      </c>
      <c r="R62" t="s">
        <v>1687</v>
      </c>
      <c r="U62" t="s">
        <v>1740</v>
      </c>
      <c r="V62" s="7" t="s">
        <v>2102</v>
      </c>
      <c r="W62" t="s">
        <v>1555</v>
      </c>
      <c r="X62" t="s">
        <v>1138</v>
      </c>
      <c r="Y62" t="s">
        <v>1558</v>
      </c>
      <c r="Z62" t="s">
        <v>1741</v>
      </c>
      <c r="AA62" s="7" t="s">
        <v>2027</v>
      </c>
      <c r="AB62" s="7" t="s">
        <v>2020</v>
      </c>
      <c r="AC62" s="7" t="s">
        <v>2027</v>
      </c>
      <c r="AD62" s="7" t="s">
        <v>2027</v>
      </c>
      <c r="AE62" s="7" t="s">
        <v>2027</v>
      </c>
      <c r="AF62" s="7" t="s">
        <v>2025</v>
      </c>
      <c r="AG62" s="7" t="s">
        <v>2027</v>
      </c>
      <c r="AH62" s="7" t="s">
        <v>2027</v>
      </c>
      <c r="AI62" t="s">
        <v>1673</v>
      </c>
      <c r="AJ62" s="7" t="s">
        <v>2221</v>
      </c>
      <c r="AK62" t="s">
        <v>1691</v>
      </c>
      <c r="AN62" t="s">
        <v>1384</v>
      </c>
      <c r="AO62" s="7" t="s">
        <v>2095</v>
      </c>
      <c r="AP62" t="s">
        <v>1555</v>
      </c>
      <c r="AQ62" t="s">
        <v>1427</v>
      </c>
      <c r="AR62" t="s">
        <v>1560</v>
      </c>
      <c r="AS62" t="s">
        <v>1444</v>
      </c>
      <c r="AT62" s="7" t="s">
        <v>2061</v>
      </c>
      <c r="AU62" s="7" t="s">
        <v>2020</v>
      </c>
      <c r="AV62" s="7" t="s">
        <v>2020</v>
      </c>
      <c r="AW62" s="7" t="s">
        <v>2020</v>
      </c>
      <c r="AX62" s="7" t="s">
        <v>2020</v>
      </c>
      <c r="AY62" s="7" t="s">
        <v>2029</v>
      </c>
      <c r="AZ62" s="7" t="s">
        <v>2027</v>
      </c>
      <c r="BA62" s="7" t="s">
        <v>2020</v>
      </c>
      <c r="BB62" t="s">
        <v>72</v>
      </c>
      <c r="BC62" s="7" t="s">
        <v>2049</v>
      </c>
      <c r="BD62" t="s">
        <v>1507</v>
      </c>
      <c r="BH62" s="5" t="str">
        <f t="shared" si="1"/>
        <v/>
      </c>
      <c r="BI62" s="5" t="str">
        <f t="shared" si="2"/>
        <v/>
      </c>
    </row>
    <row r="63" spans="2:61" x14ac:dyDescent="0.35">
      <c r="B63" t="s">
        <v>1005</v>
      </c>
      <c r="C63" s="7" t="s">
        <v>2023</v>
      </c>
      <c r="D63" t="s">
        <v>1559</v>
      </c>
      <c r="E63" t="s">
        <v>1006</v>
      </c>
      <c r="F63" t="s">
        <v>1558</v>
      </c>
      <c r="G63" t="s">
        <v>227</v>
      </c>
      <c r="H63" s="7" t="s">
        <v>2042</v>
      </c>
      <c r="I63" s="7" t="s">
        <v>2020</v>
      </c>
      <c r="J63" s="7" t="s">
        <v>2020</v>
      </c>
      <c r="K63" s="7" t="s">
        <v>2020</v>
      </c>
      <c r="L63" s="7" t="s">
        <v>2027</v>
      </c>
      <c r="M63" s="7" t="s">
        <v>2027</v>
      </c>
      <c r="N63" s="7" t="s">
        <v>2019</v>
      </c>
      <c r="O63" s="7" t="s">
        <v>2025</v>
      </c>
      <c r="P63" t="s">
        <v>228</v>
      </c>
      <c r="Q63" s="7" t="s">
        <v>2082</v>
      </c>
      <c r="R63" t="s">
        <v>385</v>
      </c>
      <c r="U63" t="s">
        <v>229</v>
      </c>
      <c r="V63" s="7" t="s">
        <v>2102</v>
      </c>
      <c r="W63" t="s">
        <v>1555</v>
      </c>
      <c r="X63" t="s">
        <v>716</v>
      </c>
      <c r="Y63" t="s">
        <v>1558</v>
      </c>
      <c r="Z63" t="s">
        <v>230</v>
      </c>
      <c r="AA63" s="7" t="s">
        <v>2029</v>
      </c>
      <c r="AB63" s="7" t="s">
        <v>2029</v>
      </c>
      <c r="AC63" s="7" t="s">
        <v>2020</v>
      </c>
      <c r="AD63" s="7" t="s">
        <v>2033</v>
      </c>
      <c r="AE63" s="7" t="s">
        <v>2022</v>
      </c>
      <c r="AF63" s="7" t="s">
        <v>2022</v>
      </c>
      <c r="AG63" s="7" t="s">
        <v>2022</v>
      </c>
      <c r="AH63" s="7" t="s">
        <v>2022</v>
      </c>
      <c r="AI63" t="s">
        <v>147</v>
      </c>
      <c r="AJ63" s="7" t="s">
        <v>2491</v>
      </c>
      <c r="AK63" t="s">
        <v>460</v>
      </c>
      <c r="AN63" t="s">
        <v>873</v>
      </c>
      <c r="AO63" s="7" t="s">
        <v>2095</v>
      </c>
      <c r="AP63" t="s">
        <v>1555</v>
      </c>
      <c r="AQ63" t="s">
        <v>874</v>
      </c>
      <c r="AR63" t="s">
        <v>1560</v>
      </c>
      <c r="AS63" t="s">
        <v>875</v>
      </c>
      <c r="AT63" s="7" t="s">
        <v>2027</v>
      </c>
      <c r="AU63" s="7" t="s">
        <v>2027</v>
      </c>
      <c r="AV63" s="7" t="s">
        <v>2027</v>
      </c>
      <c r="AW63" s="7" t="s">
        <v>2027</v>
      </c>
      <c r="AX63" s="7" t="s">
        <v>2027</v>
      </c>
      <c r="AY63" s="7" t="s">
        <v>2020</v>
      </c>
      <c r="AZ63" s="7" t="s">
        <v>2027</v>
      </c>
      <c r="BA63" s="7" t="s">
        <v>2025</v>
      </c>
      <c r="BB63" t="s">
        <v>130</v>
      </c>
      <c r="BC63" s="7" t="s">
        <v>2021</v>
      </c>
      <c r="BD63" t="s">
        <v>517</v>
      </c>
      <c r="BH63" s="5" t="str">
        <f t="shared" si="1"/>
        <v/>
      </c>
      <c r="BI63" s="5" t="str">
        <f t="shared" si="2"/>
        <v/>
      </c>
    </row>
    <row r="64" spans="2:61" x14ac:dyDescent="0.35">
      <c r="B64" t="s">
        <v>727</v>
      </c>
      <c r="C64" s="7" t="s">
        <v>2167</v>
      </c>
      <c r="D64" t="s">
        <v>1568</v>
      </c>
      <c r="E64" t="s">
        <v>89</v>
      </c>
      <c r="F64" t="s">
        <v>1558</v>
      </c>
      <c r="G64" t="s">
        <v>90</v>
      </c>
      <c r="H64" s="7" t="s">
        <v>2168</v>
      </c>
      <c r="I64" s="7" t="s">
        <v>2029</v>
      </c>
      <c r="J64" s="7" t="s">
        <v>2029</v>
      </c>
      <c r="K64" s="7" t="s">
        <v>2141</v>
      </c>
      <c r="L64" s="7" t="s">
        <v>2141</v>
      </c>
      <c r="M64" s="7" t="s">
        <v>2141</v>
      </c>
      <c r="N64" s="7" t="s">
        <v>2141</v>
      </c>
      <c r="O64" s="7" t="s">
        <v>2022</v>
      </c>
      <c r="P64" t="s">
        <v>91</v>
      </c>
      <c r="Q64" s="7" t="s">
        <v>2169</v>
      </c>
      <c r="R64" t="s">
        <v>386</v>
      </c>
      <c r="U64" t="s">
        <v>1276</v>
      </c>
      <c r="V64" s="7" t="s">
        <v>2102</v>
      </c>
      <c r="W64" t="s">
        <v>1555</v>
      </c>
      <c r="X64" t="s">
        <v>760</v>
      </c>
      <c r="Y64" t="s">
        <v>1556</v>
      </c>
      <c r="Z64" t="s">
        <v>1213</v>
      </c>
      <c r="AA64" s="7" t="s">
        <v>2031</v>
      </c>
      <c r="AB64" s="7" t="s">
        <v>2020</v>
      </c>
      <c r="AC64" s="7" t="s">
        <v>2025</v>
      </c>
      <c r="AD64" s="7" t="s">
        <v>2027</v>
      </c>
      <c r="AE64" s="7" t="s">
        <v>2020</v>
      </c>
      <c r="AF64" s="7" t="s">
        <v>2027</v>
      </c>
      <c r="AG64" s="7" t="s">
        <v>2020</v>
      </c>
      <c r="AH64" s="7" t="s">
        <v>2020</v>
      </c>
      <c r="AI64" t="s">
        <v>1214</v>
      </c>
      <c r="AJ64" s="7" t="s">
        <v>2185</v>
      </c>
      <c r="AK64" t="s">
        <v>1240</v>
      </c>
      <c r="AN64" t="s">
        <v>1965</v>
      </c>
      <c r="AO64" s="7" t="s">
        <v>2095</v>
      </c>
      <c r="AP64" t="s">
        <v>1555</v>
      </c>
      <c r="AQ64" t="s">
        <v>916</v>
      </c>
      <c r="AR64" t="s">
        <v>1560</v>
      </c>
      <c r="AS64" t="s">
        <v>1950</v>
      </c>
      <c r="AT64" s="7" t="s">
        <v>2090</v>
      </c>
      <c r="AU64" s="7" t="s">
        <v>2020</v>
      </c>
      <c r="AV64" s="7" t="s">
        <v>2027</v>
      </c>
      <c r="AW64" s="7" t="s">
        <v>2027</v>
      </c>
      <c r="AX64" s="7" t="s">
        <v>2027</v>
      </c>
      <c r="AY64" s="7" t="s">
        <v>2027</v>
      </c>
      <c r="AZ64" s="7" t="s">
        <v>2027</v>
      </c>
      <c r="BA64" s="7" t="s">
        <v>2027</v>
      </c>
      <c r="BB64" t="s">
        <v>1951</v>
      </c>
      <c r="BC64" s="7" t="s">
        <v>2114</v>
      </c>
      <c r="BD64" t="s">
        <v>1993</v>
      </c>
      <c r="BH64" s="5" t="str">
        <f t="shared" si="1"/>
        <v/>
      </c>
      <c r="BI64" s="5" t="str">
        <f t="shared" si="2"/>
        <v/>
      </c>
    </row>
    <row r="65" spans="2:61" x14ac:dyDescent="0.35">
      <c r="B65" t="s">
        <v>1409</v>
      </c>
      <c r="C65" s="7" t="s">
        <v>2171</v>
      </c>
      <c r="D65" t="s">
        <v>1557</v>
      </c>
      <c r="E65" t="s">
        <v>1295</v>
      </c>
      <c r="F65" t="s">
        <v>1558</v>
      </c>
      <c r="G65" t="s">
        <v>1356</v>
      </c>
      <c r="H65" s="7" t="s">
        <v>2090</v>
      </c>
      <c r="I65" s="7" t="s">
        <v>2027</v>
      </c>
      <c r="J65" s="7" t="s">
        <v>2025</v>
      </c>
      <c r="K65" s="7" t="s">
        <v>2027</v>
      </c>
      <c r="L65" s="7" t="s">
        <v>2025</v>
      </c>
      <c r="M65" s="7" t="s">
        <v>2020</v>
      </c>
      <c r="N65" s="7" t="s">
        <v>2027</v>
      </c>
      <c r="O65" s="7" t="s">
        <v>2019</v>
      </c>
      <c r="P65" t="s">
        <v>98</v>
      </c>
      <c r="Q65" s="7" t="s">
        <v>2034</v>
      </c>
      <c r="R65" t="s">
        <v>1468</v>
      </c>
      <c r="U65" t="s">
        <v>1277</v>
      </c>
      <c r="V65" s="7" t="s">
        <v>2102</v>
      </c>
      <c r="W65" t="s">
        <v>1555</v>
      </c>
      <c r="X65" t="s">
        <v>880</v>
      </c>
      <c r="Y65" t="s">
        <v>1558</v>
      </c>
      <c r="Z65" t="s">
        <v>1303</v>
      </c>
      <c r="AA65" s="7" t="s">
        <v>2058</v>
      </c>
      <c r="AB65" s="7" t="s">
        <v>2020</v>
      </c>
      <c r="AC65" s="7" t="s">
        <v>2027</v>
      </c>
      <c r="AD65" s="7" t="s">
        <v>2025</v>
      </c>
      <c r="AE65" s="7" t="s">
        <v>2026</v>
      </c>
      <c r="AF65" s="7" t="s">
        <v>2027</v>
      </c>
      <c r="AG65" s="7" t="s">
        <v>2027</v>
      </c>
      <c r="AH65" s="7" t="s">
        <v>2027</v>
      </c>
      <c r="AI65" t="s">
        <v>1215</v>
      </c>
      <c r="AJ65" s="7" t="s">
        <v>2212</v>
      </c>
      <c r="AK65" t="s">
        <v>1241</v>
      </c>
      <c r="AN65" t="s">
        <v>1810</v>
      </c>
      <c r="AO65" s="7" t="s">
        <v>2095</v>
      </c>
      <c r="AP65" t="s">
        <v>1555</v>
      </c>
      <c r="AQ65" t="s">
        <v>732</v>
      </c>
      <c r="AR65" t="s">
        <v>1560</v>
      </c>
      <c r="AS65" t="s">
        <v>763</v>
      </c>
      <c r="AT65" s="7" t="s">
        <v>2090</v>
      </c>
      <c r="AU65" s="7" t="s">
        <v>2020</v>
      </c>
      <c r="AV65" s="7" t="s">
        <v>2027</v>
      </c>
      <c r="AW65" s="7" t="s">
        <v>2020</v>
      </c>
      <c r="AX65" s="7" t="s">
        <v>2027</v>
      </c>
      <c r="AY65" s="7" t="s">
        <v>2025</v>
      </c>
      <c r="AZ65" s="7" t="s">
        <v>2020</v>
      </c>
      <c r="BA65" s="7" t="s">
        <v>2025</v>
      </c>
      <c r="BB65" t="s">
        <v>70</v>
      </c>
      <c r="BC65" s="7" t="s">
        <v>2049</v>
      </c>
      <c r="BD65" t="s">
        <v>1855</v>
      </c>
      <c r="BH65" s="5" t="str">
        <f t="shared" si="1"/>
        <v/>
      </c>
      <c r="BI65" s="5" t="str">
        <f t="shared" si="2"/>
        <v/>
      </c>
    </row>
    <row r="66" spans="2:61" x14ac:dyDescent="0.35">
      <c r="B66" t="s">
        <v>1131</v>
      </c>
      <c r="C66" s="7" t="s">
        <v>2171</v>
      </c>
      <c r="D66" t="s">
        <v>1559</v>
      </c>
      <c r="E66" t="s">
        <v>1132</v>
      </c>
      <c r="F66" t="s">
        <v>1558</v>
      </c>
      <c r="G66" t="s">
        <v>1101</v>
      </c>
      <c r="H66" s="7" t="s">
        <v>2063</v>
      </c>
      <c r="I66" s="7" t="s">
        <v>2026</v>
      </c>
      <c r="J66" s="7" t="s">
        <v>2033</v>
      </c>
      <c r="K66" s="7" t="s">
        <v>2026</v>
      </c>
      <c r="L66" s="7" t="s">
        <v>2020</v>
      </c>
      <c r="M66" s="7" t="s">
        <v>2027</v>
      </c>
      <c r="N66" s="7" t="s">
        <v>2019</v>
      </c>
      <c r="O66" s="7" t="s">
        <v>2026</v>
      </c>
      <c r="P66" t="s">
        <v>352</v>
      </c>
      <c r="Q66" s="7" t="s">
        <v>2199</v>
      </c>
      <c r="R66" t="s">
        <v>387</v>
      </c>
      <c r="U66" t="s">
        <v>1095</v>
      </c>
      <c r="V66" s="7" t="s">
        <v>2102</v>
      </c>
      <c r="W66" t="s">
        <v>1555</v>
      </c>
      <c r="X66" t="s">
        <v>653</v>
      </c>
      <c r="Y66" t="s">
        <v>1558</v>
      </c>
      <c r="Z66" t="s">
        <v>654</v>
      </c>
      <c r="AA66" s="7" t="s">
        <v>2081</v>
      </c>
      <c r="AB66" s="7" t="s">
        <v>2026</v>
      </c>
      <c r="AC66" s="7" t="s">
        <v>2026</v>
      </c>
      <c r="AD66" s="7" t="s">
        <v>2027</v>
      </c>
      <c r="AE66" s="7" t="s">
        <v>2027</v>
      </c>
      <c r="AF66" s="7" t="s">
        <v>2026</v>
      </c>
      <c r="AG66" s="7" t="s">
        <v>2027</v>
      </c>
      <c r="AH66" s="7" t="s">
        <v>2033</v>
      </c>
      <c r="AI66" t="s">
        <v>101</v>
      </c>
      <c r="AJ66" s="7" t="s">
        <v>2146</v>
      </c>
      <c r="AK66" t="s">
        <v>479</v>
      </c>
      <c r="AN66" t="s">
        <v>948</v>
      </c>
      <c r="AO66" s="7" t="s">
        <v>2095</v>
      </c>
      <c r="AP66" t="s">
        <v>1555</v>
      </c>
      <c r="AQ66" t="s">
        <v>949</v>
      </c>
      <c r="AR66" t="s">
        <v>1560</v>
      </c>
      <c r="AS66" t="s">
        <v>950</v>
      </c>
      <c r="AT66" s="7" t="s">
        <v>2063</v>
      </c>
      <c r="AU66" s="7" t="s">
        <v>2019</v>
      </c>
      <c r="AV66" s="7" t="s">
        <v>2020</v>
      </c>
      <c r="AW66" s="7" t="s">
        <v>2025</v>
      </c>
      <c r="AX66" s="7" t="s">
        <v>2025</v>
      </c>
      <c r="AY66" s="7" t="s">
        <v>2025</v>
      </c>
      <c r="AZ66" s="7" t="s">
        <v>2033</v>
      </c>
      <c r="BA66" s="7" t="s">
        <v>2033</v>
      </c>
      <c r="BB66" t="s">
        <v>172</v>
      </c>
      <c r="BC66" s="7" t="s">
        <v>2049</v>
      </c>
      <c r="BD66" t="s">
        <v>518</v>
      </c>
      <c r="BH66" s="5" t="str">
        <f t="shared" ref="BH66:BH129" si="3">TRIM(CLEAN(SUBSTITUTE(AM66,CHAR(160)," ")))</f>
        <v/>
      </c>
      <c r="BI66" s="5" t="str">
        <f t="shared" si="2"/>
        <v/>
      </c>
    </row>
    <row r="67" spans="2:61" x14ac:dyDescent="0.35">
      <c r="B67" t="s">
        <v>954</v>
      </c>
      <c r="C67" s="7" t="s">
        <v>2057</v>
      </c>
      <c r="D67" t="s">
        <v>1568</v>
      </c>
      <c r="E67" t="s">
        <v>955</v>
      </c>
      <c r="F67" t="s">
        <v>1558</v>
      </c>
      <c r="G67" t="s">
        <v>956</v>
      </c>
      <c r="H67" s="7" t="s">
        <v>2431</v>
      </c>
      <c r="I67" s="7" t="s">
        <v>2141</v>
      </c>
      <c r="J67" s="7" t="s">
        <v>2141</v>
      </c>
      <c r="K67" s="7" t="s">
        <v>2029</v>
      </c>
      <c r="L67" s="7" t="s">
        <v>2141</v>
      </c>
      <c r="M67" s="7" t="s">
        <v>2141</v>
      </c>
      <c r="N67" s="7" t="s">
        <v>2022</v>
      </c>
      <c r="O67" s="7" t="s">
        <v>2022</v>
      </c>
      <c r="P67" t="s">
        <v>203</v>
      </c>
      <c r="Q67" s="7" t="s">
        <v>2085</v>
      </c>
      <c r="R67" t="s">
        <v>388</v>
      </c>
      <c r="U67" t="s">
        <v>1128</v>
      </c>
      <c r="V67" s="7" t="s">
        <v>2102</v>
      </c>
      <c r="W67" t="s">
        <v>1555</v>
      </c>
      <c r="X67" t="s">
        <v>748</v>
      </c>
      <c r="Y67" t="s">
        <v>1558</v>
      </c>
      <c r="Z67" t="s">
        <v>844</v>
      </c>
      <c r="AA67" s="7" t="s">
        <v>2631</v>
      </c>
      <c r="AB67" s="7" t="s">
        <v>2026</v>
      </c>
      <c r="AC67" s="7" t="s">
        <v>2033</v>
      </c>
      <c r="AD67" s="7" t="s">
        <v>2026</v>
      </c>
      <c r="AE67" s="7" t="s">
        <v>2025</v>
      </c>
      <c r="AF67" s="7" t="s">
        <v>2025</v>
      </c>
      <c r="AG67" s="7" t="s">
        <v>2025</v>
      </c>
      <c r="AH67" s="7" t="s">
        <v>2033</v>
      </c>
      <c r="AI67" t="s">
        <v>289</v>
      </c>
      <c r="AJ67" s="7" t="s">
        <v>2258</v>
      </c>
      <c r="AK67" t="s">
        <v>488</v>
      </c>
      <c r="AN67" t="s">
        <v>995</v>
      </c>
      <c r="AO67" s="7" t="s">
        <v>2095</v>
      </c>
      <c r="AP67" t="s">
        <v>1555</v>
      </c>
      <c r="AQ67" t="s">
        <v>695</v>
      </c>
      <c r="AR67" t="s">
        <v>1560</v>
      </c>
      <c r="AS67" t="s">
        <v>996</v>
      </c>
      <c r="AT67" s="7" t="s">
        <v>2042</v>
      </c>
      <c r="AU67" s="7" t="s">
        <v>2027</v>
      </c>
      <c r="AV67" s="7" t="s">
        <v>2020</v>
      </c>
      <c r="AW67" s="7" t="s">
        <v>2027</v>
      </c>
      <c r="AX67" s="7" t="s">
        <v>2019</v>
      </c>
      <c r="AY67" s="7" t="s">
        <v>2020</v>
      </c>
      <c r="AZ67" s="7" t="s">
        <v>2027</v>
      </c>
      <c r="BA67" s="7" t="s">
        <v>2027</v>
      </c>
      <c r="BB67" t="s">
        <v>124</v>
      </c>
      <c r="BC67" s="7" t="s">
        <v>2162</v>
      </c>
      <c r="BD67" t="s">
        <v>519</v>
      </c>
      <c r="BH67" s="5" t="str">
        <f t="shared" si="3"/>
        <v/>
      </c>
      <c r="BI67" s="5" t="str">
        <f t="shared" ref="BI67:BI130" si="4">TRIM(CLEAN(SUBSTITUTE(A67,CHAR(160)," ")))</f>
        <v/>
      </c>
    </row>
    <row r="68" spans="2:61" x14ac:dyDescent="0.35">
      <c r="B68" t="s">
        <v>1412</v>
      </c>
      <c r="C68" s="7" t="s">
        <v>2057</v>
      </c>
      <c r="D68" t="s">
        <v>1557</v>
      </c>
      <c r="E68" t="s">
        <v>1295</v>
      </c>
      <c r="F68" t="s">
        <v>1558</v>
      </c>
      <c r="G68" t="s">
        <v>1460</v>
      </c>
      <c r="H68" s="7" t="s">
        <v>2081</v>
      </c>
      <c r="I68" s="7" t="s">
        <v>2025</v>
      </c>
      <c r="J68" s="7" t="s">
        <v>2025</v>
      </c>
      <c r="K68" s="7" t="s">
        <v>2025</v>
      </c>
      <c r="L68" s="7" t="s">
        <v>2026</v>
      </c>
      <c r="M68" s="7" t="s">
        <v>2026</v>
      </c>
      <c r="N68" s="7" t="s">
        <v>2027</v>
      </c>
      <c r="O68" s="7" t="s">
        <v>2026</v>
      </c>
      <c r="P68" t="s">
        <v>1358</v>
      </c>
      <c r="Q68" s="7" t="s">
        <v>2109</v>
      </c>
      <c r="R68" t="s">
        <v>1469</v>
      </c>
      <c r="U68" t="s">
        <v>1133</v>
      </c>
      <c r="V68" s="7" t="s">
        <v>2102</v>
      </c>
      <c r="W68" t="s">
        <v>1555</v>
      </c>
      <c r="X68" t="s">
        <v>748</v>
      </c>
      <c r="Y68" t="s">
        <v>1558</v>
      </c>
      <c r="Z68" t="s">
        <v>749</v>
      </c>
      <c r="AA68" s="7" t="s">
        <v>2038</v>
      </c>
      <c r="AB68" s="7" t="s">
        <v>2025</v>
      </c>
      <c r="AC68" s="7" t="s">
        <v>2027</v>
      </c>
      <c r="AD68" s="7" t="s">
        <v>2027</v>
      </c>
      <c r="AE68" s="7" t="s">
        <v>2027</v>
      </c>
      <c r="AF68" s="7" t="s">
        <v>2027</v>
      </c>
      <c r="AG68" s="7" t="s">
        <v>2019</v>
      </c>
      <c r="AH68" s="7" t="s">
        <v>2020</v>
      </c>
      <c r="AI68" t="s">
        <v>292</v>
      </c>
      <c r="AJ68" s="7" t="s">
        <v>2193</v>
      </c>
      <c r="AK68" t="s">
        <v>489</v>
      </c>
      <c r="AN68" t="s">
        <v>1822</v>
      </c>
      <c r="AO68" s="7" t="s">
        <v>2095</v>
      </c>
      <c r="AP68" t="s">
        <v>1555</v>
      </c>
      <c r="AQ68" t="s">
        <v>695</v>
      </c>
      <c r="AR68" t="s">
        <v>1560</v>
      </c>
      <c r="AS68" t="s">
        <v>1823</v>
      </c>
      <c r="AT68" s="7" t="s">
        <v>2027</v>
      </c>
      <c r="AU68" s="7" t="s">
        <v>2020</v>
      </c>
      <c r="AV68" s="7" t="s">
        <v>2027</v>
      </c>
      <c r="AW68" s="7" t="s">
        <v>2027</v>
      </c>
      <c r="AX68" s="7" t="s">
        <v>2025</v>
      </c>
      <c r="AY68" s="7" t="s">
        <v>2020</v>
      </c>
      <c r="AZ68" s="7" t="s">
        <v>2025</v>
      </c>
      <c r="BA68" s="7" t="s">
        <v>2027</v>
      </c>
      <c r="BB68" t="s">
        <v>1773</v>
      </c>
      <c r="BC68" s="7" t="s">
        <v>2021</v>
      </c>
      <c r="BD68" t="s">
        <v>1856</v>
      </c>
      <c r="BH68" s="5" t="str">
        <f t="shared" si="3"/>
        <v/>
      </c>
      <c r="BI68" s="5" t="str">
        <f t="shared" si="4"/>
        <v/>
      </c>
    </row>
    <row r="69" spans="2:61" x14ac:dyDescent="0.35">
      <c r="B69" t="s">
        <v>1266</v>
      </c>
      <c r="C69" s="7" t="s">
        <v>2174</v>
      </c>
      <c r="D69" t="s">
        <v>1557</v>
      </c>
      <c r="E69" t="s">
        <v>1290</v>
      </c>
      <c r="F69" t="s">
        <v>1558</v>
      </c>
      <c r="G69" t="s">
        <v>1198</v>
      </c>
      <c r="H69" s="7" t="s">
        <v>2108</v>
      </c>
      <c r="I69" s="7" t="s">
        <v>2019</v>
      </c>
      <c r="J69" s="7" t="s">
        <v>2020</v>
      </c>
      <c r="K69" s="7" t="s">
        <v>2020</v>
      </c>
      <c r="L69" s="7" t="s">
        <v>2020</v>
      </c>
      <c r="M69" s="7" t="s">
        <v>2019</v>
      </c>
      <c r="N69" s="7" t="s">
        <v>2019</v>
      </c>
      <c r="O69" s="7" t="s">
        <v>2029</v>
      </c>
      <c r="P69" t="s">
        <v>203</v>
      </c>
      <c r="Q69" s="7" t="s">
        <v>2195</v>
      </c>
      <c r="R69" t="s">
        <v>1227</v>
      </c>
      <c r="U69" t="s">
        <v>77</v>
      </c>
      <c r="V69" s="7" t="s">
        <v>2041</v>
      </c>
      <c r="W69" t="s">
        <v>1555</v>
      </c>
      <c r="X69" t="s">
        <v>703</v>
      </c>
      <c r="Y69" t="s">
        <v>1558</v>
      </c>
      <c r="Z69" t="s">
        <v>704</v>
      </c>
      <c r="AA69" s="7" t="s">
        <v>2143</v>
      </c>
      <c r="AB69" s="7" t="s">
        <v>2025</v>
      </c>
      <c r="AC69" s="7" t="s">
        <v>2026</v>
      </c>
      <c r="AD69" s="7" t="s">
        <v>2026</v>
      </c>
      <c r="AE69" s="7" t="s">
        <v>2027</v>
      </c>
      <c r="AF69" s="7" t="s">
        <v>2033</v>
      </c>
      <c r="AG69" s="7" t="s">
        <v>2025</v>
      </c>
      <c r="AH69" s="7" t="s">
        <v>2033</v>
      </c>
      <c r="AI69" t="s">
        <v>78</v>
      </c>
      <c r="AJ69" s="7" t="s">
        <v>2144</v>
      </c>
      <c r="AK69" t="s">
        <v>410</v>
      </c>
      <c r="AN69" t="s">
        <v>1017</v>
      </c>
      <c r="AO69" s="7" t="s">
        <v>2095</v>
      </c>
      <c r="AP69" t="s">
        <v>1555</v>
      </c>
      <c r="AQ69" t="s">
        <v>1018</v>
      </c>
      <c r="AR69" t="s">
        <v>1560</v>
      </c>
      <c r="AS69" t="s">
        <v>1019</v>
      </c>
      <c r="AT69" s="7" t="s">
        <v>2042</v>
      </c>
      <c r="AU69" s="7" t="s">
        <v>2020</v>
      </c>
      <c r="AV69" s="7" t="s">
        <v>2020</v>
      </c>
      <c r="AW69" s="7" t="s">
        <v>2020</v>
      </c>
      <c r="AX69" s="7" t="s">
        <v>2020</v>
      </c>
      <c r="AY69" s="7" t="s">
        <v>2020</v>
      </c>
      <c r="AZ69" s="7" t="s">
        <v>2027</v>
      </c>
      <c r="BA69" s="7" t="s">
        <v>2025</v>
      </c>
      <c r="BB69" t="s">
        <v>236</v>
      </c>
      <c r="BC69" s="7" t="s">
        <v>2049</v>
      </c>
      <c r="BD69" t="s">
        <v>520</v>
      </c>
      <c r="BH69" s="5" t="str">
        <f t="shared" si="3"/>
        <v/>
      </c>
      <c r="BI69" s="5" t="str">
        <f t="shared" si="4"/>
        <v/>
      </c>
    </row>
    <row r="70" spans="2:61" x14ac:dyDescent="0.35">
      <c r="B70" t="s">
        <v>1281</v>
      </c>
      <c r="C70" s="7" t="s">
        <v>2174</v>
      </c>
      <c r="D70" t="s">
        <v>1557</v>
      </c>
      <c r="E70" t="s">
        <v>1295</v>
      </c>
      <c r="F70" t="s">
        <v>1558</v>
      </c>
      <c r="G70" t="s">
        <v>1221</v>
      </c>
      <c r="H70" s="7" t="s">
        <v>2159</v>
      </c>
      <c r="I70" s="7" t="s">
        <v>2027</v>
      </c>
      <c r="J70" s="7" t="s">
        <v>2025</v>
      </c>
      <c r="K70" s="7" t="s">
        <v>2027</v>
      </c>
      <c r="L70" s="7" t="s">
        <v>2025</v>
      </c>
      <c r="M70" s="7" t="s">
        <v>2019</v>
      </c>
      <c r="N70" s="7" t="s">
        <v>2026</v>
      </c>
      <c r="O70" s="7" t="s">
        <v>2025</v>
      </c>
      <c r="P70" t="s">
        <v>185</v>
      </c>
      <c r="Q70" s="7" t="s">
        <v>2212</v>
      </c>
      <c r="R70" t="s">
        <v>1228</v>
      </c>
      <c r="U70" t="s">
        <v>738</v>
      </c>
      <c r="V70" s="7" t="s">
        <v>2041</v>
      </c>
      <c r="W70" t="s">
        <v>1555</v>
      </c>
      <c r="X70" t="s">
        <v>732</v>
      </c>
      <c r="Y70" t="s">
        <v>1558</v>
      </c>
      <c r="Z70" t="s">
        <v>739</v>
      </c>
      <c r="AA70" s="7" t="s">
        <v>2177</v>
      </c>
      <c r="AB70" s="7" t="s">
        <v>2027</v>
      </c>
      <c r="AC70" s="7" t="s">
        <v>2027</v>
      </c>
      <c r="AD70" s="7" t="s">
        <v>2029</v>
      </c>
      <c r="AE70" s="7" t="s">
        <v>2141</v>
      </c>
      <c r="AF70" s="7" t="s">
        <v>2029</v>
      </c>
      <c r="AG70" s="7" t="s">
        <v>2029</v>
      </c>
      <c r="AH70" s="7" t="s">
        <v>2029</v>
      </c>
      <c r="AI70" t="s">
        <v>95</v>
      </c>
      <c r="AJ70" s="7" t="s">
        <v>2178</v>
      </c>
      <c r="AK70" t="s">
        <v>414</v>
      </c>
      <c r="AN70" t="s">
        <v>1021</v>
      </c>
      <c r="AO70" s="7" t="s">
        <v>2095</v>
      </c>
      <c r="AP70" t="s">
        <v>1555</v>
      </c>
      <c r="AQ70" t="s">
        <v>869</v>
      </c>
      <c r="AR70" t="s">
        <v>1560</v>
      </c>
      <c r="AS70" t="s">
        <v>1022</v>
      </c>
      <c r="AT70" s="7" t="s">
        <v>2048</v>
      </c>
      <c r="AU70" s="7" t="s">
        <v>2020</v>
      </c>
      <c r="AV70" s="7" t="s">
        <v>2020</v>
      </c>
      <c r="AW70" s="7" t="s">
        <v>2020</v>
      </c>
      <c r="AX70" s="7" t="s">
        <v>2027</v>
      </c>
      <c r="AY70" s="7" t="s">
        <v>2019</v>
      </c>
      <c r="AZ70" s="7" t="s">
        <v>2027</v>
      </c>
      <c r="BA70" s="7" t="s">
        <v>2020</v>
      </c>
      <c r="BB70" t="s">
        <v>237</v>
      </c>
      <c r="BC70" s="7" t="s">
        <v>2049</v>
      </c>
      <c r="BD70" t="s">
        <v>521</v>
      </c>
      <c r="BH70" s="5" t="str">
        <f t="shared" si="3"/>
        <v/>
      </c>
      <c r="BI70" s="5" t="str">
        <f t="shared" si="4"/>
        <v/>
      </c>
    </row>
    <row r="71" spans="2:61" x14ac:dyDescent="0.35">
      <c r="B71" t="s">
        <v>2593</v>
      </c>
      <c r="C71" s="7" t="s">
        <v>2335</v>
      </c>
      <c r="D71" t="s">
        <v>1557</v>
      </c>
      <c r="E71" t="s">
        <v>2594</v>
      </c>
      <c r="F71" t="s">
        <v>1558</v>
      </c>
      <c r="G71" t="s">
        <v>1921</v>
      </c>
      <c r="H71" s="7" t="s">
        <v>2020</v>
      </c>
      <c r="I71" s="7" t="s">
        <v>2019</v>
      </c>
      <c r="J71" s="7" t="s">
        <v>2020</v>
      </c>
      <c r="K71" s="7" t="s">
        <v>2027</v>
      </c>
      <c r="L71" s="7" t="s">
        <v>2027</v>
      </c>
      <c r="M71" s="7" t="s">
        <v>2019</v>
      </c>
      <c r="N71" s="7" t="s">
        <v>2027</v>
      </c>
      <c r="O71" s="7" t="s">
        <v>2019</v>
      </c>
      <c r="P71" t="s">
        <v>2012</v>
      </c>
      <c r="Q71" s="7" t="s">
        <v>2210</v>
      </c>
      <c r="R71" t="s">
        <v>2697</v>
      </c>
      <c r="U71" t="s">
        <v>1262</v>
      </c>
      <c r="V71" s="7" t="s">
        <v>2041</v>
      </c>
      <c r="W71" t="s">
        <v>1555</v>
      </c>
      <c r="X71" t="s">
        <v>1287</v>
      </c>
      <c r="Y71" t="s">
        <v>1558</v>
      </c>
      <c r="Z71" t="s">
        <v>1194</v>
      </c>
      <c r="AA71" s="7" t="s">
        <v>2125</v>
      </c>
      <c r="AB71" s="7" t="s">
        <v>2026</v>
      </c>
      <c r="AC71" s="7" t="s">
        <v>2025</v>
      </c>
      <c r="AD71" s="7" t="s">
        <v>2027</v>
      </c>
      <c r="AE71" s="7" t="s">
        <v>2027</v>
      </c>
      <c r="AF71" s="7" t="s">
        <v>2020</v>
      </c>
      <c r="AG71" s="7" t="s">
        <v>2020</v>
      </c>
      <c r="AH71" s="7" t="s">
        <v>2027</v>
      </c>
      <c r="AI71" t="s">
        <v>224</v>
      </c>
      <c r="AJ71" s="7" t="s">
        <v>2082</v>
      </c>
      <c r="AK71" t="s">
        <v>1242</v>
      </c>
      <c r="AN71" t="s">
        <v>1915</v>
      </c>
      <c r="AO71" s="7" t="s">
        <v>2095</v>
      </c>
      <c r="AP71" t="s">
        <v>1555</v>
      </c>
      <c r="AQ71" t="s">
        <v>949</v>
      </c>
      <c r="AR71" t="s">
        <v>1560</v>
      </c>
      <c r="AS71" t="s">
        <v>676</v>
      </c>
      <c r="AT71" s="7" t="s">
        <v>2090</v>
      </c>
      <c r="AU71" s="7" t="s">
        <v>2019</v>
      </c>
      <c r="AV71" s="7" t="s">
        <v>2025</v>
      </c>
      <c r="AW71" s="7" t="s">
        <v>2020</v>
      </c>
      <c r="AX71" s="7" t="s">
        <v>2020</v>
      </c>
      <c r="AY71" s="7" t="s">
        <v>2027</v>
      </c>
      <c r="AZ71" s="7" t="s">
        <v>2025</v>
      </c>
      <c r="BA71" s="7" t="s">
        <v>2025</v>
      </c>
      <c r="BB71" t="s">
        <v>1882</v>
      </c>
      <c r="BC71" s="7" t="s">
        <v>2133</v>
      </c>
      <c r="BD71" t="s">
        <v>1940</v>
      </c>
      <c r="BH71" s="5" t="str">
        <f t="shared" si="3"/>
        <v/>
      </c>
      <c r="BI71" s="5" t="str">
        <f t="shared" si="4"/>
        <v/>
      </c>
    </row>
    <row r="72" spans="2:61" x14ac:dyDescent="0.35">
      <c r="B72" t="s">
        <v>1116</v>
      </c>
      <c r="C72" s="7" t="s">
        <v>2496</v>
      </c>
      <c r="D72" t="s">
        <v>1557</v>
      </c>
      <c r="E72" t="s">
        <v>1117</v>
      </c>
      <c r="F72" t="s">
        <v>1558</v>
      </c>
      <c r="G72" t="s">
        <v>280</v>
      </c>
      <c r="H72" s="7" t="s">
        <v>2116</v>
      </c>
      <c r="I72" s="7" t="s">
        <v>2025</v>
      </c>
      <c r="J72" s="7" t="s">
        <v>2026</v>
      </c>
      <c r="K72" s="7" t="s">
        <v>2025</v>
      </c>
      <c r="L72" s="7" t="s">
        <v>2025</v>
      </c>
      <c r="M72" s="7" t="s">
        <v>2027</v>
      </c>
      <c r="N72" s="7" t="s">
        <v>2025</v>
      </c>
      <c r="O72" s="7" t="s">
        <v>2026</v>
      </c>
      <c r="P72" t="s">
        <v>281</v>
      </c>
      <c r="Q72" s="7" t="s">
        <v>2220</v>
      </c>
      <c r="R72" t="s">
        <v>389</v>
      </c>
      <c r="U72" t="s">
        <v>1374</v>
      </c>
      <c r="V72" s="7" t="s">
        <v>2041</v>
      </c>
      <c r="W72" t="s">
        <v>1555</v>
      </c>
      <c r="X72" t="s">
        <v>716</v>
      </c>
      <c r="Y72" t="s">
        <v>1558</v>
      </c>
      <c r="Z72" t="s">
        <v>1440</v>
      </c>
      <c r="AA72" s="7" t="s">
        <v>2042</v>
      </c>
      <c r="AB72" s="7" t="s">
        <v>2020</v>
      </c>
      <c r="AC72" s="7" t="s">
        <v>2020</v>
      </c>
      <c r="AD72" s="7" t="s">
        <v>2020</v>
      </c>
      <c r="AE72" s="7" t="s">
        <v>2020</v>
      </c>
      <c r="AF72" s="7" t="s">
        <v>2027</v>
      </c>
      <c r="AG72" s="7" t="s">
        <v>2025</v>
      </c>
      <c r="AH72" s="7" t="s">
        <v>2020</v>
      </c>
      <c r="AI72" t="s">
        <v>231</v>
      </c>
      <c r="AJ72" s="7" t="s">
        <v>2034</v>
      </c>
      <c r="AK72" t="s">
        <v>1476</v>
      </c>
      <c r="AN72" t="s">
        <v>1041</v>
      </c>
      <c r="AO72" s="7" t="s">
        <v>2095</v>
      </c>
      <c r="AP72" t="s">
        <v>1555</v>
      </c>
      <c r="AQ72" t="s">
        <v>1027</v>
      </c>
      <c r="AR72" t="s">
        <v>1560</v>
      </c>
      <c r="AS72" t="s">
        <v>1042</v>
      </c>
      <c r="AT72" s="7" t="s">
        <v>2027</v>
      </c>
      <c r="AU72" s="7" t="s">
        <v>2020</v>
      </c>
      <c r="AV72" s="7" t="s">
        <v>2027</v>
      </c>
      <c r="AW72" s="7" t="s">
        <v>2027</v>
      </c>
      <c r="AX72" s="7" t="s">
        <v>2027</v>
      </c>
      <c r="AY72" s="7" t="s">
        <v>2027</v>
      </c>
      <c r="AZ72" s="7" t="s">
        <v>2027</v>
      </c>
      <c r="BA72" s="7" t="s">
        <v>2025</v>
      </c>
      <c r="BB72" t="s">
        <v>242</v>
      </c>
      <c r="BC72" s="7" t="s">
        <v>2049</v>
      </c>
      <c r="BD72" t="s">
        <v>522</v>
      </c>
      <c r="BH72" s="5" t="str">
        <f t="shared" si="3"/>
        <v/>
      </c>
      <c r="BI72" s="5" t="str">
        <f t="shared" si="4"/>
        <v/>
      </c>
    </row>
    <row r="73" spans="2:61" x14ac:dyDescent="0.35">
      <c r="B73" t="s">
        <v>1257</v>
      </c>
      <c r="C73" s="7" t="s">
        <v>2124</v>
      </c>
      <c r="D73" t="s">
        <v>1557</v>
      </c>
      <c r="E73" t="s">
        <v>1286</v>
      </c>
      <c r="F73" t="s">
        <v>1558</v>
      </c>
      <c r="G73" t="s">
        <v>1298</v>
      </c>
      <c r="H73" s="7" t="s">
        <v>2125</v>
      </c>
      <c r="I73" s="7" t="s">
        <v>2025</v>
      </c>
      <c r="J73" s="7" t="s">
        <v>2027</v>
      </c>
      <c r="K73" s="7" t="s">
        <v>2020</v>
      </c>
      <c r="L73" s="7" t="s">
        <v>2025</v>
      </c>
      <c r="M73" s="7" t="s">
        <v>2027</v>
      </c>
      <c r="N73" s="7" t="s">
        <v>2027</v>
      </c>
      <c r="O73" s="7" t="s">
        <v>2027</v>
      </c>
      <c r="P73" t="s">
        <v>1187</v>
      </c>
      <c r="Q73" s="7" t="s">
        <v>2126</v>
      </c>
      <c r="R73" t="s">
        <v>1229</v>
      </c>
      <c r="U73" t="s">
        <v>927</v>
      </c>
      <c r="V73" s="7" t="s">
        <v>2041</v>
      </c>
      <c r="W73" t="s">
        <v>1555</v>
      </c>
      <c r="X73" t="s">
        <v>690</v>
      </c>
      <c r="Y73" t="s">
        <v>1558</v>
      </c>
      <c r="Z73" t="s">
        <v>191</v>
      </c>
      <c r="AA73" s="7" t="s">
        <v>2237</v>
      </c>
      <c r="AB73" s="7" t="s">
        <v>2025</v>
      </c>
      <c r="AC73" s="7" t="s">
        <v>2026</v>
      </c>
      <c r="AD73" s="7" t="s">
        <v>2026</v>
      </c>
      <c r="AE73" s="7" t="s">
        <v>2027</v>
      </c>
      <c r="AF73" s="7" t="s">
        <v>2026</v>
      </c>
      <c r="AG73" s="7" t="s">
        <v>2025</v>
      </c>
      <c r="AH73" s="7" t="s">
        <v>2026</v>
      </c>
      <c r="AI73" t="s">
        <v>192</v>
      </c>
      <c r="AJ73" s="7" t="s">
        <v>2382</v>
      </c>
      <c r="AK73" t="s">
        <v>441</v>
      </c>
      <c r="AN73" t="s">
        <v>1826</v>
      </c>
      <c r="AO73" s="7" t="s">
        <v>2095</v>
      </c>
      <c r="AP73" t="s">
        <v>1555</v>
      </c>
      <c r="AQ73" t="s">
        <v>949</v>
      </c>
      <c r="AR73" t="s">
        <v>1560</v>
      </c>
      <c r="AS73" t="s">
        <v>1827</v>
      </c>
      <c r="AT73" s="7" t="s">
        <v>2038</v>
      </c>
      <c r="AU73" s="7" t="s">
        <v>2019</v>
      </c>
      <c r="AV73" s="7" t="s">
        <v>2027</v>
      </c>
      <c r="AW73" s="7" t="s">
        <v>2020</v>
      </c>
      <c r="AX73" s="7" t="s">
        <v>2020</v>
      </c>
      <c r="AY73" s="7" t="s">
        <v>2027</v>
      </c>
      <c r="AZ73" s="7" t="s">
        <v>2025</v>
      </c>
      <c r="BA73" s="7" t="s">
        <v>2025</v>
      </c>
      <c r="BB73" t="s">
        <v>1774</v>
      </c>
      <c r="BC73" s="7" t="s">
        <v>2049</v>
      </c>
      <c r="BD73" t="s">
        <v>1857</v>
      </c>
      <c r="BH73" s="5" t="str">
        <f t="shared" si="3"/>
        <v/>
      </c>
      <c r="BI73" s="5" t="str">
        <f t="shared" si="4"/>
        <v/>
      </c>
    </row>
    <row r="74" spans="2:61" x14ac:dyDescent="0.35">
      <c r="B74" t="s">
        <v>1919</v>
      </c>
      <c r="C74" s="7" t="s">
        <v>2453</v>
      </c>
      <c r="D74" t="s">
        <v>1557</v>
      </c>
      <c r="E74" t="s">
        <v>1920</v>
      </c>
      <c r="F74" t="s">
        <v>1558</v>
      </c>
      <c r="G74" t="s">
        <v>1921</v>
      </c>
      <c r="H74" s="7" t="s">
        <v>2070</v>
      </c>
      <c r="I74" s="7" t="s">
        <v>2027</v>
      </c>
      <c r="J74" s="7" t="s">
        <v>2027</v>
      </c>
      <c r="K74" s="7" t="s">
        <v>2027</v>
      </c>
      <c r="L74" s="7" t="s">
        <v>2027</v>
      </c>
      <c r="M74" s="7" t="s">
        <v>2029</v>
      </c>
      <c r="N74" s="7" t="s">
        <v>2027</v>
      </c>
      <c r="O74" s="7" t="s">
        <v>2019</v>
      </c>
      <c r="P74" t="s">
        <v>1884</v>
      </c>
      <c r="Q74" s="7" t="s">
        <v>2212</v>
      </c>
      <c r="R74" t="s">
        <v>1983</v>
      </c>
      <c r="U74" t="s">
        <v>1396</v>
      </c>
      <c r="V74" s="7" t="s">
        <v>2041</v>
      </c>
      <c r="W74" t="s">
        <v>1555</v>
      </c>
      <c r="X74" t="s">
        <v>682</v>
      </c>
      <c r="Y74" t="s">
        <v>1558</v>
      </c>
      <c r="Z74" t="s">
        <v>1451</v>
      </c>
      <c r="AA74" s="7" t="s">
        <v>2111</v>
      </c>
      <c r="AB74" s="7" t="s">
        <v>2020</v>
      </c>
      <c r="AC74" s="7" t="s">
        <v>2019</v>
      </c>
      <c r="AD74" s="7" t="s">
        <v>2020</v>
      </c>
      <c r="AE74" s="7" t="s">
        <v>2027</v>
      </c>
      <c r="AF74" s="7" t="s">
        <v>2019</v>
      </c>
      <c r="AG74" s="7" t="s">
        <v>2020</v>
      </c>
      <c r="AH74" s="7" t="s">
        <v>2019</v>
      </c>
      <c r="AI74" t="s">
        <v>208</v>
      </c>
      <c r="AJ74" s="7" t="s">
        <v>2232</v>
      </c>
      <c r="AK74" t="s">
        <v>1486</v>
      </c>
      <c r="AN74" t="s">
        <v>245</v>
      </c>
      <c r="AO74" s="7" t="s">
        <v>2095</v>
      </c>
      <c r="AP74" t="s">
        <v>1555</v>
      </c>
      <c r="AQ74" t="s">
        <v>671</v>
      </c>
      <c r="AR74" t="s">
        <v>1560</v>
      </c>
      <c r="AS74" t="s">
        <v>1050</v>
      </c>
      <c r="AT74" s="7" t="s">
        <v>2052</v>
      </c>
      <c r="AU74" s="7" t="s">
        <v>2019</v>
      </c>
      <c r="AV74" s="7" t="s">
        <v>2020</v>
      </c>
      <c r="AW74" s="7" t="s">
        <v>2020</v>
      </c>
      <c r="AX74" s="7" t="s">
        <v>2019</v>
      </c>
      <c r="AY74" s="7" t="s">
        <v>2019</v>
      </c>
      <c r="AZ74" s="7" t="s">
        <v>2019</v>
      </c>
      <c r="BA74" s="7" t="s">
        <v>2029</v>
      </c>
      <c r="BB74" t="s">
        <v>246</v>
      </c>
      <c r="BC74" s="7" t="s">
        <v>2049</v>
      </c>
      <c r="BD74" t="s">
        <v>523</v>
      </c>
      <c r="BH74" s="5" t="str">
        <f t="shared" si="3"/>
        <v/>
      </c>
      <c r="BI74" s="5" t="str">
        <f t="shared" si="4"/>
        <v/>
      </c>
    </row>
    <row r="75" spans="2:61" x14ac:dyDescent="0.35">
      <c r="B75" t="s">
        <v>1136</v>
      </c>
      <c r="C75" s="7" t="s">
        <v>2453</v>
      </c>
      <c r="D75" t="s">
        <v>1557</v>
      </c>
      <c r="E75" t="s">
        <v>1039</v>
      </c>
      <c r="F75" t="s">
        <v>1558</v>
      </c>
      <c r="G75" t="s">
        <v>294</v>
      </c>
      <c r="H75" s="7" t="s">
        <v>2024</v>
      </c>
      <c r="I75" s="7" t="s">
        <v>2025</v>
      </c>
      <c r="J75" s="7" t="s">
        <v>2025</v>
      </c>
      <c r="K75" s="7" t="s">
        <v>2025</v>
      </c>
      <c r="L75" s="7" t="s">
        <v>2025</v>
      </c>
      <c r="M75" s="7" t="s">
        <v>2027</v>
      </c>
      <c r="N75" s="7" t="s">
        <v>2025</v>
      </c>
      <c r="O75" s="7" t="s">
        <v>2020</v>
      </c>
      <c r="P75" t="s">
        <v>295</v>
      </c>
      <c r="Q75" s="7" t="s">
        <v>2034</v>
      </c>
      <c r="R75" t="s">
        <v>390</v>
      </c>
      <c r="U75" t="s">
        <v>1020</v>
      </c>
      <c r="V75" s="7" t="s">
        <v>2041</v>
      </c>
      <c r="W75" t="s">
        <v>1555</v>
      </c>
      <c r="X75" t="s">
        <v>760</v>
      </c>
      <c r="Y75" t="s">
        <v>1558</v>
      </c>
      <c r="Z75" t="s">
        <v>846</v>
      </c>
      <c r="AA75" s="7" t="s">
        <v>2061</v>
      </c>
      <c r="AB75" s="7" t="s">
        <v>2026</v>
      </c>
      <c r="AC75" s="7" t="s">
        <v>2026</v>
      </c>
      <c r="AD75" s="7" t="s">
        <v>2029</v>
      </c>
      <c r="AE75" s="7" t="s">
        <v>2020</v>
      </c>
      <c r="AF75" s="7" t="s">
        <v>2022</v>
      </c>
      <c r="AG75" s="7" t="s">
        <v>2027</v>
      </c>
      <c r="AH75" s="7" t="s">
        <v>2029</v>
      </c>
      <c r="AI75" t="s">
        <v>345</v>
      </c>
      <c r="AJ75" s="7" t="s">
        <v>2178</v>
      </c>
      <c r="AK75" t="s">
        <v>465</v>
      </c>
      <c r="AN75" t="s">
        <v>1081</v>
      </c>
      <c r="AO75" s="7" t="s">
        <v>2095</v>
      </c>
      <c r="AP75" t="s">
        <v>1555</v>
      </c>
      <c r="AQ75" t="s">
        <v>773</v>
      </c>
      <c r="AR75" t="s">
        <v>1560</v>
      </c>
      <c r="AS75" t="s">
        <v>1082</v>
      </c>
      <c r="AT75" s="7" t="s">
        <v>2020</v>
      </c>
      <c r="AU75" s="7" t="s">
        <v>2020</v>
      </c>
      <c r="AV75" s="7" t="s">
        <v>2020</v>
      </c>
      <c r="AW75" s="7" t="s">
        <v>2020</v>
      </c>
      <c r="AX75" s="7" t="s">
        <v>2027</v>
      </c>
      <c r="AY75" s="7" t="s">
        <v>2019</v>
      </c>
      <c r="AZ75" s="7" t="s">
        <v>2020</v>
      </c>
      <c r="BA75" s="7" t="s">
        <v>2020</v>
      </c>
      <c r="BB75" t="s">
        <v>101</v>
      </c>
      <c r="BC75" s="7" t="s">
        <v>2365</v>
      </c>
      <c r="BD75" t="s">
        <v>524</v>
      </c>
      <c r="BH75" s="5" t="str">
        <f t="shared" si="3"/>
        <v/>
      </c>
      <c r="BI75" s="5" t="str">
        <f t="shared" si="4"/>
        <v/>
      </c>
    </row>
    <row r="76" spans="2:61" x14ac:dyDescent="0.35">
      <c r="B76" t="s">
        <v>1129</v>
      </c>
      <c r="C76" s="7" t="s">
        <v>2460</v>
      </c>
      <c r="D76" t="s">
        <v>1557</v>
      </c>
      <c r="E76" t="s">
        <v>290</v>
      </c>
      <c r="F76" t="s">
        <v>1558</v>
      </c>
      <c r="G76" t="s">
        <v>1130</v>
      </c>
      <c r="H76" s="7" t="s">
        <v>2025</v>
      </c>
      <c r="I76" s="7" t="s">
        <v>2033</v>
      </c>
      <c r="J76" s="7" t="s">
        <v>2033</v>
      </c>
      <c r="K76" s="7" t="s">
        <v>2020</v>
      </c>
      <c r="L76" s="7" t="s">
        <v>2027</v>
      </c>
      <c r="M76" s="7" t="s">
        <v>2019</v>
      </c>
      <c r="N76" s="7" t="s">
        <v>2025</v>
      </c>
      <c r="O76" s="7" t="s">
        <v>2033</v>
      </c>
      <c r="P76" t="s">
        <v>291</v>
      </c>
      <c r="Q76" s="7" t="s">
        <v>2085</v>
      </c>
      <c r="R76" t="s">
        <v>391</v>
      </c>
      <c r="U76" t="s">
        <v>1107</v>
      </c>
      <c r="V76" s="7" t="s">
        <v>2041</v>
      </c>
      <c r="W76" t="s">
        <v>1555</v>
      </c>
      <c r="X76" t="s">
        <v>1108</v>
      </c>
      <c r="Y76" t="s">
        <v>1558</v>
      </c>
      <c r="Z76" t="s">
        <v>976</v>
      </c>
      <c r="AA76" s="7" t="s">
        <v>2031</v>
      </c>
      <c r="AB76" s="7" t="s">
        <v>2027</v>
      </c>
      <c r="AC76" s="7" t="s">
        <v>2027</v>
      </c>
      <c r="AD76" s="7" t="s">
        <v>2027</v>
      </c>
      <c r="AE76" s="7" t="s">
        <v>2019</v>
      </c>
      <c r="AF76" s="7" t="s">
        <v>2020</v>
      </c>
      <c r="AG76" s="7" t="s">
        <v>2020</v>
      </c>
      <c r="AH76" s="7" t="s">
        <v>2025</v>
      </c>
      <c r="AI76" t="s">
        <v>275</v>
      </c>
      <c r="AJ76" s="7" t="s">
        <v>2149</v>
      </c>
      <c r="AK76" t="s">
        <v>482</v>
      </c>
      <c r="AN76" t="s">
        <v>1922</v>
      </c>
      <c r="AO76" s="7" t="s">
        <v>2095</v>
      </c>
      <c r="AP76" t="s">
        <v>1555</v>
      </c>
      <c r="AQ76" t="s">
        <v>1892</v>
      </c>
      <c r="AR76" t="s">
        <v>1560</v>
      </c>
      <c r="AS76" t="s">
        <v>854</v>
      </c>
      <c r="AT76" s="7" t="s">
        <v>2018</v>
      </c>
      <c r="AU76" s="7" t="s">
        <v>2019</v>
      </c>
      <c r="AV76" s="7" t="s">
        <v>2019</v>
      </c>
      <c r="AW76" s="7" t="s">
        <v>2027</v>
      </c>
      <c r="AX76" s="7" t="s">
        <v>2020</v>
      </c>
      <c r="AY76" s="7" t="s">
        <v>2019</v>
      </c>
      <c r="AZ76" s="7" t="s">
        <v>2019</v>
      </c>
      <c r="BA76" s="7" t="s">
        <v>2019</v>
      </c>
      <c r="BB76" t="s">
        <v>1885</v>
      </c>
      <c r="BC76" s="7" t="s">
        <v>2155</v>
      </c>
      <c r="BD76" t="s">
        <v>1941</v>
      </c>
      <c r="BH76" s="5" t="str">
        <f t="shared" si="3"/>
        <v/>
      </c>
      <c r="BI76" s="5" t="str">
        <f t="shared" si="4"/>
        <v/>
      </c>
    </row>
    <row r="77" spans="2:61" x14ac:dyDescent="0.35">
      <c r="B77" t="s">
        <v>1256</v>
      </c>
      <c r="C77" s="7" t="s">
        <v>2087</v>
      </c>
      <c r="D77" t="s">
        <v>1557</v>
      </c>
      <c r="E77" t="s">
        <v>1286</v>
      </c>
      <c r="F77" t="s">
        <v>1558</v>
      </c>
      <c r="G77" t="s">
        <v>1186</v>
      </c>
      <c r="H77" s="7" t="s">
        <v>2031</v>
      </c>
      <c r="I77" s="7" t="s">
        <v>2025</v>
      </c>
      <c r="J77" s="7" t="s">
        <v>2025</v>
      </c>
      <c r="K77" s="7" t="s">
        <v>2027</v>
      </c>
      <c r="L77" s="7" t="s">
        <v>2025</v>
      </c>
      <c r="M77" s="7" t="s">
        <v>2029</v>
      </c>
      <c r="N77" s="7" t="s">
        <v>2027</v>
      </c>
      <c r="O77" s="7" t="s">
        <v>2029</v>
      </c>
      <c r="P77" t="s">
        <v>260</v>
      </c>
      <c r="Q77" s="7" t="s">
        <v>2088</v>
      </c>
      <c r="R77" t="s">
        <v>1230</v>
      </c>
      <c r="U77" t="s">
        <v>1175</v>
      </c>
      <c r="V77" s="7" t="s">
        <v>2041</v>
      </c>
      <c r="W77" t="s">
        <v>1555</v>
      </c>
      <c r="X77" t="s">
        <v>1176</v>
      </c>
      <c r="Y77" t="s">
        <v>1558</v>
      </c>
      <c r="Z77" t="s">
        <v>946</v>
      </c>
      <c r="AA77" s="7" t="s">
        <v>2237</v>
      </c>
      <c r="AB77" s="7" t="s">
        <v>2025</v>
      </c>
      <c r="AC77" s="7" t="s">
        <v>2026</v>
      </c>
      <c r="AD77" s="7" t="s">
        <v>2027</v>
      </c>
      <c r="AE77" s="7" t="s">
        <v>2026</v>
      </c>
      <c r="AF77" s="7" t="s">
        <v>2026</v>
      </c>
      <c r="AG77" s="7" t="s">
        <v>2027</v>
      </c>
      <c r="AH77" s="7" t="s">
        <v>2033</v>
      </c>
      <c r="AI77" t="s">
        <v>309</v>
      </c>
      <c r="AJ77" s="7" t="s">
        <v>2229</v>
      </c>
      <c r="AK77" t="s">
        <v>501</v>
      </c>
      <c r="AN77" t="s">
        <v>1751</v>
      </c>
      <c r="AO77" s="7" t="s">
        <v>2095</v>
      </c>
      <c r="AP77" t="s">
        <v>1555</v>
      </c>
      <c r="AQ77" t="s">
        <v>889</v>
      </c>
      <c r="AR77" t="s">
        <v>1560</v>
      </c>
      <c r="AS77" t="s">
        <v>1677</v>
      </c>
      <c r="AT77" s="7" t="s">
        <v>2061</v>
      </c>
      <c r="AU77" s="7" t="s">
        <v>2019</v>
      </c>
      <c r="AV77" s="7" t="s">
        <v>2020</v>
      </c>
      <c r="AW77" s="7" t="s">
        <v>2027</v>
      </c>
      <c r="AX77" s="7" t="s">
        <v>2020</v>
      </c>
      <c r="AY77" s="7" t="s">
        <v>2019</v>
      </c>
      <c r="AZ77" s="7" t="s">
        <v>2027</v>
      </c>
      <c r="BA77" s="7" t="s">
        <v>2019</v>
      </c>
      <c r="BB77" t="s">
        <v>1199</v>
      </c>
      <c r="BC77" s="7" t="s">
        <v>2133</v>
      </c>
      <c r="BD77" t="s">
        <v>1702</v>
      </c>
      <c r="BH77" s="5" t="str">
        <f t="shared" si="3"/>
        <v/>
      </c>
      <c r="BI77" s="5" t="str">
        <f t="shared" si="4"/>
        <v/>
      </c>
    </row>
    <row r="78" spans="2:61" x14ac:dyDescent="0.35">
      <c r="B78" t="s">
        <v>1038</v>
      </c>
      <c r="C78" s="7" t="s">
        <v>2087</v>
      </c>
      <c r="D78" t="s">
        <v>1557</v>
      </c>
      <c r="E78" t="s">
        <v>1039</v>
      </c>
      <c r="F78" t="s">
        <v>1558</v>
      </c>
      <c r="G78" t="s">
        <v>1040</v>
      </c>
      <c r="H78" s="7" t="s">
        <v>2070</v>
      </c>
      <c r="I78" s="7" t="s">
        <v>2020</v>
      </c>
      <c r="J78" s="7" t="s">
        <v>2020</v>
      </c>
      <c r="K78" s="7" t="s">
        <v>2025</v>
      </c>
      <c r="L78" s="7" t="s">
        <v>2025</v>
      </c>
      <c r="M78" s="7" t="s">
        <v>2029</v>
      </c>
      <c r="N78" s="7" t="s">
        <v>2020</v>
      </c>
      <c r="O78" s="7" t="s">
        <v>2020</v>
      </c>
      <c r="P78" t="s">
        <v>241</v>
      </c>
      <c r="Q78" s="7" t="s">
        <v>2088</v>
      </c>
      <c r="R78" t="s">
        <v>392</v>
      </c>
      <c r="U78" t="s">
        <v>1710</v>
      </c>
      <c r="V78" s="7" t="s">
        <v>2037</v>
      </c>
      <c r="W78" t="s">
        <v>1555</v>
      </c>
      <c r="X78" t="s">
        <v>732</v>
      </c>
      <c r="Y78" t="s">
        <v>1558</v>
      </c>
      <c r="Z78" t="s">
        <v>1446</v>
      </c>
      <c r="AA78" s="7" t="s">
        <v>2038</v>
      </c>
      <c r="AB78" s="7" t="s">
        <v>2027</v>
      </c>
      <c r="AC78" s="7" t="s">
        <v>2027</v>
      </c>
      <c r="AD78" s="7" t="s">
        <v>2027</v>
      </c>
      <c r="AE78" s="7" t="s">
        <v>2027</v>
      </c>
      <c r="AF78" s="7" t="s">
        <v>2020</v>
      </c>
      <c r="AG78" s="7" t="s">
        <v>2020</v>
      </c>
      <c r="AH78" s="7" t="s">
        <v>2027</v>
      </c>
      <c r="AI78" t="s">
        <v>1663</v>
      </c>
      <c r="AJ78" s="7" t="s">
        <v>2039</v>
      </c>
      <c r="AK78" t="s">
        <v>1692</v>
      </c>
      <c r="AN78" t="s">
        <v>1150</v>
      </c>
      <c r="AO78" s="7" t="s">
        <v>2095</v>
      </c>
      <c r="AP78" t="s">
        <v>1555</v>
      </c>
      <c r="AQ78" t="s">
        <v>1151</v>
      </c>
      <c r="AR78" t="s">
        <v>1561</v>
      </c>
      <c r="AS78" t="s">
        <v>1152</v>
      </c>
      <c r="AT78" s="7" t="s">
        <v>2038</v>
      </c>
      <c r="AU78" s="7" t="s">
        <v>2027</v>
      </c>
      <c r="AV78" s="7" t="s">
        <v>2027</v>
      </c>
      <c r="AW78" s="7" t="s">
        <v>2025</v>
      </c>
      <c r="AX78" s="7" t="s">
        <v>2020</v>
      </c>
      <c r="AY78" s="7" t="s">
        <v>2020</v>
      </c>
      <c r="AZ78" s="7" t="s">
        <v>2020</v>
      </c>
      <c r="BA78" s="7" t="s">
        <v>2027</v>
      </c>
      <c r="BB78" t="s">
        <v>302</v>
      </c>
      <c r="BC78" s="7" t="s">
        <v>2101</v>
      </c>
      <c r="BD78" t="s">
        <v>525</v>
      </c>
      <c r="BH78" s="5" t="str">
        <f t="shared" si="3"/>
        <v/>
      </c>
      <c r="BI78" s="5" t="str">
        <f t="shared" si="4"/>
        <v/>
      </c>
    </row>
    <row r="79" spans="2:61" x14ac:dyDescent="0.35">
      <c r="B79" t="s">
        <v>1255</v>
      </c>
      <c r="C79" s="7" t="s">
        <v>2084</v>
      </c>
      <c r="D79" t="s">
        <v>1557</v>
      </c>
      <c r="E79" t="s">
        <v>1285</v>
      </c>
      <c r="F79" t="s">
        <v>1558</v>
      </c>
      <c r="G79" t="s">
        <v>1040</v>
      </c>
      <c r="H79" s="7" t="s">
        <v>2042</v>
      </c>
      <c r="I79" s="7" t="s">
        <v>2027</v>
      </c>
      <c r="J79" s="7" t="s">
        <v>2027</v>
      </c>
      <c r="K79" s="7" t="s">
        <v>2020</v>
      </c>
      <c r="L79" s="7" t="s">
        <v>2020</v>
      </c>
      <c r="M79" s="7" t="s">
        <v>2027</v>
      </c>
      <c r="N79" s="7" t="s">
        <v>2020</v>
      </c>
      <c r="O79" s="7" t="s">
        <v>2020</v>
      </c>
      <c r="P79" t="s">
        <v>297</v>
      </c>
      <c r="Q79" s="7" t="s">
        <v>2085</v>
      </c>
      <c r="R79" t="s">
        <v>1231</v>
      </c>
      <c r="U79" t="s">
        <v>758</v>
      </c>
      <c r="V79" s="7" t="s">
        <v>2037</v>
      </c>
      <c r="W79" t="s">
        <v>1555</v>
      </c>
      <c r="X79" t="s">
        <v>653</v>
      </c>
      <c r="Y79" t="s">
        <v>1558</v>
      </c>
      <c r="Z79" t="s">
        <v>654</v>
      </c>
      <c r="AA79" s="7" t="s">
        <v>2125</v>
      </c>
      <c r="AB79" s="7" t="s">
        <v>2027</v>
      </c>
      <c r="AC79" s="7" t="s">
        <v>2025</v>
      </c>
      <c r="AD79" s="7" t="s">
        <v>2027</v>
      </c>
      <c r="AE79" s="7" t="s">
        <v>2020</v>
      </c>
      <c r="AF79" s="7" t="s">
        <v>2027</v>
      </c>
      <c r="AG79" s="7" t="s">
        <v>2027</v>
      </c>
      <c r="AH79" s="7" t="s">
        <v>2025</v>
      </c>
      <c r="AI79" t="s">
        <v>102</v>
      </c>
      <c r="AJ79" s="7" t="s">
        <v>2200</v>
      </c>
      <c r="AK79" t="s">
        <v>416</v>
      </c>
      <c r="AN79" t="s">
        <v>1753</v>
      </c>
      <c r="AO79" s="7" t="s">
        <v>2095</v>
      </c>
      <c r="AP79" t="s">
        <v>1555</v>
      </c>
      <c r="AQ79" t="s">
        <v>1754</v>
      </c>
      <c r="AR79" t="s">
        <v>1560</v>
      </c>
      <c r="AS79" t="s">
        <v>1755</v>
      </c>
      <c r="AT79" s="7" t="s">
        <v>2070</v>
      </c>
      <c r="AU79" s="7" t="s">
        <v>2029</v>
      </c>
      <c r="AV79" s="7" t="s">
        <v>2019</v>
      </c>
      <c r="AW79" s="7" t="s">
        <v>2019</v>
      </c>
      <c r="AX79" s="7" t="s">
        <v>2027</v>
      </c>
      <c r="AY79" s="7" t="s">
        <v>2027</v>
      </c>
      <c r="AZ79" s="7" t="s">
        <v>2026</v>
      </c>
      <c r="BA79" s="7" t="s">
        <v>2027</v>
      </c>
      <c r="BB79" t="s">
        <v>1678</v>
      </c>
      <c r="BC79" s="7" t="s">
        <v>2049</v>
      </c>
      <c r="BD79" t="s">
        <v>1703</v>
      </c>
      <c r="BH79" s="5" t="str">
        <f t="shared" si="3"/>
        <v/>
      </c>
      <c r="BI79" s="5" t="str">
        <f t="shared" si="4"/>
        <v/>
      </c>
    </row>
    <row r="80" spans="2:61" x14ac:dyDescent="0.35">
      <c r="B80" t="s">
        <v>1164</v>
      </c>
      <c r="C80" s="7" t="s">
        <v>2084</v>
      </c>
      <c r="D80" t="s">
        <v>57</v>
      </c>
      <c r="E80" t="s">
        <v>1165</v>
      </c>
      <c r="F80" t="s">
        <v>1558</v>
      </c>
      <c r="G80" t="s">
        <v>1166</v>
      </c>
      <c r="H80" s="7" t="s">
        <v>2024</v>
      </c>
      <c r="I80" s="7" t="s">
        <v>2025</v>
      </c>
      <c r="J80" s="7" t="s">
        <v>2025</v>
      </c>
      <c r="K80" s="7" t="s">
        <v>2025</v>
      </c>
      <c r="L80" s="7" t="s">
        <v>2025</v>
      </c>
      <c r="M80" s="7" t="s">
        <v>2027</v>
      </c>
      <c r="N80" s="7" t="s">
        <v>2020</v>
      </c>
      <c r="O80" s="7" t="s">
        <v>2025</v>
      </c>
      <c r="P80" t="s">
        <v>307</v>
      </c>
      <c r="Q80" s="7" t="s">
        <v>2043</v>
      </c>
      <c r="R80" t="s">
        <v>393</v>
      </c>
      <c r="U80" t="s">
        <v>824</v>
      </c>
      <c r="V80" s="7" t="s">
        <v>2037</v>
      </c>
      <c r="W80" t="s">
        <v>1555</v>
      </c>
      <c r="X80" t="s">
        <v>748</v>
      </c>
      <c r="Y80" t="s">
        <v>1558</v>
      </c>
      <c r="Z80" t="s">
        <v>825</v>
      </c>
      <c r="AA80" s="7" t="s">
        <v>2090</v>
      </c>
      <c r="AB80" s="7" t="s">
        <v>2020</v>
      </c>
      <c r="AC80" s="7" t="s">
        <v>2027</v>
      </c>
      <c r="AD80" s="7" t="s">
        <v>2027</v>
      </c>
      <c r="AE80" s="7" t="s">
        <v>2027</v>
      </c>
      <c r="AF80" s="7" t="s">
        <v>2027</v>
      </c>
      <c r="AG80" s="7" t="s">
        <v>2020</v>
      </c>
      <c r="AH80" s="7" t="s">
        <v>2025</v>
      </c>
      <c r="AI80" t="s">
        <v>137</v>
      </c>
      <c r="AJ80" s="7" t="s">
        <v>2214</v>
      </c>
      <c r="AK80" t="s">
        <v>422</v>
      </c>
      <c r="AN80" t="s">
        <v>672</v>
      </c>
      <c r="AO80" s="7" t="s">
        <v>2076</v>
      </c>
      <c r="AP80" t="s">
        <v>1555</v>
      </c>
      <c r="AQ80" t="s">
        <v>659</v>
      </c>
      <c r="AR80" t="s">
        <v>1560</v>
      </c>
      <c r="AS80" t="s">
        <v>673</v>
      </c>
      <c r="AT80" s="7" t="s">
        <v>2070</v>
      </c>
      <c r="AU80" s="7" t="s">
        <v>2020</v>
      </c>
      <c r="AV80" s="7" t="s">
        <v>2027</v>
      </c>
      <c r="AW80" s="7" t="s">
        <v>2027</v>
      </c>
      <c r="AX80" s="7" t="s">
        <v>2020</v>
      </c>
      <c r="AY80" s="7" t="s">
        <v>2019</v>
      </c>
      <c r="AZ80" s="7" t="s">
        <v>2027</v>
      </c>
      <c r="BA80" s="7" t="s">
        <v>2020</v>
      </c>
      <c r="BB80" t="s">
        <v>66</v>
      </c>
      <c r="BC80" s="7" t="s">
        <v>2077</v>
      </c>
      <c r="BD80" t="s">
        <v>526</v>
      </c>
      <c r="BH80" s="5" t="str">
        <f t="shared" si="3"/>
        <v/>
      </c>
      <c r="BI80" s="5" t="str">
        <f t="shared" si="4"/>
        <v/>
      </c>
    </row>
    <row r="81" spans="2:61" x14ac:dyDescent="0.35">
      <c r="B81" t="s">
        <v>1263</v>
      </c>
      <c r="C81" s="7" t="s">
        <v>2129</v>
      </c>
      <c r="D81" t="s">
        <v>1557</v>
      </c>
      <c r="E81" t="s">
        <v>1288</v>
      </c>
      <c r="F81" t="s">
        <v>1558</v>
      </c>
      <c r="G81" t="s">
        <v>1174</v>
      </c>
      <c r="H81" s="7" t="s">
        <v>2061</v>
      </c>
      <c r="I81" s="7" t="s">
        <v>2019</v>
      </c>
      <c r="J81" s="7" t="s">
        <v>2019</v>
      </c>
      <c r="K81" s="7" t="s">
        <v>2020</v>
      </c>
      <c r="L81" s="7" t="s">
        <v>2019</v>
      </c>
      <c r="M81" s="7" t="s">
        <v>2020</v>
      </c>
      <c r="N81" s="7" t="s">
        <v>2027</v>
      </c>
      <c r="O81" s="7" t="s">
        <v>2027</v>
      </c>
      <c r="P81" t="s">
        <v>1195</v>
      </c>
      <c r="Q81" s="7" t="s">
        <v>2202</v>
      </c>
      <c r="R81" t="s">
        <v>1232</v>
      </c>
      <c r="U81" t="s">
        <v>155</v>
      </c>
      <c r="V81" s="7" t="s">
        <v>2037</v>
      </c>
      <c r="W81" t="s">
        <v>1555</v>
      </c>
      <c r="X81" t="s">
        <v>751</v>
      </c>
      <c r="Y81" t="s">
        <v>1558</v>
      </c>
      <c r="Z81" t="s">
        <v>156</v>
      </c>
      <c r="AA81" s="7" t="s">
        <v>2181</v>
      </c>
      <c r="AB81" s="7" t="s">
        <v>2019</v>
      </c>
      <c r="AC81" s="7" t="s">
        <v>2027</v>
      </c>
      <c r="AD81" s="7" t="s">
        <v>2019</v>
      </c>
      <c r="AE81" s="7" t="s">
        <v>2019</v>
      </c>
      <c r="AF81" s="7" t="s">
        <v>2141</v>
      </c>
      <c r="AG81" s="7" t="s">
        <v>2029</v>
      </c>
      <c r="AH81" s="7" t="s">
        <v>2022</v>
      </c>
      <c r="AI81" t="s">
        <v>157</v>
      </c>
      <c r="AJ81" s="7" t="s">
        <v>2196</v>
      </c>
      <c r="AK81" t="s">
        <v>429</v>
      </c>
      <c r="AN81" t="s">
        <v>1713</v>
      </c>
      <c r="AO81" s="7" t="s">
        <v>2076</v>
      </c>
      <c r="AP81" t="s">
        <v>1555</v>
      </c>
      <c r="AQ81" t="s">
        <v>1595</v>
      </c>
      <c r="AR81" t="s">
        <v>1560</v>
      </c>
      <c r="AS81" t="s">
        <v>1714</v>
      </c>
      <c r="AT81" s="7" t="s">
        <v>2038</v>
      </c>
      <c r="AU81" s="7" t="s">
        <v>2020</v>
      </c>
      <c r="AV81" s="7" t="s">
        <v>2027</v>
      </c>
      <c r="AW81" s="7" t="s">
        <v>2020</v>
      </c>
      <c r="AX81" s="7" t="s">
        <v>2027</v>
      </c>
      <c r="AY81" s="7" t="s">
        <v>2027</v>
      </c>
      <c r="AZ81" s="7" t="s">
        <v>2027</v>
      </c>
      <c r="BA81" s="7" t="s">
        <v>2027</v>
      </c>
      <c r="BB81" t="s">
        <v>111</v>
      </c>
      <c r="BC81" s="7" t="s">
        <v>2049</v>
      </c>
      <c r="BD81" t="s">
        <v>1704</v>
      </c>
      <c r="BH81" s="5" t="str">
        <f t="shared" si="3"/>
        <v/>
      </c>
      <c r="BI81" s="5" t="str">
        <f t="shared" si="4"/>
        <v/>
      </c>
    </row>
    <row r="82" spans="2:61" x14ac:dyDescent="0.35">
      <c r="B82" t="s">
        <v>1035</v>
      </c>
      <c r="C82" s="7" t="s">
        <v>2129</v>
      </c>
      <c r="D82" t="s">
        <v>1608</v>
      </c>
      <c r="E82" t="s">
        <v>1036</v>
      </c>
      <c r="F82" t="s">
        <v>1558</v>
      </c>
      <c r="G82" t="s">
        <v>1037</v>
      </c>
      <c r="H82" s="7" t="s">
        <v>2111</v>
      </c>
      <c r="I82" s="7" t="s">
        <v>2027</v>
      </c>
      <c r="J82" s="7" t="s">
        <v>2027</v>
      </c>
      <c r="K82" s="7" t="s">
        <v>2019</v>
      </c>
      <c r="L82" s="7" t="s">
        <v>2027</v>
      </c>
      <c r="M82" s="7" t="s">
        <v>2029</v>
      </c>
      <c r="N82" s="7" t="s">
        <v>2019</v>
      </c>
      <c r="O82" s="7" t="s">
        <v>2019</v>
      </c>
      <c r="P82" t="s">
        <v>136</v>
      </c>
      <c r="Q82" s="7" t="s">
        <v>2126</v>
      </c>
      <c r="R82" t="s">
        <v>394</v>
      </c>
      <c r="U82" t="s">
        <v>1390</v>
      </c>
      <c r="V82" s="7" t="s">
        <v>2037</v>
      </c>
      <c r="W82" t="s">
        <v>1555</v>
      </c>
      <c r="X82" t="s">
        <v>916</v>
      </c>
      <c r="Y82" t="s">
        <v>1558</v>
      </c>
      <c r="Z82" t="s">
        <v>1448</v>
      </c>
      <c r="AA82" s="7" t="s">
        <v>2042</v>
      </c>
      <c r="AB82" s="7" t="s">
        <v>2025</v>
      </c>
      <c r="AC82" s="7" t="s">
        <v>2020</v>
      </c>
      <c r="AD82" s="7" t="s">
        <v>2020</v>
      </c>
      <c r="AE82" s="7" t="s">
        <v>2020</v>
      </c>
      <c r="AF82" s="7" t="s">
        <v>2020</v>
      </c>
      <c r="AG82" s="7" t="s">
        <v>2027</v>
      </c>
      <c r="AH82" s="7" t="s">
        <v>2020</v>
      </c>
      <c r="AI82" t="s">
        <v>1343</v>
      </c>
      <c r="AJ82" s="7" t="s">
        <v>2212</v>
      </c>
      <c r="AK82" t="s">
        <v>1483</v>
      </c>
      <c r="AN82" t="s">
        <v>712</v>
      </c>
      <c r="AO82" s="7" t="s">
        <v>2076</v>
      </c>
      <c r="AP82" t="s">
        <v>1555</v>
      </c>
      <c r="AQ82" t="s">
        <v>713</v>
      </c>
      <c r="AR82" t="s">
        <v>1560</v>
      </c>
      <c r="AS82" t="s">
        <v>714</v>
      </c>
      <c r="AT82" s="7" t="s">
        <v>2018</v>
      </c>
      <c r="AU82" s="7" t="s">
        <v>2019</v>
      </c>
      <c r="AV82" s="7" t="s">
        <v>2020</v>
      </c>
      <c r="AW82" s="7" t="s">
        <v>2020</v>
      </c>
      <c r="AX82" s="7" t="s">
        <v>2025</v>
      </c>
      <c r="AY82" s="7" t="s">
        <v>2141</v>
      </c>
      <c r="AZ82" s="7" t="s">
        <v>2020</v>
      </c>
      <c r="BA82" s="7" t="s">
        <v>2029</v>
      </c>
      <c r="BB82" t="s">
        <v>84</v>
      </c>
      <c r="BC82" s="7" t="s">
        <v>2021</v>
      </c>
      <c r="BD82" t="s">
        <v>527</v>
      </c>
      <c r="BH82" s="5" t="str">
        <f t="shared" si="3"/>
        <v/>
      </c>
      <c r="BI82" s="5" t="str">
        <f t="shared" si="4"/>
        <v/>
      </c>
    </row>
    <row r="83" spans="2:61" x14ac:dyDescent="0.35">
      <c r="B83" t="s">
        <v>1089</v>
      </c>
      <c r="C83" s="7" t="s">
        <v>2098</v>
      </c>
      <c r="D83" t="s">
        <v>1557</v>
      </c>
      <c r="E83" t="s">
        <v>1090</v>
      </c>
      <c r="F83" t="s">
        <v>1558</v>
      </c>
      <c r="G83" t="s">
        <v>268</v>
      </c>
      <c r="H83" s="7" t="s">
        <v>2042</v>
      </c>
      <c r="I83" s="7" t="s">
        <v>2019</v>
      </c>
      <c r="J83" s="7" t="s">
        <v>2020</v>
      </c>
      <c r="K83" s="7" t="s">
        <v>2020</v>
      </c>
      <c r="L83" s="7" t="s">
        <v>2027</v>
      </c>
      <c r="M83" s="7" t="s">
        <v>2020</v>
      </c>
      <c r="N83" s="7" t="s">
        <v>2027</v>
      </c>
      <c r="O83" s="7" t="s">
        <v>2025</v>
      </c>
      <c r="P83" t="s">
        <v>196</v>
      </c>
      <c r="Q83" s="7" t="s">
        <v>2112</v>
      </c>
      <c r="R83" t="s">
        <v>395</v>
      </c>
      <c r="U83" t="s">
        <v>1104</v>
      </c>
      <c r="V83" s="7" t="s">
        <v>2037</v>
      </c>
      <c r="W83" t="s">
        <v>1555</v>
      </c>
      <c r="X83" t="s">
        <v>1105</v>
      </c>
      <c r="Y83" t="s">
        <v>1558</v>
      </c>
      <c r="Z83" t="s">
        <v>1106</v>
      </c>
      <c r="AA83" s="7" t="s">
        <v>2181</v>
      </c>
      <c r="AB83" s="7" t="s">
        <v>2027</v>
      </c>
      <c r="AC83" s="7" t="s">
        <v>2029</v>
      </c>
      <c r="AD83" s="7" t="s">
        <v>2029</v>
      </c>
      <c r="AE83" s="7" t="s">
        <v>2029</v>
      </c>
      <c r="AF83" s="7" t="s">
        <v>2029</v>
      </c>
      <c r="AG83" s="7" t="s">
        <v>2029</v>
      </c>
      <c r="AH83" s="7" t="s">
        <v>2029</v>
      </c>
      <c r="AI83" t="s">
        <v>208</v>
      </c>
      <c r="AJ83" s="7" t="s">
        <v>2220</v>
      </c>
      <c r="AK83" t="s">
        <v>481</v>
      </c>
      <c r="AN83" t="s">
        <v>718</v>
      </c>
      <c r="AO83" s="7" t="s">
        <v>2076</v>
      </c>
      <c r="AP83" t="s">
        <v>1555</v>
      </c>
      <c r="AQ83" t="s">
        <v>716</v>
      </c>
      <c r="AR83" t="s">
        <v>1560</v>
      </c>
      <c r="AS83" t="s">
        <v>719</v>
      </c>
      <c r="AT83" s="7" t="s">
        <v>2027</v>
      </c>
      <c r="AU83" s="7" t="s">
        <v>2027</v>
      </c>
      <c r="AV83" s="7" t="s">
        <v>2027</v>
      </c>
      <c r="AW83" s="7" t="s">
        <v>2027</v>
      </c>
      <c r="AX83" s="7" t="s">
        <v>2027</v>
      </c>
      <c r="AY83" s="7" t="s">
        <v>2020</v>
      </c>
      <c r="AZ83" s="7" t="s">
        <v>2027</v>
      </c>
      <c r="BA83" s="7" t="s">
        <v>2025</v>
      </c>
      <c r="BB83" t="s">
        <v>85</v>
      </c>
      <c r="BC83" s="7" t="s">
        <v>2157</v>
      </c>
      <c r="BD83" t="s">
        <v>528</v>
      </c>
      <c r="BH83" s="5" t="str">
        <f t="shared" si="3"/>
        <v/>
      </c>
      <c r="BI83" s="5" t="str">
        <f t="shared" si="4"/>
        <v/>
      </c>
    </row>
    <row r="84" spans="2:61" x14ac:dyDescent="0.35">
      <c r="B84" t="s">
        <v>1102</v>
      </c>
      <c r="C84" s="7" t="s">
        <v>2098</v>
      </c>
      <c r="D84" t="s">
        <v>1557</v>
      </c>
      <c r="E84" t="s">
        <v>1103</v>
      </c>
      <c r="F84" t="s">
        <v>1558</v>
      </c>
      <c r="G84" t="s">
        <v>274</v>
      </c>
      <c r="H84" s="7" t="s">
        <v>2058</v>
      </c>
      <c r="I84" s="7" t="s">
        <v>2020</v>
      </c>
      <c r="J84" s="7" t="s">
        <v>2025</v>
      </c>
      <c r="K84" s="7" t="s">
        <v>2027</v>
      </c>
      <c r="L84" s="7" t="s">
        <v>2027</v>
      </c>
      <c r="M84" s="7" t="s">
        <v>2027</v>
      </c>
      <c r="N84" s="7" t="s">
        <v>2020</v>
      </c>
      <c r="O84" s="7" t="s">
        <v>2033</v>
      </c>
      <c r="P84" t="s">
        <v>81</v>
      </c>
      <c r="Q84" s="7" t="s">
        <v>2109</v>
      </c>
      <c r="R84" t="s">
        <v>396</v>
      </c>
      <c r="U84" t="s">
        <v>1118</v>
      </c>
      <c r="V84" s="7" t="s">
        <v>2037</v>
      </c>
      <c r="W84" t="s">
        <v>1555</v>
      </c>
      <c r="X84" t="s">
        <v>695</v>
      </c>
      <c r="Y84" t="s">
        <v>1558</v>
      </c>
      <c r="Z84" t="s">
        <v>1119</v>
      </c>
      <c r="AA84" s="7" t="s">
        <v>2048</v>
      </c>
      <c r="AB84" s="7" t="s">
        <v>2020</v>
      </c>
      <c r="AC84" s="7" t="s">
        <v>2027</v>
      </c>
      <c r="AD84" s="7" t="s">
        <v>2020</v>
      </c>
      <c r="AE84" s="7" t="s">
        <v>2020</v>
      </c>
      <c r="AF84" s="7" t="s">
        <v>2020</v>
      </c>
      <c r="AG84" s="7" t="s">
        <v>2020</v>
      </c>
      <c r="AH84" s="7" t="s">
        <v>2020</v>
      </c>
      <c r="AI84" t="s">
        <v>282</v>
      </c>
      <c r="AJ84" s="7" t="s">
        <v>2067</v>
      </c>
      <c r="AK84" t="s">
        <v>485</v>
      </c>
      <c r="AN84" t="s">
        <v>720</v>
      </c>
      <c r="AO84" s="7" t="s">
        <v>2076</v>
      </c>
      <c r="AP84" t="s">
        <v>1555</v>
      </c>
      <c r="AQ84" t="s">
        <v>716</v>
      </c>
      <c r="AR84" t="s">
        <v>1561</v>
      </c>
      <c r="AS84" t="s">
        <v>719</v>
      </c>
      <c r="AT84" s="7" t="s">
        <v>2159</v>
      </c>
      <c r="AU84" s="7" t="s">
        <v>2027</v>
      </c>
      <c r="AV84" s="7" t="s">
        <v>2027</v>
      </c>
      <c r="AW84" s="7" t="s">
        <v>2027</v>
      </c>
      <c r="AX84" s="7" t="s">
        <v>2027</v>
      </c>
      <c r="AY84" s="7" t="s">
        <v>2025</v>
      </c>
      <c r="AZ84" s="7" t="s">
        <v>2025</v>
      </c>
      <c r="BA84" s="7" t="s">
        <v>2025</v>
      </c>
      <c r="BB84" t="s">
        <v>86</v>
      </c>
      <c r="BC84" s="7" t="s">
        <v>2039</v>
      </c>
      <c r="BD84" t="s">
        <v>529</v>
      </c>
      <c r="BH84" s="5" t="str">
        <f t="shared" si="3"/>
        <v/>
      </c>
      <c r="BI84" s="5" t="str">
        <f t="shared" si="4"/>
        <v/>
      </c>
    </row>
    <row r="85" spans="2:61" x14ac:dyDescent="0.35">
      <c r="B85" t="s">
        <v>1280</v>
      </c>
      <c r="C85" s="7" t="s">
        <v>2098</v>
      </c>
      <c r="D85" t="s">
        <v>57</v>
      </c>
      <c r="E85" t="s">
        <v>1294</v>
      </c>
      <c r="F85" t="s">
        <v>1558</v>
      </c>
      <c r="G85" t="s">
        <v>1305</v>
      </c>
      <c r="H85" s="7" t="s">
        <v>2063</v>
      </c>
      <c r="I85" s="7" t="s">
        <v>2027</v>
      </c>
      <c r="J85" s="7" t="s">
        <v>2020</v>
      </c>
      <c r="K85" s="7" t="s">
        <v>2020</v>
      </c>
      <c r="L85" s="7" t="s">
        <v>2026</v>
      </c>
      <c r="M85" s="7" t="s">
        <v>2033</v>
      </c>
      <c r="N85" s="7" t="s">
        <v>2025</v>
      </c>
      <c r="O85" s="7" t="s">
        <v>2026</v>
      </c>
      <c r="P85" t="s">
        <v>1220</v>
      </c>
      <c r="Q85" s="7" t="s">
        <v>2227</v>
      </c>
      <c r="R85" t="s">
        <v>1233</v>
      </c>
      <c r="U85" t="s">
        <v>1622</v>
      </c>
      <c r="V85" s="7" t="s">
        <v>2037</v>
      </c>
      <c r="W85" t="s">
        <v>1555</v>
      </c>
      <c r="X85" t="s">
        <v>695</v>
      </c>
      <c r="Y85" t="s">
        <v>1558</v>
      </c>
      <c r="Z85" t="s">
        <v>714</v>
      </c>
      <c r="AA85" s="7" t="s">
        <v>2027</v>
      </c>
      <c r="AB85" s="7" t="s">
        <v>2027</v>
      </c>
      <c r="AC85" s="7" t="s">
        <v>2027</v>
      </c>
      <c r="AD85" s="7" t="s">
        <v>2020</v>
      </c>
      <c r="AE85" s="7" t="s">
        <v>2020</v>
      </c>
      <c r="AF85" s="7" t="s">
        <v>2027</v>
      </c>
      <c r="AG85" s="7" t="s">
        <v>2025</v>
      </c>
      <c r="AH85" s="7" t="s">
        <v>2025</v>
      </c>
      <c r="AI85" t="s">
        <v>306</v>
      </c>
      <c r="AJ85" s="7" t="s">
        <v>2212</v>
      </c>
      <c r="AK85" t="s">
        <v>1638</v>
      </c>
      <c r="AN85" t="s">
        <v>1718</v>
      </c>
      <c r="AO85" s="7" t="s">
        <v>2076</v>
      </c>
      <c r="AP85" t="s">
        <v>1555</v>
      </c>
      <c r="AQ85" t="s">
        <v>687</v>
      </c>
      <c r="AR85" t="s">
        <v>1560</v>
      </c>
      <c r="AS85" t="s">
        <v>1719</v>
      </c>
      <c r="AT85" s="7" t="s">
        <v>2042</v>
      </c>
      <c r="AU85" s="7" t="s">
        <v>2020</v>
      </c>
      <c r="AV85" s="7" t="s">
        <v>2020</v>
      </c>
      <c r="AW85" s="7" t="s">
        <v>2027</v>
      </c>
      <c r="AX85" s="7" t="s">
        <v>2027</v>
      </c>
      <c r="AY85" s="7" t="s">
        <v>2029</v>
      </c>
      <c r="AZ85" s="7" t="s">
        <v>2025</v>
      </c>
      <c r="BA85" s="7" t="s">
        <v>2027</v>
      </c>
      <c r="BB85" t="s">
        <v>145</v>
      </c>
      <c r="BC85" s="7" t="s">
        <v>2049</v>
      </c>
      <c r="BD85" t="s">
        <v>1705</v>
      </c>
      <c r="BH85" s="5" t="str">
        <f t="shared" si="3"/>
        <v/>
      </c>
      <c r="BI85" s="5" t="str">
        <f t="shared" si="4"/>
        <v/>
      </c>
    </row>
    <row r="86" spans="2:61" x14ac:dyDescent="0.35">
      <c r="B86" t="s">
        <v>1125</v>
      </c>
      <c r="C86" s="7" t="s">
        <v>2098</v>
      </c>
      <c r="D86" t="s">
        <v>1557</v>
      </c>
      <c r="E86" t="s">
        <v>1039</v>
      </c>
      <c r="F86" t="s">
        <v>1558</v>
      </c>
      <c r="G86" t="s">
        <v>1040</v>
      </c>
      <c r="H86" s="7" t="s">
        <v>2143</v>
      </c>
      <c r="I86" s="7" t="s">
        <v>2026</v>
      </c>
      <c r="J86" s="7" t="s">
        <v>2025</v>
      </c>
      <c r="K86" s="7" t="s">
        <v>2026</v>
      </c>
      <c r="L86" s="7" t="s">
        <v>2026</v>
      </c>
      <c r="M86" s="7" t="s">
        <v>2026</v>
      </c>
      <c r="N86" s="7" t="s">
        <v>2026</v>
      </c>
      <c r="O86" s="7" t="s">
        <v>2025</v>
      </c>
      <c r="P86" t="s">
        <v>287</v>
      </c>
      <c r="Q86" s="7" t="s">
        <v>2190</v>
      </c>
      <c r="R86" t="s">
        <v>397</v>
      </c>
      <c r="U86" t="s">
        <v>1144</v>
      </c>
      <c r="V86" s="7" t="s">
        <v>2037</v>
      </c>
      <c r="W86" t="s">
        <v>1555</v>
      </c>
      <c r="X86" t="s">
        <v>735</v>
      </c>
      <c r="Y86" t="s">
        <v>1558</v>
      </c>
      <c r="Z86" t="s">
        <v>792</v>
      </c>
      <c r="AA86" s="7" t="s">
        <v>2141</v>
      </c>
      <c r="AB86" s="7" t="s">
        <v>2141</v>
      </c>
      <c r="AC86" s="7" t="s">
        <v>2029</v>
      </c>
      <c r="AD86" s="7" t="s">
        <v>2141</v>
      </c>
      <c r="AE86" s="7" t="s">
        <v>2141</v>
      </c>
      <c r="AF86" s="7" t="s">
        <v>2141</v>
      </c>
      <c r="AG86" s="7" t="s">
        <v>2141</v>
      </c>
      <c r="AH86" s="7" t="s">
        <v>2022</v>
      </c>
      <c r="AI86" t="s">
        <v>300</v>
      </c>
      <c r="AJ86" s="7" t="s">
        <v>2049</v>
      </c>
      <c r="AK86" t="s">
        <v>493</v>
      </c>
      <c r="AN86" t="s">
        <v>1376</v>
      </c>
      <c r="AO86" s="7" t="s">
        <v>2076</v>
      </c>
      <c r="AP86" t="s">
        <v>1555</v>
      </c>
      <c r="AQ86" t="s">
        <v>815</v>
      </c>
      <c r="AR86" t="s">
        <v>1560</v>
      </c>
      <c r="AS86" t="s">
        <v>1441</v>
      </c>
      <c r="AT86" s="7" t="s">
        <v>2103</v>
      </c>
      <c r="AU86" s="7" t="s">
        <v>2025</v>
      </c>
      <c r="AV86" s="7" t="s">
        <v>2026</v>
      </c>
      <c r="AW86" s="7" t="s">
        <v>2026</v>
      </c>
      <c r="AX86" s="7" t="s">
        <v>2027</v>
      </c>
      <c r="AY86" s="7" t="s">
        <v>2027</v>
      </c>
      <c r="AZ86" s="7" t="s">
        <v>2027</v>
      </c>
      <c r="BA86" s="7" t="s">
        <v>2027</v>
      </c>
      <c r="BB86" t="s">
        <v>1337</v>
      </c>
      <c r="BC86" s="7" t="s">
        <v>2254</v>
      </c>
      <c r="BD86" t="s">
        <v>1500</v>
      </c>
      <c r="BH86" s="5" t="str">
        <f t="shared" si="3"/>
        <v/>
      </c>
      <c r="BI86" s="5" t="str">
        <f t="shared" si="4"/>
        <v/>
      </c>
    </row>
    <row r="87" spans="2:61" x14ac:dyDescent="0.35">
      <c r="B87" s="17" t="s">
        <v>2079</v>
      </c>
      <c r="C87" s="21" t="s">
        <v>2080</v>
      </c>
      <c r="D87" s="17" t="s">
        <v>1557</v>
      </c>
      <c r="E87" s="17" t="s">
        <v>1173</v>
      </c>
      <c r="F87" s="18" t="s">
        <v>1558</v>
      </c>
      <c r="G87" s="17" t="s">
        <v>1174</v>
      </c>
      <c r="H87" s="21" t="s">
        <v>2081</v>
      </c>
      <c r="I87" s="21" t="s">
        <v>2027</v>
      </c>
      <c r="J87" s="21" t="s">
        <v>2027</v>
      </c>
      <c r="K87" s="21" t="s">
        <v>2025</v>
      </c>
      <c r="L87" s="21" t="s">
        <v>2025</v>
      </c>
      <c r="M87" s="21" t="s">
        <v>2033</v>
      </c>
      <c r="N87" s="21" t="s">
        <v>2025</v>
      </c>
      <c r="O87" s="21" t="s">
        <v>2033</v>
      </c>
      <c r="P87" s="17" t="s">
        <v>2004</v>
      </c>
      <c r="Q87" s="21" t="s">
        <v>2082</v>
      </c>
      <c r="R87" s="17" t="s">
        <v>2698</v>
      </c>
      <c r="U87" t="s">
        <v>766</v>
      </c>
      <c r="V87" s="7" t="s">
        <v>2035</v>
      </c>
      <c r="W87" t="s">
        <v>1555</v>
      </c>
      <c r="X87" t="s">
        <v>767</v>
      </c>
      <c r="Y87" t="s">
        <v>1558</v>
      </c>
      <c r="Z87" t="s">
        <v>768</v>
      </c>
      <c r="AA87" s="7" t="s">
        <v>2090</v>
      </c>
      <c r="AB87" s="7" t="s">
        <v>2027</v>
      </c>
      <c r="AC87" s="7" t="s">
        <v>2025</v>
      </c>
      <c r="AD87" s="7" t="s">
        <v>2027</v>
      </c>
      <c r="AE87" s="7" t="s">
        <v>2019</v>
      </c>
      <c r="AF87" s="7" t="s">
        <v>2026</v>
      </c>
      <c r="AG87" s="7" t="s">
        <v>2019</v>
      </c>
      <c r="AH87" s="7" t="s">
        <v>2027</v>
      </c>
      <c r="AI87" t="s">
        <v>109</v>
      </c>
      <c r="AJ87" s="7" t="s">
        <v>2211</v>
      </c>
      <c r="AK87" t="s">
        <v>417</v>
      </c>
      <c r="AN87" t="s">
        <v>1395</v>
      </c>
      <c r="AO87" s="7" t="s">
        <v>2076</v>
      </c>
      <c r="AP87" t="s">
        <v>1555</v>
      </c>
      <c r="AQ87" t="s">
        <v>690</v>
      </c>
      <c r="AR87" t="s">
        <v>1560</v>
      </c>
      <c r="AS87" t="s">
        <v>1202</v>
      </c>
      <c r="AT87" s="7" t="s">
        <v>2159</v>
      </c>
      <c r="AU87" s="7" t="s">
        <v>2020</v>
      </c>
      <c r="AV87" s="7" t="s">
        <v>2025</v>
      </c>
      <c r="AW87" s="7" t="s">
        <v>2025</v>
      </c>
      <c r="AX87" s="7" t="s">
        <v>2025</v>
      </c>
      <c r="AY87" s="7" t="s">
        <v>2025</v>
      </c>
      <c r="AZ87" s="7" t="s">
        <v>2027</v>
      </c>
      <c r="BA87" s="7" t="s">
        <v>2027</v>
      </c>
      <c r="BB87" t="s">
        <v>1347</v>
      </c>
      <c r="BC87" s="7" t="s">
        <v>2423</v>
      </c>
      <c r="BD87" t="s">
        <v>1512</v>
      </c>
      <c r="BH87" s="5" t="str">
        <f t="shared" si="3"/>
        <v/>
      </c>
      <c r="BI87" s="5" t="str">
        <f t="shared" si="4"/>
        <v/>
      </c>
    </row>
    <row r="88" spans="2:61" x14ac:dyDescent="0.35">
      <c r="B88" s="17" t="s">
        <v>2537</v>
      </c>
      <c r="C88" s="21" t="s">
        <v>2080</v>
      </c>
      <c r="D88" s="17" t="s">
        <v>1610</v>
      </c>
      <c r="E88" s="17" t="s">
        <v>2538</v>
      </c>
      <c r="F88" s="18" t="s">
        <v>1558</v>
      </c>
      <c r="G88" s="17" t="s">
        <v>2539</v>
      </c>
      <c r="H88" s="21" t="s">
        <v>2038</v>
      </c>
      <c r="I88" s="21" t="s">
        <v>2020</v>
      </c>
      <c r="J88" s="21" t="s">
        <v>2027</v>
      </c>
      <c r="K88" s="21" t="s">
        <v>2020</v>
      </c>
      <c r="L88" s="21" t="s">
        <v>2027</v>
      </c>
      <c r="M88" s="21" t="s">
        <v>2020</v>
      </c>
      <c r="N88" s="21" t="s">
        <v>2027</v>
      </c>
      <c r="O88" s="21" t="s">
        <v>2025</v>
      </c>
      <c r="P88" s="17" t="s">
        <v>2010</v>
      </c>
      <c r="Q88" s="21" t="s">
        <v>2212</v>
      </c>
      <c r="R88" s="17" t="s">
        <v>2699</v>
      </c>
      <c r="U88" t="s">
        <v>779</v>
      </c>
      <c r="V88" s="7" t="s">
        <v>2035</v>
      </c>
      <c r="W88" t="s">
        <v>1555</v>
      </c>
      <c r="X88" t="s">
        <v>115</v>
      </c>
      <c r="Y88" t="s">
        <v>1558</v>
      </c>
      <c r="Z88" t="s">
        <v>116</v>
      </c>
      <c r="AA88" s="7" t="s">
        <v>2092</v>
      </c>
      <c r="AB88" s="7" t="s">
        <v>2029</v>
      </c>
      <c r="AC88" s="7" t="s">
        <v>2027</v>
      </c>
      <c r="AD88" s="7" t="s">
        <v>2020</v>
      </c>
      <c r="AE88" s="7" t="s">
        <v>2019</v>
      </c>
      <c r="AF88" s="7" t="s">
        <v>2029</v>
      </c>
      <c r="AG88" s="7" t="s">
        <v>2029</v>
      </c>
      <c r="AH88" s="7" t="s">
        <v>2029</v>
      </c>
      <c r="AI88" t="s">
        <v>117</v>
      </c>
      <c r="AJ88" s="7" t="s">
        <v>2209</v>
      </c>
      <c r="AK88" t="s">
        <v>418</v>
      </c>
      <c r="AN88" t="s">
        <v>983</v>
      </c>
      <c r="AO88" s="7" t="s">
        <v>2076</v>
      </c>
      <c r="AP88" t="s">
        <v>1555</v>
      </c>
      <c r="AQ88" t="s">
        <v>695</v>
      </c>
      <c r="AR88" t="s">
        <v>1560</v>
      </c>
      <c r="AS88" t="s">
        <v>984</v>
      </c>
      <c r="AT88" s="7" t="s">
        <v>2159</v>
      </c>
      <c r="AU88" s="7" t="s">
        <v>2027</v>
      </c>
      <c r="AV88" s="7" t="s">
        <v>2027</v>
      </c>
      <c r="AW88" s="7" t="s">
        <v>2025</v>
      </c>
      <c r="AX88" s="7" t="s">
        <v>2025</v>
      </c>
      <c r="AY88" s="7" t="s">
        <v>2020</v>
      </c>
      <c r="AZ88" s="7" t="s">
        <v>2025</v>
      </c>
      <c r="BA88" s="7" t="s">
        <v>2025</v>
      </c>
      <c r="BB88" t="s">
        <v>216</v>
      </c>
      <c r="BC88" s="7" t="s">
        <v>2049</v>
      </c>
      <c r="BD88" t="s">
        <v>530</v>
      </c>
      <c r="BH88" s="5" t="str">
        <f t="shared" si="3"/>
        <v/>
      </c>
      <c r="BI88" s="5" t="str">
        <f t="shared" si="4"/>
        <v/>
      </c>
    </row>
    <row r="89" spans="2:61" x14ac:dyDescent="0.35">
      <c r="B89" s="17" t="s">
        <v>1418</v>
      </c>
      <c r="C89" s="21" t="s">
        <v>2621</v>
      </c>
      <c r="D89" s="17" t="s">
        <v>1557</v>
      </c>
      <c r="E89" s="17" t="s">
        <v>1103</v>
      </c>
      <c r="F89" s="18" t="s">
        <v>1558</v>
      </c>
      <c r="G89" s="17" t="s">
        <v>1361</v>
      </c>
      <c r="H89" s="21" t="s">
        <v>2052</v>
      </c>
      <c r="I89" s="21" t="s">
        <v>2019</v>
      </c>
      <c r="J89" s="21" t="s">
        <v>2019</v>
      </c>
      <c r="K89" s="21" t="s">
        <v>2020</v>
      </c>
      <c r="L89" s="21" t="s">
        <v>2020</v>
      </c>
      <c r="M89" s="21" t="s">
        <v>2019</v>
      </c>
      <c r="N89" s="21" t="s">
        <v>2019</v>
      </c>
      <c r="O89" s="21" t="s">
        <v>2029</v>
      </c>
      <c r="P89" s="17" t="s">
        <v>1362</v>
      </c>
      <c r="Q89" s="21" t="s">
        <v>2220</v>
      </c>
      <c r="R89" s="17" t="s">
        <v>1472</v>
      </c>
      <c r="U89" t="s">
        <v>1375</v>
      </c>
      <c r="V89" s="7" t="s">
        <v>2035</v>
      </c>
      <c r="W89" t="s">
        <v>1555</v>
      </c>
      <c r="X89" t="s">
        <v>812</v>
      </c>
      <c r="Y89" t="s">
        <v>1558</v>
      </c>
      <c r="Z89" t="s">
        <v>813</v>
      </c>
      <c r="AA89" s="7" t="s">
        <v>2125</v>
      </c>
      <c r="AB89" s="7" t="s">
        <v>2027</v>
      </c>
      <c r="AC89" s="7" t="s">
        <v>2027</v>
      </c>
      <c r="AD89" s="7" t="s">
        <v>2025</v>
      </c>
      <c r="AE89" s="7" t="s">
        <v>2027</v>
      </c>
      <c r="AF89" s="7" t="s">
        <v>2027</v>
      </c>
      <c r="AG89" s="7" t="s">
        <v>2027</v>
      </c>
      <c r="AH89" s="7" t="s">
        <v>2027</v>
      </c>
      <c r="AI89" t="s">
        <v>1336</v>
      </c>
      <c r="AJ89" s="7" t="s">
        <v>2149</v>
      </c>
      <c r="AK89" t="s">
        <v>1477</v>
      </c>
      <c r="AN89" t="s">
        <v>986</v>
      </c>
      <c r="AO89" s="7" t="s">
        <v>2076</v>
      </c>
      <c r="AP89" t="s">
        <v>1555</v>
      </c>
      <c r="AQ89" t="s">
        <v>735</v>
      </c>
      <c r="AR89" t="s">
        <v>1560</v>
      </c>
      <c r="AS89" t="s">
        <v>987</v>
      </c>
      <c r="AT89" s="7" t="s">
        <v>2027</v>
      </c>
      <c r="AU89" s="7" t="s">
        <v>2020</v>
      </c>
      <c r="AV89" s="7" t="s">
        <v>2027</v>
      </c>
      <c r="AW89" s="7" t="s">
        <v>2025</v>
      </c>
      <c r="AX89" s="7" t="s">
        <v>2020</v>
      </c>
      <c r="AY89" s="7" t="s">
        <v>2027</v>
      </c>
      <c r="AZ89" s="7" t="s">
        <v>2025</v>
      </c>
      <c r="BA89" s="7" t="s">
        <v>2027</v>
      </c>
      <c r="BB89" t="s">
        <v>218</v>
      </c>
      <c r="BC89" s="7" t="s">
        <v>2104</v>
      </c>
      <c r="BD89" t="s">
        <v>531</v>
      </c>
      <c r="BH89" s="5" t="str">
        <f t="shared" si="3"/>
        <v/>
      </c>
      <c r="BI89" s="5" t="str">
        <f t="shared" si="4"/>
        <v/>
      </c>
    </row>
    <row r="90" spans="2:61" x14ac:dyDescent="0.35">
      <c r="B90" s="17" t="s">
        <v>1417</v>
      </c>
      <c r="C90" s="21" t="s">
        <v>2398</v>
      </c>
      <c r="D90" s="17" t="s">
        <v>1557</v>
      </c>
      <c r="E90" s="17" t="s">
        <v>1434</v>
      </c>
      <c r="F90" s="18" t="s">
        <v>1558</v>
      </c>
      <c r="G90" s="17" t="s">
        <v>1174</v>
      </c>
      <c r="H90" s="21" t="s">
        <v>2031</v>
      </c>
      <c r="I90" s="21" t="s">
        <v>2027</v>
      </c>
      <c r="J90" s="21" t="s">
        <v>2027</v>
      </c>
      <c r="K90" s="21" t="s">
        <v>2020</v>
      </c>
      <c r="L90" s="21" t="s">
        <v>2027</v>
      </c>
      <c r="M90" s="21" t="s">
        <v>2027</v>
      </c>
      <c r="N90" s="21" t="s">
        <v>2020</v>
      </c>
      <c r="O90" s="21" t="s">
        <v>2020</v>
      </c>
      <c r="P90" s="17" t="s">
        <v>1360</v>
      </c>
      <c r="Q90" s="21" t="s">
        <v>2252</v>
      </c>
      <c r="R90" s="17" t="s">
        <v>1471</v>
      </c>
      <c r="U90" t="s">
        <v>906</v>
      </c>
      <c r="V90" s="7" t="s">
        <v>2035</v>
      </c>
      <c r="W90" t="s">
        <v>1555</v>
      </c>
      <c r="X90" t="s">
        <v>907</v>
      </c>
      <c r="Y90" t="s">
        <v>1558</v>
      </c>
      <c r="Z90" t="s">
        <v>908</v>
      </c>
      <c r="AA90" s="7" t="s">
        <v>2092</v>
      </c>
      <c r="AB90" s="7" t="s">
        <v>2019</v>
      </c>
      <c r="AC90" s="7" t="s">
        <v>2020</v>
      </c>
      <c r="AD90" s="7" t="s">
        <v>2019</v>
      </c>
      <c r="AE90" s="7" t="s">
        <v>2029</v>
      </c>
      <c r="AF90" s="7" t="s">
        <v>2029</v>
      </c>
      <c r="AG90" s="7" t="s">
        <v>2020</v>
      </c>
      <c r="AH90" s="7" t="s">
        <v>2029</v>
      </c>
      <c r="AI90" t="s">
        <v>140</v>
      </c>
      <c r="AJ90" s="7" t="s">
        <v>2221</v>
      </c>
      <c r="AK90" t="s">
        <v>435</v>
      </c>
      <c r="AN90" t="s">
        <v>1010</v>
      </c>
      <c r="AO90" s="7" t="s">
        <v>2076</v>
      </c>
      <c r="AP90" t="s">
        <v>1555</v>
      </c>
      <c r="AQ90" t="s">
        <v>1011</v>
      </c>
      <c r="AR90" t="s">
        <v>1560</v>
      </c>
      <c r="AS90" t="s">
        <v>789</v>
      </c>
      <c r="AT90" s="7" t="s">
        <v>2237</v>
      </c>
      <c r="AU90" s="7" t="s">
        <v>2025</v>
      </c>
      <c r="AV90" s="7" t="s">
        <v>2025</v>
      </c>
      <c r="AW90" s="7" t="s">
        <v>2025</v>
      </c>
      <c r="AX90" s="7" t="s">
        <v>2026</v>
      </c>
      <c r="AY90" s="7" t="s">
        <v>2026</v>
      </c>
      <c r="AZ90" s="7" t="s">
        <v>2027</v>
      </c>
      <c r="BA90" s="7" t="s">
        <v>2033</v>
      </c>
      <c r="BB90" t="s">
        <v>232</v>
      </c>
      <c r="BC90" s="7" t="s">
        <v>2133</v>
      </c>
      <c r="BD90" t="s">
        <v>532</v>
      </c>
      <c r="BH90" s="5" t="str">
        <f t="shared" si="3"/>
        <v/>
      </c>
      <c r="BI90" s="5" t="str">
        <f t="shared" si="4"/>
        <v/>
      </c>
    </row>
    <row r="91" spans="2:61" x14ac:dyDescent="0.35">
      <c r="B91" s="17" t="s">
        <v>1284</v>
      </c>
      <c r="C91" s="21" t="s">
        <v>2398</v>
      </c>
      <c r="D91" s="17" t="s">
        <v>57</v>
      </c>
      <c r="E91" s="17" t="s">
        <v>1294</v>
      </c>
      <c r="F91" s="18" t="s">
        <v>1558</v>
      </c>
      <c r="G91" s="17" t="s">
        <v>1305</v>
      </c>
      <c r="H91" s="21" t="s">
        <v>2237</v>
      </c>
      <c r="I91" s="21" t="s">
        <v>2027</v>
      </c>
      <c r="J91" s="21" t="s">
        <v>2027</v>
      </c>
      <c r="K91" s="21" t="s">
        <v>2025</v>
      </c>
      <c r="L91" s="21" t="s">
        <v>2026</v>
      </c>
      <c r="M91" s="21" t="s">
        <v>2033</v>
      </c>
      <c r="N91" s="21" t="s">
        <v>2025</v>
      </c>
      <c r="O91" s="21" t="s">
        <v>2033</v>
      </c>
      <c r="P91" s="17" t="s">
        <v>1224</v>
      </c>
      <c r="Q91" s="21" t="s">
        <v>2137</v>
      </c>
      <c r="R91" s="17" t="s">
        <v>1234</v>
      </c>
      <c r="U91" t="s">
        <v>1080</v>
      </c>
      <c r="V91" s="7" t="s">
        <v>2035</v>
      </c>
      <c r="W91" t="s">
        <v>1555</v>
      </c>
      <c r="X91" t="s">
        <v>659</v>
      </c>
      <c r="Y91" t="s">
        <v>1558</v>
      </c>
      <c r="Z91" t="s">
        <v>264</v>
      </c>
      <c r="AA91" s="7" t="s">
        <v>2159</v>
      </c>
      <c r="AB91" s="7" t="s">
        <v>2025</v>
      </c>
      <c r="AC91" s="7" t="s">
        <v>2025</v>
      </c>
      <c r="AD91" s="7" t="s">
        <v>2025</v>
      </c>
      <c r="AE91" s="7" t="s">
        <v>2027</v>
      </c>
      <c r="AF91" s="7" t="s">
        <v>2027</v>
      </c>
      <c r="AG91" s="7" t="s">
        <v>2020</v>
      </c>
      <c r="AH91" s="7" t="s">
        <v>2025</v>
      </c>
      <c r="AI91" t="s">
        <v>265</v>
      </c>
      <c r="AJ91" s="7" t="s">
        <v>2286</v>
      </c>
      <c r="AK91" t="s">
        <v>475</v>
      </c>
      <c r="AN91" t="s">
        <v>1023</v>
      </c>
      <c r="AO91" s="7" t="s">
        <v>2076</v>
      </c>
      <c r="AP91" t="s">
        <v>1555</v>
      </c>
      <c r="AQ91" t="s">
        <v>1024</v>
      </c>
      <c r="AR91" t="s">
        <v>1560</v>
      </c>
      <c r="AS91" t="s">
        <v>1025</v>
      </c>
      <c r="AT91" s="7" t="s">
        <v>2025</v>
      </c>
      <c r="AU91" s="7" t="s">
        <v>2025</v>
      </c>
      <c r="AV91" s="7" t="s">
        <v>2025</v>
      </c>
      <c r="AW91" s="7" t="s">
        <v>2027</v>
      </c>
      <c r="AX91" s="7" t="s">
        <v>2025</v>
      </c>
      <c r="AY91" s="7" t="s">
        <v>2027</v>
      </c>
      <c r="AZ91" s="7" t="s">
        <v>2025</v>
      </c>
      <c r="BA91" s="7" t="s">
        <v>2033</v>
      </c>
      <c r="BB91" t="s">
        <v>131</v>
      </c>
      <c r="BC91" s="7" t="s">
        <v>2049</v>
      </c>
      <c r="BD91" t="s">
        <v>533</v>
      </c>
      <c r="BH91" s="5" t="str">
        <f t="shared" si="3"/>
        <v/>
      </c>
      <c r="BI91" s="5" t="str">
        <f t="shared" si="4"/>
        <v/>
      </c>
    </row>
    <row r="92" spans="2:61" x14ac:dyDescent="0.35">
      <c r="B92" s="17" t="s">
        <v>1416</v>
      </c>
      <c r="C92" s="21" t="s">
        <v>2590</v>
      </c>
      <c r="D92" s="17" t="s">
        <v>1557</v>
      </c>
      <c r="E92" s="17" t="s">
        <v>1433</v>
      </c>
      <c r="F92" s="18" t="s">
        <v>1558</v>
      </c>
      <c r="G92" s="17" t="s">
        <v>268</v>
      </c>
      <c r="H92" s="21" t="s">
        <v>2058</v>
      </c>
      <c r="I92" s="21" t="s">
        <v>2029</v>
      </c>
      <c r="J92" s="21" t="s">
        <v>2027</v>
      </c>
      <c r="K92" s="21" t="s">
        <v>2026</v>
      </c>
      <c r="L92" s="21" t="s">
        <v>2025</v>
      </c>
      <c r="M92" s="21" t="s">
        <v>2027</v>
      </c>
      <c r="N92" s="21" t="s">
        <v>2027</v>
      </c>
      <c r="O92" s="21" t="s">
        <v>2026</v>
      </c>
      <c r="P92" s="17" t="s">
        <v>196</v>
      </c>
      <c r="Q92" s="21" t="s">
        <v>2199</v>
      </c>
      <c r="R92" s="17" t="s">
        <v>1470</v>
      </c>
      <c r="U92" t="s">
        <v>1126</v>
      </c>
      <c r="V92" s="7" t="s">
        <v>2035</v>
      </c>
      <c r="W92" t="s">
        <v>1555</v>
      </c>
      <c r="X92" t="s">
        <v>748</v>
      </c>
      <c r="Y92" t="s">
        <v>1558</v>
      </c>
      <c r="Z92" t="s">
        <v>195</v>
      </c>
      <c r="AA92" s="7" t="s">
        <v>2090</v>
      </c>
      <c r="AB92" s="7" t="s">
        <v>2027</v>
      </c>
      <c r="AC92" s="7" t="s">
        <v>2025</v>
      </c>
      <c r="AD92" s="7" t="s">
        <v>2025</v>
      </c>
      <c r="AE92" s="7" t="s">
        <v>2027</v>
      </c>
      <c r="AF92" s="7" t="s">
        <v>2019</v>
      </c>
      <c r="AG92" s="7" t="s">
        <v>2019</v>
      </c>
      <c r="AH92" s="7" t="s">
        <v>2025</v>
      </c>
      <c r="AI92" t="s">
        <v>196</v>
      </c>
      <c r="AJ92" s="7" t="s">
        <v>2112</v>
      </c>
      <c r="AK92" t="s">
        <v>486</v>
      </c>
      <c r="AN92" t="s">
        <v>1026</v>
      </c>
      <c r="AO92" s="7" t="s">
        <v>2076</v>
      </c>
      <c r="AP92" t="s">
        <v>1555</v>
      </c>
      <c r="AQ92" t="s">
        <v>1027</v>
      </c>
      <c r="AR92" t="s">
        <v>1560</v>
      </c>
      <c r="AS92" t="s">
        <v>1028</v>
      </c>
      <c r="AT92" s="7" t="s">
        <v>2020</v>
      </c>
      <c r="AU92" s="7" t="s">
        <v>2020</v>
      </c>
      <c r="AV92" s="7" t="s">
        <v>2020</v>
      </c>
      <c r="AW92" s="7" t="s">
        <v>2027</v>
      </c>
      <c r="AX92" s="7" t="s">
        <v>2020</v>
      </c>
      <c r="AY92" s="7" t="s">
        <v>2019</v>
      </c>
      <c r="AZ92" s="7" t="s">
        <v>2020</v>
      </c>
      <c r="BA92" s="7" t="s">
        <v>2020</v>
      </c>
      <c r="BB92" t="s">
        <v>238</v>
      </c>
      <c r="BC92" s="7" t="s">
        <v>2049</v>
      </c>
      <c r="BD92" t="s">
        <v>534</v>
      </c>
      <c r="BH92" s="5" t="str">
        <f t="shared" si="3"/>
        <v/>
      </c>
      <c r="BI92" s="5" t="str">
        <f t="shared" si="4"/>
        <v/>
      </c>
    </row>
    <row r="93" spans="2:61" x14ac:dyDescent="0.35">
      <c r="B93" s="16" t="s">
        <v>1172</v>
      </c>
      <c r="C93" s="22" t="s">
        <v>2590</v>
      </c>
      <c r="D93" s="16" t="s">
        <v>1557</v>
      </c>
      <c r="E93" s="16" t="s">
        <v>1173</v>
      </c>
      <c r="F93" s="25" t="s">
        <v>1558</v>
      </c>
      <c r="G93" s="16" t="s">
        <v>1174</v>
      </c>
      <c r="H93" s="22" t="s">
        <v>2314</v>
      </c>
      <c r="I93" s="22" t="s">
        <v>2141</v>
      </c>
      <c r="J93" s="22" t="s">
        <v>2019</v>
      </c>
      <c r="K93" s="22" t="s">
        <v>2019</v>
      </c>
      <c r="L93" s="22" t="s">
        <v>2019</v>
      </c>
      <c r="M93" s="22" t="s">
        <v>2022</v>
      </c>
      <c r="N93" s="22" t="s">
        <v>2141</v>
      </c>
      <c r="O93" s="22" t="s">
        <v>2022</v>
      </c>
      <c r="P93" s="16" t="s">
        <v>266</v>
      </c>
      <c r="Q93" s="22" t="s">
        <v>2085</v>
      </c>
      <c r="R93" s="16" t="s">
        <v>398</v>
      </c>
      <c r="U93" t="s">
        <v>1137</v>
      </c>
      <c r="V93" s="7" t="s">
        <v>2035</v>
      </c>
      <c r="W93" t="s">
        <v>1555</v>
      </c>
      <c r="X93" t="s">
        <v>1138</v>
      </c>
      <c r="Y93" t="s">
        <v>1558</v>
      </c>
      <c r="Z93" t="s">
        <v>1139</v>
      </c>
      <c r="AA93" s="7" t="s">
        <v>2027</v>
      </c>
      <c r="AB93" s="7" t="s">
        <v>2025</v>
      </c>
      <c r="AC93" s="7" t="s">
        <v>2027</v>
      </c>
      <c r="AD93" s="7" t="s">
        <v>2027</v>
      </c>
      <c r="AE93" s="7" t="s">
        <v>2027</v>
      </c>
      <c r="AF93" s="7" t="s">
        <v>2027</v>
      </c>
      <c r="AG93" s="7" t="s">
        <v>2020</v>
      </c>
      <c r="AH93" s="7" t="s">
        <v>2027</v>
      </c>
      <c r="AI93" t="s">
        <v>296</v>
      </c>
      <c r="AJ93" s="7" t="s">
        <v>2015</v>
      </c>
      <c r="AK93" t="s">
        <v>490</v>
      </c>
      <c r="AN93" t="s">
        <v>1051</v>
      </c>
      <c r="AO93" s="7" t="s">
        <v>2076</v>
      </c>
      <c r="AP93" t="s">
        <v>1555</v>
      </c>
      <c r="AQ93" t="s">
        <v>675</v>
      </c>
      <c r="AR93" t="s">
        <v>1560</v>
      </c>
      <c r="AS93" t="s">
        <v>1019</v>
      </c>
      <c r="AT93" s="7" t="s">
        <v>2038</v>
      </c>
      <c r="AU93" s="7" t="s">
        <v>2020</v>
      </c>
      <c r="AV93" s="7" t="s">
        <v>2020</v>
      </c>
      <c r="AW93" s="7" t="s">
        <v>2020</v>
      </c>
      <c r="AX93" s="7" t="s">
        <v>2027</v>
      </c>
      <c r="AY93" s="7" t="s">
        <v>2027</v>
      </c>
      <c r="AZ93" s="7" t="s">
        <v>2027</v>
      </c>
      <c r="BA93" s="7" t="s">
        <v>2025</v>
      </c>
      <c r="BB93" t="s">
        <v>247</v>
      </c>
      <c r="BC93" s="7" t="s">
        <v>2155</v>
      </c>
      <c r="BD93" t="s">
        <v>535</v>
      </c>
      <c r="BH93" s="5" t="str">
        <f t="shared" si="3"/>
        <v/>
      </c>
      <c r="BI93" s="5" t="str">
        <f t="shared" si="4"/>
        <v/>
      </c>
    </row>
    <row r="94" spans="2:61" x14ac:dyDescent="0.35">
      <c r="B94" s="17" t="s">
        <v>2309</v>
      </c>
      <c r="C94" s="21" t="s">
        <v>2140</v>
      </c>
      <c r="D94" s="17" t="s">
        <v>1557</v>
      </c>
      <c r="E94" s="17" t="s">
        <v>2310</v>
      </c>
      <c r="F94" s="18" t="s">
        <v>1558</v>
      </c>
      <c r="G94" s="17" t="s">
        <v>1174</v>
      </c>
      <c r="H94" s="21" t="s">
        <v>2027</v>
      </c>
      <c r="I94" s="21" t="s">
        <v>2020</v>
      </c>
      <c r="J94" s="21" t="s">
        <v>2027</v>
      </c>
      <c r="K94" s="21" t="s">
        <v>2027</v>
      </c>
      <c r="L94" s="21" t="s">
        <v>2020</v>
      </c>
      <c r="M94" s="21" t="s">
        <v>2025</v>
      </c>
      <c r="N94" s="21" t="s">
        <v>2020</v>
      </c>
      <c r="O94" s="21" t="s">
        <v>2026</v>
      </c>
      <c r="P94" s="17" t="s">
        <v>2006</v>
      </c>
      <c r="Q94" s="21" t="s">
        <v>2151</v>
      </c>
      <c r="R94" s="17" t="s">
        <v>2700</v>
      </c>
      <c r="U94" t="s">
        <v>1147</v>
      </c>
      <c r="V94" s="7" t="s">
        <v>2035</v>
      </c>
      <c r="W94" t="s">
        <v>1555</v>
      </c>
      <c r="X94" t="s">
        <v>695</v>
      </c>
      <c r="Y94" t="s">
        <v>1558</v>
      </c>
      <c r="Z94" t="s">
        <v>1146</v>
      </c>
      <c r="AA94" s="7" t="s">
        <v>2058</v>
      </c>
      <c r="AB94" s="7" t="s">
        <v>2027</v>
      </c>
      <c r="AC94" s="7" t="s">
        <v>2027</v>
      </c>
      <c r="AD94" s="7" t="s">
        <v>2027</v>
      </c>
      <c r="AE94" s="7" t="s">
        <v>2025</v>
      </c>
      <c r="AF94" s="7" t="s">
        <v>2027</v>
      </c>
      <c r="AG94" s="7" t="s">
        <v>2027</v>
      </c>
      <c r="AH94" s="7" t="s">
        <v>2025</v>
      </c>
      <c r="AI94" t="s">
        <v>189</v>
      </c>
      <c r="AJ94" s="7" t="s">
        <v>2212</v>
      </c>
      <c r="AK94" t="s">
        <v>494</v>
      </c>
      <c r="AN94" t="s">
        <v>1060</v>
      </c>
      <c r="AO94" s="7" t="s">
        <v>2076</v>
      </c>
      <c r="AP94" t="s">
        <v>1555</v>
      </c>
      <c r="AQ94" t="s">
        <v>735</v>
      </c>
      <c r="AR94" t="s">
        <v>1560</v>
      </c>
      <c r="AS94" t="s">
        <v>250</v>
      </c>
      <c r="AT94" s="7" t="s">
        <v>2063</v>
      </c>
      <c r="AU94" s="7" t="s">
        <v>2026</v>
      </c>
      <c r="AV94" s="7" t="s">
        <v>2027</v>
      </c>
      <c r="AW94" s="7" t="s">
        <v>2027</v>
      </c>
      <c r="AX94" s="7" t="s">
        <v>2027</v>
      </c>
      <c r="AY94" s="7" t="s">
        <v>2027</v>
      </c>
      <c r="AZ94" s="7" t="s">
        <v>2026</v>
      </c>
      <c r="BA94" s="7" t="s">
        <v>2026</v>
      </c>
      <c r="BB94" t="s">
        <v>251</v>
      </c>
      <c r="BC94" s="7" t="s">
        <v>2114</v>
      </c>
      <c r="BD94" t="s">
        <v>536</v>
      </c>
      <c r="BH94" s="5" t="str">
        <f t="shared" si="3"/>
        <v/>
      </c>
      <c r="BI94" s="5" t="str">
        <f t="shared" si="4"/>
        <v/>
      </c>
    </row>
    <row r="95" spans="2:61" x14ac:dyDescent="0.35">
      <c r="B95" s="17" t="s">
        <v>1365</v>
      </c>
      <c r="C95" s="21" t="s">
        <v>2032</v>
      </c>
      <c r="D95" s="17" t="s">
        <v>1557</v>
      </c>
      <c r="E95" s="17" t="s">
        <v>1422</v>
      </c>
      <c r="F95" s="18" t="s">
        <v>1558</v>
      </c>
      <c r="G95" s="17" t="s">
        <v>1435</v>
      </c>
      <c r="H95" s="21" t="s">
        <v>2031</v>
      </c>
      <c r="I95" s="21" t="s">
        <v>2019</v>
      </c>
      <c r="J95" s="21" t="s">
        <v>2019</v>
      </c>
      <c r="K95" s="21" t="s">
        <v>2027</v>
      </c>
      <c r="L95" s="21" t="s">
        <v>2027</v>
      </c>
      <c r="M95" s="21" t="s">
        <v>2020</v>
      </c>
      <c r="N95" s="21" t="s">
        <v>2020</v>
      </c>
      <c r="O95" s="21" t="s">
        <v>2033</v>
      </c>
      <c r="P95" s="17" t="s">
        <v>1330</v>
      </c>
      <c r="Q95" s="21" t="s">
        <v>2034</v>
      </c>
      <c r="R95" s="17" t="s">
        <v>1465</v>
      </c>
      <c r="U95" t="s">
        <v>1627</v>
      </c>
      <c r="V95" s="7" t="s">
        <v>2035</v>
      </c>
      <c r="W95" t="s">
        <v>1555</v>
      </c>
      <c r="X95" t="s">
        <v>716</v>
      </c>
      <c r="Y95" t="s">
        <v>1558</v>
      </c>
      <c r="Z95" t="s">
        <v>1628</v>
      </c>
      <c r="AA95" s="7" t="s">
        <v>2070</v>
      </c>
      <c r="AB95" s="7" t="s">
        <v>2027</v>
      </c>
      <c r="AC95" s="7" t="s">
        <v>2027</v>
      </c>
      <c r="AD95" s="7" t="s">
        <v>2020</v>
      </c>
      <c r="AE95" s="7" t="s">
        <v>2020</v>
      </c>
      <c r="AF95" s="7" t="s">
        <v>2020</v>
      </c>
      <c r="AG95" s="7" t="s">
        <v>2020</v>
      </c>
      <c r="AH95" s="7" t="s">
        <v>2020</v>
      </c>
      <c r="AI95" t="s">
        <v>1553</v>
      </c>
      <c r="AJ95" s="7" t="s">
        <v>2059</v>
      </c>
      <c r="AK95" t="s">
        <v>1639</v>
      </c>
      <c r="AN95" t="s">
        <v>1414</v>
      </c>
      <c r="AO95" s="7" t="s">
        <v>2076</v>
      </c>
      <c r="AP95" t="s">
        <v>1555</v>
      </c>
      <c r="AQ95" t="s">
        <v>869</v>
      </c>
      <c r="AR95" t="s">
        <v>1560</v>
      </c>
      <c r="AS95" t="s">
        <v>1299</v>
      </c>
      <c r="AT95" s="7" t="s">
        <v>2125</v>
      </c>
      <c r="AU95" s="7" t="s">
        <v>2025</v>
      </c>
      <c r="AV95" s="7" t="s">
        <v>2025</v>
      </c>
      <c r="AW95" s="7" t="s">
        <v>2026</v>
      </c>
      <c r="AX95" s="7" t="s">
        <v>2027</v>
      </c>
      <c r="AY95" s="7" t="s">
        <v>2020</v>
      </c>
      <c r="AZ95" s="7" t="s">
        <v>2020</v>
      </c>
      <c r="BA95" s="7" t="s">
        <v>2020</v>
      </c>
      <c r="BB95" t="s">
        <v>1359</v>
      </c>
      <c r="BC95" s="7" t="s">
        <v>2133</v>
      </c>
      <c r="BD95" t="s">
        <v>1523</v>
      </c>
      <c r="BH95" s="5" t="str">
        <f t="shared" si="3"/>
        <v/>
      </c>
      <c r="BI95" s="5" t="str">
        <f t="shared" si="4"/>
        <v/>
      </c>
    </row>
    <row r="96" spans="2:61" x14ac:dyDescent="0.35">
      <c r="B96" s="17" t="s">
        <v>1181</v>
      </c>
      <c r="C96" s="21" t="s">
        <v>2687</v>
      </c>
      <c r="D96" s="17" t="s">
        <v>57</v>
      </c>
      <c r="E96" s="17" t="s">
        <v>1182</v>
      </c>
      <c r="F96" s="18" t="s">
        <v>1558</v>
      </c>
      <c r="G96" s="17" t="s">
        <v>1183</v>
      </c>
      <c r="H96" s="21" t="s">
        <v>2024</v>
      </c>
      <c r="I96" s="21" t="s">
        <v>2029</v>
      </c>
      <c r="J96" s="21" t="s">
        <v>2025</v>
      </c>
      <c r="K96" s="21" t="s">
        <v>2025</v>
      </c>
      <c r="L96" s="21" t="s">
        <v>2025</v>
      </c>
      <c r="M96" s="21" t="s">
        <v>2027</v>
      </c>
      <c r="N96" s="21" t="s">
        <v>2025</v>
      </c>
      <c r="O96" s="21" t="s">
        <v>2033</v>
      </c>
      <c r="P96" s="17" t="s">
        <v>311</v>
      </c>
      <c r="Q96" s="21" t="s">
        <v>2169</v>
      </c>
      <c r="R96" s="17" t="s">
        <v>399</v>
      </c>
      <c r="U96" t="s">
        <v>666</v>
      </c>
      <c r="V96" s="7" t="s">
        <v>2066</v>
      </c>
      <c r="W96" t="s">
        <v>1555</v>
      </c>
      <c r="X96" t="s">
        <v>665</v>
      </c>
      <c r="Y96" t="s">
        <v>1558</v>
      </c>
      <c r="Z96" t="s">
        <v>62</v>
      </c>
      <c r="AA96" s="7" t="s">
        <v>2063</v>
      </c>
      <c r="AB96" s="7" t="s">
        <v>2025</v>
      </c>
      <c r="AC96" s="7" t="s">
        <v>2026</v>
      </c>
      <c r="AD96" s="7" t="s">
        <v>2026</v>
      </c>
      <c r="AE96" s="7" t="s">
        <v>2025</v>
      </c>
      <c r="AF96" s="7" t="s">
        <v>2020</v>
      </c>
      <c r="AG96" s="7" t="s">
        <v>2027</v>
      </c>
      <c r="AH96" s="7" t="s">
        <v>2025</v>
      </c>
      <c r="AI96" t="s">
        <v>64</v>
      </c>
      <c r="AJ96" s="7" t="s">
        <v>2067</v>
      </c>
      <c r="AK96" t="s">
        <v>403</v>
      </c>
      <c r="AN96" t="s">
        <v>1279</v>
      </c>
      <c r="AO96" s="7" t="s">
        <v>2076</v>
      </c>
      <c r="AP96" t="s">
        <v>1555</v>
      </c>
      <c r="AQ96" t="s">
        <v>1293</v>
      </c>
      <c r="AR96" t="s">
        <v>1560</v>
      </c>
      <c r="AS96" t="s">
        <v>1304</v>
      </c>
      <c r="AT96" s="7" t="s">
        <v>2177</v>
      </c>
      <c r="AU96" s="7" t="s">
        <v>2019</v>
      </c>
      <c r="AV96" s="7" t="s">
        <v>2019</v>
      </c>
      <c r="AW96" s="7" t="s">
        <v>2020</v>
      </c>
      <c r="AX96" s="7" t="s">
        <v>2027</v>
      </c>
      <c r="AY96" s="7" t="s">
        <v>2141</v>
      </c>
      <c r="AZ96" s="7" t="s">
        <v>2029</v>
      </c>
      <c r="BA96" s="7" t="s">
        <v>2141</v>
      </c>
      <c r="BB96" t="s">
        <v>1219</v>
      </c>
      <c r="BC96" s="7" t="s">
        <v>2339</v>
      </c>
      <c r="BD96" t="s">
        <v>1250</v>
      </c>
      <c r="BH96" s="5" t="str">
        <f t="shared" si="3"/>
        <v/>
      </c>
      <c r="BI96" s="5" t="str">
        <f t="shared" si="4"/>
        <v/>
      </c>
    </row>
    <row r="97" spans="21:61" x14ac:dyDescent="0.35">
      <c r="U97" t="s">
        <v>803</v>
      </c>
      <c r="V97" s="7" t="s">
        <v>2066</v>
      </c>
      <c r="W97" t="s">
        <v>1555</v>
      </c>
      <c r="X97" t="s">
        <v>732</v>
      </c>
      <c r="Y97" t="s">
        <v>1558</v>
      </c>
      <c r="Z97" t="s">
        <v>802</v>
      </c>
      <c r="AA97" s="7" t="s">
        <v>2031</v>
      </c>
      <c r="AB97" s="7" t="s">
        <v>2027</v>
      </c>
      <c r="AC97" s="7" t="s">
        <v>2027</v>
      </c>
      <c r="AD97" s="7" t="s">
        <v>2025</v>
      </c>
      <c r="AE97" s="7" t="s">
        <v>2027</v>
      </c>
      <c r="AF97" s="7" t="s">
        <v>2019</v>
      </c>
      <c r="AG97" s="7" t="s">
        <v>2020</v>
      </c>
      <c r="AH97" s="7" t="s">
        <v>2020</v>
      </c>
      <c r="AI97" t="s">
        <v>126</v>
      </c>
      <c r="AJ97" s="7" t="s">
        <v>2182</v>
      </c>
      <c r="AK97" t="s">
        <v>419</v>
      </c>
      <c r="AN97" t="s">
        <v>1323</v>
      </c>
      <c r="AO97" s="7" t="s">
        <v>2076</v>
      </c>
      <c r="AP97" t="s">
        <v>1555</v>
      </c>
      <c r="AQ97" t="s">
        <v>1432</v>
      </c>
      <c r="AR97" t="s">
        <v>1560</v>
      </c>
      <c r="AS97" t="s">
        <v>1462</v>
      </c>
      <c r="AT97" s="7" t="s">
        <v>2111</v>
      </c>
      <c r="AU97" s="7" t="s">
        <v>2020</v>
      </c>
      <c r="AV97" s="7" t="s">
        <v>2027</v>
      </c>
      <c r="AW97" s="7" t="s">
        <v>2020</v>
      </c>
      <c r="AX97" s="7" t="s">
        <v>2020</v>
      </c>
      <c r="AY97" s="7" t="s">
        <v>2019</v>
      </c>
      <c r="AZ97" s="7" t="s">
        <v>2019</v>
      </c>
      <c r="BA97" s="7" t="s">
        <v>2019</v>
      </c>
      <c r="BB97" t="s">
        <v>1324</v>
      </c>
      <c r="BC97" s="7" t="s">
        <v>2104</v>
      </c>
      <c r="BD97" t="s">
        <v>1525</v>
      </c>
      <c r="BH97" s="5" t="str">
        <f t="shared" si="3"/>
        <v/>
      </c>
      <c r="BI97" s="5" t="str">
        <f t="shared" si="4"/>
        <v/>
      </c>
    </row>
    <row r="98" spans="21:61" x14ac:dyDescent="0.35">
      <c r="U98" t="s">
        <v>1261</v>
      </c>
      <c r="V98" s="7" t="s">
        <v>2066</v>
      </c>
      <c r="W98" t="s">
        <v>1555</v>
      </c>
      <c r="X98" t="s">
        <v>1287</v>
      </c>
      <c r="Y98" t="s">
        <v>1558</v>
      </c>
      <c r="Z98" t="s">
        <v>1192</v>
      </c>
      <c r="AA98" s="7" t="s">
        <v>2245</v>
      </c>
      <c r="AB98" s="7" t="s">
        <v>2026</v>
      </c>
      <c r="AC98" s="7" t="s">
        <v>2026</v>
      </c>
      <c r="AD98" s="7" t="s">
        <v>2026</v>
      </c>
      <c r="AE98" s="7" t="s">
        <v>2025</v>
      </c>
      <c r="AF98" s="7" t="s">
        <v>2026</v>
      </c>
      <c r="AG98" s="7" t="s">
        <v>2033</v>
      </c>
      <c r="AH98" s="7" t="s">
        <v>2033</v>
      </c>
      <c r="AI98" t="s">
        <v>1193</v>
      </c>
      <c r="AJ98" s="7" t="s">
        <v>2204</v>
      </c>
      <c r="AK98" t="s">
        <v>1243</v>
      </c>
      <c r="AN98" t="s">
        <v>1748</v>
      </c>
      <c r="AO98" s="7" t="s">
        <v>2076</v>
      </c>
      <c r="AP98" t="s">
        <v>1555</v>
      </c>
      <c r="AQ98" t="s">
        <v>1749</v>
      </c>
      <c r="AR98" t="s">
        <v>1560</v>
      </c>
      <c r="AS98" t="s">
        <v>1750</v>
      </c>
      <c r="AT98" s="7" t="s">
        <v>2038</v>
      </c>
      <c r="AU98" s="7" t="s">
        <v>2020</v>
      </c>
      <c r="AV98" s="7" t="s">
        <v>2027</v>
      </c>
      <c r="AW98" s="7" t="s">
        <v>2027</v>
      </c>
      <c r="AX98" s="7" t="s">
        <v>2027</v>
      </c>
      <c r="AY98" s="7" t="s">
        <v>2020</v>
      </c>
      <c r="AZ98" s="7" t="s">
        <v>2027</v>
      </c>
      <c r="BA98" s="7" t="s">
        <v>2027</v>
      </c>
      <c r="BB98" t="s">
        <v>1676</v>
      </c>
      <c r="BC98" s="7" t="s">
        <v>2155</v>
      </c>
      <c r="BD98" t="s">
        <v>1706</v>
      </c>
      <c r="BH98" s="5" t="str">
        <f t="shared" si="3"/>
        <v/>
      </c>
      <c r="BI98" s="5" t="str">
        <f t="shared" si="4"/>
        <v/>
      </c>
    </row>
    <row r="99" spans="21:61" x14ac:dyDescent="0.35">
      <c r="U99" t="s">
        <v>1909</v>
      </c>
      <c r="V99" s="7" t="s">
        <v>2066</v>
      </c>
      <c r="W99" t="s">
        <v>1555</v>
      </c>
      <c r="X99" t="s">
        <v>695</v>
      </c>
      <c r="Y99" t="s">
        <v>1558</v>
      </c>
      <c r="Z99" t="s">
        <v>725</v>
      </c>
      <c r="AA99" s="7" t="s">
        <v>2070</v>
      </c>
      <c r="AB99" s="7" t="s">
        <v>2020</v>
      </c>
      <c r="AC99" s="7" t="s">
        <v>2020</v>
      </c>
      <c r="AD99" s="7" t="s">
        <v>2025</v>
      </c>
      <c r="AE99" s="7" t="s">
        <v>2020</v>
      </c>
      <c r="AF99" s="7" t="s">
        <v>2020</v>
      </c>
      <c r="AG99" s="7" t="s">
        <v>2020</v>
      </c>
      <c r="AH99" s="7" t="s">
        <v>2020</v>
      </c>
      <c r="AI99" t="s">
        <v>1880</v>
      </c>
      <c r="AJ99" s="7" t="s">
        <v>2216</v>
      </c>
      <c r="AK99" t="s">
        <v>1927</v>
      </c>
      <c r="AN99" t="s">
        <v>1283</v>
      </c>
      <c r="AO99" s="7" t="s">
        <v>2076</v>
      </c>
      <c r="AP99" t="s">
        <v>1555</v>
      </c>
      <c r="AQ99" t="s">
        <v>1297</v>
      </c>
      <c r="AR99" t="s">
        <v>1560</v>
      </c>
      <c r="AS99" t="s">
        <v>1306</v>
      </c>
      <c r="AT99" s="7" t="s">
        <v>2111</v>
      </c>
      <c r="AU99" s="7" t="s">
        <v>2029</v>
      </c>
      <c r="AV99" s="7" t="s">
        <v>2029</v>
      </c>
      <c r="AW99" s="7" t="s">
        <v>2027</v>
      </c>
      <c r="AX99" s="7" t="s">
        <v>2027</v>
      </c>
      <c r="AY99" s="7" t="s">
        <v>2029</v>
      </c>
      <c r="AZ99" s="7" t="s">
        <v>2025</v>
      </c>
      <c r="BA99" s="7" t="s">
        <v>2020</v>
      </c>
      <c r="BB99" t="s">
        <v>145</v>
      </c>
      <c r="BC99" s="7" t="s">
        <v>2292</v>
      </c>
      <c r="BD99" t="s">
        <v>1251</v>
      </c>
      <c r="BH99" s="5" t="str">
        <f t="shared" si="3"/>
        <v/>
      </c>
      <c r="BI99" s="5" t="str">
        <f t="shared" si="4"/>
        <v/>
      </c>
    </row>
    <row r="100" spans="21:61" x14ac:dyDescent="0.35">
      <c r="U100" t="s">
        <v>1029</v>
      </c>
      <c r="V100" s="7" t="s">
        <v>2066</v>
      </c>
      <c r="W100" t="s">
        <v>1555</v>
      </c>
      <c r="X100" t="s">
        <v>1030</v>
      </c>
      <c r="Y100" t="s">
        <v>1558</v>
      </c>
      <c r="Z100" t="s">
        <v>1031</v>
      </c>
      <c r="AA100" s="7" t="s">
        <v>2143</v>
      </c>
      <c r="AB100" s="7" t="s">
        <v>2026</v>
      </c>
      <c r="AC100" s="7" t="s">
        <v>2033</v>
      </c>
      <c r="AD100" s="7" t="s">
        <v>2033</v>
      </c>
      <c r="AE100" s="7" t="s">
        <v>2027</v>
      </c>
      <c r="AF100" s="7" t="s">
        <v>2020</v>
      </c>
      <c r="AG100" s="7" t="s">
        <v>2026</v>
      </c>
      <c r="AH100" s="7" t="s">
        <v>2033</v>
      </c>
      <c r="AI100" t="s">
        <v>239</v>
      </c>
      <c r="AJ100" s="7" t="s">
        <v>2226</v>
      </c>
      <c r="AK100" t="s">
        <v>466</v>
      </c>
      <c r="AN100" t="s">
        <v>1148</v>
      </c>
      <c r="AO100" s="7" t="s">
        <v>2076</v>
      </c>
      <c r="AP100" t="s">
        <v>1555</v>
      </c>
      <c r="AQ100" t="s">
        <v>1149</v>
      </c>
      <c r="AR100" t="s">
        <v>1560</v>
      </c>
      <c r="AS100" t="s">
        <v>685</v>
      </c>
      <c r="AT100" s="7" t="s">
        <v>2052</v>
      </c>
      <c r="AU100" s="7" t="s">
        <v>2019</v>
      </c>
      <c r="AV100" s="7" t="s">
        <v>2020</v>
      </c>
      <c r="AW100" s="7" t="s">
        <v>2019</v>
      </c>
      <c r="AX100" s="7" t="s">
        <v>2019</v>
      </c>
      <c r="AY100" s="7" t="s">
        <v>2029</v>
      </c>
      <c r="AZ100" s="7" t="s">
        <v>2020</v>
      </c>
      <c r="BA100" s="7" t="s">
        <v>2019</v>
      </c>
      <c r="BB100" t="s">
        <v>157</v>
      </c>
      <c r="BC100" s="7" t="s">
        <v>2049</v>
      </c>
      <c r="BD100" t="s">
        <v>537</v>
      </c>
      <c r="BH100" s="5" t="str">
        <f t="shared" si="3"/>
        <v/>
      </c>
      <c r="BI100" s="5" t="str">
        <f t="shared" si="4"/>
        <v/>
      </c>
    </row>
    <row r="101" spans="21:61" x14ac:dyDescent="0.35">
      <c r="U101" t="s">
        <v>1067</v>
      </c>
      <c r="V101" s="7" t="s">
        <v>2066</v>
      </c>
      <c r="W101" t="s">
        <v>1555</v>
      </c>
      <c r="X101" t="s">
        <v>695</v>
      </c>
      <c r="Y101" t="s">
        <v>1558</v>
      </c>
      <c r="Z101" t="s">
        <v>946</v>
      </c>
      <c r="AA101" s="7" t="s">
        <v>2063</v>
      </c>
      <c r="AB101" s="7" t="s">
        <v>2027</v>
      </c>
      <c r="AC101" s="7" t="s">
        <v>2025</v>
      </c>
      <c r="AD101" s="7" t="s">
        <v>2027</v>
      </c>
      <c r="AE101" s="7" t="s">
        <v>2025</v>
      </c>
      <c r="AF101" s="7" t="s">
        <v>2027</v>
      </c>
      <c r="AG101" s="7" t="s">
        <v>2026</v>
      </c>
      <c r="AH101" s="7" t="s">
        <v>2026</v>
      </c>
      <c r="AI101" t="s">
        <v>255</v>
      </c>
      <c r="AJ101" s="7" t="s">
        <v>2208</v>
      </c>
      <c r="AK101" t="s">
        <v>470</v>
      </c>
      <c r="AN101" t="s">
        <v>1971</v>
      </c>
      <c r="AO101" s="7" t="s">
        <v>2076</v>
      </c>
      <c r="AP101" t="s">
        <v>1555</v>
      </c>
      <c r="AQ101" t="s">
        <v>1981</v>
      </c>
      <c r="AR101" t="s">
        <v>1560</v>
      </c>
      <c r="AS101" t="s">
        <v>940</v>
      </c>
      <c r="AT101" s="7" t="s">
        <v>2070</v>
      </c>
      <c r="AU101" s="7" t="s">
        <v>2025</v>
      </c>
      <c r="AV101" s="7" t="s">
        <v>2027</v>
      </c>
      <c r="AW101" s="7" t="s">
        <v>2020</v>
      </c>
      <c r="AX101" s="7" t="s">
        <v>2019</v>
      </c>
      <c r="AY101" s="7" t="s">
        <v>2019</v>
      </c>
      <c r="AZ101" s="7" t="s">
        <v>2020</v>
      </c>
      <c r="BA101" s="7" t="s">
        <v>2027</v>
      </c>
      <c r="BB101" t="s">
        <v>1955</v>
      </c>
      <c r="BC101" s="7" t="s">
        <v>2049</v>
      </c>
      <c r="BD101" t="s">
        <v>1994</v>
      </c>
      <c r="BH101" s="5" t="str">
        <f t="shared" si="3"/>
        <v/>
      </c>
      <c r="BI101" s="5" t="str">
        <f t="shared" si="4"/>
        <v/>
      </c>
    </row>
    <row r="102" spans="21:61" x14ac:dyDescent="0.35">
      <c r="U102" t="s">
        <v>1413</v>
      </c>
      <c r="V102" s="7" t="s">
        <v>2066</v>
      </c>
      <c r="W102" t="s">
        <v>1555</v>
      </c>
      <c r="X102" t="s">
        <v>732</v>
      </c>
      <c r="Y102" t="s">
        <v>1558</v>
      </c>
      <c r="Z102" t="s">
        <v>1461</v>
      </c>
      <c r="AA102" s="7" t="s">
        <v>2125</v>
      </c>
      <c r="AB102" s="7" t="s">
        <v>2027</v>
      </c>
      <c r="AC102" s="7" t="s">
        <v>2027</v>
      </c>
      <c r="AD102" s="7" t="s">
        <v>2027</v>
      </c>
      <c r="AE102" s="7" t="s">
        <v>2025</v>
      </c>
      <c r="AF102" s="7" t="s">
        <v>2027</v>
      </c>
      <c r="AG102" s="7" t="s">
        <v>2020</v>
      </c>
      <c r="AH102" s="7" t="s">
        <v>2025</v>
      </c>
      <c r="AI102" t="s">
        <v>1322</v>
      </c>
      <c r="AJ102" s="7" t="s">
        <v>2178</v>
      </c>
      <c r="AK102" t="s">
        <v>1492</v>
      </c>
      <c r="AN102" t="s">
        <v>1367</v>
      </c>
      <c r="AO102" s="7" t="s">
        <v>2102</v>
      </c>
      <c r="AP102" t="s">
        <v>1555</v>
      </c>
      <c r="AQ102" t="s">
        <v>1086</v>
      </c>
      <c r="AR102" t="s">
        <v>1560</v>
      </c>
      <c r="AS102" t="s">
        <v>784</v>
      </c>
      <c r="AT102" s="7" t="s">
        <v>2103</v>
      </c>
      <c r="AU102" s="7" t="s">
        <v>2025</v>
      </c>
      <c r="AV102" s="7" t="s">
        <v>2027</v>
      </c>
      <c r="AW102" s="7" t="s">
        <v>2025</v>
      </c>
      <c r="AX102" s="7" t="s">
        <v>2027</v>
      </c>
      <c r="AY102" s="7" t="s">
        <v>2025</v>
      </c>
      <c r="AZ102" s="7" t="s">
        <v>2025</v>
      </c>
      <c r="BA102" s="7" t="s">
        <v>2025</v>
      </c>
      <c r="BB102" t="s">
        <v>1332</v>
      </c>
      <c r="BC102" s="7" t="s">
        <v>2104</v>
      </c>
      <c r="BD102" t="s">
        <v>1494</v>
      </c>
      <c r="BH102" s="5" t="str">
        <f t="shared" si="3"/>
        <v/>
      </c>
      <c r="BI102" s="5" t="str">
        <f t="shared" si="4"/>
        <v/>
      </c>
    </row>
    <row r="103" spans="21:61" x14ac:dyDescent="0.35">
      <c r="U103" t="s">
        <v>1264</v>
      </c>
      <c r="V103" s="7" t="s">
        <v>2154</v>
      </c>
      <c r="W103" t="s">
        <v>1555</v>
      </c>
      <c r="X103" t="s">
        <v>695</v>
      </c>
      <c r="Y103" t="s">
        <v>1558</v>
      </c>
      <c r="Z103" t="s">
        <v>875</v>
      </c>
      <c r="AA103" s="7" t="s">
        <v>2027</v>
      </c>
      <c r="AB103" s="7" t="s">
        <v>2020</v>
      </c>
      <c r="AC103" s="7" t="s">
        <v>2025</v>
      </c>
      <c r="AD103" s="7" t="s">
        <v>2020</v>
      </c>
      <c r="AE103" s="7" t="s">
        <v>2027</v>
      </c>
      <c r="AF103" s="7" t="s">
        <v>2020</v>
      </c>
      <c r="AG103" s="7" t="s">
        <v>2025</v>
      </c>
      <c r="AH103" s="7" t="s">
        <v>2025</v>
      </c>
      <c r="AI103" t="s">
        <v>1196</v>
      </c>
      <c r="AJ103" s="7" t="s">
        <v>2229</v>
      </c>
      <c r="AK103" t="s">
        <v>1244</v>
      </c>
      <c r="AN103" t="s">
        <v>705</v>
      </c>
      <c r="AO103" s="7" t="s">
        <v>2102</v>
      </c>
      <c r="AP103" t="s">
        <v>1555</v>
      </c>
      <c r="AQ103" t="s">
        <v>659</v>
      </c>
      <c r="AR103" t="s">
        <v>1560</v>
      </c>
      <c r="AS103" t="s">
        <v>706</v>
      </c>
      <c r="AT103" s="7" t="s">
        <v>2027</v>
      </c>
      <c r="AU103" s="7" t="s">
        <v>2025</v>
      </c>
      <c r="AV103" s="7" t="s">
        <v>2025</v>
      </c>
      <c r="AW103" s="7" t="s">
        <v>2027</v>
      </c>
      <c r="AX103" s="7" t="s">
        <v>2020</v>
      </c>
      <c r="AY103" s="7" t="s">
        <v>2025</v>
      </c>
      <c r="AZ103" s="7" t="s">
        <v>2020</v>
      </c>
      <c r="BA103" s="7" t="s">
        <v>2020</v>
      </c>
      <c r="BB103" t="s">
        <v>79</v>
      </c>
      <c r="BC103" s="7" t="s">
        <v>2021</v>
      </c>
      <c r="BD103" t="s">
        <v>538</v>
      </c>
      <c r="BH103" s="5" t="str">
        <f t="shared" si="3"/>
        <v/>
      </c>
      <c r="BI103" s="5" t="str">
        <f t="shared" si="4"/>
        <v/>
      </c>
    </row>
    <row r="104" spans="21:61" x14ac:dyDescent="0.35">
      <c r="U104" t="s">
        <v>1014</v>
      </c>
      <c r="V104" s="7" t="s">
        <v>2154</v>
      </c>
      <c r="W104" t="s">
        <v>1555</v>
      </c>
      <c r="X104" t="s">
        <v>748</v>
      </c>
      <c r="Y104" t="s">
        <v>1558</v>
      </c>
      <c r="Z104" t="s">
        <v>749</v>
      </c>
      <c r="AA104" s="7" t="s">
        <v>2090</v>
      </c>
      <c r="AB104" s="7" t="s">
        <v>2025</v>
      </c>
      <c r="AC104" s="7" t="s">
        <v>2027</v>
      </c>
      <c r="AD104" s="7" t="s">
        <v>2027</v>
      </c>
      <c r="AE104" s="7" t="s">
        <v>2020</v>
      </c>
      <c r="AF104" s="7" t="s">
        <v>2019</v>
      </c>
      <c r="AG104" s="7" t="s">
        <v>2027</v>
      </c>
      <c r="AH104" s="7" t="s">
        <v>2025</v>
      </c>
      <c r="AI104" t="s">
        <v>234</v>
      </c>
      <c r="AJ104" s="7" t="s">
        <v>2227</v>
      </c>
      <c r="AK104" t="s">
        <v>462</v>
      </c>
      <c r="AN104" t="s">
        <v>1369</v>
      </c>
      <c r="AO104" s="7" t="s">
        <v>2102</v>
      </c>
      <c r="AP104" t="s">
        <v>1555</v>
      </c>
      <c r="AQ104" t="s">
        <v>1423</v>
      </c>
      <c r="AR104" t="s">
        <v>1560</v>
      </c>
      <c r="AS104" t="s">
        <v>1437</v>
      </c>
      <c r="AT104" s="7" t="s">
        <v>2019</v>
      </c>
      <c r="AU104" s="7" t="s">
        <v>2029</v>
      </c>
      <c r="AV104" s="7" t="s">
        <v>2029</v>
      </c>
      <c r="AW104" s="7" t="s">
        <v>2020</v>
      </c>
      <c r="AX104" s="7" t="s">
        <v>2027</v>
      </c>
      <c r="AY104" s="7" t="s">
        <v>2019</v>
      </c>
      <c r="AZ104" s="7" t="s">
        <v>2019</v>
      </c>
      <c r="BA104" s="7" t="s">
        <v>2029</v>
      </c>
      <c r="BB104" t="s">
        <v>1334</v>
      </c>
      <c r="BC104" s="7" t="s">
        <v>2049</v>
      </c>
      <c r="BD104" t="s">
        <v>1495</v>
      </c>
      <c r="BH104" s="5" t="str">
        <f t="shared" si="3"/>
        <v/>
      </c>
      <c r="BI104" s="5" t="str">
        <f t="shared" si="4"/>
        <v/>
      </c>
    </row>
    <row r="105" spans="21:61" x14ac:dyDescent="0.35">
      <c r="U105" t="s">
        <v>1127</v>
      </c>
      <c r="V105" s="7" t="s">
        <v>2154</v>
      </c>
      <c r="W105" t="s">
        <v>1555</v>
      </c>
      <c r="X105" t="s">
        <v>732</v>
      </c>
      <c r="Y105" t="s">
        <v>1558</v>
      </c>
      <c r="Z105" t="s">
        <v>837</v>
      </c>
      <c r="AA105" s="7" t="s">
        <v>2038</v>
      </c>
      <c r="AB105" s="7" t="s">
        <v>2025</v>
      </c>
      <c r="AC105" s="7" t="s">
        <v>2020</v>
      </c>
      <c r="AD105" s="7" t="s">
        <v>2025</v>
      </c>
      <c r="AE105" s="7" t="s">
        <v>2027</v>
      </c>
      <c r="AF105" s="7" t="s">
        <v>2025</v>
      </c>
      <c r="AG105" s="7" t="s">
        <v>2029</v>
      </c>
      <c r="AH105" s="7" t="s">
        <v>2027</v>
      </c>
      <c r="AI105" t="s">
        <v>288</v>
      </c>
      <c r="AJ105" s="7" t="s">
        <v>2243</v>
      </c>
      <c r="AK105" t="s">
        <v>487</v>
      </c>
      <c r="AN105" t="s">
        <v>1573</v>
      </c>
      <c r="AO105" s="7" t="s">
        <v>2102</v>
      </c>
      <c r="AP105" t="s">
        <v>1555</v>
      </c>
      <c r="AQ105" t="s">
        <v>751</v>
      </c>
      <c r="AR105" t="s">
        <v>1560</v>
      </c>
      <c r="AS105" t="s">
        <v>881</v>
      </c>
      <c r="AT105" s="7" t="s">
        <v>2111</v>
      </c>
      <c r="AU105" s="7" t="s">
        <v>2019</v>
      </c>
      <c r="AV105" s="7" t="s">
        <v>2019</v>
      </c>
      <c r="AW105" s="7" t="s">
        <v>2020</v>
      </c>
      <c r="AX105" s="7" t="s">
        <v>2027</v>
      </c>
      <c r="AY105" s="7" t="s">
        <v>2029</v>
      </c>
      <c r="AZ105" s="7" t="s">
        <v>2027</v>
      </c>
      <c r="BA105" s="7" t="s">
        <v>2020</v>
      </c>
      <c r="BB105" t="s">
        <v>200</v>
      </c>
      <c r="BC105" s="7" t="s">
        <v>2021</v>
      </c>
      <c r="BD105" t="s">
        <v>1651</v>
      </c>
      <c r="BH105" s="5" t="str">
        <f t="shared" si="3"/>
        <v/>
      </c>
      <c r="BI105" s="5" t="str">
        <f t="shared" si="4"/>
        <v/>
      </c>
    </row>
    <row r="106" spans="21:61" x14ac:dyDescent="0.35">
      <c r="U106" t="s">
        <v>652</v>
      </c>
      <c r="V106" s="7" t="s">
        <v>2023</v>
      </c>
      <c r="W106" t="s">
        <v>1555</v>
      </c>
      <c r="X106" t="s">
        <v>653</v>
      </c>
      <c r="Y106" t="s">
        <v>1556</v>
      </c>
      <c r="Z106" t="s">
        <v>654</v>
      </c>
      <c r="AA106" s="7" t="s">
        <v>2024</v>
      </c>
      <c r="AB106" s="7" t="s">
        <v>2025</v>
      </c>
      <c r="AC106" s="7" t="s">
        <v>2026</v>
      </c>
      <c r="AD106" s="7" t="s">
        <v>2025</v>
      </c>
      <c r="AE106" s="7" t="s">
        <v>2025</v>
      </c>
      <c r="AF106" s="7" t="s">
        <v>2027</v>
      </c>
      <c r="AG106" s="7" t="s">
        <v>2019</v>
      </c>
      <c r="AH106" s="7" t="s">
        <v>2025</v>
      </c>
      <c r="AI106" t="s">
        <v>53</v>
      </c>
      <c r="AJ106" s="7" t="s">
        <v>2028</v>
      </c>
      <c r="AK106" t="s">
        <v>400</v>
      </c>
      <c r="AN106" t="s">
        <v>793</v>
      </c>
      <c r="AO106" s="7" t="s">
        <v>2102</v>
      </c>
      <c r="AP106" t="s">
        <v>1555</v>
      </c>
      <c r="AQ106" t="s">
        <v>665</v>
      </c>
      <c r="AR106" t="s">
        <v>1560</v>
      </c>
      <c r="AS106" t="s">
        <v>794</v>
      </c>
      <c r="AT106" s="7" t="s">
        <v>2131</v>
      </c>
      <c r="AU106" s="7" t="s">
        <v>2019</v>
      </c>
      <c r="AV106" s="7" t="s">
        <v>2019</v>
      </c>
      <c r="AW106" s="7" t="s">
        <v>2019</v>
      </c>
      <c r="AX106" s="7" t="s">
        <v>2019</v>
      </c>
      <c r="AY106" s="7" t="s">
        <v>2019</v>
      </c>
      <c r="AZ106" s="7" t="s">
        <v>2019</v>
      </c>
      <c r="BA106" s="7" t="s">
        <v>2022</v>
      </c>
      <c r="BB106" t="s">
        <v>123</v>
      </c>
      <c r="BC106" s="7" t="s">
        <v>2049</v>
      </c>
      <c r="BD106" t="s">
        <v>539</v>
      </c>
      <c r="BH106" s="5" t="str">
        <f t="shared" si="3"/>
        <v/>
      </c>
      <c r="BI106" s="5" t="str">
        <f t="shared" si="4"/>
        <v/>
      </c>
    </row>
    <row r="107" spans="21:61" x14ac:dyDescent="0.35">
      <c r="U107" t="s">
        <v>1530</v>
      </c>
      <c r="V107" s="7" t="s">
        <v>2023</v>
      </c>
      <c r="W107" t="s">
        <v>1555</v>
      </c>
      <c r="X107" t="s">
        <v>695</v>
      </c>
      <c r="Y107" t="s">
        <v>1558</v>
      </c>
      <c r="Z107" t="s">
        <v>784</v>
      </c>
      <c r="AA107" s="7" t="s">
        <v>2159</v>
      </c>
      <c r="AB107" s="7" t="s">
        <v>2027</v>
      </c>
      <c r="AC107" s="7" t="s">
        <v>2025</v>
      </c>
      <c r="AD107" s="7" t="s">
        <v>2025</v>
      </c>
      <c r="AE107" s="7" t="s">
        <v>2026</v>
      </c>
      <c r="AF107" s="7" t="s">
        <v>2027</v>
      </c>
      <c r="AG107" s="7" t="s">
        <v>2027</v>
      </c>
      <c r="AH107" s="7" t="s">
        <v>2020</v>
      </c>
      <c r="AI107" t="s">
        <v>119</v>
      </c>
      <c r="AJ107" s="7" t="s">
        <v>2225</v>
      </c>
      <c r="AK107" t="s">
        <v>1640</v>
      </c>
      <c r="AN107" t="s">
        <v>832</v>
      </c>
      <c r="AO107" s="7" t="s">
        <v>2102</v>
      </c>
      <c r="AP107" t="s">
        <v>1555</v>
      </c>
      <c r="AQ107" t="s">
        <v>732</v>
      </c>
      <c r="AR107" t="s">
        <v>1560</v>
      </c>
      <c r="AS107" t="s">
        <v>833</v>
      </c>
      <c r="AT107" s="7" t="s">
        <v>2070</v>
      </c>
      <c r="AU107" s="7" t="s">
        <v>2027</v>
      </c>
      <c r="AV107" s="7" t="s">
        <v>2027</v>
      </c>
      <c r="AW107" s="7" t="s">
        <v>2019</v>
      </c>
      <c r="AX107" s="7" t="s">
        <v>2020</v>
      </c>
      <c r="AY107" s="7" t="s">
        <v>2027</v>
      </c>
      <c r="AZ107" s="7" t="s">
        <v>2020</v>
      </c>
      <c r="BA107" s="7" t="s">
        <v>2020</v>
      </c>
      <c r="BB107" t="s">
        <v>141</v>
      </c>
      <c r="BC107" s="7" t="s">
        <v>2275</v>
      </c>
      <c r="BD107" t="s">
        <v>540</v>
      </c>
      <c r="BH107" s="5" t="str">
        <f t="shared" si="3"/>
        <v/>
      </c>
      <c r="BI107" s="5" t="str">
        <f t="shared" si="4"/>
        <v/>
      </c>
    </row>
    <row r="108" spans="21:61" x14ac:dyDescent="0.35">
      <c r="U108" t="s">
        <v>1260</v>
      </c>
      <c r="V108" s="7" t="s">
        <v>2023</v>
      </c>
      <c r="W108" t="s">
        <v>1555</v>
      </c>
      <c r="X108" t="s">
        <v>1287</v>
      </c>
      <c r="Y108" t="s">
        <v>1558</v>
      </c>
      <c r="Z108" t="s">
        <v>1190</v>
      </c>
      <c r="AA108" s="7" t="s">
        <v>2058</v>
      </c>
      <c r="AB108" s="7" t="s">
        <v>2027</v>
      </c>
      <c r="AC108" s="7" t="s">
        <v>2027</v>
      </c>
      <c r="AD108" s="7" t="s">
        <v>2025</v>
      </c>
      <c r="AE108" s="7" t="s">
        <v>2027</v>
      </c>
      <c r="AF108" s="7" t="s">
        <v>2027</v>
      </c>
      <c r="AG108" s="7" t="s">
        <v>2027</v>
      </c>
      <c r="AH108" s="7" t="s">
        <v>2025</v>
      </c>
      <c r="AI108" t="s">
        <v>1191</v>
      </c>
      <c r="AJ108" s="7" t="s">
        <v>2224</v>
      </c>
      <c r="AK108" t="s">
        <v>1245</v>
      </c>
      <c r="AN108" t="s">
        <v>894</v>
      </c>
      <c r="AO108" s="7" t="s">
        <v>2102</v>
      </c>
      <c r="AP108" t="s">
        <v>1555</v>
      </c>
      <c r="AQ108" t="s">
        <v>895</v>
      </c>
      <c r="AR108" t="s">
        <v>1560</v>
      </c>
      <c r="AS108" t="s">
        <v>896</v>
      </c>
      <c r="AT108" s="7" t="s">
        <v>2081</v>
      </c>
      <c r="AU108" s="7" t="s">
        <v>2027</v>
      </c>
      <c r="AV108" s="7" t="s">
        <v>2026</v>
      </c>
      <c r="AW108" s="7" t="s">
        <v>2025</v>
      </c>
      <c r="AX108" s="7" t="s">
        <v>2025</v>
      </c>
      <c r="AY108" s="7" t="s">
        <v>2027</v>
      </c>
      <c r="AZ108" s="7" t="s">
        <v>2033</v>
      </c>
      <c r="BA108" s="7" t="s">
        <v>2026</v>
      </c>
      <c r="BB108" t="s">
        <v>189</v>
      </c>
      <c r="BC108" s="7" t="s">
        <v>2104</v>
      </c>
      <c r="BD108" t="s">
        <v>541</v>
      </c>
      <c r="BH108" s="5" t="str">
        <f t="shared" si="3"/>
        <v/>
      </c>
      <c r="BI108" s="5" t="str">
        <f t="shared" si="4"/>
        <v/>
      </c>
    </row>
    <row r="109" spans="21:61" x14ac:dyDescent="0.35">
      <c r="U109" t="s">
        <v>1579</v>
      </c>
      <c r="V109" s="7" t="s">
        <v>2023</v>
      </c>
      <c r="W109" t="s">
        <v>1555</v>
      </c>
      <c r="X109" t="s">
        <v>703</v>
      </c>
      <c r="Y109" t="s">
        <v>1556</v>
      </c>
      <c r="Z109" t="s">
        <v>1534</v>
      </c>
      <c r="AA109" s="7" t="s">
        <v>2125</v>
      </c>
      <c r="AB109" s="7" t="s">
        <v>2025</v>
      </c>
      <c r="AC109" s="7" t="s">
        <v>2025</v>
      </c>
      <c r="AD109" s="7" t="s">
        <v>2020</v>
      </c>
      <c r="AE109" s="7" t="s">
        <v>2020</v>
      </c>
      <c r="AF109" s="7" t="s">
        <v>2027</v>
      </c>
      <c r="AG109" s="7" t="s">
        <v>2027</v>
      </c>
      <c r="AH109" s="7" t="s">
        <v>2025</v>
      </c>
      <c r="AI109" t="s">
        <v>1535</v>
      </c>
      <c r="AJ109" s="7" t="s">
        <v>2277</v>
      </c>
      <c r="AK109" t="s">
        <v>1641</v>
      </c>
      <c r="AN109" t="s">
        <v>902</v>
      </c>
      <c r="AO109" s="7" t="s">
        <v>2102</v>
      </c>
      <c r="AP109" t="s">
        <v>1555</v>
      </c>
      <c r="AQ109" t="s">
        <v>682</v>
      </c>
      <c r="AR109" t="s">
        <v>1560</v>
      </c>
      <c r="AS109" t="s">
        <v>736</v>
      </c>
      <c r="AT109" s="7" t="s">
        <v>2222</v>
      </c>
      <c r="AU109" s="7" t="s">
        <v>2026</v>
      </c>
      <c r="AV109" s="7" t="s">
        <v>2033</v>
      </c>
      <c r="AW109" s="7" t="s">
        <v>2025</v>
      </c>
      <c r="AX109" s="7" t="s">
        <v>2033</v>
      </c>
      <c r="AY109" s="7" t="s">
        <v>2026</v>
      </c>
      <c r="AZ109" s="7" t="s">
        <v>2033</v>
      </c>
      <c r="BA109" s="7" t="s">
        <v>2033</v>
      </c>
      <c r="BB109" t="s">
        <v>179</v>
      </c>
      <c r="BC109" s="7" t="s">
        <v>2021</v>
      </c>
      <c r="BD109" t="s">
        <v>542</v>
      </c>
      <c r="BH109" s="5" t="str">
        <f t="shared" si="3"/>
        <v/>
      </c>
      <c r="BI109" s="5" t="str">
        <f t="shared" si="4"/>
        <v/>
      </c>
    </row>
    <row r="110" spans="21:61" x14ac:dyDescent="0.35">
      <c r="U110" t="s">
        <v>1918</v>
      </c>
      <c r="V110" s="7" t="s">
        <v>2023</v>
      </c>
      <c r="W110" t="s">
        <v>1555</v>
      </c>
      <c r="X110" t="s">
        <v>1297</v>
      </c>
      <c r="Y110" t="s">
        <v>1558</v>
      </c>
      <c r="Z110" t="s">
        <v>768</v>
      </c>
      <c r="AA110" s="7" t="s">
        <v>2108</v>
      </c>
      <c r="AB110" s="7" t="s">
        <v>2019</v>
      </c>
      <c r="AC110" s="7" t="s">
        <v>2019</v>
      </c>
      <c r="AD110" s="7" t="s">
        <v>2020</v>
      </c>
      <c r="AE110" s="7" t="s">
        <v>2019</v>
      </c>
      <c r="AF110" s="7" t="s">
        <v>2020</v>
      </c>
      <c r="AG110" s="7" t="s">
        <v>2019</v>
      </c>
      <c r="AH110" s="7" t="s">
        <v>2019</v>
      </c>
      <c r="AI110" t="s">
        <v>1362</v>
      </c>
      <c r="AJ110" s="7" t="s">
        <v>2259</v>
      </c>
      <c r="AK110" t="s">
        <v>1928</v>
      </c>
      <c r="AN110" t="s">
        <v>1913</v>
      </c>
      <c r="AO110" s="7" t="s">
        <v>2102</v>
      </c>
      <c r="AP110" t="s">
        <v>1555</v>
      </c>
      <c r="AQ110" t="s">
        <v>776</v>
      </c>
      <c r="AR110" t="s">
        <v>1560</v>
      </c>
      <c r="AS110" t="s">
        <v>1914</v>
      </c>
      <c r="AT110" s="7" t="s">
        <v>2215</v>
      </c>
      <c r="AU110" s="7" t="s">
        <v>2020</v>
      </c>
      <c r="AV110" s="7" t="s">
        <v>2020</v>
      </c>
      <c r="AW110" s="7" t="s">
        <v>2020</v>
      </c>
      <c r="AX110" s="7" t="s">
        <v>2019</v>
      </c>
      <c r="AY110" s="7" t="s">
        <v>2019</v>
      </c>
      <c r="AZ110" s="7" t="s">
        <v>2020</v>
      </c>
      <c r="BA110" s="7" t="s">
        <v>2019</v>
      </c>
      <c r="BB110" t="s">
        <v>1881</v>
      </c>
      <c r="BC110" s="7" t="s">
        <v>2049</v>
      </c>
      <c r="BD110" t="s">
        <v>1942</v>
      </c>
      <c r="BH110" s="5" t="str">
        <f t="shared" si="3"/>
        <v/>
      </c>
      <c r="BI110" s="5" t="str">
        <f t="shared" si="4"/>
        <v/>
      </c>
    </row>
    <row r="111" spans="21:61" x14ac:dyDescent="0.35">
      <c r="U111" t="s">
        <v>1069</v>
      </c>
      <c r="V111" s="7" t="s">
        <v>2023</v>
      </c>
      <c r="W111" t="s">
        <v>1555</v>
      </c>
      <c r="X111" t="s">
        <v>735</v>
      </c>
      <c r="Y111" t="s">
        <v>1558</v>
      </c>
      <c r="Z111" t="s">
        <v>746</v>
      </c>
      <c r="AA111" s="7" t="s">
        <v>2058</v>
      </c>
      <c r="AB111" s="7" t="s">
        <v>2025</v>
      </c>
      <c r="AC111" s="7" t="s">
        <v>2020</v>
      </c>
      <c r="AD111" s="7" t="s">
        <v>2025</v>
      </c>
      <c r="AE111" s="7" t="s">
        <v>2020</v>
      </c>
      <c r="AF111" s="7" t="s">
        <v>2027</v>
      </c>
      <c r="AG111" s="7" t="s">
        <v>2025</v>
      </c>
      <c r="AH111" s="7" t="s">
        <v>2025</v>
      </c>
      <c r="AI111" t="s">
        <v>91</v>
      </c>
      <c r="AJ111" s="7" t="s">
        <v>2226</v>
      </c>
      <c r="AK111" t="s">
        <v>471</v>
      </c>
      <c r="AN111" t="s">
        <v>1612</v>
      </c>
      <c r="AO111" s="7" t="s">
        <v>2102</v>
      </c>
      <c r="AP111" t="s">
        <v>1555</v>
      </c>
      <c r="AQ111" t="s">
        <v>952</v>
      </c>
      <c r="AR111" t="s">
        <v>1560</v>
      </c>
      <c r="AS111" t="s">
        <v>1613</v>
      </c>
      <c r="AT111" s="7" t="s">
        <v>2048</v>
      </c>
      <c r="AU111" s="7" t="s">
        <v>2020</v>
      </c>
      <c r="AV111" s="7" t="s">
        <v>2020</v>
      </c>
      <c r="AW111" s="7" t="s">
        <v>2020</v>
      </c>
      <c r="AX111" s="7" t="s">
        <v>2027</v>
      </c>
      <c r="AY111" s="7" t="s">
        <v>2029</v>
      </c>
      <c r="AZ111" s="7" t="s">
        <v>2025</v>
      </c>
      <c r="BA111" s="7" t="s">
        <v>2020</v>
      </c>
      <c r="BB111" t="s">
        <v>1547</v>
      </c>
      <c r="BC111" s="7" t="s">
        <v>2049</v>
      </c>
      <c r="BD111" t="s">
        <v>1652</v>
      </c>
      <c r="BH111" s="5" t="str">
        <f t="shared" si="3"/>
        <v/>
      </c>
      <c r="BI111" s="5" t="str">
        <f t="shared" si="4"/>
        <v/>
      </c>
    </row>
    <row r="112" spans="21:61" x14ac:dyDescent="0.35">
      <c r="U112" t="s">
        <v>1094</v>
      </c>
      <c r="V112" s="7" t="s">
        <v>2023</v>
      </c>
      <c r="W112" t="s">
        <v>1555</v>
      </c>
      <c r="X112" t="s">
        <v>815</v>
      </c>
      <c r="Y112" t="s">
        <v>1558</v>
      </c>
      <c r="Z112" t="s">
        <v>269</v>
      </c>
      <c r="AA112" s="7" t="s">
        <v>2429</v>
      </c>
      <c r="AB112" s="7" t="s">
        <v>2025</v>
      </c>
      <c r="AC112" s="7" t="s">
        <v>2033</v>
      </c>
      <c r="AD112" s="7" t="s">
        <v>2033</v>
      </c>
      <c r="AE112" s="7" t="s">
        <v>2026</v>
      </c>
      <c r="AF112" s="7" t="s">
        <v>2026</v>
      </c>
      <c r="AG112" s="7" t="s">
        <v>2026</v>
      </c>
      <c r="AH112" s="7" t="s">
        <v>2033</v>
      </c>
      <c r="AI112" t="s">
        <v>270</v>
      </c>
      <c r="AJ112" s="7" t="s">
        <v>2585</v>
      </c>
      <c r="AK112" t="s">
        <v>478</v>
      </c>
      <c r="AN112" t="s">
        <v>1419</v>
      </c>
      <c r="AO112" s="7" t="s">
        <v>2102</v>
      </c>
      <c r="AP112" t="s">
        <v>1555</v>
      </c>
      <c r="AQ112" t="s">
        <v>949</v>
      </c>
      <c r="AR112" t="s">
        <v>1560</v>
      </c>
      <c r="AS112" t="s">
        <v>1463</v>
      </c>
      <c r="AT112" s="7" t="s">
        <v>2061</v>
      </c>
      <c r="AU112" s="7" t="s">
        <v>2020</v>
      </c>
      <c r="AV112" s="7" t="s">
        <v>2027</v>
      </c>
      <c r="AW112" s="7" t="s">
        <v>2020</v>
      </c>
      <c r="AX112" s="7" t="s">
        <v>2027</v>
      </c>
      <c r="AY112" s="7" t="s">
        <v>2019</v>
      </c>
      <c r="AZ112" s="7" t="s">
        <v>2019</v>
      </c>
      <c r="BA112" s="7" t="s">
        <v>2019</v>
      </c>
      <c r="BB112" t="s">
        <v>1363</v>
      </c>
      <c r="BC112" s="7" t="s">
        <v>2049</v>
      </c>
      <c r="BD112" t="s">
        <v>1526</v>
      </c>
      <c r="BH112" s="5" t="str">
        <f t="shared" si="3"/>
        <v/>
      </c>
      <c r="BI112" s="5" t="str">
        <f t="shared" si="4"/>
        <v/>
      </c>
    </row>
    <row r="113" spans="21:61" x14ac:dyDescent="0.35">
      <c r="U113" t="s">
        <v>838</v>
      </c>
      <c r="V113" s="7" t="s">
        <v>2051</v>
      </c>
      <c r="W113" t="s">
        <v>1555</v>
      </c>
      <c r="X113" t="s">
        <v>732</v>
      </c>
      <c r="Y113" t="s">
        <v>1558</v>
      </c>
      <c r="Z113" t="s">
        <v>802</v>
      </c>
      <c r="AA113" s="7" t="s">
        <v>2058</v>
      </c>
      <c r="AB113" s="7" t="s">
        <v>2025</v>
      </c>
      <c r="AC113" s="7" t="s">
        <v>2027</v>
      </c>
      <c r="AD113" s="7" t="s">
        <v>2026</v>
      </c>
      <c r="AE113" s="7" t="s">
        <v>2025</v>
      </c>
      <c r="AF113" s="7" t="s">
        <v>2027</v>
      </c>
      <c r="AG113" s="7" t="s">
        <v>2020</v>
      </c>
      <c r="AH113" s="7" t="s">
        <v>2020</v>
      </c>
      <c r="AI113" t="s">
        <v>144</v>
      </c>
      <c r="AJ113" s="7" t="s">
        <v>2149</v>
      </c>
      <c r="AK113" t="s">
        <v>425</v>
      </c>
      <c r="AN113" t="s">
        <v>743</v>
      </c>
      <c r="AO113" s="7" t="s">
        <v>2041</v>
      </c>
      <c r="AP113" t="s">
        <v>1555</v>
      </c>
      <c r="AQ113" t="s">
        <v>695</v>
      </c>
      <c r="AR113" t="s">
        <v>1560</v>
      </c>
      <c r="AS113" t="s">
        <v>744</v>
      </c>
      <c r="AT113" s="7" t="s">
        <v>2090</v>
      </c>
      <c r="AU113" s="7" t="s">
        <v>2027</v>
      </c>
      <c r="AV113" s="7" t="s">
        <v>2027</v>
      </c>
      <c r="AW113" s="7" t="s">
        <v>2027</v>
      </c>
      <c r="AX113" s="7" t="s">
        <v>2020</v>
      </c>
      <c r="AY113" s="7" t="s">
        <v>2020</v>
      </c>
      <c r="AZ113" s="7" t="s">
        <v>2027</v>
      </c>
      <c r="BA113" s="7" t="s">
        <v>2025</v>
      </c>
      <c r="BB113" t="s">
        <v>93</v>
      </c>
      <c r="BC113" s="7" t="s">
        <v>2049</v>
      </c>
      <c r="BD113" t="s">
        <v>543</v>
      </c>
      <c r="BH113" s="5" t="str">
        <f t="shared" si="3"/>
        <v/>
      </c>
      <c r="BI113" s="5" t="str">
        <f t="shared" si="4"/>
        <v/>
      </c>
    </row>
    <row r="114" spans="21:61" x14ac:dyDescent="0.35">
      <c r="U114" t="s">
        <v>1397</v>
      </c>
      <c r="V114" s="7" t="s">
        <v>2051</v>
      </c>
      <c r="W114" t="s">
        <v>1555</v>
      </c>
      <c r="X114" t="s">
        <v>665</v>
      </c>
      <c r="Y114" t="s">
        <v>1558</v>
      </c>
      <c r="Z114" t="s">
        <v>1452</v>
      </c>
      <c r="AA114" s="7" t="s">
        <v>2090</v>
      </c>
      <c r="AB114" s="7" t="s">
        <v>2027</v>
      </c>
      <c r="AC114" s="7" t="s">
        <v>2027</v>
      </c>
      <c r="AD114" s="7" t="s">
        <v>2025</v>
      </c>
      <c r="AE114" s="7" t="s">
        <v>2027</v>
      </c>
      <c r="AF114" s="7" t="s">
        <v>2020</v>
      </c>
      <c r="AG114" s="7" t="s">
        <v>2020</v>
      </c>
      <c r="AH114" s="7" t="s">
        <v>2027</v>
      </c>
      <c r="AI114" t="s">
        <v>1348</v>
      </c>
      <c r="AJ114" s="7" t="s">
        <v>2217</v>
      </c>
      <c r="AK114" t="s">
        <v>1487</v>
      </c>
      <c r="AN114" t="s">
        <v>798</v>
      </c>
      <c r="AO114" s="7" t="s">
        <v>2041</v>
      </c>
      <c r="AP114" t="s">
        <v>1555</v>
      </c>
      <c r="AQ114" t="s">
        <v>799</v>
      </c>
      <c r="AR114" t="s">
        <v>1560</v>
      </c>
      <c r="AS114" t="s">
        <v>800</v>
      </c>
      <c r="AT114" s="7" t="s">
        <v>2125</v>
      </c>
      <c r="AU114" s="7" t="s">
        <v>2020</v>
      </c>
      <c r="AV114" s="7" t="s">
        <v>2027</v>
      </c>
      <c r="AW114" s="7" t="s">
        <v>2025</v>
      </c>
      <c r="AX114" s="7" t="s">
        <v>2020</v>
      </c>
      <c r="AY114" s="7" t="s">
        <v>2027</v>
      </c>
      <c r="AZ114" s="7" t="s">
        <v>2025</v>
      </c>
      <c r="BA114" s="7" t="s">
        <v>2025</v>
      </c>
      <c r="BB114" t="s">
        <v>125</v>
      </c>
      <c r="BC114" s="7" t="s">
        <v>2021</v>
      </c>
      <c r="BD114" t="s">
        <v>544</v>
      </c>
      <c r="BH114" s="5" t="str">
        <f t="shared" si="3"/>
        <v/>
      </c>
      <c r="BI114" s="5" t="str">
        <f t="shared" si="4"/>
        <v/>
      </c>
    </row>
    <row r="115" spans="21:61" x14ac:dyDescent="0.35">
      <c r="U115" t="s">
        <v>999</v>
      </c>
      <c r="V115" s="7" t="s">
        <v>2051</v>
      </c>
      <c r="W115" t="s">
        <v>1555</v>
      </c>
      <c r="X115" t="s">
        <v>695</v>
      </c>
      <c r="Y115" t="s">
        <v>1558</v>
      </c>
      <c r="Z115" t="s">
        <v>1000</v>
      </c>
      <c r="AA115" s="7" t="s">
        <v>2237</v>
      </c>
      <c r="AB115" s="7" t="s">
        <v>2025</v>
      </c>
      <c r="AC115" s="7" t="s">
        <v>2033</v>
      </c>
      <c r="AD115" s="7" t="s">
        <v>2033</v>
      </c>
      <c r="AE115" s="7" t="s">
        <v>2029</v>
      </c>
      <c r="AF115" s="7" t="s">
        <v>2027</v>
      </c>
      <c r="AG115" s="7" t="s">
        <v>2033</v>
      </c>
      <c r="AH115" s="7" t="s">
        <v>2033</v>
      </c>
      <c r="AI115" t="s">
        <v>222</v>
      </c>
      <c r="AJ115" s="7" t="s">
        <v>2212</v>
      </c>
      <c r="AK115" t="s">
        <v>457</v>
      </c>
      <c r="AN115" t="s">
        <v>1962</v>
      </c>
      <c r="AO115" s="7" t="s">
        <v>2041</v>
      </c>
      <c r="AP115" t="s">
        <v>1555</v>
      </c>
      <c r="AQ115" t="s">
        <v>716</v>
      </c>
      <c r="AR115" t="s">
        <v>1560</v>
      </c>
      <c r="AS115" t="s">
        <v>1976</v>
      </c>
      <c r="AT115" s="7" t="s">
        <v>2025</v>
      </c>
      <c r="AU115" s="7" t="s">
        <v>2020</v>
      </c>
      <c r="AV115" s="7" t="s">
        <v>2025</v>
      </c>
      <c r="AW115" s="7" t="s">
        <v>2026</v>
      </c>
      <c r="AX115" s="7" t="s">
        <v>2020</v>
      </c>
      <c r="AY115" s="7" t="s">
        <v>2026</v>
      </c>
      <c r="AZ115" s="7" t="s">
        <v>2025</v>
      </c>
      <c r="BA115" s="7" t="s">
        <v>2033</v>
      </c>
      <c r="BB115" t="s">
        <v>1948</v>
      </c>
      <c r="BC115" s="7" t="s">
        <v>2104</v>
      </c>
      <c r="BD115" t="s">
        <v>1995</v>
      </c>
      <c r="BH115" s="5" t="str">
        <f t="shared" si="3"/>
        <v/>
      </c>
      <c r="BI115" s="5" t="str">
        <f t="shared" si="4"/>
        <v/>
      </c>
    </row>
    <row r="116" spans="21:61" x14ac:dyDescent="0.35">
      <c r="U116" t="s">
        <v>1070</v>
      </c>
      <c r="V116" s="7" t="s">
        <v>2051</v>
      </c>
      <c r="W116" t="s">
        <v>1555</v>
      </c>
      <c r="X116" t="s">
        <v>748</v>
      </c>
      <c r="Y116" t="s">
        <v>1558</v>
      </c>
      <c r="Z116" t="s">
        <v>825</v>
      </c>
      <c r="AA116" s="7" t="s">
        <v>2090</v>
      </c>
      <c r="AB116" s="7" t="s">
        <v>2027</v>
      </c>
      <c r="AC116" s="7" t="s">
        <v>2027</v>
      </c>
      <c r="AD116" s="7" t="s">
        <v>2027</v>
      </c>
      <c r="AE116" s="7" t="s">
        <v>2027</v>
      </c>
      <c r="AF116" s="7" t="s">
        <v>2020</v>
      </c>
      <c r="AG116" s="7" t="s">
        <v>2020</v>
      </c>
      <c r="AH116" s="7" t="s">
        <v>2025</v>
      </c>
      <c r="AI116" t="s">
        <v>258</v>
      </c>
      <c r="AJ116" s="7" t="s">
        <v>2213</v>
      </c>
      <c r="AK116" t="s">
        <v>472</v>
      </c>
      <c r="AN116" t="s">
        <v>1328</v>
      </c>
      <c r="AO116" s="7" t="s">
        <v>2041</v>
      </c>
      <c r="AP116" t="s">
        <v>1555</v>
      </c>
      <c r="AQ116" t="s">
        <v>1426</v>
      </c>
      <c r="AR116" t="s">
        <v>1560</v>
      </c>
      <c r="AS116" t="s">
        <v>1019</v>
      </c>
      <c r="AT116" s="7" t="s">
        <v>2042</v>
      </c>
      <c r="AU116" s="7" t="s">
        <v>2027</v>
      </c>
      <c r="AV116" s="7" t="s">
        <v>2020</v>
      </c>
      <c r="AW116" s="7" t="s">
        <v>2025</v>
      </c>
      <c r="AX116" s="7" t="s">
        <v>2019</v>
      </c>
      <c r="AY116" s="7" t="s">
        <v>2019</v>
      </c>
      <c r="AZ116" s="7" t="s">
        <v>2027</v>
      </c>
      <c r="BA116" s="7" t="s">
        <v>2027</v>
      </c>
      <c r="BB116" t="s">
        <v>1315</v>
      </c>
      <c r="BC116" s="7" t="s">
        <v>2049</v>
      </c>
      <c r="BD116" t="s">
        <v>1504</v>
      </c>
      <c r="BH116" s="5" t="str">
        <f t="shared" si="3"/>
        <v/>
      </c>
      <c r="BI116" s="5" t="str">
        <f t="shared" si="4"/>
        <v/>
      </c>
    </row>
    <row r="117" spans="21:61" x14ac:dyDescent="0.35">
      <c r="U117" t="s">
        <v>1096</v>
      </c>
      <c r="V117" s="7" t="s">
        <v>2051</v>
      </c>
      <c r="W117" t="s">
        <v>1555</v>
      </c>
      <c r="X117" t="s">
        <v>695</v>
      </c>
      <c r="Y117" t="s">
        <v>1558</v>
      </c>
      <c r="Z117" t="s">
        <v>946</v>
      </c>
      <c r="AA117" s="7" t="s">
        <v>2116</v>
      </c>
      <c r="AB117" s="7" t="s">
        <v>2027</v>
      </c>
      <c r="AC117" s="7" t="s">
        <v>2027</v>
      </c>
      <c r="AD117" s="7" t="s">
        <v>2026</v>
      </c>
      <c r="AE117" s="7" t="s">
        <v>2025</v>
      </c>
      <c r="AF117" s="7" t="s">
        <v>2025</v>
      </c>
      <c r="AG117" s="7" t="s">
        <v>2025</v>
      </c>
      <c r="AH117" s="7" t="s">
        <v>2033</v>
      </c>
      <c r="AI117" t="s">
        <v>271</v>
      </c>
      <c r="AJ117" s="7" t="s">
        <v>2220</v>
      </c>
      <c r="AK117" t="s">
        <v>480</v>
      </c>
      <c r="AN117" t="s">
        <v>1382</v>
      </c>
      <c r="AO117" s="7" t="s">
        <v>2041</v>
      </c>
      <c r="AP117" t="s">
        <v>1555</v>
      </c>
      <c r="AQ117" t="s">
        <v>1426</v>
      </c>
      <c r="AR117" t="s">
        <v>1561</v>
      </c>
      <c r="AS117" t="s">
        <v>1019</v>
      </c>
      <c r="AT117" s="7" t="s">
        <v>2048</v>
      </c>
      <c r="AU117" s="7" t="s">
        <v>2027</v>
      </c>
      <c r="AV117" s="7" t="s">
        <v>2020</v>
      </c>
      <c r="AW117" s="7" t="s">
        <v>2027</v>
      </c>
      <c r="AX117" s="7" t="s">
        <v>2020</v>
      </c>
      <c r="AY117" s="7" t="s">
        <v>2029</v>
      </c>
      <c r="AZ117" s="7" t="s">
        <v>2027</v>
      </c>
      <c r="BA117" s="7" t="s">
        <v>2020</v>
      </c>
      <c r="BB117" t="s">
        <v>1316</v>
      </c>
      <c r="BC117" s="7" t="s">
        <v>2204</v>
      </c>
      <c r="BD117" t="s">
        <v>1505</v>
      </c>
      <c r="BH117" s="5" t="str">
        <f t="shared" si="3"/>
        <v/>
      </c>
      <c r="BI117" s="5" t="str">
        <f t="shared" si="4"/>
        <v/>
      </c>
    </row>
    <row r="118" spans="21:61" x14ac:dyDescent="0.35">
      <c r="U118" t="s">
        <v>840</v>
      </c>
      <c r="V118" s="7" t="s">
        <v>2167</v>
      </c>
      <c r="W118" t="s">
        <v>1555</v>
      </c>
      <c r="X118" t="s">
        <v>732</v>
      </c>
      <c r="Y118" t="s">
        <v>1558</v>
      </c>
      <c r="Z118" t="s">
        <v>837</v>
      </c>
      <c r="AA118" s="7" t="s">
        <v>2024</v>
      </c>
      <c r="AB118" s="7" t="s">
        <v>2026</v>
      </c>
      <c r="AC118" s="7" t="s">
        <v>2025</v>
      </c>
      <c r="AD118" s="7" t="s">
        <v>2026</v>
      </c>
      <c r="AE118" s="7" t="s">
        <v>2027</v>
      </c>
      <c r="AF118" s="7" t="s">
        <v>2027</v>
      </c>
      <c r="AG118" s="7" t="s">
        <v>2019</v>
      </c>
      <c r="AH118" s="7" t="s">
        <v>2025</v>
      </c>
      <c r="AI118" t="s">
        <v>92</v>
      </c>
      <c r="AJ118" s="7" t="s">
        <v>2220</v>
      </c>
      <c r="AK118" t="s">
        <v>426</v>
      </c>
      <c r="AN118" t="s">
        <v>841</v>
      </c>
      <c r="AO118" s="7" t="s">
        <v>2041</v>
      </c>
      <c r="AP118" t="s">
        <v>1555</v>
      </c>
      <c r="AQ118" t="s">
        <v>760</v>
      </c>
      <c r="AR118" t="s">
        <v>1560</v>
      </c>
      <c r="AS118" t="s">
        <v>842</v>
      </c>
      <c r="AT118" s="7" t="s">
        <v>2231</v>
      </c>
      <c r="AU118" s="7" t="s">
        <v>2141</v>
      </c>
      <c r="AV118" s="7" t="s">
        <v>2029</v>
      </c>
      <c r="AW118" s="7" t="s">
        <v>2029</v>
      </c>
      <c r="AX118" s="7" t="s">
        <v>2025</v>
      </c>
      <c r="AY118" s="7" t="s">
        <v>2141</v>
      </c>
      <c r="AZ118" s="7" t="s">
        <v>2020</v>
      </c>
      <c r="BA118" s="7" t="s">
        <v>2022</v>
      </c>
      <c r="BB118" t="s">
        <v>145</v>
      </c>
      <c r="BC118" s="7" t="s">
        <v>2021</v>
      </c>
      <c r="BD118" t="s">
        <v>545</v>
      </c>
      <c r="BH118" s="5" t="str">
        <f t="shared" si="3"/>
        <v/>
      </c>
      <c r="BI118" s="5" t="str">
        <f t="shared" si="4"/>
        <v/>
      </c>
    </row>
    <row r="119" spans="21:61" x14ac:dyDescent="0.35">
      <c r="U119" t="s">
        <v>864</v>
      </c>
      <c r="V119" s="7" t="s">
        <v>2167</v>
      </c>
      <c r="W119" t="s">
        <v>1555</v>
      </c>
      <c r="X119" t="s">
        <v>748</v>
      </c>
      <c r="Y119" t="s">
        <v>1558</v>
      </c>
      <c r="Z119" t="s">
        <v>749</v>
      </c>
      <c r="AA119" s="7" t="s">
        <v>2081</v>
      </c>
      <c r="AB119" s="7" t="s">
        <v>2025</v>
      </c>
      <c r="AC119" s="7" t="s">
        <v>2026</v>
      </c>
      <c r="AD119" s="7" t="s">
        <v>2027</v>
      </c>
      <c r="AE119" s="7" t="s">
        <v>2025</v>
      </c>
      <c r="AF119" s="7" t="s">
        <v>2025</v>
      </c>
      <c r="AG119" s="7" t="s">
        <v>2025</v>
      </c>
      <c r="AH119" s="7" t="s">
        <v>2033</v>
      </c>
      <c r="AI119" t="s">
        <v>164</v>
      </c>
      <c r="AJ119" s="7" t="s">
        <v>2239</v>
      </c>
      <c r="AK119" t="s">
        <v>430</v>
      </c>
      <c r="AN119" t="s">
        <v>860</v>
      </c>
      <c r="AO119" s="7" t="s">
        <v>2041</v>
      </c>
      <c r="AP119" t="s">
        <v>1555</v>
      </c>
      <c r="AQ119" t="s">
        <v>861</v>
      </c>
      <c r="AR119" t="s">
        <v>1560</v>
      </c>
      <c r="AS119" t="s">
        <v>862</v>
      </c>
      <c r="AT119" s="7" t="s">
        <v>2090</v>
      </c>
      <c r="AU119" s="7" t="s">
        <v>2019</v>
      </c>
      <c r="AV119" s="7" t="s">
        <v>2027</v>
      </c>
      <c r="AW119" s="7" t="s">
        <v>2027</v>
      </c>
      <c r="AX119" s="7" t="s">
        <v>2027</v>
      </c>
      <c r="AY119" s="7" t="s">
        <v>2019</v>
      </c>
      <c r="AZ119" s="7" t="s">
        <v>2026</v>
      </c>
      <c r="BA119" s="7" t="s">
        <v>2025</v>
      </c>
      <c r="BB119" t="s">
        <v>157</v>
      </c>
      <c r="BC119" s="7" t="s">
        <v>2317</v>
      </c>
      <c r="BD119" t="s">
        <v>546</v>
      </c>
      <c r="BH119" s="5" t="str">
        <f t="shared" si="3"/>
        <v/>
      </c>
      <c r="BI119" s="5" t="str">
        <f t="shared" si="4"/>
        <v/>
      </c>
    </row>
    <row r="120" spans="21:61" x14ac:dyDescent="0.35">
      <c r="U120" t="s">
        <v>943</v>
      </c>
      <c r="V120" s="7" t="s">
        <v>2167</v>
      </c>
      <c r="W120" t="s">
        <v>1555</v>
      </c>
      <c r="X120" t="s">
        <v>703</v>
      </c>
      <c r="Y120" t="s">
        <v>1558</v>
      </c>
      <c r="Z120" t="s">
        <v>789</v>
      </c>
      <c r="AA120" s="7" t="s">
        <v>2121</v>
      </c>
      <c r="AB120" s="7" t="s">
        <v>2020</v>
      </c>
      <c r="AC120" s="7" t="s">
        <v>2025</v>
      </c>
      <c r="AD120" s="7" t="s">
        <v>2025</v>
      </c>
      <c r="AE120" s="7" t="s">
        <v>2033</v>
      </c>
      <c r="AF120" s="7" t="s">
        <v>2033</v>
      </c>
      <c r="AG120" s="7" t="s">
        <v>2025</v>
      </c>
      <c r="AH120" s="7" t="s">
        <v>2033</v>
      </c>
      <c r="AI120" t="s">
        <v>201</v>
      </c>
      <c r="AJ120" s="7" t="s">
        <v>2227</v>
      </c>
      <c r="AK120" t="s">
        <v>446</v>
      </c>
      <c r="AN120" t="s">
        <v>1904</v>
      </c>
      <c r="AO120" s="7" t="s">
        <v>2041</v>
      </c>
      <c r="AP120" t="s">
        <v>1555</v>
      </c>
      <c r="AQ120" t="s">
        <v>659</v>
      </c>
      <c r="AR120" t="s">
        <v>1560</v>
      </c>
      <c r="AS120" t="s">
        <v>673</v>
      </c>
      <c r="AT120" s="7" t="s">
        <v>2070</v>
      </c>
      <c r="AU120" s="7" t="s">
        <v>2027</v>
      </c>
      <c r="AV120" s="7" t="s">
        <v>2025</v>
      </c>
      <c r="AW120" s="7" t="s">
        <v>2027</v>
      </c>
      <c r="AX120" s="7" t="s">
        <v>2027</v>
      </c>
      <c r="AY120" s="7" t="s">
        <v>2019</v>
      </c>
      <c r="AZ120" s="7" t="s">
        <v>2019</v>
      </c>
      <c r="BA120" s="7" t="s">
        <v>2019</v>
      </c>
      <c r="BB120" t="s">
        <v>1875</v>
      </c>
      <c r="BC120" s="7" t="s">
        <v>2242</v>
      </c>
      <c r="BD120" t="s">
        <v>1943</v>
      </c>
      <c r="BH120" s="5" t="str">
        <f t="shared" si="3"/>
        <v/>
      </c>
      <c r="BI120" s="5" t="str">
        <f t="shared" si="4"/>
        <v/>
      </c>
    </row>
    <row r="121" spans="21:61" x14ac:dyDescent="0.35">
      <c r="U121" t="s">
        <v>1115</v>
      </c>
      <c r="V121" s="7" t="s">
        <v>2167</v>
      </c>
      <c r="W121" t="s">
        <v>1555</v>
      </c>
      <c r="X121" t="s">
        <v>653</v>
      </c>
      <c r="Y121" t="s">
        <v>1558</v>
      </c>
      <c r="Z121" t="s">
        <v>654</v>
      </c>
      <c r="AA121" s="7" t="s">
        <v>2061</v>
      </c>
      <c r="AB121" s="7" t="s">
        <v>2019</v>
      </c>
      <c r="AC121" s="7" t="s">
        <v>2019</v>
      </c>
      <c r="AD121" s="7" t="s">
        <v>2025</v>
      </c>
      <c r="AE121" s="7" t="s">
        <v>2027</v>
      </c>
      <c r="AF121" s="7" t="s">
        <v>2029</v>
      </c>
      <c r="AG121" s="7" t="s">
        <v>2020</v>
      </c>
      <c r="AH121" s="7" t="s">
        <v>2020</v>
      </c>
      <c r="AI121" t="s">
        <v>279</v>
      </c>
      <c r="AJ121" s="7" t="s">
        <v>2212</v>
      </c>
      <c r="AK121" t="s">
        <v>484</v>
      </c>
      <c r="AN121" t="s">
        <v>1796</v>
      </c>
      <c r="AO121" s="7" t="s">
        <v>2041</v>
      </c>
      <c r="AP121" t="s">
        <v>1555</v>
      </c>
      <c r="AQ121" t="s">
        <v>1430</v>
      </c>
      <c r="AR121" t="s">
        <v>1560</v>
      </c>
      <c r="AS121" t="s">
        <v>1454</v>
      </c>
      <c r="AT121" s="7" t="s">
        <v>2092</v>
      </c>
      <c r="AU121" s="7" t="s">
        <v>2029</v>
      </c>
      <c r="AV121" s="7" t="s">
        <v>2020</v>
      </c>
      <c r="AW121" s="7" t="s">
        <v>2020</v>
      </c>
      <c r="AX121" s="7" t="s">
        <v>2019</v>
      </c>
      <c r="AY121" s="7" t="s">
        <v>2029</v>
      </c>
      <c r="AZ121" s="7" t="s">
        <v>2019</v>
      </c>
      <c r="BA121" s="7" t="s">
        <v>2029</v>
      </c>
      <c r="BB121" t="s">
        <v>344</v>
      </c>
      <c r="BC121" s="7" t="s">
        <v>2021</v>
      </c>
      <c r="BD121" t="s">
        <v>1858</v>
      </c>
      <c r="BH121" s="5" t="str">
        <f t="shared" si="3"/>
        <v/>
      </c>
      <c r="BI121" s="5" t="str">
        <f t="shared" si="4"/>
        <v/>
      </c>
    </row>
    <row r="122" spans="21:61" x14ac:dyDescent="0.35">
      <c r="U122" t="s">
        <v>1278</v>
      </c>
      <c r="V122" s="7" t="s">
        <v>2171</v>
      </c>
      <c r="W122" t="s">
        <v>1555</v>
      </c>
      <c r="X122" t="s">
        <v>1216</v>
      </c>
      <c r="Y122" t="s">
        <v>1556</v>
      </c>
      <c r="Z122" t="s">
        <v>1217</v>
      </c>
      <c r="AA122" s="7" t="s">
        <v>2081</v>
      </c>
      <c r="AB122" s="7" t="s">
        <v>2026</v>
      </c>
      <c r="AC122" s="7" t="s">
        <v>2026</v>
      </c>
      <c r="AD122" s="7" t="s">
        <v>2027</v>
      </c>
      <c r="AE122" s="7" t="s">
        <v>2020</v>
      </c>
      <c r="AF122" s="7" t="s">
        <v>2026</v>
      </c>
      <c r="AG122" s="7" t="s">
        <v>2025</v>
      </c>
      <c r="AH122" s="7" t="s">
        <v>2033</v>
      </c>
      <c r="AI122" t="s">
        <v>1218</v>
      </c>
      <c r="AJ122" s="7" t="s">
        <v>2224</v>
      </c>
      <c r="AK122" t="s">
        <v>1246</v>
      </c>
      <c r="AN122" t="s">
        <v>1876</v>
      </c>
      <c r="AO122" s="7" t="s">
        <v>2041</v>
      </c>
      <c r="AP122" t="s">
        <v>1555</v>
      </c>
      <c r="AQ122" t="s">
        <v>1430</v>
      </c>
      <c r="AR122" t="s">
        <v>1560</v>
      </c>
      <c r="AS122" t="s">
        <v>1877</v>
      </c>
      <c r="AT122" s="7" t="s">
        <v>2038</v>
      </c>
      <c r="AU122" s="7" t="s">
        <v>2020</v>
      </c>
      <c r="AV122" s="7" t="s">
        <v>2027</v>
      </c>
      <c r="AW122" s="7" t="s">
        <v>2026</v>
      </c>
      <c r="AX122" s="7" t="s">
        <v>2027</v>
      </c>
      <c r="AY122" s="7" t="s">
        <v>2019</v>
      </c>
      <c r="AZ122" s="7" t="s">
        <v>2027</v>
      </c>
      <c r="BA122" s="7" t="s">
        <v>2020</v>
      </c>
      <c r="BB122" t="s">
        <v>1878</v>
      </c>
      <c r="BC122" s="7" t="s">
        <v>2337</v>
      </c>
      <c r="BD122" t="s">
        <v>1944</v>
      </c>
      <c r="BH122" s="5" t="str">
        <f t="shared" si="3"/>
        <v/>
      </c>
      <c r="BI122" s="5" t="str">
        <f t="shared" si="4"/>
        <v/>
      </c>
    </row>
    <row r="123" spans="21:61" x14ac:dyDescent="0.35">
      <c r="U123" t="s">
        <v>1140</v>
      </c>
      <c r="V123" s="7" t="s">
        <v>2171</v>
      </c>
      <c r="W123" t="s">
        <v>1555</v>
      </c>
      <c r="X123" t="s">
        <v>695</v>
      </c>
      <c r="Y123" t="s">
        <v>1558</v>
      </c>
      <c r="Z123" t="s">
        <v>1000</v>
      </c>
      <c r="AA123" s="7" t="s">
        <v>2027</v>
      </c>
      <c r="AB123" s="7" t="s">
        <v>2027</v>
      </c>
      <c r="AC123" s="7" t="s">
        <v>2027</v>
      </c>
      <c r="AD123" s="7" t="s">
        <v>2020</v>
      </c>
      <c r="AE123" s="7" t="s">
        <v>2025</v>
      </c>
      <c r="AF123" s="7" t="s">
        <v>2027</v>
      </c>
      <c r="AG123" s="7" t="s">
        <v>2020</v>
      </c>
      <c r="AH123" s="7" t="s">
        <v>2025</v>
      </c>
      <c r="AI123" t="s">
        <v>297</v>
      </c>
      <c r="AJ123" s="7" t="s">
        <v>2214</v>
      </c>
      <c r="AK123" t="s">
        <v>491</v>
      </c>
      <c r="AN123" t="s">
        <v>879</v>
      </c>
      <c r="AO123" s="7" t="s">
        <v>2041</v>
      </c>
      <c r="AP123" t="s">
        <v>1555</v>
      </c>
      <c r="AQ123" t="s">
        <v>880</v>
      </c>
      <c r="AR123" t="s">
        <v>1560</v>
      </c>
      <c r="AS123" t="s">
        <v>881</v>
      </c>
      <c r="AT123" s="7" t="s">
        <v>2159</v>
      </c>
      <c r="AU123" s="7" t="s">
        <v>2027</v>
      </c>
      <c r="AV123" s="7" t="s">
        <v>2020</v>
      </c>
      <c r="AW123" s="7" t="s">
        <v>2033</v>
      </c>
      <c r="AX123" s="7" t="s">
        <v>2020</v>
      </c>
      <c r="AY123" s="7" t="s">
        <v>2027</v>
      </c>
      <c r="AZ123" s="7" t="s">
        <v>2025</v>
      </c>
      <c r="BA123" s="7" t="s">
        <v>2025</v>
      </c>
      <c r="BB123" t="s">
        <v>168</v>
      </c>
      <c r="BC123" s="7" t="s">
        <v>2155</v>
      </c>
      <c r="BD123" t="s">
        <v>547</v>
      </c>
      <c r="BH123" s="5" t="str">
        <f t="shared" si="3"/>
        <v/>
      </c>
      <c r="BI123" s="5" t="str">
        <f t="shared" si="4"/>
        <v/>
      </c>
    </row>
    <row r="124" spans="21:61" x14ac:dyDescent="0.35">
      <c r="U124" t="s">
        <v>661</v>
      </c>
      <c r="V124" s="7" t="s">
        <v>2057</v>
      </c>
      <c r="W124" t="s">
        <v>1555</v>
      </c>
      <c r="X124" t="s">
        <v>662</v>
      </c>
      <c r="Y124" t="s">
        <v>1558</v>
      </c>
      <c r="Z124" t="s">
        <v>663</v>
      </c>
      <c r="AA124" s="7" t="s">
        <v>2058</v>
      </c>
      <c r="AB124" s="7" t="s">
        <v>2027</v>
      </c>
      <c r="AC124" s="7" t="s">
        <v>2027</v>
      </c>
      <c r="AD124" s="7" t="s">
        <v>2027</v>
      </c>
      <c r="AE124" s="7" t="s">
        <v>2020</v>
      </c>
      <c r="AF124" s="7" t="s">
        <v>2025</v>
      </c>
      <c r="AG124" s="7" t="s">
        <v>2025</v>
      </c>
      <c r="AH124" s="7" t="s">
        <v>2025</v>
      </c>
      <c r="AI124" t="s">
        <v>61</v>
      </c>
      <c r="AJ124" s="7" t="s">
        <v>2059</v>
      </c>
      <c r="AK124" t="s">
        <v>402</v>
      </c>
      <c r="AN124" t="s">
        <v>882</v>
      </c>
      <c r="AO124" s="7" t="s">
        <v>2041</v>
      </c>
      <c r="AP124" t="s">
        <v>1555</v>
      </c>
      <c r="AQ124" t="s">
        <v>883</v>
      </c>
      <c r="AR124" t="s">
        <v>1560</v>
      </c>
      <c r="AS124" t="s">
        <v>884</v>
      </c>
      <c r="AT124" s="7" t="s">
        <v>2159</v>
      </c>
      <c r="AU124" s="7" t="s">
        <v>2025</v>
      </c>
      <c r="AV124" s="7" t="s">
        <v>2026</v>
      </c>
      <c r="AW124" s="7" t="s">
        <v>2025</v>
      </c>
      <c r="AX124" s="7" t="s">
        <v>2020</v>
      </c>
      <c r="AY124" s="7" t="s">
        <v>2020</v>
      </c>
      <c r="AZ124" s="7" t="s">
        <v>2027</v>
      </c>
      <c r="BA124" s="7" t="s">
        <v>2025</v>
      </c>
      <c r="BB124" t="s">
        <v>169</v>
      </c>
      <c r="BC124" s="7" t="s">
        <v>2021</v>
      </c>
      <c r="BD124" t="s">
        <v>548</v>
      </c>
      <c r="BH124" s="5" t="str">
        <f t="shared" si="3"/>
        <v/>
      </c>
      <c r="BI124" s="5" t="str">
        <f t="shared" si="4"/>
        <v/>
      </c>
    </row>
    <row r="125" spans="21:61" x14ac:dyDescent="0.35">
      <c r="U125" t="s">
        <v>915</v>
      </c>
      <c r="V125" s="7" t="s">
        <v>2057</v>
      </c>
      <c r="W125" t="s">
        <v>1555</v>
      </c>
      <c r="X125" t="s">
        <v>916</v>
      </c>
      <c r="Y125" t="s">
        <v>1558</v>
      </c>
      <c r="Z125" t="s">
        <v>917</v>
      </c>
      <c r="AA125" s="7" t="s">
        <v>2215</v>
      </c>
      <c r="AB125" s="7" t="s">
        <v>2019</v>
      </c>
      <c r="AC125" s="7" t="s">
        <v>2019</v>
      </c>
      <c r="AD125" s="7" t="s">
        <v>2020</v>
      </c>
      <c r="AE125" s="7" t="s">
        <v>2029</v>
      </c>
      <c r="AF125" s="7" t="s">
        <v>2020</v>
      </c>
      <c r="AG125" s="7" t="s">
        <v>2026</v>
      </c>
      <c r="AH125" s="7" t="s">
        <v>2029</v>
      </c>
      <c r="AI125" t="s">
        <v>186</v>
      </c>
      <c r="AJ125" s="7" t="s">
        <v>2214</v>
      </c>
      <c r="AK125" t="s">
        <v>437</v>
      </c>
      <c r="AN125" t="s">
        <v>901</v>
      </c>
      <c r="AO125" s="7" t="s">
        <v>2041</v>
      </c>
      <c r="AP125" t="s">
        <v>1555</v>
      </c>
      <c r="AQ125" t="s">
        <v>799</v>
      </c>
      <c r="AR125" t="s">
        <v>1560</v>
      </c>
      <c r="AS125" t="s">
        <v>177</v>
      </c>
      <c r="AT125" s="7" t="s">
        <v>2031</v>
      </c>
      <c r="AU125" s="7" t="s">
        <v>2019</v>
      </c>
      <c r="AV125" s="7" t="s">
        <v>2020</v>
      </c>
      <c r="AW125" s="7" t="s">
        <v>2020</v>
      </c>
      <c r="AX125" s="7" t="s">
        <v>2020</v>
      </c>
      <c r="AY125" s="7" t="s">
        <v>2025</v>
      </c>
      <c r="AZ125" s="7" t="s">
        <v>2027</v>
      </c>
      <c r="BA125" s="7" t="s">
        <v>2025</v>
      </c>
      <c r="BB125" t="s">
        <v>178</v>
      </c>
      <c r="BC125" s="7" t="s">
        <v>2365</v>
      </c>
      <c r="BD125" t="s">
        <v>549</v>
      </c>
      <c r="BH125" s="5" t="str">
        <f t="shared" si="3"/>
        <v/>
      </c>
      <c r="BI125" s="5" t="str">
        <f t="shared" si="4"/>
        <v/>
      </c>
    </row>
    <row r="126" spans="21:61" x14ac:dyDescent="0.35">
      <c r="U126" t="s">
        <v>1078</v>
      </c>
      <c r="V126" s="7" t="s">
        <v>2057</v>
      </c>
      <c r="W126" t="s">
        <v>1555</v>
      </c>
      <c r="X126" t="s">
        <v>748</v>
      </c>
      <c r="Y126" t="s">
        <v>1558</v>
      </c>
      <c r="Z126" t="s">
        <v>1079</v>
      </c>
      <c r="AA126" s="7" t="s">
        <v>2027</v>
      </c>
      <c r="AB126" s="7" t="s">
        <v>2027</v>
      </c>
      <c r="AC126" s="7" t="s">
        <v>2020</v>
      </c>
      <c r="AD126" s="7" t="s">
        <v>2027</v>
      </c>
      <c r="AE126" s="7" t="s">
        <v>2027</v>
      </c>
      <c r="AF126" s="7" t="s">
        <v>2020</v>
      </c>
      <c r="AG126" s="7" t="s">
        <v>2025</v>
      </c>
      <c r="AH126" s="7" t="s">
        <v>2025</v>
      </c>
      <c r="AI126" t="s">
        <v>196</v>
      </c>
      <c r="AJ126" s="7" t="s">
        <v>2195</v>
      </c>
      <c r="AK126" t="s">
        <v>474</v>
      </c>
      <c r="AN126" t="s">
        <v>909</v>
      </c>
      <c r="AO126" s="7" t="s">
        <v>2041</v>
      </c>
      <c r="AP126" t="s">
        <v>1555</v>
      </c>
      <c r="AQ126" t="s">
        <v>659</v>
      </c>
      <c r="AR126" t="s">
        <v>1560</v>
      </c>
      <c r="AS126" t="s">
        <v>910</v>
      </c>
      <c r="AT126" s="7" t="s">
        <v>2018</v>
      </c>
      <c r="AU126" s="7" t="s">
        <v>2025</v>
      </c>
      <c r="AV126" s="7" t="s">
        <v>2020</v>
      </c>
      <c r="AW126" s="7" t="s">
        <v>2020</v>
      </c>
      <c r="AX126" s="7" t="s">
        <v>2019</v>
      </c>
      <c r="AY126" s="7" t="s">
        <v>2019</v>
      </c>
      <c r="AZ126" s="7" t="s">
        <v>2029</v>
      </c>
      <c r="BA126" s="7" t="s">
        <v>2029</v>
      </c>
      <c r="BB126" t="s">
        <v>182</v>
      </c>
      <c r="BC126" s="7" t="s">
        <v>2021</v>
      </c>
      <c r="BD126" t="s">
        <v>550</v>
      </c>
      <c r="BH126" s="5" t="str">
        <f t="shared" si="3"/>
        <v/>
      </c>
      <c r="BI126" s="5" t="str">
        <f t="shared" si="4"/>
        <v/>
      </c>
    </row>
    <row r="127" spans="21:61" x14ac:dyDescent="0.35">
      <c r="U127" t="s">
        <v>1259</v>
      </c>
      <c r="V127" s="7" t="s">
        <v>2074</v>
      </c>
      <c r="W127" t="s">
        <v>1555</v>
      </c>
      <c r="X127" t="s">
        <v>735</v>
      </c>
      <c r="Y127" t="s">
        <v>1558</v>
      </c>
      <c r="Z127" t="s">
        <v>1299</v>
      </c>
      <c r="AA127" s="7" t="s">
        <v>2063</v>
      </c>
      <c r="AB127" s="7" t="s">
        <v>2025</v>
      </c>
      <c r="AC127" s="7" t="s">
        <v>2027</v>
      </c>
      <c r="AD127" s="7" t="s">
        <v>2026</v>
      </c>
      <c r="AE127" s="7" t="s">
        <v>2026</v>
      </c>
      <c r="AF127" s="7" t="s">
        <v>2027</v>
      </c>
      <c r="AG127" s="7" t="s">
        <v>2027</v>
      </c>
      <c r="AH127" s="7" t="s">
        <v>2025</v>
      </c>
      <c r="AI127" t="s">
        <v>1189</v>
      </c>
      <c r="AJ127" s="7" t="s">
        <v>2213</v>
      </c>
      <c r="AK127" t="s">
        <v>1247</v>
      </c>
      <c r="AN127" t="s">
        <v>925</v>
      </c>
      <c r="AO127" s="7" t="s">
        <v>2041</v>
      </c>
      <c r="AP127" t="s">
        <v>1555</v>
      </c>
      <c r="AQ127" t="s">
        <v>916</v>
      </c>
      <c r="AR127" t="s">
        <v>1560</v>
      </c>
      <c r="AS127" t="s">
        <v>926</v>
      </c>
      <c r="AT127" s="7" t="s">
        <v>2063</v>
      </c>
      <c r="AU127" s="7" t="s">
        <v>2020</v>
      </c>
      <c r="AV127" s="7" t="s">
        <v>2033</v>
      </c>
      <c r="AW127" s="7" t="s">
        <v>2026</v>
      </c>
      <c r="AX127" s="7" t="s">
        <v>2020</v>
      </c>
      <c r="AY127" s="7" t="s">
        <v>2027</v>
      </c>
      <c r="AZ127" s="7" t="s">
        <v>2027</v>
      </c>
      <c r="BA127" s="7" t="s">
        <v>2033</v>
      </c>
      <c r="BB127" t="s">
        <v>190</v>
      </c>
      <c r="BC127" s="7" t="s">
        <v>2021</v>
      </c>
      <c r="BD127" t="s">
        <v>551</v>
      </c>
      <c r="BH127" s="5" t="str">
        <f t="shared" si="3"/>
        <v/>
      </c>
      <c r="BI127" s="5" t="str">
        <f t="shared" si="4"/>
        <v/>
      </c>
    </row>
    <row r="128" spans="21:61" x14ac:dyDescent="0.35">
      <c r="U128" t="s">
        <v>936</v>
      </c>
      <c r="V128" s="7" t="s">
        <v>2074</v>
      </c>
      <c r="W128" t="s">
        <v>1555</v>
      </c>
      <c r="X128" t="s">
        <v>695</v>
      </c>
      <c r="Y128" t="s">
        <v>1558</v>
      </c>
      <c r="Z128" t="s">
        <v>937</v>
      </c>
      <c r="AA128" s="7" t="s">
        <v>2081</v>
      </c>
      <c r="AB128" s="7" t="s">
        <v>2026</v>
      </c>
      <c r="AC128" s="7" t="s">
        <v>2025</v>
      </c>
      <c r="AD128" s="7" t="s">
        <v>2025</v>
      </c>
      <c r="AE128" s="7" t="s">
        <v>2020</v>
      </c>
      <c r="AF128" s="7" t="s">
        <v>2026</v>
      </c>
      <c r="AG128" s="7" t="s">
        <v>2025</v>
      </c>
      <c r="AH128" s="7" t="s">
        <v>2033</v>
      </c>
      <c r="AI128" t="s">
        <v>342</v>
      </c>
      <c r="AJ128" s="7" t="s">
        <v>2236</v>
      </c>
      <c r="AK128" t="s">
        <v>445</v>
      </c>
      <c r="AN128" t="s">
        <v>1269</v>
      </c>
      <c r="AO128" s="7" t="s">
        <v>2041</v>
      </c>
      <c r="AP128" t="s">
        <v>1555</v>
      </c>
      <c r="AQ128" t="s">
        <v>690</v>
      </c>
      <c r="AR128" t="s">
        <v>1560</v>
      </c>
      <c r="AS128" t="s">
        <v>1202</v>
      </c>
      <c r="AT128" s="7" t="s">
        <v>2125</v>
      </c>
      <c r="AU128" s="7" t="s">
        <v>2020</v>
      </c>
      <c r="AV128" s="7" t="s">
        <v>2025</v>
      </c>
      <c r="AW128" s="7" t="s">
        <v>2025</v>
      </c>
      <c r="AX128" s="7" t="s">
        <v>2025</v>
      </c>
      <c r="AY128" s="7" t="s">
        <v>2027</v>
      </c>
      <c r="AZ128" s="7" t="s">
        <v>2027</v>
      </c>
      <c r="BA128" s="7" t="s">
        <v>2020</v>
      </c>
      <c r="BB128" t="s">
        <v>1203</v>
      </c>
      <c r="BC128" s="7" t="s">
        <v>2425</v>
      </c>
      <c r="BD128" t="s">
        <v>1252</v>
      </c>
      <c r="BH128" s="5" t="str">
        <f t="shared" si="3"/>
        <v/>
      </c>
      <c r="BI128" s="5" t="str">
        <f t="shared" si="4"/>
        <v/>
      </c>
    </row>
    <row r="129" spans="21:61" x14ac:dyDescent="0.35">
      <c r="U129" t="s">
        <v>1393</v>
      </c>
      <c r="V129" s="7" t="s">
        <v>2074</v>
      </c>
      <c r="W129" t="s">
        <v>1555</v>
      </c>
      <c r="X129" t="s">
        <v>695</v>
      </c>
      <c r="Y129" t="s">
        <v>1558</v>
      </c>
      <c r="Z129" t="s">
        <v>1000</v>
      </c>
      <c r="AA129" s="7" t="s">
        <v>2025</v>
      </c>
      <c r="AB129" s="7" t="s">
        <v>2025</v>
      </c>
      <c r="AC129" s="7" t="s">
        <v>2027</v>
      </c>
      <c r="AD129" s="7" t="s">
        <v>2025</v>
      </c>
      <c r="AE129" s="7" t="s">
        <v>2025</v>
      </c>
      <c r="AF129" s="7" t="s">
        <v>2026</v>
      </c>
      <c r="AG129" s="7" t="s">
        <v>2027</v>
      </c>
      <c r="AH129" s="7" t="s">
        <v>2026</v>
      </c>
      <c r="AI129" t="s">
        <v>1319</v>
      </c>
      <c r="AJ129" s="7" t="s">
        <v>2169</v>
      </c>
      <c r="AK129" t="s">
        <v>1484</v>
      </c>
      <c r="AN129" t="s">
        <v>982</v>
      </c>
      <c r="AO129" s="7" t="s">
        <v>2041</v>
      </c>
      <c r="AP129" t="s">
        <v>1555</v>
      </c>
      <c r="AQ129" t="s">
        <v>690</v>
      </c>
      <c r="AR129" t="s">
        <v>1560</v>
      </c>
      <c r="AS129" t="s">
        <v>215</v>
      </c>
      <c r="AT129" s="7" t="s">
        <v>2081</v>
      </c>
      <c r="AU129" s="7" t="s">
        <v>2025</v>
      </c>
      <c r="AV129" s="7" t="s">
        <v>2025</v>
      </c>
      <c r="AW129" s="7" t="s">
        <v>2025</v>
      </c>
      <c r="AX129" s="7" t="s">
        <v>2025</v>
      </c>
      <c r="AY129" s="7" t="s">
        <v>2025</v>
      </c>
      <c r="AZ129" s="7" t="s">
        <v>2025</v>
      </c>
      <c r="BA129" s="7" t="s">
        <v>2033</v>
      </c>
      <c r="BB129" t="s">
        <v>75</v>
      </c>
      <c r="BC129" s="7" t="s">
        <v>2133</v>
      </c>
      <c r="BD129" t="s">
        <v>552</v>
      </c>
      <c r="BH129" s="5" t="str">
        <f t="shared" si="3"/>
        <v/>
      </c>
      <c r="BI129" s="5" t="str">
        <f t="shared" si="4"/>
        <v/>
      </c>
    </row>
    <row r="130" spans="21:61" x14ac:dyDescent="0.35">
      <c r="U130" t="s">
        <v>1064</v>
      </c>
      <c r="V130" s="7" t="s">
        <v>2074</v>
      </c>
      <c r="W130" t="s">
        <v>1555</v>
      </c>
      <c r="X130" t="s">
        <v>748</v>
      </c>
      <c r="Y130" t="s">
        <v>1558</v>
      </c>
      <c r="Z130" t="s">
        <v>749</v>
      </c>
      <c r="AA130" s="7" t="s">
        <v>2025</v>
      </c>
      <c r="AB130" s="7" t="s">
        <v>2025</v>
      </c>
      <c r="AC130" s="7" t="s">
        <v>2025</v>
      </c>
      <c r="AD130" s="7" t="s">
        <v>2025</v>
      </c>
      <c r="AE130" s="7" t="s">
        <v>2027</v>
      </c>
      <c r="AF130" s="7" t="s">
        <v>2027</v>
      </c>
      <c r="AG130" s="7" t="s">
        <v>2025</v>
      </c>
      <c r="AH130" s="7" t="s">
        <v>2033</v>
      </c>
      <c r="AI130" t="s">
        <v>196</v>
      </c>
      <c r="AJ130" s="7" t="s">
        <v>2064</v>
      </c>
      <c r="AK130" t="s">
        <v>468</v>
      </c>
      <c r="AN130" t="s">
        <v>1043</v>
      </c>
      <c r="AO130" s="7" t="s">
        <v>2041</v>
      </c>
      <c r="AP130" t="s">
        <v>1555</v>
      </c>
      <c r="AQ130" t="s">
        <v>812</v>
      </c>
      <c r="AR130" t="s">
        <v>1560</v>
      </c>
      <c r="AS130" t="s">
        <v>1044</v>
      </c>
      <c r="AT130" s="7" t="s">
        <v>2090</v>
      </c>
      <c r="AU130" s="7" t="s">
        <v>2020</v>
      </c>
      <c r="AV130" s="7" t="s">
        <v>2027</v>
      </c>
      <c r="AW130" s="7" t="s">
        <v>2027</v>
      </c>
      <c r="AX130" s="7" t="s">
        <v>2027</v>
      </c>
      <c r="AY130" s="7" t="s">
        <v>2027</v>
      </c>
      <c r="AZ130" s="7" t="s">
        <v>2027</v>
      </c>
      <c r="BA130" s="7" t="s">
        <v>2027</v>
      </c>
      <c r="BB130" t="s">
        <v>346</v>
      </c>
      <c r="BC130" s="7" t="s">
        <v>2021</v>
      </c>
      <c r="BD130" t="s">
        <v>553</v>
      </c>
      <c r="BH130" s="5" t="str">
        <f t="shared" ref="BH130:BH193" si="5">TRIM(CLEAN(SUBSTITUTE(AM130,CHAR(160)," ")))</f>
        <v/>
      </c>
      <c r="BI130" s="5" t="str">
        <f t="shared" si="4"/>
        <v/>
      </c>
    </row>
    <row r="131" spans="21:61" x14ac:dyDescent="0.35">
      <c r="U131" t="s">
        <v>731</v>
      </c>
      <c r="V131" s="7" t="s">
        <v>2174</v>
      </c>
      <c r="W131" t="s">
        <v>1555</v>
      </c>
      <c r="X131" t="s">
        <v>732</v>
      </c>
      <c r="Y131" t="s">
        <v>1558</v>
      </c>
      <c r="Z131" t="s">
        <v>733</v>
      </c>
      <c r="AA131" s="7" t="s">
        <v>2052</v>
      </c>
      <c r="AB131" s="7" t="s">
        <v>2020</v>
      </c>
      <c r="AC131" s="7" t="s">
        <v>2029</v>
      </c>
      <c r="AD131" s="7" t="s">
        <v>2020</v>
      </c>
      <c r="AE131" s="7" t="s">
        <v>2029</v>
      </c>
      <c r="AF131" s="7" t="s">
        <v>2029</v>
      </c>
      <c r="AG131" s="7" t="s">
        <v>2020</v>
      </c>
      <c r="AH131" s="7" t="s">
        <v>2020</v>
      </c>
      <c r="AI131" t="s">
        <v>93</v>
      </c>
      <c r="AJ131" s="7" t="s">
        <v>2145</v>
      </c>
      <c r="AK131" t="s">
        <v>413</v>
      </c>
      <c r="AN131" t="s">
        <v>1410</v>
      </c>
      <c r="AO131" s="7" t="s">
        <v>2041</v>
      </c>
      <c r="AP131" t="s">
        <v>1555</v>
      </c>
      <c r="AQ131" t="s">
        <v>776</v>
      </c>
      <c r="AR131" t="s">
        <v>1560</v>
      </c>
      <c r="AS131" t="s">
        <v>1042</v>
      </c>
      <c r="AT131" s="7" t="s">
        <v>2070</v>
      </c>
      <c r="AU131" s="7" t="s">
        <v>2020</v>
      </c>
      <c r="AV131" s="7" t="s">
        <v>2027</v>
      </c>
      <c r="AW131" s="7" t="s">
        <v>2020</v>
      </c>
      <c r="AX131" s="7" t="s">
        <v>2020</v>
      </c>
      <c r="AY131" s="7" t="s">
        <v>2027</v>
      </c>
      <c r="AZ131" s="7" t="s">
        <v>2020</v>
      </c>
      <c r="BA131" s="7" t="s">
        <v>2020</v>
      </c>
      <c r="BB131" t="s">
        <v>157</v>
      </c>
      <c r="BC131" s="7" t="s">
        <v>2049</v>
      </c>
      <c r="BD131" t="s">
        <v>1521</v>
      </c>
      <c r="BH131" s="5" t="str">
        <f t="shared" si="5"/>
        <v/>
      </c>
      <c r="BI131" s="5" t="str">
        <f t="shared" ref="BI131:BI194" si="6">TRIM(CLEAN(SUBSTITUTE(A131,CHAR(160)," ")))</f>
        <v/>
      </c>
    </row>
    <row r="132" spans="21:61" x14ac:dyDescent="0.35">
      <c r="U132" t="s">
        <v>1159</v>
      </c>
      <c r="V132" s="7" t="s">
        <v>2174</v>
      </c>
      <c r="W132" t="s">
        <v>1555</v>
      </c>
      <c r="X132" t="s">
        <v>695</v>
      </c>
      <c r="Y132" t="s">
        <v>1558</v>
      </c>
      <c r="Z132" t="s">
        <v>980</v>
      </c>
      <c r="AA132" s="7" t="s">
        <v>2070</v>
      </c>
      <c r="AB132" s="7" t="s">
        <v>2027</v>
      </c>
      <c r="AC132" s="7" t="s">
        <v>2027</v>
      </c>
      <c r="AD132" s="7" t="s">
        <v>2020</v>
      </c>
      <c r="AE132" s="7" t="s">
        <v>2029</v>
      </c>
      <c r="AF132" s="7" t="s">
        <v>2027</v>
      </c>
      <c r="AG132" s="7" t="s">
        <v>2020</v>
      </c>
      <c r="AH132" s="7" t="s">
        <v>2027</v>
      </c>
      <c r="AI132" t="s">
        <v>353</v>
      </c>
      <c r="AJ132" s="7" t="s">
        <v>2149</v>
      </c>
      <c r="AK132" t="s">
        <v>498</v>
      </c>
      <c r="AN132" t="s">
        <v>1832</v>
      </c>
      <c r="AO132" s="7" t="s">
        <v>2041</v>
      </c>
      <c r="AP132" t="s">
        <v>1555</v>
      </c>
      <c r="AQ132" t="s">
        <v>716</v>
      </c>
      <c r="AR132" t="s">
        <v>1560</v>
      </c>
      <c r="AS132" t="s">
        <v>1439</v>
      </c>
      <c r="AT132" s="7" t="s">
        <v>2125</v>
      </c>
      <c r="AU132" s="7" t="s">
        <v>2027</v>
      </c>
      <c r="AV132" s="7" t="s">
        <v>2027</v>
      </c>
      <c r="AW132" s="7" t="s">
        <v>2026</v>
      </c>
      <c r="AX132" s="7" t="s">
        <v>2027</v>
      </c>
      <c r="AY132" s="7" t="s">
        <v>2020</v>
      </c>
      <c r="AZ132" s="7" t="s">
        <v>2027</v>
      </c>
      <c r="BA132" s="7" t="s">
        <v>2027</v>
      </c>
      <c r="BB132" t="s">
        <v>1777</v>
      </c>
      <c r="BC132" s="7" t="s">
        <v>2561</v>
      </c>
      <c r="BD132" t="s">
        <v>1859</v>
      </c>
      <c r="BH132" s="5" t="str">
        <f t="shared" si="5"/>
        <v/>
      </c>
      <c r="BI132" s="5" t="str">
        <f t="shared" si="6"/>
        <v/>
      </c>
    </row>
    <row r="133" spans="21:61" x14ac:dyDescent="0.35">
      <c r="U133" t="s">
        <v>1386</v>
      </c>
      <c r="V133" s="7" t="s">
        <v>2335</v>
      </c>
      <c r="W133" t="s">
        <v>1555</v>
      </c>
      <c r="X133" t="s">
        <v>732</v>
      </c>
      <c r="Y133" t="s">
        <v>1558</v>
      </c>
      <c r="Z133" t="s">
        <v>1446</v>
      </c>
      <c r="AA133" s="7" t="s">
        <v>2058</v>
      </c>
      <c r="AB133" s="7" t="s">
        <v>2025</v>
      </c>
      <c r="AC133" s="7" t="s">
        <v>2025</v>
      </c>
      <c r="AD133" s="7" t="s">
        <v>2025</v>
      </c>
      <c r="AE133" s="7" t="s">
        <v>2027</v>
      </c>
      <c r="AF133" s="7" t="s">
        <v>2025</v>
      </c>
      <c r="AG133" s="7" t="s">
        <v>2019</v>
      </c>
      <c r="AH133" s="7" t="s">
        <v>2025</v>
      </c>
      <c r="AI133" t="s">
        <v>138</v>
      </c>
      <c r="AJ133" s="7" t="s">
        <v>2226</v>
      </c>
      <c r="AK133" t="s">
        <v>1481</v>
      </c>
      <c r="AN133" t="s">
        <v>1114</v>
      </c>
      <c r="AO133" s="7" t="s">
        <v>2041</v>
      </c>
      <c r="AP133" t="s">
        <v>1555</v>
      </c>
      <c r="AQ133" t="s">
        <v>671</v>
      </c>
      <c r="AR133" t="s">
        <v>1560</v>
      </c>
      <c r="AS133" t="s">
        <v>984</v>
      </c>
      <c r="AT133" s="7" t="s">
        <v>2025</v>
      </c>
      <c r="AU133" s="7" t="s">
        <v>2020</v>
      </c>
      <c r="AV133" s="7" t="s">
        <v>2025</v>
      </c>
      <c r="AW133" s="7" t="s">
        <v>2025</v>
      </c>
      <c r="AX133" s="7" t="s">
        <v>2026</v>
      </c>
      <c r="AY133" s="7" t="s">
        <v>2026</v>
      </c>
      <c r="AZ133" s="7" t="s">
        <v>2025</v>
      </c>
      <c r="BA133" s="7" t="s">
        <v>2025</v>
      </c>
      <c r="BB133" t="s">
        <v>350</v>
      </c>
      <c r="BC133" s="7" t="s">
        <v>2155</v>
      </c>
      <c r="BD133" t="s">
        <v>554</v>
      </c>
      <c r="BH133" s="5" t="str">
        <f t="shared" si="5"/>
        <v/>
      </c>
      <c r="BI133" s="5" t="str">
        <f t="shared" si="6"/>
        <v/>
      </c>
    </row>
    <row r="134" spans="21:61" x14ac:dyDescent="0.35">
      <c r="U134" t="s">
        <v>964</v>
      </c>
      <c r="V134" s="7" t="s">
        <v>2335</v>
      </c>
      <c r="W134" t="s">
        <v>1555</v>
      </c>
      <c r="X134" t="s">
        <v>748</v>
      </c>
      <c r="Y134" t="s">
        <v>1558</v>
      </c>
      <c r="Z134" t="s">
        <v>844</v>
      </c>
      <c r="AA134" s="7" t="s">
        <v>2042</v>
      </c>
      <c r="AB134" s="7" t="s">
        <v>2027</v>
      </c>
      <c r="AC134" s="7" t="s">
        <v>2027</v>
      </c>
      <c r="AD134" s="7" t="s">
        <v>2027</v>
      </c>
      <c r="AE134" s="7" t="s">
        <v>2020</v>
      </c>
      <c r="AF134" s="7" t="s">
        <v>2141</v>
      </c>
      <c r="AG134" s="7" t="s">
        <v>2027</v>
      </c>
      <c r="AH134" s="7" t="s">
        <v>2025</v>
      </c>
      <c r="AI134" t="s">
        <v>206</v>
      </c>
      <c r="AJ134" s="7" t="s">
        <v>2228</v>
      </c>
      <c r="AK134" t="s">
        <v>449</v>
      </c>
      <c r="AN134" t="s">
        <v>1970</v>
      </c>
      <c r="AO134" s="7" t="s">
        <v>2041</v>
      </c>
      <c r="AP134" t="s">
        <v>1555</v>
      </c>
      <c r="AQ134" t="s">
        <v>671</v>
      </c>
      <c r="AR134" t="s">
        <v>1560</v>
      </c>
      <c r="AS134" t="s">
        <v>1143</v>
      </c>
      <c r="AT134" s="7" t="s">
        <v>2027</v>
      </c>
      <c r="AU134" s="7" t="s">
        <v>2020</v>
      </c>
      <c r="AV134" s="7" t="s">
        <v>2027</v>
      </c>
      <c r="AW134" s="7" t="s">
        <v>2027</v>
      </c>
      <c r="AX134" s="7" t="s">
        <v>2020</v>
      </c>
      <c r="AY134" s="7" t="s">
        <v>2027</v>
      </c>
      <c r="AZ134" s="7" t="s">
        <v>2025</v>
      </c>
      <c r="BA134" s="7" t="s">
        <v>2025</v>
      </c>
      <c r="BB134" t="s">
        <v>1758</v>
      </c>
      <c r="BC134" s="7" t="s">
        <v>2021</v>
      </c>
      <c r="BD134" t="s">
        <v>1996</v>
      </c>
      <c r="BH134" s="5" t="str">
        <f t="shared" si="5"/>
        <v/>
      </c>
      <c r="BI134" s="5" t="str">
        <f t="shared" si="6"/>
        <v/>
      </c>
    </row>
    <row r="135" spans="21:61" x14ac:dyDescent="0.35">
      <c r="U135" t="s">
        <v>1742</v>
      </c>
      <c r="V135" s="7" t="s">
        <v>2496</v>
      </c>
      <c r="W135" t="s">
        <v>1555</v>
      </c>
      <c r="X135" t="s">
        <v>1743</v>
      </c>
      <c r="Y135" t="s">
        <v>1558</v>
      </c>
      <c r="Z135" t="s">
        <v>1744</v>
      </c>
      <c r="AA135" s="7" t="s">
        <v>2090</v>
      </c>
      <c r="AB135" s="7" t="s">
        <v>2019</v>
      </c>
      <c r="AC135" s="7" t="s">
        <v>2020</v>
      </c>
      <c r="AD135" s="7" t="s">
        <v>2027</v>
      </c>
      <c r="AE135" s="7" t="s">
        <v>2027</v>
      </c>
      <c r="AF135" s="7" t="s">
        <v>2027</v>
      </c>
      <c r="AG135" s="7" t="s">
        <v>2025</v>
      </c>
      <c r="AH135" s="7" t="s">
        <v>2025</v>
      </c>
      <c r="AI135" t="s">
        <v>1674</v>
      </c>
      <c r="AJ135" s="7" t="s">
        <v>2195</v>
      </c>
      <c r="AK135" t="s">
        <v>1693</v>
      </c>
      <c r="AN135" t="s">
        <v>1371</v>
      </c>
      <c r="AO135" s="7" t="s">
        <v>2037</v>
      </c>
      <c r="AP135" t="s">
        <v>1555</v>
      </c>
      <c r="AQ135" t="s">
        <v>1011</v>
      </c>
      <c r="AR135" t="s">
        <v>1560</v>
      </c>
      <c r="AS135" t="s">
        <v>683</v>
      </c>
      <c r="AT135" s="7" t="s">
        <v>2070</v>
      </c>
      <c r="AU135" s="7" t="s">
        <v>2020</v>
      </c>
      <c r="AV135" s="7" t="s">
        <v>2027</v>
      </c>
      <c r="AW135" s="7" t="s">
        <v>2027</v>
      </c>
      <c r="AX135" s="7" t="s">
        <v>2020</v>
      </c>
      <c r="AY135" s="7" t="s">
        <v>2020</v>
      </c>
      <c r="AZ135" s="7" t="s">
        <v>2027</v>
      </c>
      <c r="BA135" s="7" t="s">
        <v>2019</v>
      </c>
      <c r="BB135" t="s">
        <v>193</v>
      </c>
      <c r="BC135" s="7" t="s">
        <v>2133</v>
      </c>
      <c r="BD135" t="s">
        <v>1497</v>
      </c>
      <c r="BH135" s="5" t="str">
        <f t="shared" si="5"/>
        <v/>
      </c>
      <c r="BI135" s="5" t="str">
        <f t="shared" si="6"/>
        <v/>
      </c>
    </row>
    <row r="136" spans="21:61" x14ac:dyDescent="0.35">
      <c r="U136" t="s">
        <v>1593</v>
      </c>
      <c r="V136" s="7" t="s">
        <v>2390</v>
      </c>
      <c r="W136" t="s">
        <v>1555</v>
      </c>
      <c r="X136" t="s">
        <v>916</v>
      </c>
      <c r="Y136" t="s">
        <v>1558</v>
      </c>
      <c r="Z136" t="s">
        <v>1539</v>
      </c>
      <c r="AA136" s="7" t="s">
        <v>2070</v>
      </c>
      <c r="AB136" s="7" t="s">
        <v>2020</v>
      </c>
      <c r="AC136" s="7" t="s">
        <v>2019</v>
      </c>
      <c r="AD136" s="7" t="s">
        <v>2027</v>
      </c>
      <c r="AE136" s="7" t="s">
        <v>2027</v>
      </c>
      <c r="AF136" s="7" t="s">
        <v>2020</v>
      </c>
      <c r="AG136" s="7" t="s">
        <v>2027</v>
      </c>
      <c r="AH136" s="7" t="s">
        <v>2020</v>
      </c>
      <c r="AI136" t="s">
        <v>1540</v>
      </c>
      <c r="AJ136" s="7" t="s">
        <v>2216</v>
      </c>
      <c r="AK136" t="s">
        <v>1642</v>
      </c>
      <c r="AN136" t="s">
        <v>765</v>
      </c>
      <c r="AO136" s="7" t="s">
        <v>2037</v>
      </c>
      <c r="AP136" t="s">
        <v>1555</v>
      </c>
      <c r="AQ136" t="s">
        <v>760</v>
      </c>
      <c r="AR136" t="s">
        <v>1561</v>
      </c>
      <c r="AS136" t="s">
        <v>107</v>
      </c>
      <c r="AT136" s="7" t="s">
        <v>2052</v>
      </c>
      <c r="AU136" s="7" t="s">
        <v>2020</v>
      </c>
      <c r="AV136" s="7" t="s">
        <v>2020</v>
      </c>
      <c r="AW136" s="7" t="s">
        <v>2029</v>
      </c>
      <c r="AX136" s="7" t="s">
        <v>2029</v>
      </c>
      <c r="AY136" s="7" t="s">
        <v>2020</v>
      </c>
      <c r="AZ136" s="7" t="s">
        <v>2029</v>
      </c>
      <c r="BA136" s="7" t="s">
        <v>2020</v>
      </c>
      <c r="BB136" t="s">
        <v>108</v>
      </c>
      <c r="BC136" s="7" t="s">
        <v>2173</v>
      </c>
      <c r="BD136" t="s">
        <v>555</v>
      </c>
      <c r="BH136" s="5" t="str">
        <f t="shared" si="5"/>
        <v/>
      </c>
      <c r="BI136" s="5" t="str">
        <f t="shared" si="6"/>
        <v/>
      </c>
    </row>
    <row r="137" spans="21:61" x14ac:dyDescent="0.35">
      <c r="U137" t="s">
        <v>1271</v>
      </c>
      <c r="V137" s="7" t="s">
        <v>2390</v>
      </c>
      <c r="W137" t="s">
        <v>1555</v>
      </c>
      <c r="X137" t="s">
        <v>1205</v>
      </c>
      <c r="Y137" t="s">
        <v>1558</v>
      </c>
      <c r="Z137" t="s">
        <v>1206</v>
      </c>
      <c r="AA137" s="7" t="s">
        <v>2215</v>
      </c>
      <c r="AB137" s="7" t="s">
        <v>2020</v>
      </c>
      <c r="AC137" s="7" t="s">
        <v>2020</v>
      </c>
      <c r="AD137" s="7" t="s">
        <v>2020</v>
      </c>
      <c r="AE137" s="7" t="s">
        <v>2029</v>
      </c>
      <c r="AF137" s="7" t="s">
        <v>2019</v>
      </c>
      <c r="AG137" s="7" t="s">
        <v>2020</v>
      </c>
      <c r="AH137" s="7" t="s">
        <v>2020</v>
      </c>
      <c r="AI137" t="s">
        <v>1207</v>
      </c>
      <c r="AJ137" s="7" t="s">
        <v>2178</v>
      </c>
      <c r="AK137" t="s">
        <v>1248</v>
      </c>
      <c r="AN137" t="s">
        <v>772</v>
      </c>
      <c r="AO137" s="7" t="s">
        <v>2037</v>
      </c>
      <c r="AP137" t="s">
        <v>1555</v>
      </c>
      <c r="AQ137" t="s">
        <v>773</v>
      </c>
      <c r="AR137" t="s">
        <v>1560</v>
      </c>
      <c r="AS137" t="s">
        <v>774</v>
      </c>
      <c r="AT137" s="7" t="s">
        <v>2070</v>
      </c>
      <c r="AU137" s="7" t="s">
        <v>2019</v>
      </c>
      <c r="AV137" s="7" t="s">
        <v>2027</v>
      </c>
      <c r="AW137" s="7" t="s">
        <v>2027</v>
      </c>
      <c r="AX137" s="7" t="s">
        <v>2019</v>
      </c>
      <c r="AY137" s="7" t="s">
        <v>2020</v>
      </c>
      <c r="AZ137" s="7" t="s">
        <v>2020</v>
      </c>
      <c r="BA137" s="7" t="s">
        <v>2025</v>
      </c>
      <c r="BB137" t="s">
        <v>111</v>
      </c>
      <c r="BC137" s="7" t="s">
        <v>2021</v>
      </c>
      <c r="BD137" t="s">
        <v>556</v>
      </c>
      <c r="BH137" s="5" t="str">
        <f t="shared" si="5"/>
        <v/>
      </c>
      <c r="BI137" s="5" t="str">
        <f t="shared" si="6"/>
        <v/>
      </c>
    </row>
    <row r="138" spans="21:61" x14ac:dyDescent="0.35">
      <c r="U138" t="s">
        <v>1272</v>
      </c>
      <c r="V138" s="7" t="s">
        <v>2390</v>
      </c>
      <c r="W138" t="s">
        <v>1555</v>
      </c>
      <c r="X138" t="s">
        <v>1291</v>
      </c>
      <c r="Y138" t="s">
        <v>1558</v>
      </c>
      <c r="Z138" t="s">
        <v>1208</v>
      </c>
      <c r="AA138" s="7" t="s">
        <v>2090</v>
      </c>
      <c r="AB138" s="7" t="s">
        <v>2020</v>
      </c>
      <c r="AC138" s="7" t="s">
        <v>2027</v>
      </c>
      <c r="AD138" s="7" t="s">
        <v>2027</v>
      </c>
      <c r="AE138" s="7" t="s">
        <v>2019</v>
      </c>
      <c r="AF138" s="7" t="s">
        <v>2027</v>
      </c>
      <c r="AG138" s="7" t="s">
        <v>2027</v>
      </c>
      <c r="AH138" s="7" t="s">
        <v>2026</v>
      </c>
      <c r="AI138" t="s">
        <v>1209</v>
      </c>
      <c r="AJ138" s="7" t="s">
        <v>2043</v>
      </c>
      <c r="AK138" t="s">
        <v>1249</v>
      </c>
      <c r="AN138" t="s">
        <v>780</v>
      </c>
      <c r="AO138" s="7" t="s">
        <v>2037</v>
      </c>
      <c r="AP138" t="s">
        <v>1555</v>
      </c>
      <c r="AQ138" t="s">
        <v>781</v>
      </c>
      <c r="AR138" t="s">
        <v>1560</v>
      </c>
      <c r="AS138" t="s">
        <v>782</v>
      </c>
      <c r="AT138" s="7" t="s">
        <v>2103</v>
      </c>
      <c r="AU138" s="7" t="s">
        <v>2027</v>
      </c>
      <c r="AV138" s="7" t="s">
        <v>2027</v>
      </c>
      <c r="AW138" s="7" t="s">
        <v>2025</v>
      </c>
      <c r="AX138" s="7" t="s">
        <v>2025</v>
      </c>
      <c r="AY138" s="7" t="s">
        <v>2020</v>
      </c>
      <c r="AZ138" s="7" t="s">
        <v>2025</v>
      </c>
      <c r="BA138" s="7" t="s">
        <v>2033</v>
      </c>
      <c r="BB138" t="s">
        <v>118</v>
      </c>
      <c r="BC138" s="7" t="s">
        <v>2049</v>
      </c>
      <c r="BD138" t="s">
        <v>557</v>
      </c>
      <c r="BH138" s="5" t="str">
        <f t="shared" si="5"/>
        <v/>
      </c>
      <c r="BI138" s="5" t="str">
        <f t="shared" si="6"/>
        <v/>
      </c>
    </row>
    <row r="139" spans="21:61" x14ac:dyDescent="0.35">
      <c r="U139" t="s">
        <v>1004</v>
      </c>
      <c r="V139" s="7" t="s">
        <v>2390</v>
      </c>
      <c r="W139" t="s">
        <v>1555</v>
      </c>
      <c r="X139" t="s">
        <v>695</v>
      </c>
      <c r="Y139" t="s">
        <v>1558</v>
      </c>
      <c r="Z139" t="s">
        <v>1000</v>
      </c>
      <c r="AA139" s="7" t="s">
        <v>2159</v>
      </c>
      <c r="AB139" s="7" t="s">
        <v>2020</v>
      </c>
      <c r="AC139" s="7" t="s">
        <v>2019</v>
      </c>
      <c r="AD139" s="7" t="s">
        <v>2025</v>
      </c>
      <c r="AE139" s="7" t="s">
        <v>2019</v>
      </c>
      <c r="AF139" s="7" t="s">
        <v>2033</v>
      </c>
      <c r="AG139" s="7" t="s">
        <v>2025</v>
      </c>
      <c r="AH139" s="7" t="s">
        <v>2033</v>
      </c>
      <c r="AI139" t="s">
        <v>226</v>
      </c>
      <c r="AJ139" s="7" t="s">
        <v>2202</v>
      </c>
      <c r="AK139" t="s">
        <v>459</v>
      </c>
      <c r="AN139" t="s">
        <v>814</v>
      </c>
      <c r="AO139" s="7" t="s">
        <v>2037</v>
      </c>
      <c r="AP139" t="s">
        <v>1555</v>
      </c>
      <c r="AQ139" t="s">
        <v>815</v>
      </c>
      <c r="AR139" t="s">
        <v>1560</v>
      </c>
      <c r="AS139" t="s">
        <v>816</v>
      </c>
      <c r="AT139" s="7" t="s">
        <v>2256</v>
      </c>
      <c r="AU139" s="7" t="s">
        <v>2033</v>
      </c>
      <c r="AV139" s="7" t="s">
        <v>2033</v>
      </c>
      <c r="AW139" s="7" t="s">
        <v>2033</v>
      </c>
      <c r="AX139" s="7" t="s">
        <v>2026</v>
      </c>
      <c r="AY139" s="7" t="s">
        <v>2033</v>
      </c>
      <c r="AZ139" s="7" t="s">
        <v>2033</v>
      </c>
      <c r="BA139" s="7" t="s">
        <v>2033</v>
      </c>
      <c r="BB139" t="s">
        <v>132</v>
      </c>
      <c r="BC139" s="7" t="s">
        <v>2257</v>
      </c>
      <c r="BD139" t="s">
        <v>558</v>
      </c>
      <c r="BH139" s="5" t="str">
        <f t="shared" si="5"/>
        <v/>
      </c>
      <c r="BI139" s="5" t="str">
        <f t="shared" si="6"/>
        <v/>
      </c>
    </row>
    <row r="140" spans="21:61" x14ac:dyDescent="0.35">
      <c r="U140" t="s">
        <v>1016</v>
      </c>
      <c r="V140" s="7" t="s">
        <v>2390</v>
      </c>
      <c r="W140" t="s">
        <v>1555</v>
      </c>
      <c r="X140" t="s">
        <v>748</v>
      </c>
      <c r="Y140" t="s">
        <v>1558</v>
      </c>
      <c r="Z140" t="s">
        <v>749</v>
      </c>
      <c r="AA140" s="7" t="s">
        <v>2121</v>
      </c>
      <c r="AB140" s="7" t="s">
        <v>2025</v>
      </c>
      <c r="AC140" s="7" t="s">
        <v>2026</v>
      </c>
      <c r="AD140" s="7" t="s">
        <v>2027</v>
      </c>
      <c r="AE140" s="7" t="s">
        <v>2025</v>
      </c>
      <c r="AF140" s="7" t="s">
        <v>2033</v>
      </c>
      <c r="AG140" s="7" t="s">
        <v>2025</v>
      </c>
      <c r="AH140" s="7" t="s">
        <v>2033</v>
      </c>
      <c r="AI140" t="s">
        <v>235</v>
      </c>
      <c r="AJ140" s="7" t="s">
        <v>2253</v>
      </c>
      <c r="AK140" t="s">
        <v>464</v>
      </c>
      <c r="AN140" t="s">
        <v>847</v>
      </c>
      <c r="AO140" s="7" t="s">
        <v>2037</v>
      </c>
      <c r="AP140" t="s">
        <v>1555</v>
      </c>
      <c r="AQ140" t="s">
        <v>690</v>
      </c>
      <c r="AR140" t="s">
        <v>1560</v>
      </c>
      <c r="AS140" t="s">
        <v>148</v>
      </c>
      <c r="AT140" s="7" t="s">
        <v>2048</v>
      </c>
      <c r="AU140" s="7" t="s">
        <v>2027</v>
      </c>
      <c r="AV140" s="7" t="s">
        <v>2027</v>
      </c>
      <c r="AW140" s="7" t="s">
        <v>2020</v>
      </c>
      <c r="AX140" s="7" t="s">
        <v>2020</v>
      </c>
      <c r="AY140" s="7" t="s">
        <v>2020</v>
      </c>
      <c r="AZ140" s="7" t="s">
        <v>2027</v>
      </c>
      <c r="BA140" s="7" t="s">
        <v>2029</v>
      </c>
      <c r="BB140" t="s">
        <v>149</v>
      </c>
      <c r="BC140" s="7" t="s">
        <v>2049</v>
      </c>
      <c r="BD140" t="s">
        <v>559</v>
      </c>
      <c r="BH140" s="5" t="str">
        <f t="shared" si="5"/>
        <v/>
      </c>
      <c r="BI140" s="5" t="str">
        <f t="shared" si="6"/>
        <v/>
      </c>
    </row>
    <row r="141" spans="21:61" x14ac:dyDescent="0.35">
      <c r="U141" t="s">
        <v>1629</v>
      </c>
      <c r="V141" s="7" t="s">
        <v>2683</v>
      </c>
      <c r="W141" t="s">
        <v>1555</v>
      </c>
      <c r="X141" t="s">
        <v>695</v>
      </c>
      <c r="Y141" t="s">
        <v>1558</v>
      </c>
      <c r="Z141" t="s">
        <v>937</v>
      </c>
      <c r="AA141" s="7" t="s">
        <v>2177</v>
      </c>
      <c r="AB141" s="7" t="s">
        <v>2027</v>
      </c>
      <c r="AC141" s="7" t="s">
        <v>2027</v>
      </c>
      <c r="AD141" s="7" t="s">
        <v>2019</v>
      </c>
      <c r="AE141" s="7" t="s">
        <v>2141</v>
      </c>
      <c r="AF141" s="7" t="s">
        <v>2141</v>
      </c>
      <c r="AG141" s="7" t="s">
        <v>2029</v>
      </c>
      <c r="AH141" s="7" t="s">
        <v>2029</v>
      </c>
      <c r="AI141" t="s">
        <v>1554</v>
      </c>
      <c r="AJ141" s="7" t="s">
        <v>2067</v>
      </c>
      <c r="AK141" t="s">
        <v>1643</v>
      </c>
      <c r="AN141" t="s">
        <v>848</v>
      </c>
      <c r="AO141" s="7" t="s">
        <v>2037</v>
      </c>
      <c r="AP141" t="s">
        <v>1555</v>
      </c>
      <c r="AQ141" t="s">
        <v>732</v>
      </c>
      <c r="AR141" t="s">
        <v>1560</v>
      </c>
      <c r="AS141" t="s">
        <v>784</v>
      </c>
      <c r="AT141" s="7" t="s">
        <v>2042</v>
      </c>
      <c r="AU141" s="7" t="s">
        <v>2027</v>
      </c>
      <c r="AV141" s="7" t="s">
        <v>2027</v>
      </c>
      <c r="AW141" s="7" t="s">
        <v>2025</v>
      </c>
      <c r="AX141" s="7" t="s">
        <v>2027</v>
      </c>
      <c r="AY141" s="7" t="s">
        <v>2141</v>
      </c>
      <c r="AZ141" s="7" t="s">
        <v>2019</v>
      </c>
      <c r="BA141" s="7" t="s">
        <v>2025</v>
      </c>
      <c r="BB141" t="s">
        <v>150</v>
      </c>
      <c r="BC141" s="7" t="s">
        <v>2296</v>
      </c>
      <c r="BD141" t="s">
        <v>560</v>
      </c>
      <c r="BH141" s="5" t="str">
        <f t="shared" si="5"/>
        <v/>
      </c>
      <c r="BI141" s="5" t="str">
        <f t="shared" si="6"/>
        <v/>
      </c>
    </row>
    <row r="142" spans="21:61" x14ac:dyDescent="0.35">
      <c r="U142" t="s">
        <v>836</v>
      </c>
      <c r="V142" s="7" t="s">
        <v>2124</v>
      </c>
      <c r="W142" t="s">
        <v>1555</v>
      </c>
      <c r="X142" t="s">
        <v>732</v>
      </c>
      <c r="Y142" t="s">
        <v>1558</v>
      </c>
      <c r="Z142" t="s">
        <v>837</v>
      </c>
      <c r="AA142" s="7" t="s">
        <v>2159</v>
      </c>
      <c r="AB142" s="7" t="s">
        <v>2027</v>
      </c>
      <c r="AC142" s="7" t="s">
        <v>2025</v>
      </c>
      <c r="AD142" s="7" t="s">
        <v>2026</v>
      </c>
      <c r="AE142" s="7" t="s">
        <v>2029</v>
      </c>
      <c r="AF142" s="7" t="s">
        <v>2026</v>
      </c>
      <c r="AG142" s="7" t="s">
        <v>2020</v>
      </c>
      <c r="AH142" s="7" t="s">
        <v>2026</v>
      </c>
      <c r="AI142" t="s">
        <v>143</v>
      </c>
      <c r="AJ142" s="7" t="s">
        <v>2190</v>
      </c>
      <c r="AK142" t="s">
        <v>424</v>
      </c>
      <c r="AN142" t="s">
        <v>855</v>
      </c>
      <c r="AO142" s="7" t="s">
        <v>2037</v>
      </c>
      <c r="AP142" t="s">
        <v>1555</v>
      </c>
      <c r="AQ142" t="s">
        <v>671</v>
      </c>
      <c r="AR142" t="s">
        <v>1560</v>
      </c>
      <c r="AS142" t="s">
        <v>856</v>
      </c>
      <c r="AT142" s="7" t="s">
        <v>2061</v>
      </c>
      <c r="AU142" s="7" t="s">
        <v>2020</v>
      </c>
      <c r="AV142" s="7" t="s">
        <v>2027</v>
      </c>
      <c r="AW142" s="7" t="s">
        <v>2020</v>
      </c>
      <c r="AX142" s="7" t="s">
        <v>2020</v>
      </c>
      <c r="AY142" s="7" t="s">
        <v>2019</v>
      </c>
      <c r="AZ142" s="7" t="s">
        <v>2020</v>
      </c>
      <c r="BA142" s="7" t="s">
        <v>2019</v>
      </c>
      <c r="BB142" t="s">
        <v>158</v>
      </c>
      <c r="BC142" s="7" t="s">
        <v>2021</v>
      </c>
      <c r="BD142" t="s">
        <v>561</v>
      </c>
      <c r="BH142" s="5" t="str">
        <f t="shared" si="5"/>
        <v/>
      </c>
      <c r="BI142" s="5" t="str">
        <f t="shared" si="6"/>
        <v/>
      </c>
    </row>
    <row r="143" spans="21:61" x14ac:dyDescent="0.35">
      <c r="U143" t="s">
        <v>1167</v>
      </c>
      <c r="V143" s="7" t="s">
        <v>2124</v>
      </c>
      <c r="W143" t="s">
        <v>1555</v>
      </c>
      <c r="X143" t="s">
        <v>748</v>
      </c>
      <c r="Y143" t="s">
        <v>1558</v>
      </c>
      <c r="Z143" t="s">
        <v>1168</v>
      </c>
      <c r="AA143" s="7" t="s">
        <v>2116</v>
      </c>
      <c r="AB143" s="7" t="s">
        <v>2027</v>
      </c>
      <c r="AC143" s="7" t="s">
        <v>2020</v>
      </c>
      <c r="AD143" s="7" t="s">
        <v>2025</v>
      </c>
      <c r="AE143" s="7" t="s">
        <v>2027</v>
      </c>
      <c r="AF143" s="7" t="s">
        <v>2033</v>
      </c>
      <c r="AG143" s="7" t="s">
        <v>2026</v>
      </c>
      <c r="AH143" s="7" t="s">
        <v>2033</v>
      </c>
      <c r="AI143" t="s">
        <v>308</v>
      </c>
      <c r="AJ143" s="7" t="s">
        <v>2198</v>
      </c>
      <c r="AK143" t="s">
        <v>500</v>
      </c>
      <c r="AN143" t="s">
        <v>934</v>
      </c>
      <c r="AO143" s="7" t="s">
        <v>2037</v>
      </c>
      <c r="AP143" t="s">
        <v>1555</v>
      </c>
      <c r="AQ143" t="s">
        <v>776</v>
      </c>
      <c r="AR143" t="s">
        <v>1560</v>
      </c>
      <c r="AS143" t="s">
        <v>935</v>
      </c>
      <c r="AT143" s="7" t="s">
        <v>2111</v>
      </c>
      <c r="AU143" s="7" t="s">
        <v>2019</v>
      </c>
      <c r="AV143" s="7" t="s">
        <v>2019</v>
      </c>
      <c r="AW143" s="7" t="s">
        <v>2020</v>
      </c>
      <c r="AX143" s="7" t="s">
        <v>2019</v>
      </c>
      <c r="AY143" s="7" t="s">
        <v>2019</v>
      </c>
      <c r="AZ143" s="7" t="s">
        <v>2027</v>
      </c>
      <c r="BA143" s="7" t="s">
        <v>2027</v>
      </c>
      <c r="BB143" t="s">
        <v>341</v>
      </c>
      <c r="BC143" s="7" t="s">
        <v>2021</v>
      </c>
      <c r="BD143" t="s">
        <v>562</v>
      </c>
      <c r="BH143" s="5" t="str">
        <f t="shared" si="5"/>
        <v/>
      </c>
      <c r="BI143" s="5" t="str">
        <f t="shared" si="6"/>
        <v/>
      </c>
    </row>
    <row r="144" spans="21:61" x14ac:dyDescent="0.35">
      <c r="U144" t="s">
        <v>1012</v>
      </c>
      <c r="V144" s="7" t="s">
        <v>2453</v>
      </c>
      <c r="W144" t="s">
        <v>1555</v>
      </c>
      <c r="X144" t="s">
        <v>1013</v>
      </c>
      <c r="Y144" t="s">
        <v>1558</v>
      </c>
      <c r="Z144" t="s">
        <v>844</v>
      </c>
      <c r="AA144" s="7" t="s">
        <v>2125</v>
      </c>
      <c r="AB144" s="7" t="s">
        <v>2027</v>
      </c>
      <c r="AC144" s="7" t="s">
        <v>2027</v>
      </c>
      <c r="AD144" s="7" t="s">
        <v>2020</v>
      </c>
      <c r="AE144" s="7" t="s">
        <v>2027</v>
      </c>
      <c r="AF144" s="7" t="s">
        <v>2025</v>
      </c>
      <c r="AG144" s="7" t="s">
        <v>2027</v>
      </c>
      <c r="AH144" s="7" t="s">
        <v>2025</v>
      </c>
      <c r="AI144" t="s">
        <v>233</v>
      </c>
      <c r="AJ144" s="7" t="s">
        <v>2239</v>
      </c>
      <c r="AK144" t="s">
        <v>461</v>
      </c>
      <c r="AN144" t="s">
        <v>974</v>
      </c>
      <c r="AO144" s="7" t="s">
        <v>2037</v>
      </c>
      <c r="AP144" t="s">
        <v>1555</v>
      </c>
      <c r="AQ144" t="s">
        <v>659</v>
      </c>
      <c r="AR144" t="s">
        <v>1560</v>
      </c>
      <c r="AS144" t="s">
        <v>910</v>
      </c>
      <c r="AT144" s="7" t="s">
        <v>2081</v>
      </c>
      <c r="AU144" s="7" t="s">
        <v>2026</v>
      </c>
      <c r="AV144" s="7" t="s">
        <v>2025</v>
      </c>
      <c r="AW144" s="7" t="s">
        <v>2026</v>
      </c>
      <c r="AX144" s="7" t="s">
        <v>2025</v>
      </c>
      <c r="AY144" s="7" t="s">
        <v>2020</v>
      </c>
      <c r="AZ144" s="7" t="s">
        <v>2025</v>
      </c>
      <c r="BA144" s="7" t="s">
        <v>2033</v>
      </c>
      <c r="BB144" t="s">
        <v>212</v>
      </c>
      <c r="BC144" s="7" t="s">
        <v>2077</v>
      </c>
      <c r="BD144" t="s">
        <v>563</v>
      </c>
      <c r="BH144" s="5" t="str">
        <f t="shared" si="5"/>
        <v/>
      </c>
      <c r="BI144" s="5" t="str">
        <f t="shared" si="6"/>
        <v/>
      </c>
    </row>
    <row r="145" spans="21:61" x14ac:dyDescent="0.35">
      <c r="U145" t="s">
        <v>1066</v>
      </c>
      <c r="V145" s="7" t="s">
        <v>2453</v>
      </c>
      <c r="W145" t="s">
        <v>1555</v>
      </c>
      <c r="X145" t="s">
        <v>729</v>
      </c>
      <c r="Y145" t="s">
        <v>1558</v>
      </c>
      <c r="Z145" t="s">
        <v>976</v>
      </c>
      <c r="AA145" s="7" t="s">
        <v>2019</v>
      </c>
      <c r="AB145" s="7" t="s">
        <v>2019</v>
      </c>
      <c r="AC145" s="7" t="s">
        <v>2019</v>
      </c>
      <c r="AD145" s="7" t="s">
        <v>2027</v>
      </c>
      <c r="AE145" s="7" t="s">
        <v>2019</v>
      </c>
      <c r="AF145" s="7" t="s">
        <v>2141</v>
      </c>
      <c r="AG145" s="7" t="s">
        <v>2020</v>
      </c>
      <c r="AH145" s="7" t="s">
        <v>2029</v>
      </c>
      <c r="AI145" t="s">
        <v>91</v>
      </c>
      <c r="AJ145" s="7" t="s">
        <v>2226</v>
      </c>
      <c r="AK145" t="s">
        <v>469</v>
      </c>
      <c r="AN145" t="s">
        <v>1007</v>
      </c>
      <c r="AO145" s="7" t="s">
        <v>2037</v>
      </c>
      <c r="AP145" t="s">
        <v>1555</v>
      </c>
      <c r="AQ145" t="s">
        <v>1008</v>
      </c>
      <c r="AR145" t="s">
        <v>1560</v>
      </c>
      <c r="AS145" t="s">
        <v>1009</v>
      </c>
      <c r="AT145" s="7" t="s">
        <v>2058</v>
      </c>
      <c r="AU145" s="7" t="s">
        <v>2020</v>
      </c>
      <c r="AV145" s="7" t="s">
        <v>2027</v>
      </c>
      <c r="AW145" s="7" t="s">
        <v>2026</v>
      </c>
      <c r="AX145" s="7" t="s">
        <v>2025</v>
      </c>
      <c r="AY145" s="7" t="s">
        <v>2020</v>
      </c>
      <c r="AZ145" s="7" t="s">
        <v>2027</v>
      </c>
      <c r="BA145" s="7" t="s">
        <v>2025</v>
      </c>
      <c r="BB145" t="s">
        <v>231</v>
      </c>
      <c r="BC145" s="7" t="s">
        <v>2077</v>
      </c>
      <c r="BD145" t="s">
        <v>564</v>
      </c>
      <c r="BH145" s="5" t="str">
        <f t="shared" si="5"/>
        <v/>
      </c>
      <c r="BI145" s="5" t="str">
        <f t="shared" si="6"/>
        <v/>
      </c>
    </row>
    <row r="146" spans="21:61" x14ac:dyDescent="0.35">
      <c r="U146" t="s">
        <v>979</v>
      </c>
      <c r="V146" s="7" t="s">
        <v>2460</v>
      </c>
      <c r="W146" t="s">
        <v>1555</v>
      </c>
      <c r="X146" t="s">
        <v>695</v>
      </c>
      <c r="Y146" t="s">
        <v>1558</v>
      </c>
      <c r="Z146" t="s">
        <v>980</v>
      </c>
      <c r="AA146" s="7" t="s">
        <v>2103</v>
      </c>
      <c r="AB146" s="7" t="s">
        <v>2020</v>
      </c>
      <c r="AC146" s="7" t="s">
        <v>2027</v>
      </c>
      <c r="AD146" s="7" t="s">
        <v>2025</v>
      </c>
      <c r="AE146" s="7" t="s">
        <v>2020</v>
      </c>
      <c r="AF146" s="7" t="s">
        <v>2027</v>
      </c>
      <c r="AG146" s="7" t="s">
        <v>2033</v>
      </c>
      <c r="AH146" s="7" t="s">
        <v>2033</v>
      </c>
      <c r="AI146" t="s">
        <v>214</v>
      </c>
      <c r="AJ146" s="7" t="s">
        <v>2217</v>
      </c>
      <c r="AK146" t="s">
        <v>453</v>
      </c>
      <c r="AN146" t="s">
        <v>1402</v>
      </c>
      <c r="AO146" s="7" t="s">
        <v>2037</v>
      </c>
      <c r="AP146" t="s">
        <v>1555</v>
      </c>
      <c r="AQ146" t="s">
        <v>690</v>
      </c>
      <c r="AR146" t="s">
        <v>1560</v>
      </c>
      <c r="AS146" t="s">
        <v>778</v>
      </c>
      <c r="AT146" s="7" t="s">
        <v>2121</v>
      </c>
      <c r="AU146" s="7" t="s">
        <v>2025</v>
      </c>
      <c r="AV146" s="7" t="s">
        <v>2026</v>
      </c>
      <c r="AW146" s="7" t="s">
        <v>2026</v>
      </c>
      <c r="AX146" s="7" t="s">
        <v>2027</v>
      </c>
      <c r="AY146" s="7" t="s">
        <v>2026</v>
      </c>
      <c r="AZ146" s="7" t="s">
        <v>2025</v>
      </c>
      <c r="BA146" s="7" t="s">
        <v>2033</v>
      </c>
      <c r="BB146" t="s">
        <v>192</v>
      </c>
      <c r="BC146" s="7" t="s">
        <v>2049</v>
      </c>
      <c r="BD146" t="s">
        <v>1515</v>
      </c>
      <c r="BH146" s="5" t="str">
        <f t="shared" si="5"/>
        <v/>
      </c>
      <c r="BI146" s="5" t="str">
        <f t="shared" si="6"/>
        <v/>
      </c>
    </row>
    <row r="147" spans="21:61" x14ac:dyDescent="0.35">
      <c r="U147" t="s">
        <v>991</v>
      </c>
      <c r="V147" s="7" t="s">
        <v>2460</v>
      </c>
      <c r="W147" t="s">
        <v>1555</v>
      </c>
      <c r="X147" t="s">
        <v>748</v>
      </c>
      <c r="Y147" t="s">
        <v>1558</v>
      </c>
      <c r="Z147" t="s">
        <v>992</v>
      </c>
      <c r="AA147" s="7" t="s">
        <v>2020</v>
      </c>
      <c r="AB147" s="7" t="s">
        <v>2020</v>
      </c>
      <c r="AC147" s="7" t="s">
        <v>2020</v>
      </c>
      <c r="AD147" s="7" t="s">
        <v>2020</v>
      </c>
      <c r="AE147" s="7" t="s">
        <v>2020</v>
      </c>
      <c r="AF147" s="7" t="s">
        <v>2027</v>
      </c>
      <c r="AG147" s="7" t="s">
        <v>2019</v>
      </c>
      <c r="AH147" s="7" t="s">
        <v>2020</v>
      </c>
      <c r="AI147" t="s">
        <v>101</v>
      </c>
      <c r="AJ147" s="7" t="s">
        <v>2194</v>
      </c>
      <c r="AK147" t="s">
        <v>455</v>
      </c>
      <c r="AN147" t="s">
        <v>1065</v>
      </c>
      <c r="AO147" s="7" t="s">
        <v>2037</v>
      </c>
      <c r="AP147" t="s">
        <v>1555</v>
      </c>
      <c r="AQ147" t="s">
        <v>880</v>
      </c>
      <c r="AR147" t="s">
        <v>1560</v>
      </c>
      <c r="AS147" t="s">
        <v>253</v>
      </c>
      <c r="AT147" s="7" t="s">
        <v>2103</v>
      </c>
      <c r="AU147" s="7" t="s">
        <v>2020</v>
      </c>
      <c r="AV147" s="7" t="s">
        <v>2027</v>
      </c>
      <c r="AW147" s="7" t="s">
        <v>2026</v>
      </c>
      <c r="AX147" s="7" t="s">
        <v>2033</v>
      </c>
      <c r="AY147" s="7" t="s">
        <v>2027</v>
      </c>
      <c r="AZ147" s="7" t="s">
        <v>2025</v>
      </c>
      <c r="BA147" s="7" t="s">
        <v>2027</v>
      </c>
      <c r="BB147" t="s">
        <v>254</v>
      </c>
      <c r="BC147" s="7" t="s">
        <v>2104</v>
      </c>
      <c r="BD147" t="s">
        <v>565</v>
      </c>
      <c r="BH147" s="5" t="str">
        <f t="shared" si="5"/>
        <v/>
      </c>
      <c r="BI147" s="5" t="str">
        <f t="shared" si="6"/>
        <v/>
      </c>
    </row>
    <row r="148" spans="21:61" x14ac:dyDescent="0.35">
      <c r="U148" t="s">
        <v>1003</v>
      </c>
      <c r="V148" s="7" t="s">
        <v>2460</v>
      </c>
      <c r="W148" t="s">
        <v>1555</v>
      </c>
      <c r="X148" t="s">
        <v>732</v>
      </c>
      <c r="Y148" t="s">
        <v>1558</v>
      </c>
      <c r="Z148" t="s">
        <v>837</v>
      </c>
      <c r="AA148" s="7" t="s">
        <v>2159</v>
      </c>
      <c r="AB148" s="7" t="s">
        <v>2025</v>
      </c>
      <c r="AC148" s="7" t="s">
        <v>2025</v>
      </c>
      <c r="AD148" s="7" t="s">
        <v>2027</v>
      </c>
      <c r="AE148" s="7" t="s">
        <v>2020</v>
      </c>
      <c r="AF148" s="7" t="s">
        <v>2027</v>
      </c>
      <c r="AG148" s="7" t="s">
        <v>2020</v>
      </c>
      <c r="AH148" s="7" t="s">
        <v>2033</v>
      </c>
      <c r="AI148" t="s">
        <v>225</v>
      </c>
      <c r="AJ148" s="7" t="s">
        <v>2236</v>
      </c>
      <c r="AK148" t="s">
        <v>458</v>
      </c>
      <c r="AN148" t="s">
        <v>1068</v>
      </c>
      <c r="AO148" s="7" t="s">
        <v>2037</v>
      </c>
      <c r="AP148" t="s">
        <v>1555</v>
      </c>
      <c r="AQ148" t="s">
        <v>695</v>
      </c>
      <c r="AR148" t="s">
        <v>1560</v>
      </c>
      <c r="AS148" t="s">
        <v>256</v>
      </c>
      <c r="AT148" s="7" t="s">
        <v>2020</v>
      </c>
      <c r="AU148" s="7" t="s">
        <v>2020</v>
      </c>
      <c r="AV148" s="7" t="s">
        <v>2020</v>
      </c>
      <c r="AW148" s="7" t="s">
        <v>2027</v>
      </c>
      <c r="AX148" s="7" t="s">
        <v>2027</v>
      </c>
      <c r="AY148" s="7" t="s">
        <v>2020</v>
      </c>
      <c r="AZ148" s="7" t="s">
        <v>2020</v>
      </c>
      <c r="BA148" s="7" t="s">
        <v>2029</v>
      </c>
      <c r="BB148" t="s">
        <v>257</v>
      </c>
      <c r="BC148" s="7" t="s">
        <v>2559</v>
      </c>
      <c r="BD148" t="s">
        <v>566</v>
      </c>
      <c r="BH148" s="5" t="str">
        <f t="shared" si="5"/>
        <v/>
      </c>
      <c r="BI148" s="5" t="str">
        <f t="shared" si="6"/>
        <v/>
      </c>
    </row>
    <row r="149" spans="21:61" x14ac:dyDescent="0.35">
      <c r="U149" t="s">
        <v>1015</v>
      </c>
      <c r="V149" s="7" t="s">
        <v>2499</v>
      </c>
      <c r="W149" t="s">
        <v>1555</v>
      </c>
      <c r="X149" t="s">
        <v>748</v>
      </c>
      <c r="Y149" t="s">
        <v>1558</v>
      </c>
      <c r="Z149" t="s">
        <v>749</v>
      </c>
      <c r="AA149" s="7" t="s">
        <v>2125</v>
      </c>
      <c r="AB149" s="7" t="s">
        <v>2027</v>
      </c>
      <c r="AC149" s="7" t="s">
        <v>2027</v>
      </c>
      <c r="AD149" s="7" t="s">
        <v>2020</v>
      </c>
      <c r="AE149" s="7" t="s">
        <v>2027</v>
      </c>
      <c r="AF149" s="7" t="s">
        <v>2020</v>
      </c>
      <c r="AG149" s="7" t="s">
        <v>2026</v>
      </c>
      <c r="AH149" s="7" t="s">
        <v>2025</v>
      </c>
      <c r="AI149" t="s">
        <v>188</v>
      </c>
      <c r="AJ149" s="7" t="s">
        <v>2217</v>
      </c>
      <c r="AK149" t="s">
        <v>463</v>
      </c>
      <c r="AN149" t="s">
        <v>1091</v>
      </c>
      <c r="AO149" s="7" t="s">
        <v>2037</v>
      </c>
      <c r="AP149" t="s">
        <v>1555</v>
      </c>
      <c r="AQ149" t="s">
        <v>1092</v>
      </c>
      <c r="AR149" t="s">
        <v>1560</v>
      </c>
      <c r="AS149" t="s">
        <v>1093</v>
      </c>
      <c r="AT149" s="7" t="s">
        <v>2058</v>
      </c>
      <c r="AU149" s="7" t="s">
        <v>2020</v>
      </c>
      <c r="AV149" s="7" t="s">
        <v>2020</v>
      </c>
      <c r="AW149" s="7" t="s">
        <v>2027</v>
      </c>
      <c r="AX149" s="7" t="s">
        <v>2025</v>
      </c>
      <c r="AY149" s="7" t="s">
        <v>2027</v>
      </c>
      <c r="AZ149" s="7" t="s">
        <v>2026</v>
      </c>
      <c r="BA149" s="7" t="s">
        <v>2025</v>
      </c>
      <c r="BB149" t="s">
        <v>348</v>
      </c>
      <c r="BC149" s="7" t="s">
        <v>2583</v>
      </c>
      <c r="BD149" t="s">
        <v>567</v>
      </c>
      <c r="BH149" s="5" t="str">
        <f t="shared" si="5"/>
        <v/>
      </c>
      <c r="BI149" s="5" t="str">
        <f t="shared" si="6"/>
        <v/>
      </c>
    </row>
    <row r="150" spans="21:61" x14ac:dyDescent="0.35">
      <c r="U150" t="s">
        <v>997</v>
      </c>
      <c r="V150" s="7" t="s">
        <v>2087</v>
      </c>
      <c r="W150" t="s">
        <v>1555</v>
      </c>
      <c r="X150" t="s">
        <v>748</v>
      </c>
      <c r="Y150" t="s">
        <v>1558</v>
      </c>
      <c r="Z150" t="s">
        <v>844</v>
      </c>
      <c r="AA150" s="7" t="s">
        <v>2090</v>
      </c>
      <c r="AB150" s="7" t="s">
        <v>2027</v>
      </c>
      <c r="AC150" s="7" t="s">
        <v>2020</v>
      </c>
      <c r="AD150" s="7" t="s">
        <v>2020</v>
      </c>
      <c r="AE150" s="7" t="s">
        <v>2027</v>
      </c>
      <c r="AF150" s="7" t="s">
        <v>2025</v>
      </c>
      <c r="AG150" s="7" t="s">
        <v>2020</v>
      </c>
      <c r="AH150" s="7" t="s">
        <v>2025</v>
      </c>
      <c r="AI150" t="s">
        <v>111</v>
      </c>
      <c r="AJ150" s="7" t="s">
        <v>2238</v>
      </c>
      <c r="AK150" t="s">
        <v>456</v>
      </c>
      <c r="AN150" t="s">
        <v>1112</v>
      </c>
      <c r="AO150" s="7" t="s">
        <v>2037</v>
      </c>
      <c r="AP150" t="s">
        <v>1555</v>
      </c>
      <c r="AQ150" t="s">
        <v>966</v>
      </c>
      <c r="AR150" t="s">
        <v>1560</v>
      </c>
      <c r="AS150" t="s">
        <v>1022</v>
      </c>
      <c r="AT150" s="7" t="s">
        <v>2159</v>
      </c>
      <c r="AU150" s="7" t="s">
        <v>2027</v>
      </c>
      <c r="AV150" s="7" t="s">
        <v>2025</v>
      </c>
      <c r="AW150" s="7" t="s">
        <v>2027</v>
      </c>
      <c r="AX150" s="7" t="s">
        <v>2027</v>
      </c>
      <c r="AY150" s="7" t="s">
        <v>2025</v>
      </c>
      <c r="AZ150" s="7" t="s">
        <v>2027</v>
      </c>
      <c r="BA150" s="7" t="s">
        <v>2025</v>
      </c>
      <c r="BB150" t="s">
        <v>257</v>
      </c>
      <c r="BC150" s="7" t="s">
        <v>2021</v>
      </c>
      <c r="BD150" t="s">
        <v>568</v>
      </c>
      <c r="BH150" s="5" t="str">
        <f t="shared" si="5"/>
        <v/>
      </c>
      <c r="BI150" s="5" t="str">
        <f t="shared" si="6"/>
        <v/>
      </c>
    </row>
    <row r="151" spans="21:61" x14ac:dyDescent="0.35">
      <c r="U151" t="s">
        <v>1589</v>
      </c>
      <c r="V151" s="7" t="s">
        <v>2373</v>
      </c>
      <c r="W151" t="s">
        <v>1555</v>
      </c>
      <c r="X151" t="s">
        <v>1105</v>
      </c>
      <c r="Y151" t="s">
        <v>1558</v>
      </c>
      <c r="Z151" t="s">
        <v>1590</v>
      </c>
      <c r="AA151" s="7" t="s">
        <v>2090</v>
      </c>
      <c r="AB151" s="7" t="s">
        <v>2027</v>
      </c>
      <c r="AC151" s="7" t="s">
        <v>2020</v>
      </c>
      <c r="AD151" s="7" t="s">
        <v>2027</v>
      </c>
      <c r="AE151" s="7" t="s">
        <v>2027</v>
      </c>
      <c r="AF151" s="7" t="s">
        <v>2027</v>
      </c>
      <c r="AG151" s="7" t="s">
        <v>2027</v>
      </c>
      <c r="AH151" s="7" t="s">
        <v>2027</v>
      </c>
      <c r="AI151" t="s">
        <v>1538</v>
      </c>
      <c r="AJ151" s="7" t="s">
        <v>2085</v>
      </c>
      <c r="AK151" t="s">
        <v>1644</v>
      </c>
      <c r="AN151" t="s">
        <v>1134</v>
      </c>
      <c r="AO151" s="7" t="s">
        <v>2037</v>
      </c>
      <c r="AP151" t="s">
        <v>1555</v>
      </c>
      <c r="AQ151" t="s">
        <v>653</v>
      </c>
      <c r="AR151" t="s">
        <v>1561</v>
      </c>
      <c r="AS151" t="s">
        <v>1135</v>
      </c>
      <c r="AT151" s="7" t="s">
        <v>2640</v>
      </c>
      <c r="AU151" s="7" t="s">
        <v>2022</v>
      </c>
      <c r="AV151" s="7" t="s">
        <v>2019</v>
      </c>
      <c r="AW151" s="7" t="s">
        <v>2022</v>
      </c>
      <c r="AX151" s="7" t="s">
        <v>2029</v>
      </c>
      <c r="AY151" s="7" t="s">
        <v>2019</v>
      </c>
      <c r="AZ151" s="7" t="s">
        <v>2029</v>
      </c>
      <c r="BA151" s="7" t="s">
        <v>2029</v>
      </c>
      <c r="BB151" t="s">
        <v>293</v>
      </c>
      <c r="BC151" s="7" t="s">
        <v>2105</v>
      </c>
      <c r="BD151" t="s">
        <v>569</v>
      </c>
      <c r="BH151" s="5" t="str">
        <f t="shared" si="5"/>
        <v/>
      </c>
      <c r="BI151" s="5" t="str">
        <f t="shared" si="6"/>
        <v/>
      </c>
    </row>
    <row r="152" spans="21:61" x14ac:dyDescent="0.35">
      <c r="U152" t="s">
        <v>893</v>
      </c>
      <c r="V152" s="7" t="s">
        <v>2356</v>
      </c>
      <c r="W152" t="s">
        <v>1555</v>
      </c>
      <c r="X152" t="s">
        <v>748</v>
      </c>
      <c r="Y152" t="s">
        <v>1558</v>
      </c>
      <c r="Z152" t="s">
        <v>749</v>
      </c>
      <c r="AA152" s="7" t="s">
        <v>2159</v>
      </c>
      <c r="AB152" s="7" t="s">
        <v>2027</v>
      </c>
      <c r="AC152" s="7" t="s">
        <v>2027</v>
      </c>
      <c r="AD152" s="7" t="s">
        <v>2027</v>
      </c>
      <c r="AE152" s="7" t="s">
        <v>2025</v>
      </c>
      <c r="AF152" s="7" t="s">
        <v>2027</v>
      </c>
      <c r="AG152" s="7" t="s">
        <v>2027</v>
      </c>
      <c r="AH152" s="7" t="s">
        <v>2026</v>
      </c>
      <c r="AI152" t="s">
        <v>174</v>
      </c>
      <c r="AJ152" s="7" t="s">
        <v>2226</v>
      </c>
      <c r="AK152" t="s">
        <v>432</v>
      </c>
      <c r="AN152" t="s">
        <v>674</v>
      </c>
      <c r="AO152" s="7" t="s">
        <v>2035</v>
      </c>
      <c r="AP152" t="s">
        <v>1555</v>
      </c>
      <c r="AQ152" t="s">
        <v>675</v>
      </c>
      <c r="AR152" t="s">
        <v>1560</v>
      </c>
      <c r="AS152" t="s">
        <v>676</v>
      </c>
      <c r="AT152" s="7" t="s">
        <v>2090</v>
      </c>
      <c r="AU152" s="7" t="s">
        <v>2027</v>
      </c>
      <c r="AV152" s="7" t="s">
        <v>2027</v>
      </c>
      <c r="AW152" s="7" t="s">
        <v>2027</v>
      </c>
      <c r="AX152" s="7" t="s">
        <v>2020</v>
      </c>
      <c r="AY152" s="7" t="s">
        <v>2020</v>
      </c>
      <c r="AZ152" s="7" t="s">
        <v>2027</v>
      </c>
      <c r="BA152" s="7" t="s">
        <v>2025</v>
      </c>
      <c r="BB152" t="s">
        <v>67</v>
      </c>
      <c r="BC152" s="7" t="s">
        <v>2021</v>
      </c>
      <c r="BD152" t="s">
        <v>570</v>
      </c>
      <c r="BH152" s="5" t="str">
        <f t="shared" si="5"/>
        <v/>
      </c>
      <c r="BI152" s="5" t="str">
        <f t="shared" si="6"/>
        <v/>
      </c>
    </row>
    <row r="153" spans="21:61" x14ac:dyDescent="0.35">
      <c r="U153" t="s">
        <v>667</v>
      </c>
      <c r="V153" s="7" t="s">
        <v>2069</v>
      </c>
      <c r="W153" t="s">
        <v>1555</v>
      </c>
      <c r="X153" t="s">
        <v>668</v>
      </c>
      <c r="Y153" t="s">
        <v>1558</v>
      </c>
      <c r="Z153" t="s">
        <v>669</v>
      </c>
      <c r="AA153" s="7" t="s">
        <v>2070</v>
      </c>
      <c r="AB153" s="7" t="s">
        <v>2025</v>
      </c>
      <c r="AC153" s="7" t="s">
        <v>2027</v>
      </c>
      <c r="AD153" s="7" t="s">
        <v>2027</v>
      </c>
      <c r="AE153" s="7" t="s">
        <v>2019</v>
      </c>
      <c r="AF153" s="7" t="s">
        <v>2029</v>
      </c>
      <c r="AG153" s="7" t="s">
        <v>2019</v>
      </c>
      <c r="AH153" s="7" t="s">
        <v>2025</v>
      </c>
      <c r="AI153" t="s">
        <v>65</v>
      </c>
      <c r="AJ153" s="7" t="s">
        <v>2071</v>
      </c>
      <c r="AK153" t="s">
        <v>404</v>
      </c>
      <c r="AN153" t="s">
        <v>1565</v>
      </c>
      <c r="AO153" s="7" t="s">
        <v>2035</v>
      </c>
      <c r="AP153" t="s">
        <v>1555</v>
      </c>
      <c r="AQ153" t="s">
        <v>799</v>
      </c>
      <c r="AR153" t="s">
        <v>1560</v>
      </c>
      <c r="AS153" t="s">
        <v>800</v>
      </c>
      <c r="AT153" s="7" t="s">
        <v>2070</v>
      </c>
      <c r="AU153" s="7" t="s">
        <v>2019</v>
      </c>
      <c r="AV153" s="7" t="s">
        <v>2019</v>
      </c>
      <c r="AW153" s="7" t="s">
        <v>2027</v>
      </c>
      <c r="AX153" s="7" t="s">
        <v>2027</v>
      </c>
      <c r="AY153" s="7" t="s">
        <v>2019</v>
      </c>
      <c r="AZ153" s="7" t="s">
        <v>2025</v>
      </c>
      <c r="BA153" s="7" t="s">
        <v>2027</v>
      </c>
      <c r="BB153" t="s">
        <v>162</v>
      </c>
      <c r="BC153" s="7" t="s">
        <v>2119</v>
      </c>
      <c r="BD153" t="s">
        <v>1653</v>
      </c>
      <c r="BH153" s="5" t="str">
        <f t="shared" si="5"/>
        <v/>
      </c>
      <c r="BI153" s="5" t="str">
        <f t="shared" si="6"/>
        <v/>
      </c>
    </row>
    <row r="154" spans="21:61" x14ac:dyDescent="0.35">
      <c r="U154" t="s">
        <v>843</v>
      </c>
      <c r="V154" s="7" t="s">
        <v>2069</v>
      </c>
      <c r="W154" t="s">
        <v>1555</v>
      </c>
      <c r="X154" t="s">
        <v>748</v>
      </c>
      <c r="Y154" t="s">
        <v>1558</v>
      </c>
      <c r="Z154" t="s">
        <v>844</v>
      </c>
      <c r="AA154" s="7" t="s">
        <v>2031</v>
      </c>
      <c r="AB154" s="7" t="s">
        <v>2020</v>
      </c>
      <c r="AC154" s="7" t="s">
        <v>2019</v>
      </c>
      <c r="AD154" s="7" t="s">
        <v>2025</v>
      </c>
      <c r="AE154" s="7" t="s">
        <v>2025</v>
      </c>
      <c r="AF154" s="7" t="s">
        <v>2025</v>
      </c>
      <c r="AG154" s="7" t="s">
        <v>2141</v>
      </c>
      <c r="AH154" s="7" t="s">
        <v>2025</v>
      </c>
      <c r="AI154" t="s">
        <v>146</v>
      </c>
      <c r="AJ154" s="7" t="s">
        <v>2210</v>
      </c>
      <c r="AK154" t="s">
        <v>427</v>
      </c>
      <c r="AN154" t="s">
        <v>722</v>
      </c>
      <c r="AO154" s="7" t="s">
        <v>2035</v>
      </c>
      <c r="AP154" t="s">
        <v>1555</v>
      </c>
      <c r="AQ154" t="s">
        <v>716</v>
      </c>
      <c r="AR154" t="s">
        <v>1560</v>
      </c>
      <c r="AS154" t="s">
        <v>723</v>
      </c>
      <c r="AT154" s="7" t="s">
        <v>2048</v>
      </c>
      <c r="AU154" s="7" t="s">
        <v>2019</v>
      </c>
      <c r="AV154" s="7" t="s">
        <v>2020</v>
      </c>
      <c r="AW154" s="7" t="s">
        <v>2027</v>
      </c>
      <c r="AX154" s="7" t="s">
        <v>2027</v>
      </c>
      <c r="AY154" s="7" t="s">
        <v>2019</v>
      </c>
      <c r="AZ154" s="7" t="s">
        <v>2027</v>
      </c>
      <c r="BA154" s="7" t="s">
        <v>2020</v>
      </c>
      <c r="BB154" t="s">
        <v>87</v>
      </c>
      <c r="BC154" s="7" t="s">
        <v>2162</v>
      </c>
      <c r="BD154" t="s">
        <v>571</v>
      </c>
      <c r="BH154" s="5" t="str">
        <f t="shared" si="5"/>
        <v/>
      </c>
      <c r="BI154" s="5" t="str">
        <f t="shared" si="6"/>
        <v/>
      </c>
    </row>
    <row r="155" spans="21:61" x14ac:dyDescent="0.35">
      <c r="U155" t="s">
        <v>963</v>
      </c>
      <c r="V155" s="7" t="s">
        <v>2069</v>
      </c>
      <c r="W155" t="s">
        <v>1555</v>
      </c>
      <c r="X155" t="s">
        <v>748</v>
      </c>
      <c r="Y155" t="s">
        <v>1558</v>
      </c>
      <c r="Z155" t="s">
        <v>749</v>
      </c>
      <c r="AA155" s="7" t="s">
        <v>2103</v>
      </c>
      <c r="AB155" s="7" t="s">
        <v>2027</v>
      </c>
      <c r="AC155" s="7" t="s">
        <v>2027</v>
      </c>
      <c r="AD155" s="7" t="s">
        <v>2025</v>
      </c>
      <c r="AE155" s="7" t="s">
        <v>2027</v>
      </c>
      <c r="AF155" s="7" t="s">
        <v>2027</v>
      </c>
      <c r="AG155" s="7" t="s">
        <v>2025</v>
      </c>
      <c r="AH155" s="7" t="s">
        <v>2033</v>
      </c>
      <c r="AI155" t="s">
        <v>196</v>
      </c>
      <c r="AJ155" s="7" t="s">
        <v>2034</v>
      </c>
      <c r="AK155" t="s">
        <v>448</v>
      </c>
      <c r="AN155" t="s">
        <v>726</v>
      </c>
      <c r="AO155" s="7" t="s">
        <v>2035</v>
      </c>
      <c r="AP155" t="s">
        <v>1555</v>
      </c>
      <c r="AQ155" t="s">
        <v>695</v>
      </c>
      <c r="AR155" t="s">
        <v>1561</v>
      </c>
      <c r="AS155" t="s">
        <v>725</v>
      </c>
      <c r="AT155" s="7" t="s">
        <v>2125</v>
      </c>
      <c r="AU155" s="7" t="s">
        <v>2020</v>
      </c>
      <c r="AV155" s="7" t="s">
        <v>2020</v>
      </c>
      <c r="AW155" s="7" t="s">
        <v>2026</v>
      </c>
      <c r="AX155" s="7" t="s">
        <v>2026</v>
      </c>
      <c r="AY155" s="7" t="s">
        <v>2019</v>
      </c>
      <c r="AZ155" s="7" t="s">
        <v>2027</v>
      </c>
      <c r="BA155" s="7" t="s">
        <v>2025</v>
      </c>
      <c r="BB155" t="s">
        <v>88</v>
      </c>
      <c r="BC155" s="7" t="s">
        <v>2165</v>
      </c>
      <c r="BD155" t="s">
        <v>572</v>
      </c>
      <c r="BH155" s="5" t="str">
        <f t="shared" si="5"/>
        <v/>
      </c>
      <c r="BI155" s="5" t="str">
        <f t="shared" si="6"/>
        <v/>
      </c>
    </row>
    <row r="156" spans="21:61" x14ac:dyDescent="0.35">
      <c r="U156" t="s">
        <v>921</v>
      </c>
      <c r="V156" s="7" t="s">
        <v>2230</v>
      </c>
      <c r="W156" t="s">
        <v>1555</v>
      </c>
      <c r="X156" t="s">
        <v>916</v>
      </c>
      <c r="Y156" t="s">
        <v>1558</v>
      </c>
      <c r="Z156" t="s">
        <v>922</v>
      </c>
      <c r="AA156" s="7" t="s">
        <v>2020</v>
      </c>
      <c r="AB156" s="7" t="s">
        <v>2027</v>
      </c>
      <c r="AC156" s="7" t="s">
        <v>2020</v>
      </c>
      <c r="AD156" s="7" t="s">
        <v>2027</v>
      </c>
      <c r="AE156" s="7" t="s">
        <v>2029</v>
      </c>
      <c r="AF156" s="7" t="s">
        <v>2019</v>
      </c>
      <c r="AG156" s="7" t="s">
        <v>2027</v>
      </c>
      <c r="AH156" s="7" t="s">
        <v>2020</v>
      </c>
      <c r="AI156" t="s">
        <v>186</v>
      </c>
      <c r="AJ156" s="7" t="s">
        <v>2194</v>
      </c>
      <c r="AK156" t="s">
        <v>439</v>
      </c>
      <c r="AN156" t="s">
        <v>750</v>
      </c>
      <c r="AO156" s="7" t="s">
        <v>2035</v>
      </c>
      <c r="AP156" t="s">
        <v>1555</v>
      </c>
      <c r="AQ156" t="s">
        <v>751</v>
      </c>
      <c r="AR156" t="s">
        <v>1560</v>
      </c>
      <c r="AS156" t="s">
        <v>752</v>
      </c>
      <c r="AT156" s="7" t="s">
        <v>2090</v>
      </c>
      <c r="AU156" s="7" t="s">
        <v>2020</v>
      </c>
      <c r="AV156" s="7" t="s">
        <v>2027</v>
      </c>
      <c r="AW156" s="7" t="s">
        <v>2027</v>
      </c>
      <c r="AX156" s="7" t="s">
        <v>2027</v>
      </c>
      <c r="AY156" s="7" t="s">
        <v>2019</v>
      </c>
      <c r="AZ156" s="7" t="s">
        <v>2025</v>
      </c>
      <c r="BA156" s="7" t="s">
        <v>2025</v>
      </c>
      <c r="BB156" t="s">
        <v>99</v>
      </c>
      <c r="BC156" s="7" t="s">
        <v>2021</v>
      </c>
      <c r="BD156" t="s">
        <v>573</v>
      </c>
      <c r="BH156" s="5" t="str">
        <f t="shared" si="5"/>
        <v/>
      </c>
      <c r="BI156" s="5" t="str">
        <f t="shared" si="6"/>
        <v/>
      </c>
    </row>
    <row r="157" spans="21:61" x14ac:dyDescent="0.35">
      <c r="U157" t="s">
        <v>1404</v>
      </c>
      <c r="V157" s="7" t="s">
        <v>2230</v>
      </c>
      <c r="W157" t="s">
        <v>1555</v>
      </c>
      <c r="X157" t="s">
        <v>1431</v>
      </c>
      <c r="Y157" t="s">
        <v>1556</v>
      </c>
      <c r="Z157" t="s">
        <v>1351</v>
      </c>
      <c r="AA157" s="7" t="s">
        <v>2159</v>
      </c>
      <c r="AB157" s="7" t="s">
        <v>2025</v>
      </c>
      <c r="AC157" s="7" t="s">
        <v>2025</v>
      </c>
      <c r="AD157" s="7" t="s">
        <v>2027</v>
      </c>
      <c r="AE157" s="7" t="s">
        <v>2020</v>
      </c>
      <c r="AF157" s="7" t="s">
        <v>2027</v>
      </c>
      <c r="AG157" s="7" t="s">
        <v>2027</v>
      </c>
      <c r="AH157" s="7" t="s">
        <v>2026</v>
      </c>
      <c r="AI157" t="s">
        <v>1352</v>
      </c>
      <c r="AJ157" s="7" t="s">
        <v>2212</v>
      </c>
      <c r="AK157" t="s">
        <v>1491</v>
      </c>
      <c r="AN157" t="s">
        <v>777</v>
      </c>
      <c r="AO157" s="7" t="s">
        <v>2035</v>
      </c>
      <c r="AP157" t="s">
        <v>1555</v>
      </c>
      <c r="AQ157" t="s">
        <v>690</v>
      </c>
      <c r="AR157" t="s">
        <v>1560</v>
      </c>
      <c r="AS157" t="s">
        <v>778</v>
      </c>
      <c r="AT157" s="7" t="s">
        <v>2070</v>
      </c>
      <c r="AU157" s="7" t="s">
        <v>2020</v>
      </c>
      <c r="AV157" s="7" t="s">
        <v>2027</v>
      </c>
      <c r="AW157" s="7" t="s">
        <v>2029</v>
      </c>
      <c r="AX157" s="7" t="s">
        <v>2020</v>
      </c>
      <c r="AY157" s="7" t="s">
        <v>2025</v>
      </c>
      <c r="AZ157" s="7" t="s">
        <v>2027</v>
      </c>
      <c r="BA157" s="7" t="s">
        <v>2020</v>
      </c>
      <c r="BB157" t="s">
        <v>114</v>
      </c>
      <c r="BC157" s="7" t="s">
        <v>2049</v>
      </c>
      <c r="BD157" t="s">
        <v>574</v>
      </c>
      <c r="BH157" s="5" t="str">
        <f t="shared" si="5"/>
        <v/>
      </c>
      <c r="BI157" s="5" t="str">
        <f t="shared" si="6"/>
        <v/>
      </c>
    </row>
    <row r="158" spans="21:61" x14ac:dyDescent="0.35">
      <c r="U158" t="s">
        <v>694</v>
      </c>
      <c r="V158" s="7" t="s">
        <v>2084</v>
      </c>
      <c r="W158" t="s">
        <v>1555</v>
      </c>
      <c r="X158" t="s">
        <v>695</v>
      </c>
      <c r="Y158" t="s">
        <v>1558</v>
      </c>
      <c r="Z158" t="s">
        <v>696</v>
      </c>
      <c r="AA158" s="7" t="s">
        <v>2131</v>
      </c>
      <c r="AB158" s="7" t="s">
        <v>2029</v>
      </c>
      <c r="AC158" s="7" t="s">
        <v>2019</v>
      </c>
      <c r="AD158" s="7" t="s">
        <v>2029</v>
      </c>
      <c r="AE158" s="7" t="s">
        <v>2022</v>
      </c>
      <c r="AF158" s="7" t="s">
        <v>2020</v>
      </c>
      <c r="AG158" s="7" t="s">
        <v>2019</v>
      </c>
      <c r="AH158" s="7" t="s">
        <v>2020</v>
      </c>
      <c r="AI158" t="s">
        <v>337</v>
      </c>
      <c r="AJ158" s="7" t="s">
        <v>2043</v>
      </c>
      <c r="AK158" t="s">
        <v>407</v>
      </c>
      <c r="AN158" t="s">
        <v>863</v>
      </c>
      <c r="AO158" s="7" t="s">
        <v>2035</v>
      </c>
      <c r="AP158" t="s">
        <v>1555</v>
      </c>
      <c r="AQ158" t="s">
        <v>695</v>
      </c>
      <c r="AR158" t="s">
        <v>1560</v>
      </c>
      <c r="AS158" t="s">
        <v>784</v>
      </c>
      <c r="AT158" s="7" t="s">
        <v>2116</v>
      </c>
      <c r="AU158" s="7" t="s">
        <v>2027</v>
      </c>
      <c r="AV158" s="7" t="s">
        <v>2026</v>
      </c>
      <c r="AW158" s="7" t="s">
        <v>2027</v>
      </c>
      <c r="AX158" s="7" t="s">
        <v>2025</v>
      </c>
      <c r="AY158" s="7" t="s">
        <v>2020</v>
      </c>
      <c r="AZ158" s="7" t="s">
        <v>2033</v>
      </c>
      <c r="BA158" s="7" t="s">
        <v>2033</v>
      </c>
      <c r="BB158" t="s">
        <v>163</v>
      </c>
      <c r="BC158" s="7" t="s">
        <v>2049</v>
      </c>
      <c r="BD158" t="s">
        <v>575</v>
      </c>
      <c r="BH158" s="5" t="str">
        <f t="shared" si="5"/>
        <v/>
      </c>
      <c r="BI158" s="5" t="str">
        <f t="shared" si="6"/>
        <v/>
      </c>
    </row>
    <row r="159" spans="21:61" x14ac:dyDescent="0.35">
      <c r="U159" t="s">
        <v>747</v>
      </c>
      <c r="V159" s="7" t="s">
        <v>2084</v>
      </c>
      <c r="W159" t="s">
        <v>1555</v>
      </c>
      <c r="X159" t="s">
        <v>748</v>
      </c>
      <c r="Y159" t="s">
        <v>1558</v>
      </c>
      <c r="Z159" t="s">
        <v>749</v>
      </c>
      <c r="AA159" s="7" t="s">
        <v>2025</v>
      </c>
      <c r="AB159" s="7" t="s">
        <v>2027</v>
      </c>
      <c r="AC159" s="7" t="s">
        <v>2027</v>
      </c>
      <c r="AD159" s="7" t="s">
        <v>2026</v>
      </c>
      <c r="AE159" s="7" t="s">
        <v>2027</v>
      </c>
      <c r="AF159" s="7" t="s">
        <v>2025</v>
      </c>
      <c r="AG159" s="7" t="s">
        <v>2025</v>
      </c>
      <c r="AH159" s="7" t="s">
        <v>2033</v>
      </c>
      <c r="AI159" t="s">
        <v>98</v>
      </c>
      <c r="AJ159" s="7" t="s">
        <v>2193</v>
      </c>
      <c r="AK159" t="s">
        <v>415</v>
      </c>
      <c r="AN159" t="s">
        <v>998</v>
      </c>
      <c r="AO159" s="7" t="s">
        <v>2035</v>
      </c>
      <c r="AP159" t="s">
        <v>1555</v>
      </c>
      <c r="AQ159" t="s">
        <v>966</v>
      </c>
      <c r="AR159" t="s">
        <v>1560</v>
      </c>
      <c r="AS159" t="s">
        <v>896</v>
      </c>
      <c r="AT159" s="7" t="s">
        <v>2038</v>
      </c>
      <c r="AU159" s="7" t="s">
        <v>2020</v>
      </c>
      <c r="AV159" s="7" t="s">
        <v>2020</v>
      </c>
      <c r="AW159" s="7" t="s">
        <v>2027</v>
      </c>
      <c r="AX159" s="7" t="s">
        <v>2026</v>
      </c>
      <c r="AY159" s="7" t="s">
        <v>2019</v>
      </c>
      <c r="AZ159" s="7" t="s">
        <v>2027</v>
      </c>
      <c r="BA159" s="7" t="s">
        <v>2027</v>
      </c>
      <c r="BB159" t="s">
        <v>221</v>
      </c>
      <c r="BC159" s="7" t="s">
        <v>2021</v>
      </c>
      <c r="BD159" t="s">
        <v>576</v>
      </c>
      <c r="BH159" s="5" t="str">
        <f t="shared" si="5"/>
        <v/>
      </c>
      <c r="BI159" s="5" t="str">
        <f t="shared" si="6"/>
        <v/>
      </c>
    </row>
    <row r="160" spans="21:61" x14ac:dyDescent="0.35">
      <c r="U160" t="s">
        <v>975</v>
      </c>
      <c r="V160" s="7" t="s">
        <v>2456</v>
      </c>
      <c r="W160" t="s">
        <v>1555</v>
      </c>
      <c r="X160" t="s">
        <v>729</v>
      </c>
      <c r="Y160" t="s">
        <v>1558</v>
      </c>
      <c r="Z160" t="s">
        <v>976</v>
      </c>
      <c r="AA160" s="7" t="s">
        <v>2038</v>
      </c>
      <c r="AB160" s="7" t="s">
        <v>2019</v>
      </c>
      <c r="AC160" s="7" t="s">
        <v>2025</v>
      </c>
      <c r="AD160" s="7" t="s">
        <v>2025</v>
      </c>
      <c r="AE160" s="7" t="s">
        <v>2019</v>
      </c>
      <c r="AF160" s="7" t="s">
        <v>2027</v>
      </c>
      <c r="AG160" s="7" t="s">
        <v>2019</v>
      </c>
      <c r="AH160" s="7" t="s">
        <v>2026</v>
      </c>
      <c r="AI160" t="s">
        <v>213</v>
      </c>
      <c r="AJ160" s="7" t="s">
        <v>2149</v>
      </c>
      <c r="AK160" t="s">
        <v>452</v>
      </c>
      <c r="AN160" t="s">
        <v>1824</v>
      </c>
      <c r="AO160" s="7" t="s">
        <v>2035</v>
      </c>
      <c r="AP160" t="s">
        <v>1555</v>
      </c>
      <c r="AQ160" t="s">
        <v>1825</v>
      </c>
      <c r="AR160" t="s">
        <v>1560</v>
      </c>
      <c r="AS160" t="s">
        <v>688</v>
      </c>
      <c r="AT160" s="7" t="s">
        <v>2042</v>
      </c>
      <c r="AU160" s="7" t="s">
        <v>2019</v>
      </c>
      <c r="AV160" s="7" t="s">
        <v>2020</v>
      </c>
      <c r="AW160" s="7" t="s">
        <v>2027</v>
      </c>
      <c r="AX160" s="7" t="s">
        <v>2020</v>
      </c>
      <c r="AY160" s="7" t="s">
        <v>2027</v>
      </c>
      <c r="AZ160" s="7" t="s">
        <v>2027</v>
      </c>
      <c r="BA160" s="7" t="s">
        <v>2027</v>
      </c>
      <c r="BB160" t="s">
        <v>171</v>
      </c>
      <c r="BC160" s="7" t="s">
        <v>2133</v>
      </c>
      <c r="BD160" t="s">
        <v>1860</v>
      </c>
      <c r="BH160" s="5" t="str">
        <f t="shared" si="5"/>
        <v/>
      </c>
      <c r="BI160" s="5" t="str">
        <f t="shared" si="6"/>
        <v/>
      </c>
    </row>
    <row r="161" spans="21:61" x14ac:dyDescent="0.35">
      <c r="U161" t="s">
        <v>1156</v>
      </c>
      <c r="V161" s="7" t="s">
        <v>2456</v>
      </c>
      <c r="W161" t="s">
        <v>1555</v>
      </c>
      <c r="X161" t="s">
        <v>1157</v>
      </c>
      <c r="Y161" t="s">
        <v>1558</v>
      </c>
      <c r="Z161" t="s">
        <v>1158</v>
      </c>
      <c r="AA161" s="7" t="s">
        <v>2092</v>
      </c>
      <c r="AB161" s="7" t="s">
        <v>2141</v>
      </c>
      <c r="AC161" s="7" t="s">
        <v>2019</v>
      </c>
      <c r="AD161" s="7" t="s">
        <v>2020</v>
      </c>
      <c r="AE161" s="7" t="s">
        <v>2029</v>
      </c>
      <c r="AF161" s="7" t="s">
        <v>2019</v>
      </c>
      <c r="AG161" s="7" t="s">
        <v>2019</v>
      </c>
      <c r="AH161" s="7" t="s">
        <v>2020</v>
      </c>
      <c r="AI161" t="s">
        <v>78</v>
      </c>
      <c r="AJ161" s="7" t="s">
        <v>2085</v>
      </c>
      <c r="AK161" t="s">
        <v>497</v>
      </c>
      <c r="AN161" t="s">
        <v>2550</v>
      </c>
      <c r="AO161" s="7" t="s">
        <v>2035</v>
      </c>
      <c r="AP161" t="s">
        <v>1555</v>
      </c>
      <c r="AQ161" t="s">
        <v>2551</v>
      </c>
      <c r="AR161" t="s">
        <v>1560</v>
      </c>
      <c r="AS161" t="s">
        <v>2011</v>
      </c>
      <c r="AT161" s="7" t="s">
        <v>2031</v>
      </c>
      <c r="AU161" s="7" t="s">
        <v>2020</v>
      </c>
      <c r="AV161" s="7" t="s">
        <v>2020</v>
      </c>
      <c r="AW161" s="7" t="s">
        <v>2027</v>
      </c>
      <c r="AX161" s="7" t="s">
        <v>2027</v>
      </c>
      <c r="AY161" s="7" t="s">
        <v>2019</v>
      </c>
      <c r="AZ161" s="7" t="s">
        <v>2025</v>
      </c>
      <c r="BA161" s="7" t="s">
        <v>2027</v>
      </c>
      <c r="BB161" t="s">
        <v>145</v>
      </c>
      <c r="BC161" s="7" t="s">
        <v>2552</v>
      </c>
      <c r="BD161" t="s">
        <v>2709</v>
      </c>
      <c r="BH161" s="5" t="str">
        <f t="shared" si="5"/>
        <v/>
      </c>
      <c r="BI161" s="5" t="str">
        <f t="shared" si="6"/>
        <v/>
      </c>
    </row>
    <row r="162" spans="21:61" x14ac:dyDescent="0.35">
      <c r="U162" t="s">
        <v>969</v>
      </c>
      <c r="V162" s="7" t="s">
        <v>2449</v>
      </c>
      <c r="W162" t="s">
        <v>1555</v>
      </c>
      <c r="X162" t="s">
        <v>748</v>
      </c>
      <c r="Y162" t="s">
        <v>1558</v>
      </c>
      <c r="Z162" t="s">
        <v>970</v>
      </c>
      <c r="AA162" s="7" t="s">
        <v>2125</v>
      </c>
      <c r="AB162" s="7" t="s">
        <v>2020</v>
      </c>
      <c r="AC162" s="7" t="s">
        <v>2020</v>
      </c>
      <c r="AD162" s="7" t="s">
        <v>2025</v>
      </c>
      <c r="AE162" s="7" t="s">
        <v>2027</v>
      </c>
      <c r="AF162" s="7" t="s">
        <v>2025</v>
      </c>
      <c r="AG162" s="7" t="s">
        <v>2020</v>
      </c>
      <c r="AH162" s="7" t="s">
        <v>2026</v>
      </c>
      <c r="AI162" t="s">
        <v>210</v>
      </c>
      <c r="AJ162" s="7" t="s">
        <v>2229</v>
      </c>
      <c r="AK162" t="s">
        <v>451</v>
      </c>
      <c r="AN162" t="s">
        <v>2616</v>
      </c>
      <c r="AO162" s="7" t="s">
        <v>2035</v>
      </c>
      <c r="AP162" t="s">
        <v>1555</v>
      </c>
      <c r="AQ162" t="s">
        <v>1423</v>
      </c>
      <c r="AR162" t="s">
        <v>1560</v>
      </c>
      <c r="AS162" t="s">
        <v>2617</v>
      </c>
      <c r="AT162" s="7" t="s">
        <v>2052</v>
      </c>
      <c r="AU162" s="7" t="s">
        <v>2019</v>
      </c>
      <c r="AV162" s="7" t="s">
        <v>2019</v>
      </c>
      <c r="AW162" s="7" t="s">
        <v>2020</v>
      </c>
      <c r="AX162" s="7" t="s">
        <v>2020</v>
      </c>
      <c r="AY162" s="7" t="s">
        <v>2019</v>
      </c>
      <c r="AZ162" s="7" t="s">
        <v>2019</v>
      </c>
      <c r="BA162" s="7" t="s">
        <v>2029</v>
      </c>
      <c r="BB162" t="s">
        <v>2013</v>
      </c>
      <c r="BC162" s="7" t="s">
        <v>2223</v>
      </c>
      <c r="BD162" t="s">
        <v>2710</v>
      </c>
      <c r="BH162" s="5" t="str">
        <f t="shared" si="5"/>
        <v/>
      </c>
      <c r="BI162" s="5" t="str">
        <f t="shared" si="6"/>
        <v/>
      </c>
    </row>
    <row r="163" spans="21:61" x14ac:dyDescent="0.35">
      <c r="U163" t="s">
        <v>1155</v>
      </c>
      <c r="V163" s="7" t="s">
        <v>2449</v>
      </c>
      <c r="W163" t="s">
        <v>1555</v>
      </c>
      <c r="X163" t="s">
        <v>1105</v>
      </c>
      <c r="Y163" t="s">
        <v>1558</v>
      </c>
      <c r="Z163" t="s">
        <v>837</v>
      </c>
      <c r="AA163" s="7" t="s">
        <v>2092</v>
      </c>
      <c r="AB163" s="7" t="s">
        <v>2029</v>
      </c>
      <c r="AC163" s="7" t="s">
        <v>2029</v>
      </c>
      <c r="AD163" s="7" t="s">
        <v>2019</v>
      </c>
      <c r="AE163" s="7" t="s">
        <v>2019</v>
      </c>
      <c r="AF163" s="7" t="s">
        <v>2019</v>
      </c>
      <c r="AG163" s="7" t="s">
        <v>2019</v>
      </c>
      <c r="AH163" s="7" t="s">
        <v>2020</v>
      </c>
      <c r="AI163" t="s">
        <v>303</v>
      </c>
      <c r="AJ163" s="7" t="s">
        <v>2196</v>
      </c>
      <c r="AK163" t="s">
        <v>496</v>
      </c>
      <c r="AN163" t="s">
        <v>1621</v>
      </c>
      <c r="AO163" s="7" t="s">
        <v>2035</v>
      </c>
      <c r="AP163" t="s">
        <v>1555</v>
      </c>
      <c r="AQ163" t="s">
        <v>695</v>
      </c>
      <c r="AR163" t="s">
        <v>1560</v>
      </c>
      <c r="AS163" t="s">
        <v>789</v>
      </c>
      <c r="AT163" s="7" t="s">
        <v>2090</v>
      </c>
      <c r="AU163" s="7" t="s">
        <v>2020</v>
      </c>
      <c r="AV163" s="7" t="s">
        <v>2025</v>
      </c>
      <c r="AW163" s="7" t="s">
        <v>2020</v>
      </c>
      <c r="AX163" s="7" t="s">
        <v>2027</v>
      </c>
      <c r="AY163" s="7" t="s">
        <v>2027</v>
      </c>
      <c r="AZ163" s="7" t="s">
        <v>2027</v>
      </c>
      <c r="BA163" s="7" t="s">
        <v>2027</v>
      </c>
      <c r="BB163" t="s">
        <v>1550</v>
      </c>
      <c r="BC163" s="7" t="s">
        <v>2049</v>
      </c>
      <c r="BD163" t="s">
        <v>1654</v>
      </c>
      <c r="BH163" s="5" t="str">
        <f t="shared" si="5"/>
        <v/>
      </c>
      <c r="BI163" s="5" t="str">
        <f t="shared" si="6"/>
        <v/>
      </c>
    </row>
    <row r="164" spans="21:61" x14ac:dyDescent="0.35">
      <c r="U164" t="s">
        <v>691</v>
      </c>
      <c r="V164" s="7" t="s">
        <v>2129</v>
      </c>
      <c r="W164" t="s">
        <v>1555</v>
      </c>
      <c r="X164" t="s">
        <v>692</v>
      </c>
      <c r="Y164" t="s">
        <v>1558</v>
      </c>
      <c r="Z164" t="s">
        <v>693</v>
      </c>
      <c r="AA164" s="7" t="s">
        <v>2019</v>
      </c>
      <c r="AB164" s="7" t="s">
        <v>2019</v>
      </c>
      <c r="AC164" s="7" t="s">
        <v>2019</v>
      </c>
      <c r="AD164" s="7" t="s">
        <v>2019</v>
      </c>
      <c r="AE164" s="7" t="s">
        <v>2022</v>
      </c>
      <c r="AF164" s="7" t="s">
        <v>2020</v>
      </c>
      <c r="AG164" s="7" t="s">
        <v>2019</v>
      </c>
      <c r="AH164" s="7" t="s">
        <v>2027</v>
      </c>
      <c r="AI164" t="s">
        <v>336</v>
      </c>
      <c r="AJ164" s="7" t="s">
        <v>2043</v>
      </c>
      <c r="AK164" t="s">
        <v>406</v>
      </c>
      <c r="AN164" t="s">
        <v>689</v>
      </c>
      <c r="AO164" s="7" t="s">
        <v>2066</v>
      </c>
      <c r="AP164" t="s">
        <v>1555</v>
      </c>
      <c r="AQ164" t="s">
        <v>690</v>
      </c>
      <c r="AR164" t="s">
        <v>1560</v>
      </c>
      <c r="AS164" t="s">
        <v>74</v>
      </c>
      <c r="AT164" s="7" t="s">
        <v>2121</v>
      </c>
      <c r="AU164" s="7" t="s">
        <v>2025</v>
      </c>
      <c r="AV164" s="7" t="s">
        <v>2026</v>
      </c>
      <c r="AW164" s="7" t="s">
        <v>2026</v>
      </c>
      <c r="AX164" s="7" t="s">
        <v>2025</v>
      </c>
      <c r="AY164" s="7" t="s">
        <v>2025</v>
      </c>
      <c r="AZ164" s="7" t="s">
        <v>2025</v>
      </c>
      <c r="BA164" s="7" t="s">
        <v>2033</v>
      </c>
      <c r="BB164" t="s">
        <v>75</v>
      </c>
      <c r="BC164" s="7" t="s">
        <v>2122</v>
      </c>
      <c r="BD164" t="s">
        <v>577</v>
      </c>
      <c r="BH164" s="5" t="str">
        <f t="shared" si="5"/>
        <v/>
      </c>
      <c r="BI164" s="5" t="str">
        <f t="shared" si="6"/>
        <v/>
      </c>
    </row>
    <row r="165" spans="21:61" x14ac:dyDescent="0.35">
      <c r="U165" t="s">
        <v>1153</v>
      </c>
      <c r="V165" s="7" t="s">
        <v>2129</v>
      </c>
      <c r="W165" t="s">
        <v>1555</v>
      </c>
      <c r="X165" t="s">
        <v>1033</v>
      </c>
      <c r="Y165" t="s">
        <v>1558</v>
      </c>
      <c r="Z165" t="s">
        <v>1154</v>
      </c>
      <c r="AA165" s="7" t="s">
        <v>2640</v>
      </c>
      <c r="AB165" s="7" t="s">
        <v>2029</v>
      </c>
      <c r="AC165" s="7" t="s">
        <v>2020</v>
      </c>
      <c r="AD165" s="7" t="s">
        <v>2141</v>
      </c>
      <c r="AE165" s="7" t="s">
        <v>2141</v>
      </c>
      <c r="AF165" s="7" t="s">
        <v>2141</v>
      </c>
      <c r="AG165" s="7" t="s">
        <v>2141</v>
      </c>
      <c r="AH165" s="7" t="s">
        <v>2029</v>
      </c>
      <c r="AI165" t="s">
        <v>241</v>
      </c>
      <c r="AJ165" s="7" t="s">
        <v>2137</v>
      </c>
      <c r="AK165" t="s">
        <v>495</v>
      </c>
      <c r="AN165" t="s">
        <v>745</v>
      </c>
      <c r="AO165" s="7" t="s">
        <v>2066</v>
      </c>
      <c r="AP165" t="s">
        <v>1555</v>
      </c>
      <c r="AQ165" t="s">
        <v>675</v>
      </c>
      <c r="AR165" t="s">
        <v>1560</v>
      </c>
      <c r="AS165" t="s">
        <v>746</v>
      </c>
      <c r="AT165" s="7" t="s">
        <v>2070</v>
      </c>
      <c r="AU165" s="7" t="s">
        <v>2027</v>
      </c>
      <c r="AV165" s="7" t="s">
        <v>2027</v>
      </c>
      <c r="AW165" s="7" t="s">
        <v>2020</v>
      </c>
      <c r="AX165" s="7" t="s">
        <v>2019</v>
      </c>
      <c r="AY165" s="7" t="s">
        <v>2019</v>
      </c>
      <c r="AZ165" s="7" t="s">
        <v>2020</v>
      </c>
      <c r="BA165" s="7" t="s">
        <v>2025</v>
      </c>
      <c r="BB165" t="s">
        <v>97</v>
      </c>
      <c r="BC165" s="7" t="s">
        <v>2021</v>
      </c>
      <c r="BD165" t="s">
        <v>578</v>
      </c>
      <c r="BH165" s="5" t="str">
        <f t="shared" si="5"/>
        <v/>
      </c>
      <c r="BI165" s="5" t="str">
        <f t="shared" si="6"/>
        <v/>
      </c>
    </row>
    <row r="166" spans="21:61" x14ac:dyDescent="0.35">
      <c r="U166" t="s">
        <v>1956</v>
      </c>
      <c r="V166" s="7" t="s">
        <v>2098</v>
      </c>
      <c r="W166" t="s">
        <v>1555</v>
      </c>
      <c r="X166" t="s">
        <v>682</v>
      </c>
      <c r="Y166" t="s">
        <v>1558</v>
      </c>
      <c r="Z166" t="s">
        <v>1972</v>
      </c>
      <c r="AA166" s="7" t="s">
        <v>2019</v>
      </c>
      <c r="AB166" s="7" t="s">
        <v>2029</v>
      </c>
      <c r="AC166" s="7" t="s">
        <v>2019</v>
      </c>
      <c r="AD166" s="7" t="s">
        <v>2027</v>
      </c>
      <c r="AE166" s="7" t="s">
        <v>2020</v>
      </c>
      <c r="AF166" s="7" t="s">
        <v>2029</v>
      </c>
      <c r="AG166" s="7" t="s">
        <v>2029</v>
      </c>
      <c r="AH166" s="7" t="s">
        <v>2019</v>
      </c>
      <c r="AI166" t="s">
        <v>1945</v>
      </c>
      <c r="AJ166" s="7" t="s">
        <v>2045</v>
      </c>
      <c r="AK166" t="s">
        <v>1988</v>
      </c>
      <c r="AN166" t="s">
        <v>801</v>
      </c>
      <c r="AO166" s="7" t="s">
        <v>2066</v>
      </c>
      <c r="AP166" t="s">
        <v>1555</v>
      </c>
      <c r="AQ166" t="s">
        <v>732</v>
      </c>
      <c r="AR166" t="s">
        <v>1560</v>
      </c>
      <c r="AS166" t="s">
        <v>802</v>
      </c>
      <c r="AT166" s="7" t="s">
        <v>2237</v>
      </c>
      <c r="AU166" s="7" t="s">
        <v>2027</v>
      </c>
      <c r="AV166" s="7" t="s">
        <v>2025</v>
      </c>
      <c r="AW166" s="7" t="s">
        <v>2026</v>
      </c>
      <c r="AX166" s="7" t="s">
        <v>2027</v>
      </c>
      <c r="AY166" s="7" t="s">
        <v>2026</v>
      </c>
      <c r="AZ166" s="7" t="s">
        <v>2026</v>
      </c>
      <c r="BA166" s="7" t="s">
        <v>2033</v>
      </c>
      <c r="BB166" t="s">
        <v>126</v>
      </c>
      <c r="BC166" s="7" t="s">
        <v>2133</v>
      </c>
      <c r="BD166" t="s">
        <v>579</v>
      </c>
      <c r="BH166" s="5" t="str">
        <f t="shared" si="5"/>
        <v/>
      </c>
      <c r="BI166" s="5" t="str">
        <f t="shared" si="6"/>
        <v/>
      </c>
    </row>
    <row r="167" spans="21:61" x14ac:dyDescent="0.35">
      <c r="U167" t="s">
        <v>1088</v>
      </c>
      <c r="V167" s="7" t="s">
        <v>2080</v>
      </c>
      <c r="W167" t="s">
        <v>1555</v>
      </c>
      <c r="X167" t="s">
        <v>1033</v>
      </c>
      <c r="Y167" t="s">
        <v>1558</v>
      </c>
      <c r="Z167" t="s">
        <v>696</v>
      </c>
      <c r="AA167" s="7" t="s">
        <v>2181</v>
      </c>
      <c r="AB167" s="7" t="s">
        <v>2029</v>
      </c>
      <c r="AC167" s="7" t="s">
        <v>2019</v>
      </c>
      <c r="AD167" s="7" t="s">
        <v>2027</v>
      </c>
      <c r="AE167" s="7" t="s">
        <v>2141</v>
      </c>
      <c r="AF167" s="7" t="s">
        <v>2029</v>
      </c>
      <c r="AG167" s="7" t="s">
        <v>2029</v>
      </c>
      <c r="AH167" s="7" t="s">
        <v>2029</v>
      </c>
      <c r="AI167" t="s">
        <v>241</v>
      </c>
      <c r="AJ167" s="7" t="s">
        <v>2212</v>
      </c>
      <c r="AK167" t="s">
        <v>477</v>
      </c>
      <c r="AN167" t="s">
        <v>853</v>
      </c>
      <c r="AO167" s="7" t="s">
        <v>2066</v>
      </c>
      <c r="AP167" t="s">
        <v>1555</v>
      </c>
      <c r="AQ167" t="s">
        <v>751</v>
      </c>
      <c r="AR167" t="s">
        <v>1560</v>
      </c>
      <c r="AS167" t="s">
        <v>854</v>
      </c>
      <c r="AT167" s="7" t="s">
        <v>2111</v>
      </c>
      <c r="AU167" s="7" t="s">
        <v>2020</v>
      </c>
      <c r="AV167" s="7" t="s">
        <v>2027</v>
      </c>
      <c r="AW167" s="7" t="s">
        <v>2020</v>
      </c>
      <c r="AX167" s="7" t="s">
        <v>2019</v>
      </c>
      <c r="AY167" s="7" t="s">
        <v>2019</v>
      </c>
      <c r="AZ167" s="7" t="s">
        <v>2019</v>
      </c>
      <c r="BA167" s="7" t="s">
        <v>2020</v>
      </c>
      <c r="BB167" t="s">
        <v>154</v>
      </c>
      <c r="BC167" s="7" t="s">
        <v>2114</v>
      </c>
      <c r="BD167" t="s">
        <v>580</v>
      </c>
      <c r="BH167" s="5" t="str">
        <f t="shared" si="5"/>
        <v/>
      </c>
      <c r="BI167" s="5" t="str">
        <f t="shared" si="6"/>
        <v/>
      </c>
    </row>
    <row r="168" spans="21:61" x14ac:dyDescent="0.35">
      <c r="U168" t="s">
        <v>1141</v>
      </c>
      <c r="V168" s="7" t="s">
        <v>2621</v>
      </c>
      <c r="W168" t="s">
        <v>1555</v>
      </c>
      <c r="X168" t="s">
        <v>668</v>
      </c>
      <c r="Y168" t="s">
        <v>1558</v>
      </c>
      <c r="Z168" t="s">
        <v>298</v>
      </c>
      <c r="AA168" s="7" t="s">
        <v>2070</v>
      </c>
      <c r="AB168" s="7" t="s">
        <v>2019</v>
      </c>
      <c r="AC168" s="7" t="s">
        <v>2019</v>
      </c>
      <c r="AD168" s="7" t="s">
        <v>2027</v>
      </c>
      <c r="AE168" s="7" t="s">
        <v>2029</v>
      </c>
      <c r="AF168" s="7" t="s">
        <v>2025</v>
      </c>
      <c r="AG168" s="7" t="s">
        <v>2027</v>
      </c>
      <c r="AH168" s="7" t="s">
        <v>2025</v>
      </c>
      <c r="AI168" t="s">
        <v>299</v>
      </c>
      <c r="AJ168" s="7" t="s">
        <v>2262</v>
      </c>
      <c r="AK168" t="s">
        <v>492</v>
      </c>
      <c r="AN168" t="s">
        <v>858</v>
      </c>
      <c r="AO168" s="7" t="s">
        <v>2066</v>
      </c>
      <c r="AP168" t="s">
        <v>1555</v>
      </c>
      <c r="AQ168" t="s">
        <v>812</v>
      </c>
      <c r="AR168" t="s">
        <v>1569</v>
      </c>
      <c r="AS168" t="s">
        <v>859</v>
      </c>
      <c r="AT168" s="7" t="s">
        <v>2314</v>
      </c>
      <c r="AU168" s="7" t="s">
        <v>2141</v>
      </c>
      <c r="AV168" s="7" t="s">
        <v>2029</v>
      </c>
      <c r="AW168" s="7" t="s">
        <v>2029</v>
      </c>
      <c r="AX168" s="7" t="s">
        <v>2020</v>
      </c>
      <c r="AY168" s="7" t="s">
        <v>2022</v>
      </c>
      <c r="AZ168" s="7" t="s">
        <v>2029</v>
      </c>
      <c r="BA168" s="7" t="s">
        <v>2022</v>
      </c>
      <c r="BB168" t="s">
        <v>162</v>
      </c>
      <c r="BC168" s="7" t="s">
        <v>2315</v>
      </c>
      <c r="BD168" t="s">
        <v>581</v>
      </c>
      <c r="BH168" s="5" t="str">
        <f t="shared" si="5"/>
        <v/>
      </c>
      <c r="BI168" s="5" t="str">
        <f t="shared" si="6"/>
        <v/>
      </c>
    </row>
    <row r="169" spans="21:61" x14ac:dyDescent="0.35">
      <c r="U169" t="s">
        <v>920</v>
      </c>
      <c r="V169" s="7" t="s">
        <v>2395</v>
      </c>
      <c r="W169" t="s">
        <v>1555</v>
      </c>
      <c r="X169" t="s">
        <v>916</v>
      </c>
      <c r="Y169" t="s">
        <v>1558</v>
      </c>
      <c r="Z169" t="s">
        <v>749</v>
      </c>
      <c r="AA169" s="7" t="s">
        <v>2025</v>
      </c>
      <c r="AB169" s="7" t="s">
        <v>2027</v>
      </c>
      <c r="AC169" s="7" t="s">
        <v>2027</v>
      </c>
      <c r="AD169" s="7" t="s">
        <v>2027</v>
      </c>
      <c r="AE169" s="7" t="s">
        <v>2027</v>
      </c>
      <c r="AF169" s="7" t="s">
        <v>2026</v>
      </c>
      <c r="AG169" s="7" t="s">
        <v>2026</v>
      </c>
      <c r="AH169" s="7" t="s">
        <v>2033</v>
      </c>
      <c r="AI169" t="s">
        <v>188</v>
      </c>
      <c r="AJ169" s="7" t="s">
        <v>2067</v>
      </c>
      <c r="AK169" t="s">
        <v>438</v>
      </c>
      <c r="AN169" t="s">
        <v>1408</v>
      </c>
      <c r="AO169" s="7" t="s">
        <v>2066</v>
      </c>
      <c r="AP169" t="s">
        <v>1555</v>
      </c>
      <c r="AQ169" t="s">
        <v>732</v>
      </c>
      <c r="AR169" t="s">
        <v>1560</v>
      </c>
      <c r="AS169" t="s">
        <v>1354</v>
      </c>
      <c r="AT169" s="7" t="s">
        <v>2042</v>
      </c>
      <c r="AU169" s="7" t="s">
        <v>2027</v>
      </c>
      <c r="AV169" s="7" t="s">
        <v>2020</v>
      </c>
      <c r="AW169" s="7" t="s">
        <v>2027</v>
      </c>
      <c r="AX169" s="7" t="s">
        <v>2025</v>
      </c>
      <c r="AY169" s="7" t="s">
        <v>2019</v>
      </c>
      <c r="AZ169" s="7" t="s">
        <v>2027</v>
      </c>
      <c r="BA169" s="7" t="s">
        <v>2019</v>
      </c>
      <c r="BB169" t="s">
        <v>1355</v>
      </c>
      <c r="BC169" s="7" t="s">
        <v>2114</v>
      </c>
      <c r="BD169" t="s">
        <v>1520</v>
      </c>
      <c r="BH169" s="5" t="str">
        <f t="shared" si="5"/>
        <v/>
      </c>
      <c r="BI169" s="5" t="str">
        <f t="shared" si="6"/>
        <v/>
      </c>
    </row>
    <row r="170" spans="21:61" x14ac:dyDescent="0.35">
      <c r="U170" t="s">
        <v>923</v>
      </c>
      <c r="V170" s="7" t="s">
        <v>2398</v>
      </c>
      <c r="W170" t="s">
        <v>1555</v>
      </c>
      <c r="X170" t="s">
        <v>668</v>
      </c>
      <c r="Y170" t="s">
        <v>1558</v>
      </c>
      <c r="Z170" t="s">
        <v>924</v>
      </c>
      <c r="AA170" s="7" t="s">
        <v>2038</v>
      </c>
      <c r="AB170" s="7" t="s">
        <v>2019</v>
      </c>
      <c r="AC170" s="7" t="s">
        <v>2019</v>
      </c>
      <c r="AD170" s="7" t="s">
        <v>2027</v>
      </c>
      <c r="AE170" s="7" t="s">
        <v>2027</v>
      </c>
      <c r="AF170" s="7" t="s">
        <v>2027</v>
      </c>
      <c r="AG170" s="7" t="s">
        <v>2025</v>
      </c>
      <c r="AH170" s="7" t="s">
        <v>2025</v>
      </c>
      <c r="AI170" t="s">
        <v>189</v>
      </c>
      <c r="AJ170" s="7" t="s">
        <v>2226</v>
      </c>
      <c r="AK170" t="s">
        <v>440</v>
      </c>
      <c r="AN170" t="s">
        <v>1415</v>
      </c>
      <c r="AO170" s="7" t="s">
        <v>2066</v>
      </c>
      <c r="AP170" t="s">
        <v>1555</v>
      </c>
      <c r="AQ170" t="s">
        <v>1430</v>
      </c>
      <c r="AR170" t="s">
        <v>1560</v>
      </c>
      <c r="AS170" t="s">
        <v>717</v>
      </c>
      <c r="AT170" s="7" t="s">
        <v>2031</v>
      </c>
      <c r="AU170" s="7" t="s">
        <v>2020</v>
      </c>
      <c r="AV170" s="7" t="s">
        <v>2020</v>
      </c>
      <c r="AW170" s="7" t="s">
        <v>2027</v>
      </c>
      <c r="AX170" s="7" t="s">
        <v>2027</v>
      </c>
      <c r="AY170" s="7" t="s">
        <v>2027</v>
      </c>
      <c r="AZ170" s="7" t="s">
        <v>2020</v>
      </c>
      <c r="BA170" s="7" t="s">
        <v>2027</v>
      </c>
      <c r="BB170" t="s">
        <v>242</v>
      </c>
      <c r="BC170" s="7" t="s">
        <v>2552</v>
      </c>
      <c r="BD170" t="s">
        <v>1524</v>
      </c>
      <c r="BH170" s="5" t="str">
        <f t="shared" si="5"/>
        <v/>
      </c>
      <c r="BI170" s="5" t="str">
        <f t="shared" si="6"/>
        <v/>
      </c>
    </row>
    <row r="171" spans="21:61" x14ac:dyDescent="0.35">
      <c r="U171" t="s">
        <v>1032</v>
      </c>
      <c r="V171" s="7" t="s">
        <v>2398</v>
      </c>
      <c r="W171" t="s">
        <v>1555</v>
      </c>
      <c r="X171" t="s">
        <v>1033</v>
      </c>
      <c r="Y171" t="s">
        <v>1558</v>
      </c>
      <c r="Z171" t="s">
        <v>1034</v>
      </c>
      <c r="AA171" s="7" t="s">
        <v>2125</v>
      </c>
      <c r="AB171" s="7" t="s">
        <v>2025</v>
      </c>
      <c r="AC171" s="7" t="s">
        <v>2020</v>
      </c>
      <c r="AD171" s="7" t="s">
        <v>2027</v>
      </c>
      <c r="AE171" s="7" t="s">
        <v>2027</v>
      </c>
      <c r="AF171" s="7" t="s">
        <v>2025</v>
      </c>
      <c r="AG171" s="7" t="s">
        <v>2020</v>
      </c>
      <c r="AH171" s="7" t="s">
        <v>2025</v>
      </c>
      <c r="AI171" t="s">
        <v>240</v>
      </c>
      <c r="AJ171" s="7" t="s">
        <v>2148</v>
      </c>
      <c r="AK171" t="s">
        <v>467</v>
      </c>
      <c r="AN171" t="s">
        <v>1110</v>
      </c>
      <c r="AO171" s="7" t="s">
        <v>2066</v>
      </c>
      <c r="AP171" t="s">
        <v>1555</v>
      </c>
      <c r="AQ171" t="s">
        <v>659</v>
      </c>
      <c r="AR171" t="s">
        <v>1569</v>
      </c>
      <c r="AS171" t="s">
        <v>1111</v>
      </c>
      <c r="AT171" s="7" t="s">
        <v>2177</v>
      </c>
      <c r="AU171" s="7" t="s">
        <v>2141</v>
      </c>
      <c r="AV171" s="7" t="s">
        <v>2019</v>
      </c>
      <c r="AW171" s="7" t="s">
        <v>2019</v>
      </c>
      <c r="AX171" s="7" t="s">
        <v>2020</v>
      </c>
      <c r="AY171" s="7" t="s">
        <v>2141</v>
      </c>
      <c r="AZ171" s="7" t="s">
        <v>2019</v>
      </c>
      <c r="BA171" s="7" t="s">
        <v>2020</v>
      </c>
      <c r="BB171" t="s">
        <v>277</v>
      </c>
      <c r="BC171" s="7" t="s">
        <v>2248</v>
      </c>
      <c r="BD171" t="s">
        <v>582</v>
      </c>
      <c r="BH171" s="5" t="str">
        <f t="shared" si="5"/>
        <v/>
      </c>
      <c r="BI171" s="5" t="str">
        <f t="shared" si="6"/>
        <v/>
      </c>
    </row>
    <row r="172" spans="21:61" x14ac:dyDescent="0.35">
      <c r="U172" s="17" t="s">
        <v>700</v>
      </c>
      <c r="V172" s="21" t="s">
        <v>2140</v>
      </c>
      <c r="W172" s="17" t="s">
        <v>1555</v>
      </c>
      <c r="X172" s="17" t="s">
        <v>701</v>
      </c>
      <c r="Y172" s="17" t="s">
        <v>1558</v>
      </c>
      <c r="Z172" s="17" t="s">
        <v>702</v>
      </c>
      <c r="AA172" s="21" t="s">
        <v>2061</v>
      </c>
      <c r="AB172" s="21" t="s">
        <v>2141</v>
      </c>
      <c r="AC172" s="21" t="s">
        <v>2020</v>
      </c>
      <c r="AD172" s="21" t="s">
        <v>2027</v>
      </c>
      <c r="AE172" s="21" t="s">
        <v>2025</v>
      </c>
      <c r="AF172" s="21" t="s">
        <v>2027</v>
      </c>
      <c r="AG172" s="21" t="s">
        <v>2019</v>
      </c>
      <c r="AH172" s="21" t="s">
        <v>2019</v>
      </c>
      <c r="AI172" s="17" t="s">
        <v>76</v>
      </c>
      <c r="AJ172" s="21" t="s">
        <v>2034</v>
      </c>
      <c r="AK172" s="20" t="s">
        <v>409</v>
      </c>
      <c r="AN172" t="s">
        <v>1836</v>
      </c>
      <c r="AO172" s="7" t="s">
        <v>2066</v>
      </c>
      <c r="AP172" t="s">
        <v>1555</v>
      </c>
      <c r="AQ172" t="s">
        <v>1293</v>
      </c>
      <c r="AR172" t="s">
        <v>1560</v>
      </c>
      <c r="AS172" t="s">
        <v>1781</v>
      </c>
      <c r="AT172" s="7" t="s">
        <v>2042</v>
      </c>
      <c r="AU172" s="7" t="s">
        <v>2020</v>
      </c>
      <c r="AV172" s="7" t="s">
        <v>2020</v>
      </c>
      <c r="AW172" s="7" t="s">
        <v>2020</v>
      </c>
      <c r="AX172" s="7" t="s">
        <v>2027</v>
      </c>
      <c r="AY172" s="7" t="s">
        <v>2020</v>
      </c>
      <c r="AZ172" s="7" t="s">
        <v>2027</v>
      </c>
      <c r="BA172" s="7" t="s">
        <v>2027</v>
      </c>
      <c r="BB172" t="s">
        <v>1363</v>
      </c>
      <c r="BC172" s="7" t="s">
        <v>2021</v>
      </c>
      <c r="BD172" t="s">
        <v>1861</v>
      </c>
      <c r="BH172" s="5" t="str">
        <f t="shared" si="5"/>
        <v/>
      </c>
      <c r="BI172" s="5" t="str">
        <f t="shared" si="6"/>
        <v/>
      </c>
    </row>
    <row r="173" spans="21:61" x14ac:dyDescent="0.35">
      <c r="U173" s="17" t="s">
        <v>1898</v>
      </c>
      <c r="V173" s="21" t="s">
        <v>2203</v>
      </c>
      <c r="W173" s="17" t="s">
        <v>1555</v>
      </c>
      <c r="X173" s="17" t="s">
        <v>1889</v>
      </c>
      <c r="Y173" s="17" t="s">
        <v>1558</v>
      </c>
      <c r="Z173" s="17" t="s">
        <v>1871</v>
      </c>
      <c r="AA173" s="21" t="s">
        <v>2019</v>
      </c>
      <c r="AB173" s="21" t="s">
        <v>2029</v>
      </c>
      <c r="AC173" s="21" t="s">
        <v>2019</v>
      </c>
      <c r="AD173" s="21" t="s">
        <v>2019</v>
      </c>
      <c r="AE173" s="21" t="s">
        <v>2020</v>
      </c>
      <c r="AF173" s="21" t="s">
        <v>2019</v>
      </c>
      <c r="AG173" s="21" t="s">
        <v>2019</v>
      </c>
      <c r="AH173" s="21" t="s">
        <v>2019</v>
      </c>
      <c r="AI173" s="17" t="s">
        <v>1872</v>
      </c>
      <c r="AJ173" s="21" t="s">
        <v>2204</v>
      </c>
      <c r="AK173" s="20" t="s">
        <v>1929</v>
      </c>
      <c r="AN173" t="s">
        <v>715</v>
      </c>
      <c r="AO173" s="7" t="s">
        <v>2154</v>
      </c>
      <c r="AP173" t="s">
        <v>1555</v>
      </c>
      <c r="AQ173" t="s">
        <v>716</v>
      </c>
      <c r="AR173" t="s">
        <v>1560</v>
      </c>
      <c r="AS173" t="s">
        <v>717</v>
      </c>
      <c r="AT173" s="7" t="s">
        <v>2027</v>
      </c>
      <c r="AU173" s="7" t="s">
        <v>2020</v>
      </c>
      <c r="AV173" s="7" t="s">
        <v>2027</v>
      </c>
      <c r="AW173" s="7" t="s">
        <v>2027</v>
      </c>
      <c r="AX173" s="7" t="s">
        <v>2027</v>
      </c>
      <c r="AY173" s="7" t="s">
        <v>2027</v>
      </c>
      <c r="AZ173" s="7" t="s">
        <v>2027</v>
      </c>
      <c r="BA173" s="7" t="s">
        <v>2025</v>
      </c>
      <c r="BB173" t="s">
        <v>85</v>
      </c>
      <c r="BC173" s="7" t="s">
        <v>2155</v>
      </c>
      <c r="BD173" t="s">
        <v>583</v>
      </c>
      <c r="BH173" s="5" t="str">
        <f t="shared" si="5"/>
        <v/>
      </c>
      <c r="BI173" s="5" t="str">
        <f t="shared" si="6"/>
        <v/>
      </c>
    </row>
    <row r="174" spans="21:61" x14ac:dyDescent="0.35">
      <c r="U174" s="17" t="s">
        <v>1888</v>
      </c>
      <c r="V174" s="21" t="s">
        <v>2032</v>
      </c>
      <c r="W174" s="17" t="s">
        <v>1555</v>
      </c>
      <c r="X174" s="17" t="s">
        <v>1889</v>
      </c>
      <c r="Y174" s="17" t="s">
        <v>1558</v>
      </c>
      <c r="Z174" s="17" t="s">
        <v>702</v>
      </c>
      <c r="AA174" s="21" t="s">
        <v>2018</v>
      </c>
      <c r="AB174" s="21" t="s">
        <v>2019</v>
      </c>
      <c r="AC174" s="21" t="s">
        <v>2019</v>
      </c>
      <c r="AD174" s="21" t="s">
        <v>2020</v>
      </c>
      <c r="AE174" s="21" t="s">
        <v>2020</v>
      </c>
      <c r="AF174" s="21" t="s">
        <v>2019</v>
      </c>
      <c r="AG174" s="21" t="s">
        <v>2020</v>
      </c>
      <c r="AH174" s="21" t="s">
        <v>2019</v>
      </c>
      <c r="AI174" s="17" t="s">
        <v>1866</v>
      </c>
      <c r="AJ174" s="21" t="s">
        <v>2055</v>
      </c>
      <c r="AK174" s="20" t="s">
        <v>1930</v>
      </c>
      <c r="AN174" t="s">
        <v>769</v>
      </c>
      <c r="AO174" s="7" t="s">
        <v>2154</v>
      </c>
      <c r="AP174" t="s">
        <v>1555</v>
      </c>
      <c r="AQ174" t="s">
        <v>770</v>
      </c>
      <c r="AR174" t="s">
        <v>1560</v>
      </c>
      <c r="AS174" t="s">
        <v>771</v>
      </c>
      <c r="AT174" s="7" t="s">
        <v>2031</v>
      </c>
      <c r="AU174" s="7" t="s">
        <v>2020</v>
      </c>
      <c r="AV174" s="7" t="s">
        <v>2027</v>
      </c>
      <c r="AW174" s="7" t="s">
        <v>2020</v>
      </c>
      <c r="AX174" s="7" t="s">
        <v>2020</v>
      </c>
      <c r="AY174" s="7" t="s">
        <v>2025</v>
      </c>
      <c r="AZ174" s="7" t="s">
        <v>2027</v>
      </c>
      <c r="BA174" s="7" t="s">
        <v>2020</v>
      </c>
      <c r="BB174" t="s">
        <v>110</v>
      </c>
      <c r="BC174" s="7" t="s">
        <v>2114</v>
      </c>
      <c r="BD174" t="s">
        <v>584</v>
      </c>
      <c r="BH174" s="5" t="str">
        <f t="shared" si="5"/>
        <v/>
      </c>
      <c r="BI174" s="5" t="str">
        <f t="shared" si="6"/>
        <v/>
      </c>
    </row>
    <row r="175" spans="21:61" x14ac:dyDescent="0.35">
      <c r="U175" s="17" t="s">
        <v>1394</v>
      </c>
      <c r="V175" s="21" t="s">
        <v>2421</v>
      </c>
      <c r="W175" s="17" t="s">
        <v>1555</v>
      </c>
      <c r="X175" s="17" t="s">
        <v>1429</v>
      </c>
      <c r="Y175" s="17" t="s">
        <v>1558</v>
      </c>
      <c r="Z175" s="17" t="s">
        <v>1450</v>
      </c>
      <c r="AA175" s="21" t="s">
        <v>2177</v>
      </c>
      <c r="AB175" s="21" t="s">
        <v>2019</v>
      </c>
      <c r="AC175" s="21" t="s">
        <v>2029</v>
      </c>
      <c r="AD175" s="21" t="s">
        <v>2020</v>
      </c>
      <c r="AE175" s="21" t="s">
        <v>2020</v>
      </c>
      <c r="AF175" s="21" t="s">
        <v>2141</v>
      </c>
      <c r="AG175" s="21" t="s">
        <v>2029</v>
      </c>
      <c r="AH175" s="21" t="s">
        <v>2019</v>
      </c>
      <c r="AI175" s="17" t="s">
        <v>1346</v>
      </c>
      <c r="AJ175" s="21" t="s">
        <v>2088</v>
      </c>
      <c r="AK175" s="20" t="s">
        <v>1485</v>
      </c>
      <c r="AN175" t="s">
        <v>885</v>
      </c>
      <c r="AO175" s="7" t="s">
        <v>2154</v>
      </c>
      <c r="AP175" t="s">
        <v>1555</v>
      </c>
      <c r="AQ175" t="s">
        <v>695</v>
      </c>
      <c r="AR175" t="s">
        <v>1560</v>
      </c>
      <c r="AS175" t="s">
        <v>789</v>
      </c>
      <c r="AT175" s="7" t="s">
        <v>2061</v>
      </c>
      <c r="AU175" s="7" t="s">
        <v>2020</v>
      </c>
      <c r="AV175" s="7" t="s">
        <v>2019</v>
      </c>
      <c r="AW175" s="7" t="s">
        <v>2019</v>
      </c>
      <c r="AX175" s="7" t="s">
        <v>2029</v>
      </c>
      <c r="AY175" s="7" t="s">
        <v>2025</v>
      </c>
      <c r="AZ175" s="7" t="s">
        <v>2019</v>
      </c>
      <c r="BA175" s="7" t="s">
        <v>2025</v>
      </c>
      <c r="BB175" t="s">
        <v>170</v>
      </c>
      <c r="BC175" s="7" t="s">
        <v>2049</v>
      </c>
      <c r="BD175" t="s">
        <v>585</v>
      </c>
      <c r="BH175" s="5" t="str">
        <f t="shared" si="5"/>
        <v/>
      </c>
      <c r="BI175" s="5" t="str">
        <f t="shared" si="6"/>
        <v/>
      </c>
    </row>
    <row r="176" spans="21:61" x14ac:dyDescent="0.35">
      <c r="AN176" t="s">
        <v>886</v>
      </c>
      <c r="AO176" s="7" t="s">
        <v>2154</v>
      </c>
      <c r="AP176" t="s">
        <v>1555</v>
      </c>
      <c r="AQ176" t="s">
        <v>716</v>
      </c>
      <c r="AR176" t="s">
        <v>1560</v>
      </c>
      <c r="AS176" t="s">
        <v>887</v>
      </c>
      <c r="AT176" s="7" t="s">
        <v>2131</v>
      </c>
      <c r="AU176" s="7" t="s">
        <v>2020</v>
      </c>
      <c r="AV176" s="7" t="s">
        <v>2029</v>
      </c>
      <c r="AW176" s="7" t="s">
        <v>2029</v>
      </c>
      <c r="AX176" s="7" t="s">
        <v>2029</v>
      </c>
      <c r="AY176" s="7" t="s">
        <v>2029</v>
      </c>
      <c r="AZ176" s="7" t="s">
        <v>2020</v>
      </c>
      <c r="BA176" s="7" t="s">
        <v>2029</v>
      </c>
      <c r="BB176" t="s">
        <v>171</v>
      </c>
      <c r="BC176" s="7" t="s">
        <v>2349</v>
      </c>
      <c r="BD176" t="s">
        <v>586</v>
      </c>
      <c r="BH176" s="5" t="str">
        <f t="shared" si="5"/>
        <v/>
      </c>
      <c r="BI176" s="5" t="str">
        <f t="shared" si="6"/>
        <v/>
      </c>
    </row>
    <row r="177" spans="40:61" x14ac:dyDescent="0.35">
      <c r="AN177" t="s">
        <v>888</v>
      </c>
      <c r="AO177" s="7" t="s">
        <v>2154</v>
      </c>
      <c r="AP177" t="s">
        <v>1555</v>
      </c>
      <c r="AQ177" t="s">
        <v>889</v>
      </c>
      <c r="AR177" t="s">
        <v>1560</v>
      </c>
      <c r="AS177" t="s">
        <v>890</v>
      </c>
      <c r="AT177" s="7" t="s">
        <v>2351</v>
      </c>
      <c r="AU177" s="7" t="s">
        <v>2022</v>
      </c>
      <c r="AV177" s="7" t="s">
        <v>2022</v>
      </c>
      <c r="AW177" s="7" t="s">
        <v>2029</v>
      </c>
      <c r="AX177" s="7" t="s">
        <v>2022</v>
      </c>
      <c r="AY177" s="7" t="s">
        <v>2022</v>
      </c>
      <c r="AZ177" s="7" t="s">
        <v>2029</v>
      </c>
      <c r="BA177" s="7" t="s">
        <v>2022</v>
      </c>
      <c r="BB177" t="s">
        <v>172</v>
      </c>
      <c r="BC177" s="7" t="s">
        <v>2049</v>
      </c>
      <c r="BD177" t="s">
        <v>587</v>
      </c>
      <c r="BH177" s="5" t="str">
        <f t="shared" si="5"/>
        <v/>
      </c>
      <c r="BI177" s="5" t="str">
        <f t="shared" si="6"/>
        <v/>
      </c>
    </row>
    <row r="178" spans="40:61" x14ac:dyDescent="0.35">
      <c r="AN178" t="s">
        <v>918</v>
      </c>
      <c r="AO178" s="7" t="s">
        <v>2154</v>
      </c>
      <c r="AP178" t="s">
        <v>1555</v>
      </c>
      <c r="AQ178" t="s">
        <v>916</v>
      </c>
      <c r="AR178" t="s">
        <v>1561</v>
      </c>
      <c r="AS178" t="s">
        <v>919</v>
      </c>
      <c r="AT178" s="7" t="s">
        <v>2092</v>
      </c>
      <c r="AU178" s="7" t="s">
        <v>2020</v>
      </c>
      <c r="AV178" s="7" t="s">
        <v>2020</v>
      </c>
      <c r="AW178" s="7" t="s">
        <v>2020</v>
      </c>
      <c r="AX178" s="7" t="s">
        <v>2141</v>
      </c>
      <c r="AY178" s="7" t="s">
        <v>2029</v>
      </c>
      <c r="AZ178" s="7" t="s">
        <v>2141</v>
      </c>
      <c r="BA178" s="7" t="s">
        <v>2020</v>
      </c>
      <c r="BB178" t="s">
        <v>187</v>
      </c>
      <c r="BC178" s="7" t="s">
        <v>2085</v>
      </c>
      <c r="BD178" t="s">
        <v>588</v>
      </c>
      <c r="BH178" s="5" t="str">
        <f t="shared" si="5"/>
        <v/>
      </c>
      <c r="BI178" s="5" t="str">
        <f t="shared" si="6"/>
        <v/>
      </c>
    </row>
    <row r="179" spans="40:61" x14ac:dyDescent="0.35">
      <c r="AN179" t="s">
        <v>1403</v>
      </c>
      <c r="AO179" s="7" t="s">
        <v>2154</v>
      </c>
      <c r="AP179" t="s">
        <v>1555</v>
      </c>
      <c r="AQ179" t="s">
        <v>889</v>
      </c>
      <c r="AR179" t="s">
        <v>1560</v>
      </c>
      <c r="AS179" t="s">
        <v>1456</v>
      </c>
      <c r="AT179" s="7" t="s">
        <v>2042</v>
      </c>
      <c r="AU179" s="7" t="s">
        <v>2020</v>
      </c>
      <c r="AV179" s="7" t="s">
        <v>2020</v>
      </c>
      <c r="AW179" s="7" t="s">
        <v>2020</v>
      </c>
      <c r="AX179" s="7" t="s">
        <v>2027</v>
      </c>
      <c r="AY179" s="7" t="s">
        <v>2027</v>
      </c>
      <c r="AZ179" s="7" t="s">
        <v>2020</v>
      </c>
      <c r="BA179" s="7" t="s">
        <v>2027</v>
      </c>
      <c r="BB179" t="s">
        <v>1350</v>
      </c>
      <c r="BC179" s="7" t="s">
        <v>2049</v>
      </c>
      <c r="BD179" t="s">
        <v>1516</v>
      </c>
      <c r="BH179" s="5" t="str">
        <f t="shared" si="5"/>
        <v/>
      </c>
      <c r="BI179" s="5" t="str">
        <f t="shared" si="6"/>
        <v/>
      </c>
    </row>
    <row r="180" spans="40:61" x14ac:dyDescent="0.35">
      <c r="AN180" t="s">
        <v>1058</v>
      </c>
      <c r="AO180" s="7" t="s">
        <v>2154</v>
      </c>
      <c r="AP180" t="s">
        <v>1555</v>
      </c>
      <c r="AQ180" t="s">
        <v>735</v>
      </c>
      <c r="AR180" t="s">
        <v>1560</v>
      </c>
      <c r="AS180" t="s">
        <v>1059</v>
      </c>
      <c r="AT180" s="7" t="s">
        <v>2063</v>
      </c>
      <c r="AU180" s="7" t="s">
        <v>2025</v>
      </c>
      <c r="AV180" s="7" t="s">
        <v>2025</v>
      </c>
      <c r="AW180" s="7" t="s">
        <v>2026</v>
      </c>
      <c r="AX180" s="7" t="s">
        <v>2020</v>
      </c>
      <c r="AY180" s="7" t="s">
        <v>2020</v>
      </c>
      <c r="AZ180" s="7" t="s">
        <v>2025</v>
      </c>
      <c r="BA180" s="7" t="s">
        <v>2033</v>
      </c>
      <c r="BB180" t="s">
        <v>249</v>
      </c>
      <c r="BC180" s="7" t="s">
        <v>2542</v>
      </c>
      <c r="BD180" t="s">
        <v>589</v>
      </c>
      <c r="BH180" s="5" t="str">
        <f t="shared" si="5"/>
        <v/>
      </c>
      <c r="BI180" s="5" t="str">
        <f t="shared" si="6"/>
        <v/>
      </c>
    </row>
    <row r="181" spans="40:61" x14ac:dyDescent="0.35">
      <c r="AN181" t="s">
        <v>1061</v>
      </c>
      <c r="AO181" s="7" t="s">
        <v>2154</v>
      </c>
      <c r="AP181" t="s">
        <v>1555</v>
      </c>
      <c r="AQ181" t="s">
        <v>1062</v>
      </c>
      <c r="AR181" t="s">
        <v>1560</v>
      </c>
      <c r="AS181" t="s">
        <v>1063</v>
      </c>
      <c r="AT181" s="7" t="s">
        <v>2025</v>
      </c>
      <c r="AU181" s="7" t="s">
        <v>2020</v>
      </c>
      <c r="AV181" s="7" t="s">
        <v>2027</v>
      </c>
      <c r="AW181" s="7" t="s">
        <v>2025</v>
      </c>
      <c r="AX181" s="7" t="s">
        <v>2033</v>
      </c>
      <c r="AY181" s="7" t="s">
        <v>2027</v>
      </c>
      <c r="AZ181" s="7" t="s">
        <v>2025</v>
      </c>
      <c r="BA181" s="7" t="s">
        <v>2033</v>
      </c>
      <c r="BB181" t="s">
        <v>252</v>
      </c>
      <c r="BC181" s="7" t="s">
        <v>2546</v>
      </c>
      <c r="BD181" t="s">
        <v>590</v>
      </c>
      <c r="BH181" s="5" t="str">
        <f t="shared" si="5"/>
        <v/>
      </c>
      <c r="BI181" s="5" t="str">
        <f t="shared" si="6"/>
        <v/>
      </c>
    </row>
    <row r="182" spans="40:61" x14ac:dyDescent="0.35">
      <c r="AN182" t="s">
        <v>1967</v>
      </c>
      <c r="AO182" s="7" t="s">
        <v>2154</v>
      </c>
      <c r="AP182" t="s">
        <v>1555</v>
      </c>
      <c r="AQ182" t="s">
        <v>889</v>
      </c>
      <c r="AR182" t="s">
        <v>1560</v>
      </c>
      <c r="AS182" t="s">
        <v>1979</v>
      </c>
      <c r="AT182" s="7" t="s">
        <v>2111</v>
      </c>
      <c r="AU182" s="7" t="s">
        <v>2020</v>
      </c>
      <c r="AV182" s="7" t="s">
        <v>2019</v>
      </c>
      <c r="AW182" s="7" t="s">
        <v>2027</v>
      </c>
      <c r="AX182" s="7" t="s">
        <v>2019</v>
      </c>
      <c r="AY182" s="7" t="s">
        <v>2141</v>
      </c>
      <c r="AZ182" s="7" t="s">
        <v>2027</v>
      </c>
      <c r="BA182" s="7" t="s">
        <v>2027</v>
      </c>
      <c r="BB182" t="s">
        <v>1953</v>
      </c>
      <c r="BC182" s="7" t="s">
        <v>2114</v>
      </c>
      <c r="BD182" t="s">
        <v>1997</v>
      </c>
      <c r="BH182" s="5" t="str">
        <f t="shared" si="5"/>
        <v/>
      </c>
      <c r="BI182" s="5" t="str">
        <f t="shared" si="6"/>
        <v/>
      </c>
    </row>
    <row r="183" spans="40:61" x14ac:dyDescent="0.35">
      <c r="AN183" t="s">
        <v>1142</v>
      </c>
      <c r="AO183" s="7" t="s">
        <v>2154</v>
      </c>
      <c r="AP183" t="s">
        <v>1555</v>
      </c>
      <c r="AQ183" t="s">
        <v>671</v>
      </c>
      <c r="AR183" t="s">
        <v>1560</v>
      </c>
      <c r="AS183" t="s">
        <v>1143</v>
      </c>
      <c r="AT183" s="7" t="s">
        <v>2063</v>
      </c>
      <c r="AU183" s="7" t="s">
        <v>2027</v>
      </c>
      <c r="AV183" s="7" t="s">
        <v>2027</v>
      </c>
      <c r="AW183" s="7" t="s">
        <v>2025</v>
      </c>
      <c r="AX183" s="7" t="s">
        <v>2025</v>
      </c>
      <c r="AY183" s="7" t="s">
        <v>2025</v>
      </c>
      <c r="AZ183" s="7" t="s">
        <v>2026</v>
      </c>
      <c r="BA183" s="7" t="s">
        <v>2025</v>
      </c>
      <c r="BB183" t="s">
        <v>171</v>
      </c>
      <c r="BC183" s="7" t="s">
        <v>2104</v>
      </c>
      <c r="BD183" t="s">
        <v>591</v>
      </c>
      <c r="BH183" s="5" t="str">
        <f t="shared" si="5"/>
        <v/>
      </c>
      <c r="BI183" s="5" t="str">
        <f t="shared" si="6"/>
        <v/>
      </c>
    </row>
    <row r="184" spans="40:61" x14ac:dyDescent="0.35">
      <c r="AN184" t="s">
        <v>664</v>
      </c>
      <c r="AO184" s="7" t="s">
        <v>2023</v>
      </c>
      <c r="AP184" t="s">
        <v>1555</v>
      </c>
      <c r="AQ184" t="s">
        <v>665</v>
      </c>
      <c r="AR184" t="s">
        <v>1560</v>
      </c>
      <c r="AS184" t="s">
        <v>62</v>
      </c>
      <c r="AT184" s="7" t="s">
        <v>2063</v>
      </c>
      <c r="AU184" s="7" t="s">
        <v>2027</v>
      </c>
      <c r="AV184" s="7" t="s">
        <v>2026</v>
      </c>
      <c r="AW184" s="7" t="s">
        <v>2026</v>
      </c>
      <c r="AX184" s="7" t="s">
        <v>2026</v>
      </c>
      <c r="AY184" s="7" t="s">
        <v>2020</v>
      </c>
      <c r="AZ184" s="7" t="s">
        <v>2027</v>
      </c>
      <c r="BA184" s="7" t="s">
        <v>2025</v>
      </c>
      <c r="BB184" t="s">
        <v>63</v>
      </c>
      <c r="BC184" s="7" t="s">
        <v>2064</v>
      </c>
      <c r="BD184" t="s">
        <v>592</v>
      </c>
      <c r="BH184" s="5" t="str">
        <f t="shared" si="5"/>
        <v/>
      </c>
      <c r="BI184" s="5" t="str">
        <f t="shared" si="6"/>
        <v/>
      </c>
    </row>
    <row r="185" spans="40:61" x14ac:dyDescent="0.35">
      <c r="AN185" t="s">
        <v>686</v>
      </c>
      <c r="AO185" s="7" t="s">
        <v>2023</v>
      </c>
      <c r="AP185" t="s">
        <v>1555</v>
      </c>
      <c r="AQ185" t="s">
        <v>687</v>
      </c>
      <c r="AR185" t="s">
        <v>1560</v>
      </c>
      <c r="AS185" t="s">
        <v>688</v>
      </c>
      <c r="AT185" s="7" t="s">
        <v>2116</v>
      </c>
      <c r="AU185" s="7" t="s">
        <v>2027</v>
      </c>
      <c r="AV185" s="7" t="s">
        <v>2027</v>
      </c>
      <c r="AW185" s="7" t="s">
        <v>2026</v>
      </c>
      <c r="AX185" s="7" t="s">
        <v>2025</v>
      </c>
      <c r="AY185" s="7" t="s">
        <v>2027</v>
      </c>
      <c r="AZ185" s="7" t="s">
        <v>2026</v>
      </c>
      <c r="BA185" s="7" t="s">
        <v>2033</v>
      </c>
      <c r="BB185" t="s">
        <v>73</v>
      </c>
      <c r="BC185" s="7" t="s">
        <v>2117</v>
      </c>
      <c r="BD185" t="s">
        <v>593</v>
      </c>
      <c r="BH185" s="5" t="str">
        <f t="shared" si="5"/>
        <v/>
      </c>
      <c r="BI185" s="5" t="str">
        <f t="shared" si="6"/>
        <v/>
      </c>
    </row>
    <row r="186" spans="40:61" x14ac:dyDescent="0.35">
      <c r="AN186" t="s">
        <v>1785</v>
      </c>
      <c r="AO186" s="7" t="s">
        <v>2023</v>
      </c>
      <c r="AP186" t="s">
        <v>1555</v>
      </c>
      <c r="AQ186" t="s">
        <v>1157</v>
      </c>
      <c r="AR186" t="s">
        <v>1560</v>
      </c>
      <c r="AS186" t="s">
        <v>1786</v>
      </c>
      <c r="AT186" s="7" t="s">
        <v>2052</v>
      </c>
      <c r="AU186" s="7" t="s">
        <v>2019</v>
      </c>
      <c r="AV186" s="7" t="s">
        <v>2019</v>
      </c>
      <c r="AW186" s="7" t="s">
        <v>2019</v>
      </c>
      <c r="AX186" s="7" t="s">
        <v>2020</v>
      </c>
      <c r="AY186" s="7" t="s">
        <v>2019</v>
      </c>
      <c r="AZ186" s="7" t="s">
        <v>2019</v>
      </c>
      <c r="BA186" s="7" t="s">
        <v>2019</v>
      </c>
      <c r="BB186" t="s">
        <v>1758</v>
      </c>
      <c r="BC186" s="7" t="s">
        <v>2021</v>
      </c>
      <c r="BD186" t="s">
        <v>1862</v>
      </c>
      <c r="BH186" s="5" t="str">
        <f t="shared" si="5"/>
        <v/>
      </c>
      <c r="BI186" s="5" t="str">
        <f t="shared" si="6"/>
        <v/>
      </c>
    </row>
    <row r="187" spans="40:61" x14ac:dyDescent="0.35">
      <c r="AN187" t="s">
        <v>1959</v>
      </c>
      <c r="AO187" s="7" t="s">
        <v>2023</v>
      </c>
      <c r="AP187" t="s">
        <v>1555</v>
      </c>
      <c r="AQ187" t="s">
        <v>695</v>
      </c>
      <c r="AR187" t="s">
        <v>1560</v>
      </c>
      <c r="AS187" t="s">
        <v>1974</v>
      </c>
      <c r="AT187" s="7" t="s">
        <v>2070</v>
      </c>
      <c r="AU187" s="7" t="s">
        <v>2029</v>
      </c>
      <c r="AV187" s="7" t="s">
        <v>2020</v>
      </c>
      <c r="AW187" s="7" t="s">
        <v>2027</v>
      </c>
      <c r="AX187" s="7" t="s">
        <v>2020</v>
      </c>
      <c r="AY187" s="7" t="s">
        <v>2027</v>
      </c>
      <c r="AZ187" s="7" t="s">
        <v>2027</v>
      </c>
      <c r="BA187" s="7" t="s">
        <v>2027</v>
      </c>
      <c r="BB187" t="s">
        <v>1342</v>
      </c>
      <c r="BC187" s="7" t="s">
        <v>2114</v>
      </c>
      <c r="BD187" t="s">
        <v>1998</v>
      </c>
      <c r="BH187" s="5" t="str">
        <f t="shared" si="5"/>
        <v/>
      </c>
      <c r="BI187" s="5" t="str">
        <f t="shared" si="6"/>
        <v/>
      </c>
    </row>
    <row r="188" spans="40:61" x14ac:dyDescent="0.35">
      <c r="AN188" t="s">
        <v>870</v>
      </c>
      <c r="AO188" s="7" t="s">
        <v>2023</v>
      </c>
      <c r="AP188" t="s">
        <v>1555</v>
      </c>
      <c r="AQ188" t="s">
        <v>871</v>
      </c>
      <c r="AR188" t="s">
        <v>1561</v>
      </c>
      <c r="AS188" t="s">
        <v>872</v>
      </c>
      <c r="AT188" s="7" t="s">
        <v>2141</v>
      </c>
      <c r="AU188" s="7" t="s">
        <v>2141</v>
      </c>
      <c r="AV188" s="7" t="s">
        <v>2029</v>
      </c>
      <c r="AW188" s="7" t="s">
        <v>2141</v>
      </c>
      <c r="AX188" s="7" t="s">
        <v>2029</v>
      </c>
      <c r="AY188" s="7" t="s">
        <v>2022</v>
      </c>
      <c r="AZ188" s="7" t="s">
        <v>2141</v>
      </c>
      <c r="BA188" s="7" t="s">
        <v>2022</v>
      </c>
      <c r="BB188" t="s">
        <v>172</v>
      </c>
      <c r="BC188" s="7" t="s">
        <v>2212</v>
      </c>
      <c r="BD188" t="s">
        <v>594</v>
      </c>
      <c r="BH188" s="5" t="str">
        <f t="shared" si="5"/>
        <v/>
      </c>
      <c r="BI188" s="5" t="str">
        <f t="shared" si="6"/>
        <v/>
      </c>
    </row>
    <row r="189" spans="40:61" x14ac:dyDescent="0.35">
      <c r="AN189" t="s">
        <v>1598</v>
      </c>
      <c r="AO189" s="7" t="s">
        <v>2023</v>
      </c>
      <c r="AP189" t="s">
        <v>1555</v>
      </c>
      <c r="AQ189" t="s">
        <v>682</v>
      </c>
      <c r="AR189" t="s">
        <v>1560</v>
      </c>
      <c r="AS189" t="s">
        <v>683</v>
      </c>
      <c r="AT189" s="7" t="s">
        <v>2027</v>
      </c>
      <c r="AU189" s="7" t="s">
        <v>2027</v>
      </c>
      <c r="AV189" s="7" t="s">
        <v>2027</v>
      </c>
      <c r="AW189" s="7" t="s">
        <v>2027</v>
      </c>
      <c r="AX189" s="7" t="s">
        <v>2027</v>
      </c>
      <c r="AY189" s="7" t="s">
        <v>2025</v>
      </c>
      <c r="AZ189" s="7" t="s">
        <v>2020</v>
      </c>
      <c r="BA189" s="7" t="s">
        <v>2027</v>
      </c>
      <c r="BB189" t="s">
        <v>1543</v>
      </c>
      <c r="BC189" s="7" t="s">
        <v>2049</v>
      </c>
      <c r="BD189" t="s">
        <v>1655</v>
      </c>
      <c r="BH189" s="5" t="str">
        <f t="shared" si="5"/>
        <v/>
      </c>
      <c r="BI189" s="5" t="str">
        <f t="shared" si="6"/>
        <v/>
      </c>
    </row>
    <row r="190" spans="40:61" x14ac:dyDescent="0.35">
      <c r="AN190" t="s">
        <v>993</v>
      </c>
      <c r="AO190" s="7" t="s">
        <v>2023</v>
      </c>
      <c r="AP190" t="s">
        <v>1555</v>
      </c>
      <c r="AQ190" t="s">
        <v>695</v>
      </c>
      <c r="AR190" t="s">
        <v>1560</v>
      </c>
      <c r="AS190" t="s">
        <v>994</v>
      </c>
      <c r="AT190" s="7" t="s">
        <v>2131</v>
      </c>
      <c r="AU190" s="7" t="s">
        <v>2029</v>
      </c>
      <c r="AV190" s="7" t="s">
        <v>2019</v>
      </c>
      <c r="AW190" s="7" t="s">
        <v>2027</v>
      </c>
      <c r="AX190" s="7" t="s">
        <v>2019</v>
      </c>
      <c r="AY190" s="7" t="s">
        <v>2141</v>
      </c>
      <c r="AZ190" s="7" t="s">
        <v>2020</v>
      </c>
      <c r="BA190" s="7" t="s">
        <v>2022</v>
      </c>
      <c r="BB190" t="s">
        <v>220</v>
      </c>
      <c r="BC190" s="7" t="s">
        <v>2114</v>
      </c>
      <c r="BD190" t="s">
        <v>595</v>
      </c>
      <c r="BH190" s="5" t="str">
        <f t="shared" si="5"/>
        <v/>
      </c>
      <c r="BI190" s="5" t="str">
        <f t="shared" si="6"/>
        <v/>
      </c>
    </row>
    <row r="191" spans="40:61" x14ac:dyDescent="0.35">
      <c r="AN191" t="s">
        <v>1400</v>
      </c>
      <c r="AO191" s="7" t="s">
        <v>2023</v>
      </c>
      <c r="AP191" t="s">
        <v>1555</v>
      </c>
      <c r="AQ191" t="s">
        <v>695</v>
      </c>
      <c r="AR191" t="s">
        <v>1560</v>
      </c>
      <c r="AS191" t="s">
        <v>1455</v>
      </c>
      <c r="AT191" s="7" t="s">
        <v>2019</v>
      </c>
      <c r="AU191" s="7" t="s">
        <v>2029</v>
      </c>
      <c r="AV191" s="7" t="s">
        <v>2029</v>
      </c>
      <c r="AW191" s="7" t="s">
        <v>2027</v>
      </c>
      <c r="AX191" s="7" t="s">
        <v>2020</v>
      </c>
      <c r="AY191" s="7" t="s">
        <v>2019</v>
      </c>
      <c r="AZ191" s="7" t="s">
        <v>2019</v>
      </c>
      <c r="BA191" s="7" t="s">
        <v>2029</v>
      </c>
      <c r="BB191" t="s">
        <v>218</v>
      </c>
      <c r="BC191" s="7" t="s">
        <v>2077</v>
      </c>
      <c r="BD191" t="s">
        <v>1514</v>
      </c>
      <c r="BH191" s="5" t="str">
        <f t="shared" si="5"/>
        <v/>
      </c>
      <c r="BI191" s="5" t="str">
        <f t="shared" si="6"/>
        <v/>
      </c>
    </row>
    <row r="192" spans="40:61" x14ac:dyDescent="0.35">
      <c r="AN192" t="s">
        <v>1405</v>
      </c>
      <c r="AO192" s="7" t="s">
        <v>2023</v>
      </c>
      <c r="AP192" t="s">
        <v>1555</v>
      </c>
      <c r="AQ192" t="s">
        <v>665</v>
      </c>
      <c r="AR192" t="s">
        <v>1560</v>
      </c>
      <c r="AS192" t="s">
        <v>1457</v>
      </c>
      <c r="AT192" s="7" t="s">
        <v>2058</v>
      </c>
      <c r="AU192" s="7" t="s">
        <v>2020</v>
      </c>
      <c r="AV192" s="7" t="s">
        <v>2027</v>
      </c>
      <c r="AW192" s="7" t="s">
        <v>2025</v>
      </c>
      <c r="AX192" s="7" t="s">
        <v>2025</v>
      </c>
      <c r="AY192" s="7" t="s">
        <v>2025</v>
      </c>
      <c r="AZ192" s="7" t="s">
        <v>2027</v>
      </c>
      <c r="BA192" s="7" t="s">
        <v>2027</v>
      </c>
      <c r="BB192" t="s">
        <v>1195</v>
      </c>
      <c r="BC192" s="7" t="s">
        <v>2049</v>
      </c>
      <c r="BD192" t="s">
        <v>1517</v>
      </c>
      <c r="BH192" s="5" t="str">
        <f t="shared" si="5"/>
        <v/>
      </c>
      <c r="BI192" s="5" t="str">
        <f t="shared" si="6"/>
        <v/>
      </c>
    </row>
    <row r="193" spans="40:61" x14ac:dyDescent="0.35">
      <c r="AN193" t="s">
        <v>1611</v>
      </c>
      <c r="AO193" s="7" t="s">
        <v>2023</v>
      </c>
      <c r="AP193" t="s">
        <v>1555</v>
      </c>
      <c r="AQ193" t="s">
        <v>861</v>
      </c>
      <c r="AR193" t="s">
        <v>1560</v>
      </c>
      <c r="AS193" t="s">
        <v>881</v>
      </c>
      <c r="AT193" s="7" t="s">
        <v>2018</v>
      </c>
      <c r="AU193" s="7" t="s">
        <v>2029</v>
      </c>
      <c r="AV193" s="7" t="s">
        <v>2019</v>
      </c>
      <c r="AW193" s="7" t="s">
        <v>2019</v>
      </c>
      <c r="AX193" s="7" t="s">
        <v>2027</v>
      </c>
      <c r="AY193" s="7" t="s">
        <v>2020</v>
      </c>
      <c r="AZ193" s="7" t="s">
        <v>2019</v>
      </c>
      <c r="BA193" s="7" t="s">
        <v>2020</v>
      </c>
      <c r="BB193" t="s">
        <v>1546</v>
      </c>
      <c r="BC193" s="7" t="s">
        <v>2021</v>
      </c>
      <c r="BD193" t="s">
        <v>1656</v>
      </c>
      <c r="BH193" s="5" t="str">
        <f t="shared" si="5"/>
        <v/>
      </c>
      <c r="BI193" s="5" t="str">
        <f t="shared" si="6"/>
        <v/>
      </c>
    </row>
    <row r="194" spans="40:61" x14ac:dyDescent="0.35">
      <c r="AN194" t="s">
        <v>1366</v>
      </c>
      <c r="AO194" s="7" t="s">
        <v>2051</v>
      </c>
      <c r="AP194" t="s">
        <v>1555</v>
      </c>
      <c r="AQ194" t="s">
        <v>695</v>
      </c>
      <c r="AR194" t="s">
        <v>1560</v>
      </c>
      <c r="AS194" t="s">
        <v>714</v>
      </c>
      <c r="AT194" s="7" t="s">
        <v>2052</v>
      </c>
      <c r="AU194" s="7" t="s">
        <v>2029</v>
      </c>
      <c r="AV194" s="7" t="s">
        <v>2029</v>
      </c>
      <c r="AW194" s="7" t="s">
        <v>2020</v>
      </c>
      <c r="AX194" s="7" t="s">
        <v>2019</v>
      </c>
      <c r="AY194" s="7" t="s">
        <v>2027</v>
      </c>
      <c r="AZ194" s="7" t="s">
        <v>2019</v>
      </c>
      <c r="BA194" s="7" t="s">
        <v>2019</v>
      </c>
      <c r="BB194" t="s">
        <v>1331</v>
      </c>
      <c r="BC194" s="7" t="s">
        <v>2053</v>
      </c>
      <c r="BD194" t="s">
        <v>1493</v>
      </c>
      <c r="BH194" s="5" t="str">
        <f t="shared" ref="BH194:BH257" si="7">TRIM(CLEAN(SUBSTITUTE(AM194,CHAR(160)," ")))</f>
        <v/>
      </c>
      <c r="BI194" s="5" t="str">
        <f t="shared" si="6"/>
        <v/>
      </c>
    </row>
    <row r="195" spans="40:61" x14ac:dyDescent="0.35">
      <c r="AN195" t="s">
        <v>681</v>
      </c>
      <c r="AO195" s="7" t="s">
        <v>2051</v>
      </c>
      <c r="AP195" t="s">
        <v>1555</v>
      </c>
      <c r="AQ195" t="s">
        <v>682</v>
      </c>
      <c r="AR195" t="s">
        <v>1560</v>
      </c>
      <c r="AS195" t="s">
        <v>683</v>
      </c>
      <c r="AT195" s="7" t="s">
        <v>2111</v>
      </c>
      <c r="AU195" s="7" t="s">
        <v>2027</v>
      </c>
      <c r="AV195" s="7" t="s">
        <v>2020</v>
      </c>
      <c r="AW195" s="7" t="s">
        <v>2027</v>
      </c>
      <c r="AX195" s="7" t="s">
        <v>2029</v>
      </c>
      <c r="AY195" s="7" t="s">
        <v>2019</v>
      </c>
      <c r="AZ195" s="7" t="s">
        <v>2019</v>
      </c>
      <c r="BA195" s="7" t="s">
        <v>2020</v>
      </c>
      <c r="BB195" t="s">
        <v>71</v>
      </c>
      <c r="BC195" s="7" t="s">
        <v>2112</v>
      </c>
      <c r="BD195" t="s">
        <v>596</v>
      </c>
      <c r="BH195" s="5" t="str">
        <f t="shared" si="7"/>
        <v/>
      </c>
      <c r="BI195" s="5" t="str">
        <f t="shared" ref="BI195:BI258" si="8">TRIM(CLEAN(SUBSTITUTE(A195,CHAR(160)," ")))</f>
        <v/>
      </c>
    </row>
    <row r="196" spans="40:61" x14ac:dyDescent="0.35">
      <c r="AN196" t="s">
        <v>1958</v>
      </c>
      <c r="AO196" s="7" t="s">
        <v>2051</v>
      </c>
      <c r="AP196" t="s">
        <v>1555</v>
      </c>
      <c r="AQ196" t="s">
        <v>662</v>
      </c>
      <c r="AR196" t="s">
        <v>1560</v>
      </c>
      <c r="AS196" t="s">
        <v>1973</v>
      </c>
      <c r="AT196" s="7" t="s">
        <v>2070</v>
      </c>
      <c r="AU196" s="7" t="s">
        <v>2019</v>
      </c>
      <c r="AV196" s="7" t="s">
        <v>2020</v>
      </c>
      <c r="AW196" s="7" t="s">
        <v>2027</v>
      </c>
      <c r="AX196" s="7" t="s">
        <v>2020</v>
      </c>
      <c r="AY196" s="7" t="s">
        <v>2027</v>
      </c>
      <c r="AZ196" s="7" t="s">
        <v>2020</v>
      </c>
      <c r="BA196" s="7" t="s">
        <v>2027</v>
      </c>
      <c r="BB196" t="s">
        <v>292</v>
      </c>
      <c r="BC196" s="7" t="s">
        <v>2133</v>
      </c>
      <c r="BD196" t="s">
        <v>1999</v>
      </c>
      <c r="BH196" s="5" t="str">
        <f t="shared" si="7"/>
        <v/>
      </c>
      <c r="BI196" s="5" t="str">
        <f t="shared" si="8"/>
        <v/>
      </c>
    </row>
    <row r="197" spans="40:61" x14ac:dyDescent="0.35">
      <c r="AN197" t="s">
        <v>724</v>
      </c>
      <c r="AO197" s="7" t="s">
        <v>2051</v>
      </c>
      <c r="AP197" t="s">
        <v>1555</v>
      </c>
      <c r="AQ197" t="s">
        <v>695</v>
      </c>
      <c r="AR197" t="s">
        <v>1560</v>
      </c>
      <c r="AS197" t="s">
        <v>725</v>
      </c>
      <c r="AT197" s="7" t="s">
        <v>2121</v>
      </c>
      <c r="AU197" s="7" t="s">
        <v>2020</v>
      </c>
      <c r="AV197" s="7" t="s">
        <v>2027</v>
      </c>
      <c r="AW197" s="7" t="s">
        <v>2026</v>
      </c>
      <c r="AX197" s="7" t="s">
        <v>2026</v>
      </c>
      <c r="AY197" s="7" t="s">
        <v>2033</v>
      </c>
      <c r="AZ197" s="7" t="s">
        <v>2026</v>
      </c>
      <c r="BA197" s="7" t="s">
        <v>2033</v>
      </c>
      <c r="BB197" t="s">
        <v>88</v>
      </c>
      <c r="BC197" s="7" t="s">
        <v>2155</v>
      </c>
      <c r="BD197" t="s">
        <v>597</v>
      </c>
      <c r="BH197" s="5" t="str">
        <f t="shared" si="7"/>
        <v/>
      </c>
      <c r="BI197" s="5" t="str">
        <f t="shared" si="8"/>
        <v/>
      </c>
    </row>
    <row r="198" spans="40:61" x14ac:dyDescent="0.35">
      <c r="AN198" t="s">
        <v>762</v>
      </c>
      <c r="AO198" s="7" t="s">
        <v>2051</v>
      </c>
      <c r="AP198" t="s">
        <v>1555</v>
      </c>
      <c r="AQ198" t="s">
        <v>760</v>
      </c>
      <c r="AR198" t="s">
        <v>1560</v>
      </c>
      <c r="AS198" t="s">
        <v>763</v>
      </c>
      <c r="AT198" s="7" t="s">
        <v>2143</v>
      </c>
      <c r="AU198" s="7" t="s">
        <v>2027</v>
      </c>
      <c r="AV198" s="7" t="s">
        <v>2025</v>
      </c>
      <c r="AW198" s="7" t="s">
        <v>2026</v>
      </c>
      <c r="AX198" s="7" t="s">
        <v>2026</v>
      </c>
      <c r="AY198" s="7" t="s">
        <v>2026</v>
      </c>
      <c r="AZ198" s="7" t="s">
        <v>2026</v>
      </c>
      <c r="BA198" s="7" t="s">
        <v>2033</v>
      </c>
      <c r="BB198" t="s">
        <v>104</v>
      </c>
      <c r="BC198" s="7" t="s">
        <v>2206</v>
      </c>
      <c r="BD198" t="s">
        <v>598</v>
      </c>
      <c r="BH198" s="5" t="str">
        <f t="shared" si="7"/>
        <v/>
      </c>
      <c r="BI198" s="5" t="str">
        <f t="shared" si="8"/>
        <v/>
      </c>
    </row>
    <row r="199" spans="40:61" x14ac:dyDescent="0.35">
      <c r="AN199" t="s">
        <v>764</v>
      </c>
      <c r="AO199" s="7" t="s">
        <v>2051</v>
      </c>
      <c r="AP199" t="s">
        <v>1555</v>
      </c>
      <c r="AQ199" t="s">
        <v>653</v>
      </c>
      <c r="AR199" t="s">
        <v>1561</v>
      </c>
      <c r="AS199" t="s">
        <v>105</v>
      </c>
      <c r="AT199" s="7" t="s">
        <v>2061</v>
      </c>
      <c r="AU199" s="7" t="s">
        <v>2019</v>
      </c>
      <c r="AV199" s="7" t="s">
        <v>2020</v>
      </c>
      <c r="AW199" s="7" t="s">
        <v>2020</v>
      </c>
      <c r="AX199" s="7" t="s">
        <v>2020</v>
      </c>
      <c r="AY199" s="7" t="s">
        <v>2027</v>
      </c>
      <c r="AZ199" s="7" t="s">
        <v>2019</v>
      </c>
      <c r="BA199" s="7" t="s">
        <v>2020</v>
      </c>
      <c r="BB199" t="s">
        <v>106</v>
      </c>
      <c r="BC199" s="7" t="s">
        <v>2166</v>
      </c>
      <c r="BD199" t="s">
        <v>599</v>
      </c>
      <c r="BH199" s="5" t="str">
        <f t="shared" si="7"/>
        <v/>
      </c>
      <c r="BI199" s="5" t="str">
        <f t="shared" si="8"/>
        <v/>
      </c>
    </row>
    <row r="200" spans="40:61" x14ac:dyDescent="0.35">
      <c r="AN200" t="s">
        <v>1571</v>
      </c>
      <c r="AO200" s="7" t="s">
        <v>2051</v>
      </c>
      <c r="AP200" t="s">
        <v>1555</v>
      </c>
      <c r="AQ200" t="s">
        <v>815</v>
      </c>
      <c r="AR200" t="s">
        <v>1560</v>
      </c>
      <c r="AS200" t="s">
        <v>1572</v>
      </c>
      <c r="AT200" s="7" t="s">
        <v>2215</v>
      </c>
      <c r="AU200" s="7" t="s">
        <v>2019</v>
      </c>
      <c r="AV200" s="7" t="s">
        <v>2019</v>
      </c>
      <c r="AW200" s="7" t="s">
        <v>2027</v>
      </c>
      <c r="AX200" s="7" t="s">
        <v>2020</v>
      </c>
      <c r="AY200" s="7" t="s">
        <v>2019</v>
      </c>
      <c r="AZ200" s="7" t="s">
        <v>2020</v>
      </c>
      <c r="BA200" s="7" t="s">
        <v>2019</v>
      </c>
      <c r="BB200" t="s">
        <v>189</v>
      </c>
      <c r="BC200" s="7" t="s">
        <v>2049</v>
      </c>
      <c r="BD200" t="s">
        <v>1657</v>
      </c>
      <c r="BH200" s="5" t="str">
        <f t="shared" si="7"/>
        <v/>
      </c>
      <c r="BI200" s="5" t="str">
        <f t="shared" si="8"/>
        <v/>
      </c>
    </row>
    <row r="201" spans="40:61" x14ac:dyDescent="0.35">
      <c r="AN201" t="s">
        <v>783</v>
      </c>
      <c r="AO201" s="7" t="s">
        <v>2051</v>
      </c>
      <c r="AP201" t="s">
        <v>1555</v>
      </c>
      <c r="AQ201" t="s">
        <v>695</v>
      </c>
      <c r="AR201" t="s">
        <v>1560</v>
      </c>
      <c r="AS201" t="s">
        <v>784</v>
      </c>
      <c r="AT201" s="7" t="s">
        <v>2222</v>
      </c>
      <c r="AU201" s="7" t="s">
        <v>2025</v>
      </c>
      <c r="AV201" s="7" t="s">
        <v>2026</v>
      </c>
      <c r="AW201" s="7" t="s">
        <v>2033</v>
      </c>
      <c r="AX201" s="7" t="s">
        <v>2033</v>
      </c>
      <c r="AY201" s="7" t="s">
        <v>2026</v>
      </c>
      <c r="AZ201" s="7" t="s">
        <v>2033</v>
      </c>
      <c r="BA201" s="7" t="s">
        <v>2033</v>
      </c>
      <c r="BB201" t="s">
        <v>119</v>
      </c>
      <c r="BC201" s="7" t="s">
        <v>2223</v>
      </c>
      <c r="BD201" t="s">
        <v>600</v>
      </c>
      <c r="BH201" s="5" t="str">
        <f t="shared" si="7"/>
        <v/>
      </c>
      <c r="BI201" s="5" t="str">
        <f t="shared" si="8"/>
        <v/>
      </c>
    </row>
    <row r="202" spans="40:61" x14ac:dyDescent="0.35">
      <c r="AN202" t="s">
        <v>1327</v>
      </c>
      <c r="AO202" s="7" t="s">
        <v>2051</v>
      </c>
      <c r="AP202" t="s">
        <v>1555</v>
      </c>
      <c r="AQ202" t="s">
        <v>781</v>
      </c>
      <c r="AR202" t="s">
        <v>1560</v>
      </c>
      <c r="AS202" t="s">
        <v>827</v>
      </c>
      <c r="AT202" s="7" t="s">
        <v>2027</v>
      </c>
      <c r="AU202" s="7" t="s">
        <v>2027</v>
      </c>
      <c r="AV202" s="7" t="s">
        <v>2025</v>
      </c>
      <c r="AW202" s="7" t="s">
        <v>2025</v>
      </c>
      <c r="AX202" s="7" t="s">
        <v>2027</v>
      </c>
      <c r="AY202" s="7" t="s">
        <v>2020</v>
      </c>
      <c r="AZ202" s="7" t="s">
        <v>2020</v>
      </c>
      <c r="BA202" s="7" t="s">
        <v>2027</v>
      </c>
      <c r="BB202" t="s">
        <v>1310</v>
      </c>
      <c r="BC202" s="7" t="s">
        <v>2242</v>
      </c>
      <c r="BD202" t="s">
        <v>1499</v>
      </c>
      <c r="BH202" s="5" t="str">
        <f t="shared" si="7"/>
        <v/>
      </c>
      <c r="BI202" s="5" t="str">
        <f t="shared" si="8"/>
        <v/>
      </c>
    </row>
    <row r="203" spans="40:61" x14ac:dyDescent="0.35">
      <c r="AN203" t="s">
        <v>811</v>
      </c>
      <c r="AO203" s="7" t="s">
        <v>2051</v>
      </c>
      <c r="AP203" t="s">
        <v>1555</v>
      </c>
      <c r="AQ203" t="s">
        <v>812</v>
      </c>
      <c r="AR203" t="s">
        <v>1560</v>
      </c>
      <c r="AS203" t="s">
        <v>813</v>
      </c>
      <c r="AT203" s="7" t="s">
        <v>2108</v>
      </c>
      <c r="AU203" s="7" t="s">
        <v>2020</v>
      </c>
      <c r="AV203" s="7" t="s">
        <v>2020</v>
      </c>
      <c r="AW203" s="7" t="s">
        <v>2020</v>
      </c>
      <c r="AX203" s="7" t="s">
        <v>2020</v>
      </c>
      <c r="AY203" s="7" t="s">
        <v>2029</v>
      </c>
      <c r="AZ203" s="7" t="s">
        <v>2019</v>
      </c>
      <c r="BA203" s="7" t="s">
        <v>2029</v>
      </c>
      <c r="BB203" t="s">
        <v>131</v>
      </c>
      <c r="BC203" s="7" t="s">
        <v>2155</v>
      </c>
      <c r="BD203" t="s">
        <v>601</v>
      </c>
      <c r="BH203" s="5" t="str">
        <f t="shared" si="7"/>
        <v/>
      </c>
      <c r="BI203" s="5" t="str">
        <f t="shared" si="8"/>
        <v/>
      </c>
    </row>
    <row r="204" spans="40:61" x14ac:dyDescent="0.35">
      <c r="AN204" t="s">
        <v>1789</v>
      </c>
      <c r="AO204" s="7" t="s">
        <v>2051</v>
      </c>
      <c r="AP204" t="s">
        <v>1555</v>
      </c>
      <c r="AQ204" t="s">
        <v>1790</v>
      </c>
      <c r="AR204" t="s">
        <v>1560</v>
      </c>
      <c r="AS204" t="s">
        <v>1761</v>
      </c>
      <c r="AT204" s="7" t="s">
        <v>2031</v>
      </c>
      <c r="AU204" s="7" t="s">
        <v>2020</v>
      </c>
      <c r="AV204" s="7" t="s">
        <v>2027</v>
      </c>
      <c r="AW204" s="7" t="s">
        <v>2020</v>
      </c>
      <c r="AX204" s="7" t="s">
        <v>2027</v>
      </c>
      <c r="AY204" s="7" t="s">
        <v>2025</v>
      </c>
      <c r="AZ204" s="7" t="s">
        <v>2029</v>
      </c>
      <c r="BA204" s="7" t="s">
        <v>2025</v>
      </c>
      <c r="BB204" t="s">
        <v>1762</v>
      </c>
      <c r="BC204" s="7" t="s">
        <v>2021</v>
      </c>
      <c r="BD204" t="s">
        <v>1863</v>
      </c>
      <c r="BH204" s="5" t="str">
        <f t="shared" si="7"/>
        <v/>
      </c>
      <c r="BI204" s="5" t="str">
        <f t="shared" si="8"/>
        <v/>
      </c>
    </row>
    <row r="205" spans="40:61" x14ac:dyDescent="0.35">
      <c r="AN205" t="s">
        <v>857</v>
      </c>
      <c r="AO205" s="7" t="s">
        <v>2051</v>
      </c>
      <c r="AP205" t="s">
        <v>1555</v>
      </c>
      <c r="AQ205" t="s">
        <v>159</v>
      </c>
      <c r="AR205" t="s">
        <v>1561</v>
      </c>
      <c r="AS205" t="s">
        <v>160</v>
      </c>
      <c r="AT205" s="7" t="s">
        <v>2237</v>
      </c>
      <c r="AU205" s="7" t="s">
        <v>2020</v>
      </c>
      <c r="AV205" s="7" t="s">
        <v>2033</v>
      </c>
      <c r="AW205" s="7" t="s">
        <v>2027</v>
      </c>
      <c r="AX205" s="7" t="s">
        <v>2033</v>
      </c>
      <c r="AY205" s="7" t="s">
        <v>2020</v>
      </c>
      <c r="AZ205" s="7" t="s">
        <v>2033</v>
      </c>
      <c r="BA205" s="7" t="s">
        <v>2033</v>
      </c>
      <c r="BB205" t="s">
        <v>161</v>
      </c>
      <c r="BC205" s="7" t="s">
        <v>2312</v>
      </c>
      <c r="BD205" t="s">
        <v>602</v>
      </c>
      <c r="BH205" s="5" t="str">
        <f t="shared" si="7"/>
        <v/>
      </c>
      <c r="BI205" s="5" t="str">
        <f t="shared" si="8"/>
        <v/>
      </c>
    </row>
    <row r="206" spans="40:61" x14ac:dyDescent="0.35">
      <c r="AN206" t="s">
        <v>1109</v>
      </c>
      <c r="AO206" s="7" t="s">
        <v>2051</v>
      </c>
      <c r="AP206" t="s">
        <v>1555</v>
      </c>
      <c r="AQ206" t="s">
        <v>659</v>
      </c>
      <c r="AR206" t="s">
        <v>1560</v>
      </c>
      <c r="AS206" t="s">
        <v>910</v>
      </c>
      <c r="AT206" s="7" t="s">
        <v>2061</v>
      </c>
      <c r="AU206" s="7" t="s">
        <v>2020</v>
      </c>
      <c r="AV206" s="7" t="s">
        <v>2020</v>
      </c>
      <c r="AW206" s="7" t="s">
        <v>2027</v>
      </c>
      <c r="AX206" s="7" t="s">
        <v>2027</v>
      </c>
      <c r="AY206" s="7" t="s">
        <v>2019</v>
      </c>
      <c r="AZ206" s="7" t="s">
        <v>2019</v>
      </c>
      <c r="BA206" s="7" t="s">
        <v>2019</v>
      </c>
      <c r="BB206" t="s">
        <v>276</v>
      </c>
      <c r="BC206" s="7" t="s">
        <v>2604</v>
      </c>
      <c r="BD206" t="s">
        <v>603</v>
      </c>
      <c r="BH206" s="5" t="str">
        <f t="shared" si="7"/>
        <v/>
      </c>
      <c r="BI206" s="5" t="str">
        <f t="shared" si="8"/>
        <v/>
      </c>
    </row>
    <row r="207" spans="40:61" x14ac:dyDescent="0.35">
      <c r="AN207" t="s">
        <v>1161</v>
      </c>
      <c r="AO207" s="7" t="s">
        <v>2051</v>
      </c>
      <c r="AP207" t="s">
        <v>1555</v>
      </c>
      <c r="AQ207" t="s">
        <v>665</v>
      </c>
      <c r="AR207" t="s">
        <v>1560</v>
      </c>
      <c r="AS207" t="s">
        <v>1162</v>
      </c>
      <c r="AT207" s="7" t="s">
        <v>2090</v>
      </c>
      <c r="AU207" s="7" t="s">
        <v>2020</v>
      </c>
      <c r="AV207" s="7" t="s">
        <v>2020</v>
      </c>
      <c r="AW207" s="7" t="s">
        <v>2027</v>
      </c>
      <c r="AX207" s="7" t="s">
        <v>2020</v>
      </c>
      <c r="AY207" s="7" t="s">
        <v>2027</v>
      </c>
      <c r="AZ207" s="7" t="s">
        <v>2025</v>
      </c>
      <c r="BA207" s="7" t="s">
        <v>2025</v>
      </c>
      <c r="BB207" t="s">
        <v>305</v>
      </c>
      <c r="BC207" s="7" t="s">
        <v>2155</v>
      </c>
      <c r="BD207" t="s">
        <v>604</v>
      </c>
      <c r="BH207" s="5" t="str">
        <f t="shared" si="7"/>
        <v/>
      </c>
      <c r="BI207" s="5" t="str">
        <f t="shared" si="8"/>
        <v/>
      </c>
    </row>
    <row r="208" spans="40:61" x14ac:dyDescent="0.35">
      <c r="AN208" t="s">
        <v>1180</v>
      </c>
      <c r="AO208" s="7" t="s">
        <v>2051</v>
      </c>
      <c r="AP208" t="s">
        <v>1555</v>
      </c>
      <c r="AQ208" t="s">
        <v>732</v>
      </c>
      <c r="AR208" t="s">
        <v>1560</v>
      </c>
      <c r="AS208" t="s">
        <v>1019</v>
      </c>
      <c r="AT208" s="7" t="s">
        <v>2177</v>
      </c>
      <c r="AU208" s="7" t="s">
        <v>2020</v>
      </c>
      <c r="AV208" s="7" t="s">
        <v>2027</v>
      </c>
      <c r="AW208" s="7" t="s">
        <v>2019</v>
      </c>
      <c r="AX208" s="7" t="s">
        <v>2029</v>
      </c>
      <c r="AY208" s="7" t="s">
        <v>2029</v>
      </c>
      <c r="AZ208" s="7" t="s">
        <v>2141</v>
      </c>
      <c r="BA208" s="7" t="s">
        <v>2029</v>
      </c>
      <c r="BB208" t="s">
        <v>310</v>
      </c>
      <c r="BC208" s="7" t="s">
        <v>2155</v>
      </c>
      <c r="BD208" t="s">
        <v>605</v>
      </c>
      <c r="BH208" s="5" t="str">
        <f t="shared" si="7"/>
        <v/>
      </c>
      <c r="BI208" s="5" t="str">
        <f t="shared" si="8"/>
        <v/>
      </c>
    </row>
    <row r="209" spans="40:61" x14ac:dyDescent="0.35">
      <c r="AN209" t="s">
        <v>1370</v>
      </c>
      <c r="AO209" s="7" t="s">
        <v>2180</v>
      </c>
      <c r="AP209" t="s">
        <v>1555</v>
      </c>
      <c r="AQ209" t="s">
        <v>1424</v>
      </c>
      <c r="AR209" t="s">
        <v>1560</v>
      </c>
      <c r="AS209" t="s">
        <v>1019</v>
      </c>
      <c r="AT209" s="7" t="s">
        <v>2181</v>
      </c>
      <c r="AU209" s="7" t="s">
        <v>2019</v>
      </c>
      <c r="AV209" s="7" t="s">
        <v>2029</v>
      </c>
      <c r="AW209" s="7" t="s">
        <v>2019</v>
      </c>
      <c r="AX209" s="7" t="s">
        <v>2019</v>
      </c>
      <c r="AY209" s="7" t="s">
        <v>2141</v>
      </c>
      <c r="AZ209" s="7" t="s">
        <v>2019</v>
      </c>
      <c r="BA209" s="7" t="s">
        <v>2029</v>
      </c>
      <c r="BB209" t="s">
        <v>1335</v>
      </c>
      <c r="BC209" s="7" t="s">
        <v>2182</v>
      </c>
      <c r="BD209" t="s">
        <v>1496</v>
      </c>
      <c r="BH209" s="5" t="str">
        <f t="shared" si="7"/>
        <v/>
      </c>
      <c r="BI209" s="5" t="str">
        <f t="shared" si="8"/>
        <v/>
      </c>
    </row>
    <row r="210" spans="40:61" x14ac:dyDescent="0.35">
      <c r="AN210" t="s">
        <v>1379</v>
      </c>
      <c r="AO210" s="7" t="s">
        <v>2180</v>
      </c>
      <c r="AP210" t="s">
        <v>1555</v>
      </c>
      <c r="AQ210" t="s">
        <v>659</v>
      </c>
      <c r="AR210" t="s">
        <v>1560</v>
      </c>
      <c r="AS210" t="s">
        <v>673</v>
      </c>
      <c r="AT210" s="7" t="s">
        <v>2090</v>
      </c>
      <c r="AU210" s="7" t="s">
        <v>2027</v>
      </c>
      <c r="AV210" s="7" t="s">
        <v>2020</v>
      </c>
      <c r="AW210" s="7" t="s">
        <v>2027</v>
      </c>
      <c r="AX210" s="7" t="s">
        <v>2020</v>
      </c>
      <c r="AY210" s="7" t="s">
        <v>2027</v>
      </c>
      <c r="AZ210" s="7" t="s">
        <v>2027</v>
      </c>
      <c r="BA210" s="7" t="s">
        <v>2025</v>
      </c>
      <c r="BB210" t="s">
        <v>1313</v>
      </c>
      <c r="BC210" s="7" t="s">
        <v>2122</v>
      </c>
      <c r="BD210" t="s">
        <v>1503</v>
      </c>
      <c r="BH210" s="5" t="str">
        <f t="shared" si="7"/>
        <v/>
      </c>
      <c r="BI210" s="5" t="str">
        <f t="shared" si="8"/>
        <v/>
      </c>
    </row>
    <row r="211" spans="40:61" x14ac:dyDescent="0.35">
      <c r="AN211" t="s">
        <v>1795</v>
      </c>
      <c r="AO211" s="7" t="s">
        <v>2180</v>
      </c>
      <c r="AP211" t="s">
        <v>1555</v>
      </c>
      <c r="AQ211" t="s">
        <v>680</v>
      </c>
      <c r="AR211" t="s">
        <v>1560</v>
      </c>
      <c r="AS211" t="s">
        <v>763</v>
      </c>
      <c r="AT211" s="7" t="s">
        <v>2048</v>
      </c>
      <c r="AU211" s="7" t="s">
        <v>2020</v>
      </c>
      <c r="AV211" s="7" t="s">
        <v>2027</v>
      </c>
      <c r="AW211" s="7" t="s">
        <v>2027</v>
      </c>
      <c r="AX211" s="7" t="s">
        <v>2020</v>
      </c>
      <c r="AY211" s="7" t="s">
        <v>2019</v>
      </c>
      <c r="AZ211" s="7" t="s">
        <v>2020</v>
      </c>
      <c r="BA211" s="7" t="s">
        <v>2020</v>
      </c>
      <c r="BB211" t="s">
        <v>301</v>
      </c>
      <c r="BC211" s="7" t="s">
        <v>2114</v>
      </c>
      <c r="BD211" t="s">
        <v>1864</v>
      </c>
      <c r="BH211" s="5" t="str">
        <f t="shared" si="7"/>
        <v/>
      </c>
      <c r="BI211" s="5" t="str">
        <f t="shared" si="8"/>
        <v/>
      </c>
    </row>
    <row r="212" spans="40:61" x14ac:dyDescent="0.35">
      <c r="AN212" t="s">
        <v>1388</v>
      </c>
      <c r="AO212" s="7" t="s">
        <v>2180</v>
      </c>
      <c r="AP212" t="s">
        <v>1555</v>
      </c>
      <c r="AQ212" t="s">
        <v>1011</v>
      </c>
      <c r="AR212" t="s">
        <v>1561</v>
      </c>
      <c r="AS212" t="s">
        <v>1025</v>
      </c>
      <c r="AT212" s="7" t="s">
        <v>2020</v>
      </c>
      <c r="AU212" s="7" t="s">
        <v>2027</v>
      </c>
      <c r="AV212" s="7" t="s">
        <v>2027</v>
      </c>
      <c r="AW212" s="7" t="s">
        <v>2029</v>
      </c>
      <c r="AX212" s="7" t="s">
        <v>2027</v>
      </c>
      <c r="AY212" s="7" t="s">
        <v>2141</v>
      </c>
      <c r="AZ212" s="7" t="s">
        <v>2025</v>
      </c>
      <c r="BA212" s="7" t="s">
        <v>2020</v>
      </c>
      <c r="BB212" t="s">
        <v>1342</v>
      </c>
      <c r="BC212" s="7" t="s">
        <v>2294</v>
      </c>
      <c r="BD212" t="s">
        <v>1508</v>
      </c>
      <c r="BH212" s="5" t="str">
        <f t="shared" si="7"/>
        <v/>
      </c>
      <c r="BI212" s="5" t="str">
        <f t="shared" si="8"/>
        <v/>
      </c>
    </row>
    <row r="213" spans="40:61" x14ac:dyDescent="0.35">
      <c r="AN213" t="s">
        <v>951</v>
      </c>
      <c r="AO213" s="7" t="s">
        <v>2180</v>
      </c>
      <c r="AP213" t="s">
        <v>1555</v>
      </c>
      <c r="AQ213" t="s">
        <v>952</v>
      </c>
      <c r="AR213" t="s">
        <v>1560</v>
      </c>
      <c r="AS213" t="s">
        <v>953</v>
      </c>
      <c r="AT213" s="7" t="s">
        <v>2429</v>
      </c>
      <c r="AU213" s="7" t="s">
        <v>2026</v>
      </c>
      <c r="AV213" s="7" t="s">
        <v>2026</v>
      </c>
      <c r="AW213" s="7" t="s">
        <v>2033</v>
      </c>
      <c r="AX213" s="7" t="s">
        <v>2026</v>
      </c>
      <c r="AY213" s="7" t="s">
        <v>2033</v>
      </c>
      <c r="AZ213" s="7" t="s">
        <v>2025</v>
      </c>
      <c r="BA213" s="7" t="s">
        <v>2033</v>
      </c>
      <c r="BB213" t="s">
        <v>202</v>
      </c>
      <c r="BC213" s="7" t="s">
        <v>2114</v>
      </c>
      <c r="BD213" t="s">
        <v>606</v>
      </c>
      <c r="BH213" s="5" t="str">
        <f t="shared" si="7"/>
        <v/>
      </c>
      <c r="BI213" s="5" t="str">
        <f t="shared" si="8"/>
        <v/>
      </c>
    </row>
    <row r="214" spans="40:61" x14ac:dyDescent="0.35">
      <c r="AN214" t="s">
        <v>1411</v>
      </c>
      <c r="AO214" s="7" t="s">
        <v>2180</v>
      </c>
      <c r="AP214" t="s">
        <v>1555</v>
      </c>
      <c r="AQ214" t="s">
        <v>665</v>
      </c>
      <c r="AR214" t="s">
        <v>1560</v>
      </c>
      <c r="AS214" t="s">
        <v>1459</v>
      </c>
      <c r="AT214" s="7" t="s">
        <v>2061</v>
      </c>
      <c r="AU214" s="7" t="s">
        <v>2029</v>
      </c>
      <c r="AV214" s="7" t="s">
        <v>2020</v>
      </c>
      <c r="AW214" s="7" t="s">
        <v>2019</v>
      </c>
      <c r="AX214" s="7" t="s">
        <v>2027</v>
      </c>
      <c r="AY214" s="7" t="s">
        <v>2027</v>
      </c>
      <c r="AZ214" s="7" t="s">
        <v>2020</v>
      </c>
      <c r="BA214" s="7" t="s">
        <v>2020</v>
      </c>
      <c r="BB214" t="s">
        <v>1357</v>
      </c>
      <c r="BC214" s="7" t="s">
        <v>2155</v>
      </c>
      <c r="BD214" t="s">
        <v>1522</v>
      </c>
      <c r="BH214" s="5" t="str">
        <f t="shared" si="7"/>
        <v/>
      </c>
      <c r="BI214" s="5" t="str">
        <f t="shared" si="8"/>
        <v/>
      </c>
    </row>
    <row r="215" spans="40:61" x14ac:dyDescent="0.35">
      <c r="AN215" t="s">
        <v>1623</v>
      </c>
      <c r="AO215" s="7" t="s">
        <v>2180</v>
      </c>
      <c r="AP215" t="s">
        <v>1555</v>
      </c>
      <c r="AQ215" t="s">
        <v>665</v>
      </c>
      <c r="AR215" t="s">
        <v>1560</v>
      </c>
      <c r="AS215" t="s">
        <v>1624</v>
      </c>
      <c r="AT215" s="7" t="s">
        <v>2027</v>
      </c>
      <c r="AU215" s="7" t="s">
        <v>2020</v>
      </c>
      <c r="AV215" s="7" t="s">
        <v>2025</v>
      </c>
      <c r="AW215" s="7" t="s">
        <v>2027</v>
      </c>
      <c r="AX215" s="7" t="s">
        <v>2027</v>
      </c>
      <c r="AY215" s="7" t="s">
        <v>2027</v>
      </c>
      <c r="AZ215" s="7" t="s">
        <v>2027</v>
      </c>
      <c r="BA215" s="7" t="s">
        <v>2027</v>
      </c>
      <c r="BB215" t="s">
        <v>1551</v>
      </c>
      <c r="BC215" s="7" t="s">
        <v>2155</v>
      </c>
      <c r="BD215" t="s">
        <v>1658</v>
      </c>
      <c r="BH215" s="5" t="str">
        <f t="shared" si="7"/>
        <v/>
      </c>
      <c r="BI215" s="5" t="str">
        <f t="shared" si="8"/>
        <v/>
      </c>
    </row>
    <row r="216" spans="40:61" x14ac:dyDescent="0.35">
      <c r="AN216" t="s">
        <v>828</v>
      </c>
      <c r="AO216" s="7" t="s">
        <v>2167</v>
      </c>
      <c r="AP216" t="s">
        <v>1555</v>
      </c>
      <c r="AQ216" t="s">
        <v>665</v>
      </c>
      <c r="AR216" t="s">
        <v>1560</v>
      </c>
      <c r="AS216" t="s">
        <v>829</v>
      </c>
      <c r="AT216" s="7" t="s">
        <v>2121</v>
      </c>
      <c r="AU216" s="7" t="s">
        <v>2020</v>
      </c>
      <c r="AV216" s="7" t="s">
        <v>2026</v>
      </c>
      <c r="AW216" s="7" t="s">
        <v>2033</v>
      </c>
      <c r="AX216" s="7" t="s">
        <v>2025</v>
      </c>
      <c r="AY216" s="7" t="s">
        <v>2026</v>
      </c>
      <c r="AZ216" s="7" t="s">
        <v>2025</v>
      </c>
      <c r="BA216" s="7" t="s">
        <v>2033</v>
      </c>
      <c r="BB216" t="s">
        <v>139</v>
      </c>
      <c r="BC216" s="7" t="s">
        <v>2155</v>
      </c>
      <c r="BD216" t="s">
        <v>607</v>
      </c>
      <c r="BH216" s="5" t="str">
        <f t="shared" si="7"/>
        <v/>
      </c>
      <c r="BI216" s="5" t="str">
        <f t="shared" si="8"/>
        <v/>
      </c>
    </row>
    <row r="217" spans="40:61" x14ac:dyDescent="0.35">
      <c r="AN217" t="s">
        <v>830</v>
      </c>
      <c r="AO217" s="7" t="s">
        <v>2167</v>
      </c>
      <c r="AP217" t="s">
        <v>1555</v>
      </c>
      <c r="AQ217" t="s">
        <v>665</v>
      </c>
      <c r="AR217" t="s">
        <v>1560</v>
      </c>
      <c r="AS217" t="s">
        <v>831</v>
      </c>
      <c r="AT217" s="7" t="s">
        <v>2031</v>
      </c>
      <c r="AU217" s="7" t="s">
        <v>2019</v>
      </c>
      <c r="AV217" s="7" t="s">
        <v>2019</v>
      </c>
      <c r="AW217" s="7" t="s">
        <v>2020</v>
      </c>
      <c r="AX217" s="7" t="s">
        <v>2019</v>
      </c>
      <c r="AY217" s="7" t="s">
        <v>2025</v>
      </c>
      <c r="AZ217" s="7" t="s">
        <v>2026</v>
      </c>
      <c r="BA217" s="7" t="s">
        <v>2025</v>
      </c>
      <c r="BB217" t="s">
        <v>140</v>
      </c>
      <c r="BC217" s="7" t="s">
        <v>2114</v>
      </c>
      <c r="BD217" t="s">
        <v>608</v>
      </c>
      <c r="BH217" s="5" t="str">
        <f t="shared" si="7"/>
        <v/>
      </c>
      <c r="BI217" s="5" t="str">
        <f t="shared" si="8"/>
        <v/>
      </c>
    </row>
    <row r="218" spans="40:61" x14ac:dyDescent="0.35">
      <c r="AN218" t="s">
        <v>1383</v>
      </c>
      <c r="AO218" s="7" t="s">
        <v>2167</v>
      </c>
      <c r="AP218" t="s">
        <v>1555</v>
      </c>
      <c r="AQ218" t="s">
        <v>966</v>
      </c>
      <c r="AR218" t="s">
        <v>1561</v>
      </c>
      <c r="AS218" t="s">
        <v>820</v>
      </c>
      <c r="AT218" s="7" t="s">
        <v>2090</v>
      </c>
      <c r="AU218" s="7" t="s">
        <v>2020</v>
      </c>
      <c r="AV218" s="7" t="s">
        <v>2027</v>
      </c>
      <c r="AW218" s="7" t="s">
        <v>2027</v>
      </c>
      <c r="AX218" s="7" t="s">
        <v>2027</v>
      </c>
      <c r="AY218" s="7" t="s">
        <v>2020</v>
      </c>
      <c r="AZ218" s="7" t="s">
        <v>2025</v>
      </c>
      <c r="BA218" s="7" t="s">
        <v>2027</v>
      </c>
      <c r="BB218" t="s">
        <v>1338</v>
      </c>
      <c r="BC218" s="7" t="s">
        <v>2165</v>
      </c>
      <c r="BD218" t="s">
        <v>1506</v>
      </c>
      <c r="BH218" s="5" t="str">
        <f t="shared" si="7"/>
        <v/>
      </c>
      <c r="BI218" s="5" t="str">
        <f t="shared" si="8"/>
        <v/>
      </c>
    </row>
    <row r="219" spans="40:61" x14ac:dyDescent="0.35">
      <c r="AN219" t="s">
        <v>938</v>
      </c>
      <c r="AO219" s="7" t="s">
        <v>2167</v>
      </c>
      <c r="AP219" t="s">
        <v>1555</v>
      </c>
      <c r="AQ219" t="s">
        <v>939</v>
      </c>
      <c r="AR219" t="s">
        <v>1560</v>
      </c>
      <c r="AS219" t="s">
        <v>940</v>
      </c>
      <c r="AT219" s="7" t="s">
        <v>2215</v>
      </c>
      <c r="AU219" s="7" t="s">
        <v>2019</v>
      </c>
      <c r="AV219" s="7" t="s">
        <v>2029</v>
      </c>
      <c r="AW219" s="7" t="s">
        <v>2020</v>
      </c>
      <c r="AX219" s="7" t="s">
        <v>2019</v>
      </c>
      <c r="AY219" s="7" t="s">
        <v>2019</v>
      </c>
      <c r="AZ219" s="7" t="s">
        <v>2027</v>
      </c>
      <c r="BA219" s="7" t="s">
        <v>2027</v>
      </c>
      <c r="BB219" t="s">
        <v>197</v>
      </c>
      <c r="BC219" s="7" t="s">
        <v>2021</v>
      </c>
      <c r="BD219" t="s">
        <v>609</v>
      </c>
      <c r="BH219" s="5" t="str">
        <f t="shared" si="7"/>
        <v/>
      </c>
      <c r="BI219" s="5" t="str">
        <f t="shared" si="8"/>
        <v/>
      </c>
    </row>
    <row r="220" spans="40:61" x14ac:dyDescent="0.35">
      <c r="AN220" t="s">
        <v>977</v>
      </c>
      <c r="AO220" s="7" t="s">
        <v>2167</v>
      </c>
      <c r="AP220" t="s">
        <v>1555</v>
      </c>
      <c r="AQ220" t="s">
        <v>815</v>
      </c>
      <c r="AR220" t="s">
        <v>1560</v>
      </c>
      <c r="AS220" t="s">
        <v>978</v>
      </c>
      <c r="AT220" s="7" t="s">
        <v>2383</v>
      </c>
      <c r="AU220" s="7" t="s">
        <v>2029</v>
      </c>
      <c r="AV220" s="7" t="s">
        <v>2029</v>
      </c>
      <c r="AW220" s="7" t="s">
        <v>2020</v>
      </c>
      <c r="AX220" s="7" t="s">
        <v>2029</v>
      </c>
      <c r="AY220" s="7" t="s">
        <v>2141</v>
      </c>
      <c r="AZ220" s="7" t="s">
        <v>2029</v>
      </c>
      <c r="BA220" s="7" t="s">
        <v>2022</v>
      </c>
      <c r="BB220" t="s">
        <v>145</v>
      </c>
      <c r="BC220" s="7" t="s">
        <v>2049</v>
      </c>
      <c r="BD220" t="s">
        <v>610</v>
      </c>
      <c r="BH220" s="5" t="str">
        <f t="shared" si="7"/>
        <v/>
      </c>
      <c r="BI220" s="5" t="str">
        <f t="shared" si="8"/>
        <v/>
      </c>
    </row>
    <row r="221" spans="40:61" x14ac:dyDescent="0.35">
      <c r="AN221" t="s">
        <v>1274</v>
      </c>
      <c r="AO221" s="7" t="s">
        <v>2167</v>
      </c>
      <c r="AP221" t="s">
        <v>1555</v>
      </c>
      <c r="AQ221" t="s">
        <v>695</v>
      </c>
      <c r="AR221" t="s">
        <v>1560</v>
      </c>
      <c r="AS221" t="s">
        <v>1000</v>
      </c>
      <c r="AT221" s="7" t="s">
        <v>2159</v>
      </c>
      <c r="AU221" s="7" t="s">
        <v>2027</v>
      </c>
      <c r="AV221" s="7" t="s">
        <v>2027</v>
      </c>
      <c r="AW221" s="7" t="s">
        <v>2027</v>
      </c>
      <c r="AX221" s="7" t="s">
        <v>2020</v>
      </c>
      <c r="AY221" s="7" t="s">
        <v>2025</v>
      </c>
      <c r="AZ221" s="7" t="s">
        <v>2025</v>
      </c>
      <c r="BA221" s="7" t="s">
        <v>2026</v>
      </c>
      <c r="BB221" t="s">
        <v>1211</v>
      </c>
      <c r="BC221" s="7" t="s">
        <v>2021</v>
      </c>
      <c r="BD221" t="s">
        <v>1253</v>
      </c>
      <c r="BH221" s="5" t="str">
        <f t="shared" si="7"/>
        <v/>
      </c>
      <c r="BI221" s="5" t="str">
        <f t="shared" si="8"/>
        <v/>
      </c>
    </row>
    <row r="222" spans="40:61" x14ac:dyDescent="0.35">
      <c r="AN222" t="s">
        <v>1406</v>
      </c>
      <c r="AO222" s="7" t="s">
        <v>2167</v>
      </c>
      <c r="AP222" t="s">
        <v>1555</v>
      </c>
      <c r="AQ222" t="s">
        <v>781</v>
      </c>
      <c r="AR222" t="s">
        <v>1560</v>
      </c>
      <c r="AS222" t="s">
        <v>1299</v>
      </c>
      <c r="AT222" s="7" t="s">
        <v>2058</v>
      </c>
      <c r="AU222" s="7" t="s">
        <v>2027</v>
      </c>
      <c r="AV222" s="7" t="s">
        <v>2025</v>
      </c>
      <c r="AW222" s="7" t="s">
        <v>2026</v>
      </c>
      <c r="AX222" s="7" t="s">
        <v>2025</v>
      </c>
      <c r="AY222" s="7" t="s">
        <v>2019</v>
      </c>
      <c r="AZ222" s="7" t="s">
        <v>2027</v>
      </c>
      <c r="BA222" s="7" t="s">
        <v>2027</v>
      </c>
      <c r="BB222" t="s">
        <v>186</v>
      </c>
      <c r="BC222" s="7" t="s">
        <v>2114</v>
      </c>
      <c r="BD222" t="s">
        <v>1518</v>
      </c>
      <c r="BH222" s="5" t="str">
        <f t="shared" si="7"/>
        <v/>
      </c>
      <c r="BI222" s="5" t="str">
        <f t="shared" si="8"/>
        <v/>
      </c>
    </row>
    <row r="223" spans="40:61" x14ac:dyDescent="0.35">
      <c r="AN223" t="s">
        <v>1420</v>
      </c>
      <c r="AO223" s="7" t="s">
        <v>2167</v>
      </c>
      <c r="AP223" t="s">
        <v>1555</v>
      </c>
      <c r="AQ223" t="s">
        <v>732</v>
      </c>
      <c r="AR223" t="s">
        <v>1560</v>
      </c>
      <c r="AS223" t="s">
        <v>1464</v>
      </c>
      <c r="AT223" s="7" t="s">
        <v>2092</v>
      </c>
      <c r="AU223" s="7" t="s">
        <v>2029</v>
      </c>
      <c r="AV223" s="7" t="s">
        <v>2019</v>
      </c>
      <c r="AW223" s="7" t="s">
        <v>2019</v>
      </c>
      <c r="AX223" s="7" t="s">
        <v>2020</v>
      </c>
      <c r="AY223" s="7" t="s">
        <v>2019</v>
      </c>
      <c r="AZ223" s="7" t="s">
        <v>2029</v>
      </c>
      <c r="BA223" s="7" t="s">
        <v>2019</v>
      </c>
      <c r="BB223" t="s">
        <v>1364</v>
      </c>
      <c r="BC223" s="7" t="s">
        <v>2021</v>
      </c>
      <c r="BD223" t="s">
        <v>1527</v>
      </c>
      <c r="BH223" s="5" t="str">
        <f t="shared" si="7"/>
        <v/>
      </c>
      <c r="BI223" s="5" t="str">
        <f t="shared" si="8"/>
        <v/>
      </c>
    </row>
    <row r="224" spans="40:61" x14ac:dyDescent="0.35">
      <c r="AN224" t="s">
        <v>728</v>
      </c>
      <c r="AO224" s="7" t="s">
        <v>2171</v>
      </c>
      <c r="AP224" t="s">
        <v>1555</v>
      </c>
      <c r="AQ224" t="s">
        <v>729</v>
      </c>
      <c r="AR224" t="s">
        <v>1569</v>
      </c>
      <c r="AS224" t="s">
        <v>730</v>
      </c>
      <c r="AT224" s="7" t="s">
        <v>2019</v>
      </c>
      <c r="AU224" s="7" t="s">
        <v>2029</v>
      </c>
      <c r="AV224" s="7" t="s">
        <v>2019</v>
      </c>
      <c r="AW224" s="7" t="s">
        <v>2027</v>
      </c>
      <c r="AX224" s="7" t="s">
        <v>2029</v>
      </c>
      <c r="AY224" s="7" t="s">
        <v>2141</v>
      </c>
      <c r="AZ224" s="7" t="s">
        <v>2029</v>
      </c>
      <c r="BA224" s="7" t="s">
        <v>2025</v>
      </c>
      <c r="BB224" t="s">
        <v>92</v>
      </c>
      <c r="BC224" s="7" t="s">
        <v>2138</v>
      </c>
      <c r="BD224" t="s">
        <v>611</v>
      </c>
      <c r="BH224" s="5" t="str">
        <f t="shared" si="7"/>
        <v/>
      </c>
      <c r="BI224" s="5" t="str">
        <f t="shared" si="8"/>
        <v/>
      </c>
    </row>
    <row r="225" spans="40:61" x14ac:dyDescent="0.35">
      <c r="AN225" t="s">
        <v>1377</v>
      </c>
      <c r="AO225" s="7" t="s">
        <v>2171</v>
      </c>
      <c r="AP225" t="s">
        <v>1555</v>
      </c>
      <c r="AQ225" t="s">
        <v>659</v>
      </c>
      <c r="AR225" t="s">
        <v>1560</v>
      </c>
      <c r="AS225" t="s">
        <v>673</v>
      </c>
      <c r="AT225" s="7" t="s">
        <v>2048</v>
      </c>
      <c r="AU225" s="7" t="s">
        <v>2019</v>
      </c>
      <c r="AV225" s="7" t="s">
        <v>2019</v>
      </c>
      <c r="AW225" s="7" t="s">
        <v>2020</v>
      </c>
      <c r="AX225" s="7" t="s">
        <v>2020</v>
      </c>
      <c r="AY225" s="7" t="s">
        <v>2020</v>
      </c>
      <c r="AZ225" s="7" t="s">
        <v>2025</v>
      </c>
      <c r="BA225" s="7" t="s">
        <v>2027</v>
      </c>
      <c r="BB225" t="s">
        <v>1311</v>
      </c>
      <c r="BC225" s="7" t="s">
        <v>2049</v>
      </c>
      <c r="BD225" t="s">
        <v>1501</v>
      </c>
      <c r="BH225" s="5" t="str">
        <f t="shared" si="7"/>
        <v/>
      </c>
      <c r="BI225" s="5" t="str">
        <f t="shared" si="8"/>
        <v/>
      </c>
    </row>
    <row r="226" spans="40:61" x14ac:dyDescent="0.35">
      <c r="AN226" t="s">
        <v>897</v>
      </c>
      <c r="AO226" s="7" t="s">
        <v>2171</v>
      </c>
      <c r="AP226" t="s">
        <v>1555</v>
      </c>
      <c r="AQ226" t="s">
        <v>898</v>
      </c>
      <c r="AR226" t="s">
        <v>1560</v>
      </c>
      <c r="AS226" t="s">
        <v>899</v>
      </c>
      <c r="AT226" s="7" t="s">
        <v>2090</v>
      </c>
      <c r="AU226" s="7" t="s">
        <v>2019</v>
      </c>
      <c r="AV226" s="7" t="s">
        <v>2019</v>
      </c>
      <c r="AW226" s="7" t="s">
        <v>2027</v>
      </c>
      <c r="AX226" s="7" t="s">
        <v>2020</v>
      </c>
      <c r="AY226" s="7" t="s">
        <v>2026</v>
      </c>
      <c r="AZ226" s="7" t="s">
        <v>2025</v>
      </c>
      <c r="BA226" s="7" t="s">
        <v>2025</v>
      </c>
      <c r="BB226" t="s">
        <v>175</v>
      </c>
      <c r="BC226" s="7" t="s">
        <v>2021</v>
      </c>
      <c r="BD226" t="s">
        <v>612</v>
      </c>
      <c r="BH226" s="5" t="str">
        <f t="shared" si="7"/>
        <v/>
      </c>
      <c r="BI226" s="5" t="str">
        <f t="shared" si="8"/>
        <v/>
      </c>
    </row>
    <row r="227" spans="40:61" x14ac:dyDescent="0.35">
      <c r="AN227" t="s">
        <v>1326</v>
      </c>
      <c r="AO227" s="7" t="s">
        <v>2171</v>
      </c>
      <c r="AP227" t="s">
        <v>1555</v>
      </c>
      <c r="AQ227" t="s">
        <v>665</v>
      </c>
      <c r="AR227" t="s">
        <v>1560</v>
      </c>
      <c r="AS227" t="s">
        <v>1442</v>
      </c>
      <c r="AT227" s="7" t="s">
        <v>2061</v>
      </c>
      <c r="AU227" s="7" t="s">
        <v>2027</v>
      </c>
      <c r="AV227" s="7" t="s">
        <v>2027</v>
      </c>
      <c r="AW227" s="7" t="s">
        <v>2027</v>
      </c>
      <c r="AX227" s="7" t="s">
        <v>2020</v>
      </c>
      <c r="AY227" s="7" t="s">
        <v>2019</v>
      </c>
      <c r="AZ227" s="7" t="s">
        <v>2029</v>
      </c>
      <c r="BA227" s="7" t="s">
        <v>2019</v>
      </c>
      <c r="BB227" t="s">
        <v>1317</v>
      </c>
      <c r="BC227" s="7" t="s">
        <v>2104</v>
      </c>
      <c r="BD227" t="s">
        <v>1509</v>
      </c>
      <c r="BH227" s="5" t="str">
        <f t="shared" si="7"/>
        <v/>
      </c>
      <c r="BI227" s="5" t="str">
        <f t="shared" si="8"/>
        <v/>
      </c>
    </row>
    <row r="228" spans="40:61" x14ac:dyDescent="0.35">
      <c r="AN228" t="s">
        <v>914</v>
      </c>
      <c r="AO228" s="7" t="s">
        <v>2171</v>
      </c>
      <c r="AP228" t="s">
        <v>1555</v>
      </c>
      <c r="AQ228" t="s">
        <v>671</v>
      </c>
      <c r="AR228" t="s">
        <v>1560</v>
      </c>
      <c r="AS228" t="s">
        <v>856</v>
      </c>
      <c r="AT228" s="7" t="s">
        <v>2383</v>
      </c>
      <c r="AU228" s="7" t="s">
        <v>2141</v>
      </c>
      <c r="AV228" s="7" t="s">
        <v>2029</v>
      </c>
      <c r="AW228" s="7" t="s">
        <v>2020</v>
      </c>
      <c r="AX228" s="7" t="s">
        <v>2029</v>
      </c>
      <c r="AY228" s="7" t="s">
        <v>2141</v>
      </c>
      <c r="AZ228" s="7" t="s">
        <v>2141</v>
      </c>
      <c r="BA228" s="7" t="s">
        <v>2029</v>
      </c>
      <c r="BB228" t="s">
        <v>79</v>
      </c>
      <c r="BC228" s="7" t="s">
        <v>2049</v>
      </c>
      <c r="BD228" t="s">
        <v>613</v>
      </c>
      <c r="BH228" s="5" t="str">
        <f t="shared" si="7"/>
        <v/>
      </c>
      <c r="BI228" s="5" t="str">
        <f t="shared" si="8"/>
        <v/>
      </c>
    </row>
    <row r="229" spans="40:61" x14ac:dyDescent="0.35">
      <c r="AN229" t="s">
        <v>981</v>
      </c>
      <c r="AO229" s="7" t="s">
        <v>2171</v>
      </c>
      <c r="AP229" t="s">
        <v>1555</v>
      </c>
      <c r="AQ229" t="s">
        <v>695</v>
      </c>
      <c r="AR229" t="s">
        <v>1560</v>
      </c>
      <c r="AS229" t="s">
        <v>754</v>
      </c>
      <c r="AT229" s="7" t="s">
        <v>2231</v>
      </c>
      <c r="AU229" s="7" t="s">
        <v>2029</v>
      </c>
      <c r="AV229" s="7" t="s">
        <v>2029</v>
      </c>
      <c r="AW229" s="7" t="s">
        <v>2019</v>
      </c>
      <c r="AX229" s="7" t="s">
        <v>2029</v>
      </c>
      <c r="AY229" s="7" t="s">
        <v>2029</v>
      </c>
      <c r="AZ229" s="7" t="s">
        <v>2020</v>
      </c>
      <c r="BA229" s="7" t="s">
        <v>2141</v>
      </c>
      <c r="BB229" t="s">
        <v>249</v>
      </c>
      <c r="BC229" s="7" t="s">
        <v>2021</v>
      </c>
      <c r="BD229" t="s">
        <v>614</v>
      </c>
      <c r="BH229" s="5" t="str">
        <f t="shared" si="7"/>
        <v/>
      </c>
      <c r="BI229" s="5" t="str">
        <f t="shared" si="8"/>
        <v/>
      </c>
    </row>
    <row r="230" spans="40:61" x14ac:dyDescent="0.35">
      <c r="AN230" t="s">
        <v>1001</v>
      </c>
      <c r="AO230" s="7" t="s">
        <v>2171</v>
      </c>
      <c r="AP230" t="s">
        <v>1555</v>
      </c>
      <c r="AQ230" t="s">
        <v>1002</v>
      </c>
      <c r="AR230" t="s">
        <v>1561</v>
      </c>
      <c r="AS230" t="s">
        <v>223</v>
      </c>
      <c r="AT230" s="7" t="s">
        <v>2177</v>
      </c>
      <c r="AU230" s="7" t="s">
        <v>2029</v>
      </c>
      <c r="AV230" s="7" t="s">
        <v>2029</v>
      </c>
      <c r="AW230" s="7" t="s">
        <v>2029</v>
      </c>
      <c r="AX230" s="7" t="s">
        <v>2141</v>
      </c>
      <c r="AY230" s="7" t="s">
        <v>2025</v>
      </c>
      <c r="AZ230" s="7" t="s">
        <v>2020</v>
      </c>
      <c r="BA230" s="7" t="s">
        <v>2029</v>
      </c>
      <c r="BB230" t="s">
        <v>224</v>
      </c>
      <c r="BC230" s="7" t="s">
        <v>2212</v>
      </c>
      <c r="BD230" t="s">
        <v>615</v>
      </c>
      <c r="BH230" s="5" t="str">
        <f t="shared" si="7"/>
        <v/>
      </c>
      <c r="BI230" s="5" t="str">
        <f t="shared" si="8"/>
        <v/>
      </c>
    </row>
    <row r="231" spans="40:61" x14ac:dyDescent="0.35">
      <c r="AN231" t="s">
        <v>1325</v>
      </c>
      <c r="AO231" s="7" t="s">
        <v>2171</v>
      </c>
      <c r="AP231" t="s">
        <v>1555</v>
      </c>
      <c r="AQ231" t="s">
        <v>760</v>
      </c>
      <c r="AR231" t="s">
        <v>1560</v>
      </c>
      <c r="AS231" t="s">
        <v>763</v>
      </c>
      <c r="AT231" s="7" t="s">
        <v>2048</v>
      </c>
      <c r="AU231" s="7" t="s">
        <v>2019</v>
      </c>
      <c r="AV231" s="7" t="s">
        <v>2020</v>
      </c>
      <c r="AW231" s="7" t="s">
        <v>2020</v>
      </c>
      <c r="AX231" s="7" t="s">
        <v>2020</v>
      </c>
      <c r="AY231" s="7" t="s">
        <v>2025</v>
      </c>
      <c r="AZ231" s="7" t="s">
        <v>2019</v>
      </c>
      <c r="BA231" s="7" t="s">
        <v>2027</v>
      </c>
      <c r="BB231" t="s">
        <v>1321</v>
      </c>
      <c r="BC231" s="7" t="s">
        <v>2114</v>
      </c>
      <c r="BD231" t="s">
        <v>1513</v>
      </c>
      <c r="BH231" s="5" t="str">
        <f t="shared" si="7"/>
        <v/>
      </c>
      <c r="BI231" s="5" t="str">
        <f t="shared" si="8"/>
        <v/>
      </c>
    </row>
    <row r="232" spans="40:61" x14ac:dyDescent="0.35">
      <c r="AN232" t="s">
        <v>1407</v>
      </c>
      <c r="AO232" s="7" t="s">
        <v>2171</v>
      </c>
      <c r="AP232" t="s">
        <v>1555</v>
      </c>
      <c r="AQ232" t="s">
        <v>735</v>
      </c>
      <c r="AR232" t="s">
        <v>1560</v>
      </c>
      <c r="AS232" t="s">
        <v>1458</v>
      </c>
      <c r="AT232" s="7" t="s">
        <v>2031</v>
      </c>
      <c r="AU232" s="7" t="s">
        <v>2019</v>
      </c>
      <c r="AV232" s="7" t="s">
        <v>2020</v>
      </c>
      <c r="AW232" s="7" t="s">
        <v>2027</v>
      </c>
      <c r="AX232" s="7" t="s">
        <v>2027</v>
      </c>
      <c r="AY232" s="7" t="s">
        <v>2027</v>
      </c>
      <c r="AZ232" s="7" t="s">
        <v>2027</v>
      </c>
      <c r="BA232" s="7" t="s">
        <v>2027</v>
      </c>
      <c r="BB232" t="s">
        <v>1353</v>
      </c>
      <c r="BC232" s="7" t="s">
        <v>2155</v>
      </c>
      <c r="BD232" t="s">
        <v>1519</v>
      </c>
      <c r="BH232" s="5" t="str">
        <f t="shared" si="7"/>
        <v/>
      </c>
      <c r="BI232" s="5" t="str">
        <f t="shared" si="8"/>
        <v/>
      </c>
    </row>
    <row r="233" spans="40:61" x14ac:dyDescent="0.35">
      <c r="AN233" t="s">
        <v>684</v>
      </c>
      <c r="AO233" s="7" t="s">
        <v>2057</v>
      </c>
      <c r="AP233" t="s">
        <v>1555</v>
      </c>
      <c r="AQ233" t="s">
        <v>671</v>
      </c>
      <c r="AR233" t="s">
        <v>1560</v>
      </c>
      <c r="AS233" t="s">
        <v>685</v>
      </c>
      <c r="AT233" s="7" t="s">
        <v>2061</v>
      </c>
      <c r="AU233" s="7" t="s">
        <v>2029</v>
      </c>
      <c r="AV233" s="7" t="s">
        <v>2029</v>
      </c>
      <c r="AW233" s="7" t="s">
        <v>2027</v>
      </c>
      <c r="AX233" s="7" t="s">
        <v>2020</v>
      </c>
      <c r="AY233" s="7" t="s">
        <v>2029</v>
      </c>
      <c r="AZ233" s="7" t="s">
        <v>2025</v>
      </c>
      <c r="BA233" s="7" t="s">
        <v>2025</v>
      </c>
      <c r="BB233" t="s">
        <v>72</v>
      </c>
      <c r="BC233" s="7" t="s">
        <v>2114</v>
      </c>
      <c r="BD233" t="s">
        <v>616</v>
      </c>
      <c r="BH233" s="5" t="str">
        <f t="shared" si="7"/>
        <v/>
      </c>
      <c r="BI233" s="5" t="str">
        <f t="shared" si="8"/>
        <v/>
      </c>
    </row>
    <row r="234" spans="40:61" x14ac:dyDescent="0.35">
      <c r="AN234" t="s">
        <v>1378</v>
      </c>
      <c r="AO234" s="7" t="s">
        <v>2057</v>
      </c>
      <c r="AP234" t="s">
        <v>1555</v>
      </c>
      <c r="AQ234" t="s">
        <v>665</v>
      </c>
      <c r="AR234" t="s">
        <v>1560</v>
      </c>
      <c r="AS234" t="s">
        <v>1442</v>
      </c>
      <c r="AT234" s="7" t="s">
        <v>2020</v>
      </c>
      <c r="AU234" s="7" t="s">
        <v>2029</v>
      </c>
      <c r="AV234" s="7" t="s">
        <v>2019</v>
      </c>
      <c r="AW234" s="7" t="s">
        <v>2027</v>
      </c>
      <c r="AX234" s="7" t="s">
        <v>2020</v>
      </c>
      <c r="AY234" s="7" t="s">
        <v>2027</v>
      </c>
      <c r="AZ234" s="7" t="s">
        <v>2020</v>
      </c>
      <c r="BA234" s="7" t="s">
        <v>2027</v>
      </c>
      <c r="BB234" t="s">
        <v>1312</v>
      </c>
      <c r="BC234" s="7" t="s">
        <v>2155</v>
      </c>
      <c r="BD234" t="s">
        <v>1502</v>
      </c>
      <c r="BH234" s="5" t="str">
        <f t="shared" si="7"/>
        <v/>
      </c>
      <c r="BI234" s="5" t="str">
        <f t="shared" si="8"/>
        <v/>
      </c>
    </row>
    <row r="235" spans="40:61" x14ac:dyDescent="0.35">
      <c r="AN235" t="s">
        <v>839</v>
      </c>
      <c r="AO235" s="7" t="s">
        <v>2057</v>
      </c>
      <c r="AP235" t="s">
        <v>1555</v>
      </c>
      <c r="AQ235" t="s">
        <v>732</v>
      </c>
      <c r="AR235" t="s">
        <v>1560</v>
      </c>
      <c r="AS235" t="s">
        <v>802</v>
      </c>
      <c r="AT235" s="7" t="s">
        <v>2081</v>
      </c>
      <c r="AU235" s="7" t="s">
        <v>2027</v>
      </c>
      <c r="AV235" s="7" t="s">
        <v>2027</v>
      </c>
      <c r="AW235" s="7" t="s">
        <v>2026</v>
      </c>
      <c r="AX235" s="7" t="s">
        <v>2025</v>
      </c>
      <c r="AY235" s="7" t="s">
        <v>2026</v>
      </c>
      <c r="AZ235" s="7" t="s">
        <v>2025</v>
      </c>
      <c r="BA235" s="7" t="s">
        <v>2033</v>
      </c>
      <c r="BB235" t="s">
        <v>142</v>
      </c>
      <c r="BC235" s="7" t="s">
        <v>2280</v>
      </c>
      <c r="BD235" t="s">
        <v>617</v>
      </c>
      <c r="BH235" s="5" t="str">
        <f t="shared" si="7"/>
        <v/>
      </c>
      <c r="BI235" s="5" t="str">
        <f t="shared" si="8"/>
        <v/>
      </c>
    </row>
    <row r="236" spans="40:61" x14ac:dyDescent="0.35">
      <c r="AN236" t="s">
        <v>1160</v>
      </c>
      <c r="AO236" s="7" t="s">
        <v>2057</v>
      </c>
      <c r="AP236" t="s">
        <v>1555</v>
      </c>
      <c r="AQ236" t="s">
        <v>653</v>
      </c>
      <c r="AR236" t="s">
        <v>1561</v>
      </c>
      <c r="AS236" t="s">
        <v>654</v>
      </c>
      <c r="AT236" s="7" t="s">
        <v>2048</v>
      </c>
      <c r="AU236" s="7" t="s">
        <v>2019</v>
      </c>
      <c r="AV236" s="7" t="s">
        <v>2020</v>
      </c>
      <c r="AW236" s="7" t="s">
        <v>2020</v>
      </c>
      <c r="AX236" s="7" t="s">
        <v>2027</v>
      </c>
      <c r="AY236" s="7" t="s">
        <v>2020</v>
      </c>
      <c r="AZ236" s="7" t="s">
        <v>2019</v>
      </c>
      <c r="BA236" s="7" t="s">
        <v>2025</v>
      </c>
      <c r="BB236" t="s">
        <v>304</v>
      </c>
      <c r="BC236" s="7" t="s">
        <v>2097</v>
      </c>
      <c r="BD236" t="s">
        <v>618</v>
      </c>
      <c r="BH236" s="5" t="str">
        <f t="shared" si="7"/>
        <v/>
      </c>
      <c r="BI236" s="5" t="str">
        <f t="shared" si="8"/>
        <v/>
      </c>
    </row>
    <row r="237" spans="40:61" x14ac:dyDescent="0.35">
      <c r="AN237" t="s">
        <v>670</v>
      </c>
      <c r="AO237" s="7" t="s">
        <v>2074</v>
      </c>
      <c r="AP237" t="s">
        <v>1555</v>
      </c>
      <c r="AQ237" t="s">
        <v>671</v>
      </c>
      <c r="AR237" t="s">
        <v>1561</v>
      </c>
      <c r="AS237" t="s">
        <v>334</v>
      </c>
      <c r="AT237" s="7" t="s">
        <v>2024</v>
      </c>
      <c r="AU237" s="7" t="s">
        <v>2025</v>
      </c>
      <c r="AV237" s="7" t="s">
        <v>2025</v>
      </c>
      <c r="AW237" s="7" t="s">
        <v>2019</v>
      </c>
      <c r="AX237" s="7" t="s">
        <v>2019</v>
      </c>
      <c r="AY237" s="7" t="s">
        <v>2026</v>
      </c>
      <c r="AZ237" s="7" t="s">
        <v>2025</v>
      </c>
      <c r="BA237" s="7" t="s">
        <v>2033</v>
      </c>
      <c r="BB237" t="s">
        <v>335</v>
      </c>
      <c r="BC237" s="7" t="s">
        <v>2039</v>
      </c>
      <c r="BD237" t="s">
        <v>619</v>
      </c>
      <c r="BH237" s="5" t="str">
        <f t="shared" si="7"/>
        <v/>
      </c>
      <c r="BI237" s="5" t="str">
        <f t="shared" si="8"/>
        <v/>
      </c>
    </row>
    <row r="238" spans="40:61" x14ac:dyDescent="0.35">
      <c r="AN238" t="s">
        <v>753</v>
      </c>
      <c r="AO238" s="7" t="s">
        <v>2074</v>
      </c>
      <c r="AP238" t="s">
        <v>1555</v>
      </c>
      <c r="AQ238" t="s">
        <v>671</v>
      </c>
      <c r="AR238" t="s">
        <v>1561</v>
      </c>
      <c r="AS238" t="s">
        <v>754</v>
      </c>
      <c r="AT238" s="7" t="s">
        <v>2027</v>
      </c>
      <c r="AU238" s="7" t="s">
        <v>2025</v>
      </c>
      <c r="AV238" s="7" t="s">
        <v>2025</v>
      </c>
      <c r="AW238" s="7" t="s">
        <v>2029</v>
      </c>
      <c r="AX238" s="7" t="s">
        <v>2020</v>
      </c>
      <c r="AY238" s="7" t="s">
        <v>2020</v>
      </c>
      <c r="AZ238" s="7" t="s">
        <v>2025</v>
      </c>
      <c r="BA238" s="7" t="s">
        <v>2026</v>
      </c>
      <c r="BB238" t="s">
        <v>100</v>
      </c>
      <c r="BC238" s="7" t="s">
        <v>2120</v>
      </c>
      <c r="BD238" t="s">
        <v>620</v>
      </c>
      <c r="BH238" s="5" t="str">
        <f t="shared" si="7"/>
        <v/>
      </c>
      <c r="BI238" s="5" t="str">
        <f t="shared" si="8"/>
        <v/>
      </c>
    </row>
    <row r="239" spans="40:61" x14ac:dyDescent="0.35">
      <c r="AN239" t="s">
        <v>1421</v>
      </c>
      <c r="AO239" s="7" t="s">
        <v>2074</v>
      </c>
      <c r="AP239" t="s">
        <v>1555</v>
      </c>
      <c r="AQ239" t="s">
        <v>695</v>
      </c>
      <c r="AR239" t="s">
        <v>1560</v>
      </c>
      <c r="AS239" t="s">
        <v>980</v>
      </c>
      <c r="AT239" s="7" t="s">
        <v>2092</v>
      </c>
      <c r="AU239" s="7" t="s">
        <v>2019</v>
      </c>
      <c r="AV239" s="7" t="s">
        <v>2027</v>
      </c>
      <c r="AW239" s="7" t="s">
        <v>2027</v>
      </c>
      <c r="AX239" s="7" t="s">
        <v>2019</v>
      </c>
      <c r="AY239" s="7" t="s">
        <v>2141</v>
      </c>
      <c r="AZ239" s="7" t="s">
        <v>2141</v>
      </c>
      <c r="BA239" s="7" t="s">
        <v>2029</v>
      </c>
      <c r="BB239" t="s">
        <v>1337</v>
      </c>
      <c r="BC239" s="7" t="s">
        <v>2104</v>
      </c>
      <c r="BD239" t="s">
        <v>1528</v>
      </c>
      <c r="BH239" s="5" t="str">
        <f t="shared" si="7"/>
        <v/>
      </c>
      <c r="BI239" s="5" t="str">
        <f t="shared" si="8"/>
        <v/>
      </c>
    </row>
    <row r="240" spans="40:61" x14ac:dyDescent="0.35">
      <c r="AN240" t="s">
        <v>818</v>
      </c>
      <c r="AO240" s="7" t="s">
        <v>2174</v>
      </c>
      <c r="AP240" t="s">
        <v>1555</v>
      </c>
      <c r="AQ240" t="s">
        <v>819</v>
      </c>
      <c r="AR240" t="s">
        <v>1561</v>
      </c>
      <c r="AS240" t="s">
        <v>820</v>
      </c>
      <c r="AT240" s="7" t="s">
        <v>2245</v>
      </c>
      <c r="AU240" s="7" t="s">
        <v>2025</v>
      </c>
      <c r="AV240" s="7" t="s">
        <v>2025</v>
      </c>
      <c r="AW240" s="7" t="s">
        <v>2033</v>
      </c>
      <c r="AX240" s="7" t="s">
        <v>2025</v>
      </c>
      <c r="AY240" s="7" t="s">
        <v>2033</v>
      </c>
      <c r="AZ240" s="7" t="s">
        <v>2033</v>
      </c>
      <c r="BA240" s="7" t="s">
        <v>2033</v>
      </c>
      <c r="BB240" t="s">
        <v>135</v>
      </c>
      <c r="BC240" s="7" t="s">
        <v>2262</v>
      </c>
      <c r="BD240" t="s">
        <v>621</v>
      </c>
      <c r="BH240" s="5" t="str">
        <f t="shared" si="7"/>
        <v/>
      </c>
      <c r="BI240" s="5" t="str">
        <f t="shared" si="8"/>
        <v/>
      </c>
    </row>
    <row r="241" spans="40:61" x14ac:dyDescent="0.35">
      <c r="AN241" t="s">
        <v>941</v>
      </c>
      <c r="AO241" s="7" t="s">
        <v>2174</v>
      </c>
      <c r="AP241" t="s">
        <v>1555</v>
      </c>
      <c r="AQ241" t="s">
        <v>939</v>
      </c>
      <c r="AR241" t="s">
        <v>1561</v>
      </c>
      <c r="AS241" t="s">
        <v>940</v>
      </c>
      <c r="AT241" s="7" t="s">
        <v>2070</v>
      </c>
      <c r="AU241" s="7" t="s">
        <v>2020</v>
      </c>
      <c r="AV241" s="7" t="s">
        <v>2029</v>
      </c>
      <c r="AW241" s="7" t="s">
        <v>2020</v>
      </c>
      <c r="AX241" s="7" t="s">
        <v>2029</v>
      </c>
      <c r="AY241" s="7" t="s">
        <v>2020</v>
      </c>
      <c r="AZ241" s="7" t="s">
        <v>2033</v>
      </c>
      <c r="BA241" s="7" t="s">
        <v>2025</v>
      </c>
      <c r="BB241" t="s">
        <v>198</v>
      </c>
      <c r="BC241" s="7" t="s">
        <v>2173</v>
      </c>
      <c r="BD241" t="s">
        <v>622</v>
      </c>
      <c r="BH241" s="5" t="str">
        <f t="shared" si="7"/>
        <v/>
      </c>
      <c r="BI241" s="5" t="str">
        <f t="shared" si="8"/>
        <v/>
      </c>
    </row>
    <row r="242" spans="40:61" x14ac:dyDescent="0.35">
      <c r="AN242" t="s">
        <v>1052</v>
      </c>
      <c r="AO242" s="7" t="s">
        <v>2174</v>
      </c>
      <c r="AP242" t="s">
        <v>1555</v>
      </c>
      <c r="AQ242" t="s">
        <v>1053</v>
      </c>
      <c r="AR242" t="s">
        <v>1561</v>
      </c>
      <c r="AS242" t="s">
        <v>1054</v>
      </c>
      <c r="AT242" s="7" t="s">
        <v>2533</v>
      </c>
      <c r="AU242" s="7" t="s">
        <v>2141</v>
      </c>
      <c r="AV242" s="7" t="s">
        <v>2029</v>
      </c>
      <c r="AW242" s="7" t="s">
        <v>2019</v>
      </c>
      <c r="AX242" s="7" t="s">
        <v>2141</v>
      </c>
      <c r="AY242" s="7" t="s">
        <v>2141</v>
      </c>
      <c r="AZ242" s="7" t="s">
        <v>2029</v>
      </c>
      <c r="BA242" s="7" t="s">
        <v>2022</v>
      </c>
      <c r="BB242" t="s">
        <v>248</v>
      </c>
      <c r="BC242" s="7" t="s">
        <v>2173</v>
      </c>
      <c r="BD242" t="s">
        <v>623</v>
      </c>
      <c r="BH242" s="5" t="str">
        <f t="shared" si="7"/>
        <v/>
      </c>
      <c r="BI242" s="5" t="str">
        <f t="shared" si="8"/>
        <v/>
      </c>
    </row>
    <row r="243" spans="40:61" x14ac:dyDescent="0.35">
      <c r="AN243" t="s">
        <v>1048</v>
      </c>
      <c r="AO243" s="7" t="s">
        <v>2496</v>
      </c>
      <c r="AP243" t="s">
        <v>1555</v>
      </c>
      <c r="AQ243" t="s">
        <v>1049</v>
      </c>
      <c r="AR243" t="s">
        <v>1560</v>
      </c>
      <c r="AS243" t="s">
        <v>899</v>
      </c>
      <c r="AT243" s="7" t="s">
        <v>2159</v>
      </c>
      <c r="AU243" s="7" t="s">
        <v>2019</v>
      </c>
      <c r="AV243" s="7" t="s">
        <v>2020</v>
      </c>
      <c r="AW243" s="7" t="s">
        <v>2027</v>
      </c>
      <c r="AX243" s="7" t="s">
        <v>2020</v>
      </c>
      <c r="AY243" s="7" t="s">
        <v>2033</v>
      </c>
      <c r="AZ243" s="7" t="s">
        <v>2025</v>
      </c>
      <c r="BA243" s="7" t="s">
        <v>2033</v>
      </c>
      <c r="BB243" t="s">
        <v>244</v>
      </c>
      <c r="BC243" s="7" t="s">
        <v>2021</v>
      </c>
      <c r="BD243" t="s">
        <v>624</v>
      </c>
      <c r="BH243" s="5" t="str">
        <f t="shared" si="7"/>
        <v/>
      </c>
      <c r="BI243" s="5" t="str">
        <f t="shared" si="8"/>
        <v/>
      </c>
    </row>
    <row r="244" spans="40:61" x14ac:dyDescent="0.35">
      <c r="AN244" t="s">
        <v>1145</v>
      </c>
      <c r="AO244" s="7" t="s">
        <v>2496</v>
      </c>
      <c r="AP244" t="s">
        <v>1555</v>
      </c>
      <c r="AQ244" t="s">
        <v>695</v>
      </c>
      <c r="AR244" t="s">
        <v>1560</v>
      </c>
      <c r="AS244" t="s">
        <v>1146</v>
      </c>
      <c r="AT244" s="7" t="s">
        <v>2215</v>
      </c>
      <c r="AU244" s="7" t="s">
        <v>2029</v>
      </c>
      <c r="AV244" s="7" t="s">
        <v>2020</v>
      </c>
      <c r="AW244" s="7" t="s">
        <v>2027</v>
      </c>
      <c r="AX244" s="7" t="s">
        <v>2027</v>
      </c>
      <c r="AY244" s="7" t="s">
        <v>2029</v>
      </c>
      <c r="AZ244" s="7" t="s">
        <v>2019</v>
      </c>
      <c r="BA244" s="7" t="s">
        <v>2020</v>
      </c>
      <c r="BB244" t="s">
        <v>301</v>
      </c>
      <c r="BC244" s="7" t="s">
        <v>2114</v>
      </c>
      <c r="BD244" t="s">
        <v>625</v>
      </c>
      <c r="BH244" s="5" t="str">
        <f t="shared" si="7"/>
        <v/>
      </c>
      <c r="BI244" s="5" t="str">
        <f t="shared" si="8"/>
        <v/>
      </c>
    </row>
    <row r="245" spans="40:61" x14ac:dyDescent="0.35">
      <c r="AN245" t="s">
        <v>1606</v>
      </c>
      <c r="AO245" s="7" t="s">
        <v>2390</v>
      </c>
      <c r="AP245" t="s">
        <v>1555</v>
      </c>
      <c r="AQ245" t="s">
        <v>695</v>
      </c>
      <c r="AR245" t="s">
        <v>1561</v>
      </c>
      <c r="AS245" t="s">
        <v>1607</v>
      </c>
      <c r="AT245" s="7" t="s">
        <v>2177</v>
      </c>
      <c r="AU245" s="7" t="s">
        <v>2019</v>
      </c>
      <c r="AV245" s="7" t="s">
        <v>2029</v>
      </c>
      <c r="AW245" s="7" t="s">
        <v>2019</v>
      </c>
      <c r="AX245" s="7" t="s">
        <v>2019</v>
      </c>
      <c r="AY245" s="7" t="s">
        <v>2019</v>
      </c>
      <c r="AZ245" s="7" t="s">
        <v>2019</v>
      </c>
      <c r="BA245" s="7" t="s">
        <v>2029</v>
      </c>
      <c r="BB245" t="s">
        <v>78</v>
      </c>
      <c r="BC245" s="7" t="s">
        <v>2284</v>
      </c>
      <c r="BD245" t="s">
        <v>1659</v>
      </c>
      <c r="BH245" s="5" t="str">
        <f t="shared" si="7"/>
        <v/>
      </c>
      <c r="BI245" s="5" t="str">
        <f t="shared" si="8"/>
        <v/>
      </c>
    </row>
    <row r="246" spans="40:61" x14ac:dyDescent="0.35">
      <c r="AN246" s="16" t="s">
        <v>1270</v>
      </c>
      <c r="AO246" s="22" t="s">
        <v>2124</v>
      </c>
      <c r="AP246" s="16" t="s">
        <v>1555</v>
      </c>
      <c r="AQ246" s="16" t="s">
        <v>966</v>
      </c>
      <c r="AR246" s="16" t="s">
        <v>1560</v>
      </c>
      <c r="AS246" s="16" t="s">
        <v>1300</v>
      </c>
      <c r="AT246" s="22" t="s">
        <v>2038</v>
      </c>
      <c r="AU246" s="22" t="s">
        <v>2019</v>
      </c>
      <c r="AV246" s="22" t="s">
        <v>2027</v>
      </c>
      <c r="AW246" s="22" t="s">
        <v>2025</v>
      </c>
      <c r="AX246" s="22" t="s">
        <v>2029</v>
      </c>
      <c r="AY246" s="22" t="s">
        <v>2027</v>
      </c>
      <c r="AZ246" s="22" t="s">
        <v>2027</v>
      </c>
      <c r="BA246" s="22" t="s">
        <v>2026</v>
      </c>
      <c r="BB246" s="16" t="s">
        <v>1204</v>
      </c>
      <c r="BC246" s="22" t="s">
        <v>2114</v>
      </c>
      <c r="BD246" s="19" t="s">
        <v>1254</v>
      </c>
      <c r="BH246" s="5" t="str">
        <f t="shared" si="7"/>
        <v/>
      </c>
      <c r="BI246" s="5" t="str">
        <f t="shared" si="8"/>
        <v/>
      </c>
    </row>
    <row r="247" spans="40:61" x14ac:dyDescent="0.35">
      <c r="AN247" s="17" t="s">
        <v>1604</v>
      </c>
      <c r="AO247" s="21" t="s">
        <v>2453</v>
      </c>
      <c r="AP247" s="17" t="s">
        <v>1555</v>
      </c>
      <c r="AQ247" s="17" t="s">
        <v>682</v>
      </c>
      <c r="AR247" s="17" t="s">
        <v>1561</v>
      </c>
      <c r="AS247" s="17" t="s">
        <v>1605</v>
      </c>
      <c r="AT247" s="21" t="s">
        <v>2111</v>
      </c>
      <c r="AU247" s="21" t="s">
        <v>2020</v>
      </c>
      <c r="AV247" s="21" t="s">
        <v>2019</v>
      </c>
      <c r="AW247" s="21" t="s">
        <v>2019</v>
      </c>
      <c r="AX247" s="21" t="s">
        <v>2020</v>
      </c>
      <c r="AY247" s="21" t="s">
        <v>2019</v>
      </c>
      <c r="AZ247" s="21" t="s">
        <v>2027</v>
      </c>
      <c r="BA247" s="21" t="s">
        <v>2020</v>
      </c>
      <c r="BB247" s="17" t="s">
        <v>1545</v>
      </c>
      <c r="BC247" s="21" t="s">
        <v>2345</v>
      </c>
      <c r="BD247" s="20" t="s">
        <v>1660</v>
      </c>
      <c r="BH247" s="5" t="str">
        <f t="shared" si="7"/>
        <v/>
      </c>
      <c r="BI247" s="5" t="str">
        <f t="shared" si="8"/>
        <v/>
      </c>
    </row>
    <row r="248" spans="40:61" x14ac:dyDescent="0.35">
      <c r="AN248" s="17" t="s">
        <v>965</v>
      </c>
      <c r="AO248" s="21" t="s">
        <v>2373</v>
      </c>
      <c r="AP248" s="17" t="s">
        <v>1555</v>
      </c>
      <c r="AQ248" s="17" t="s">
        <v>966</v>
      </c>
      <c r="AR248" s="17" t="s">
        <v>1560</v>
      </c>
      <c r="AS248" s="17" t="s">
        <v>207</v>
      </c>
      <c r="AT248" s="21" t="s">
        <v>2108</v>
      </c>
      <c r="AU248" s="21" t="s">
        <v>2029</v>
      </c>
      <c r="AV248" s="21" t="s">
        <v>2020</v>
      </c>
      <c r="AW248" s="21" t="s">
        <v>2020</v>
      </c>
      <c r="AX248" s="21" t="s">
        <v>2019</v>
      </c>
      <c r="AY248" s="21" t="s">
        <v>2019</v>
      </c>
      <c r="AZ248" s="21" t="s">
        <v>2019</v>
      </c>
      <c r="BA248" s="21" t="s">
        <v>2020</v>
      </c>
      <c r="BB248" s="17" t="s">
        <v>208</v>
      </c>
      <c r="BC248" s="21" t="s">
        <v>2445</v>
      </c>
      <c r="BD248" s="20" t="s">
        <v>626</v>
      </c>
      <c r="BH248" s="5" t="str">
        <f t="shared" si="7"/>
        <v/>
      </c>
      <c r="BI248" s="5" t="str">
        <f t="shared" si="8"/>
        <v/>
      </c>
    </row>
    <row r="249" spans="40:61" x14ac:dyDescent="0.35">
      <c r="AN249" s="16" t="s">
        <v>1562</v>
      </c>
      <c r="AO249" s="22" t="s">
        <v>2069</v>
      </c>
      <c r="AP249" s="16" t="s">
        <v>1555</v>
      </c>
      <c r="AQ249" s="16" t="s">
        <v>1563</v>
      </c>
      <c r="AR249" s="16" t="s">
        <v>1561</v>
      </c>
      <c r="AS249" s="16" t="s">
        <v>1564</v>
      </c>
      <c r="AT249" s="22" t="s">
        <v>2092</v>
      </c>
      <c r="AU249" s="22" t="s">
        <v>2029</v>
      </c>
      <c r="AV249" s="22" t="s">
        <v>2029</v>
      </c>
      <c r="AW249" s="22" t="s">
        <v>2020</v>
      </c>
      <c r="AX249" s="22" t="s">
        <v>2029</v>
      </c>
      <c r="AY249" s="22" t="s">
        <v>2029</v>
      </c>
      <c r="AZ249" s="22" t="s">
        <v>2020</v>
      </c>
      <c r="BA249" s="22" t="s">
        <v>2020</v>
      </c>
      <c r="BB249" s="16" t="s">
        <v>1529</v>
      </c>
      <c r="BC249" s="22" t="s">
        <v>2093</v>
      </c>
      <c r="BD249" s="19" t="s">
        <v>1661</v>
      </c>
      <c r="BH249" s="5" t="str">
        <f t="shared" si="7"/>
        <v/>
      </c>
      <c r="BI249" s="5" t="str">
        <f t="shared" si="8"/>
        <v/>
      </c>
    </row>
    <row r="250" spans="40:61" x14ac:dyDescent="0.35">
      <c r="AN250" s="17" t="s">
        <v>790</v>
      </c>
      <c r="AO250" s="21" t="s">
        <v>2230</v>
      </c>
      <c r="AP250" s="17" t="s">
        <v>1555</v>
      </c>
      <c r="AQ250" s="17" t="s">
        <v>791</v>
      </c>
      <c r="AR250" s="17" t="s">
        <v>1561</v>
      </c>
      <c r="AS250" s="17" t="s">
        <v>792</v>
      </c>
      <c r="AT250" s="21" t="s">
        <v>2231</v>
      </c>
      <c r="AU250" s="21" t="s">
        <v>2029</v>
      </c>
      <c r="AV250" s="21" t="s">
        <v>2019</v>
      </c>
      <c r="AW250" s="21" t="s">
        <v>2029</v>
      </c>
      <c r="AX250" s="21" t="s">
        <v>2141</v>
      </c>
      <c r="AY250" s="21" t="s">
        <v>2141</v>
      </c>
      <c r="AZ250" s="21" t="s">
        <v>2020</v>
      </c>
      <c r="BA250" s="21" t="s">
        <v>2019</v>
      </c>
      <c r="BB250" s="17" t="s">
        <v>122</v>
      </c>
      <c r="BC250" s="21" t="s">
        <v>2178</v>
      </c>
      <c r="BD250" s="20" t="s">
        <v>627</v>
      </c>
      <c r="BH250" s="5" t="str">
        <f t="shared" si="7"/>
        <v/>
      </c>
      <c r="BI250" s="5" t="str">
        <f t="shared" si="8"/>
        <v/>
      </c>
    </row>
    <row r="251" spans="40:61" x14ac:dyDescent="0.35">
      <c r="AN251" s="17" t="s">
        <v>1391</v>
      </c>
      <c r="AO251" s="21" t="s">
        <v>2392</v>
      </c>
      <c r="AP251" s="17" t="s">
        <v>1555</v>
      </c>
      <c r="AQ251" s="17" t="s">
        <v>916</v>
      </c>
      <c r="AR251" s="17" t="s">
        <v>1560</v>
      </c>
      <c r="AS251" s="17" t="s">
        <v>1344</v>
      </c>
      <c r="AT251" s="21" t="s">
        <v>2215</v>
      </c>
      <c r="AU251" s="21" t="s">
        <v>2029</v>
      </c>
      <c r="AV251" s="21" t="s">
        <v>2019</v>
      </c>
      <c r="AW251" s="21" t="s">
        <v>2027</v>
      </c>
      <c r="AX251" s="21" t="s">
        <v>2019</v>
      </c>
      <c r="AY251" s="21" t="s">
        <v>2020</v>
      </c>
      <c r="AZ251" s="21" t="s">
        <v>2020</v>
      </c>
      <c r="BA251" s="21" t="s">
        <v>2020</v>
      </c>
      <c r="BB251" s="17" t="s">
        <v>55</v>
      </c>
      <c r="BC251" s="21" t="s">
        <v>2393</v>
      </c>
      <c r="BD251" s="20" t="s">
        <v>1510</v>
      </c>
      <c r="BH251" s="5" t="str">
        <f t="shared" si="7"/>
        <v/>
      </c>
      <c r="BI251" s="5" t="str">
        <f t="shared" si="8"/>
        <v/>
      </c>
    </row>
    <row r="252" spans="40:61" x14ac:dyDescent="0.35">
      <c r="BH252" s="5" t="str">
        <f t="shared" si="7"/>
        <v/>
      </c>
      <c r="BI252" s="5" t="str">
        <f t="shared" si="8"/>
        <v/>
      </c>
    </row>
    <row r="253" spans="40:61" x14ac:dyDescent="0.35">
      <c r="BH253" s="5" t="str">
        <f t="shared" si="7"/>
        <v/>
      </c>
      <c r="BI253" s="5" t="str">
        <f t="shared" si="8"/>
        <v/>
      </c>
    </row>
    <row r="254" spans="40:61" x14ac:dyDescent="0.35">
      <c r="BH254" s="5" t="str">
        <f t="shared" si="7"/>
        <v/>
      </c>
      <c r="BI254" s="5" t="str">
        <f t="shared" si="8"/>
        <v/>
      </c>
    </row>
    <row r="255" spans="40:61" x14ac:dyDescent="0.35">
      <c r="BH255" s="5" t="str">
        <f t="shared" si="7"/>
        <v/>
      </c>
      <c r="BI255" s="5" t="str">
        <f t="shared" si="8"/>
        <v/>
      </c>
    </row>
    <row r="256" spans="40:61" x14ac:dyDescent="0.35">
      <c r="BH256" s="5" t="str">
        <f t="shared" si="7"/>
        <v/>
      </c>
      <c r="BI256" s="5" t="str">
        <f t="shared" si="8"/>
        <v/>
      </c>
    </row>
    <row r="257" spans="60:61" x14ac:dyDescent="0.35">
      <c r="BH257" s="5" t="str">
        <f t="shared" si="7"/>
        <v/>
      </c>
      <c r="BI257" s="5" t="str">
        <f t="shared" si="8"/>
        <v/>
      </c>
    </row>
    <row r="258" spans="60:61" x14ac:dyDescent="0.35">
      <c r="BH258" s="5" t="str">
        <f t="shared" ref="BH258:BH321" si="9">TRIM(CLEAN(SUBSTITUTE(AM258,CHAR(160)," ")))</f>
        <v/>
      </c>
      <c r="BI258" s="5" t="str">
        <f t="shared" si="8"/>
        <v/>
      </c>
    </row>
    <row r="259" spans="60:61" x14ac:dyDescent="0.35">
      <c r="BH259" s="5" t="str">
        <f t="shared" si="9"/>
        <v/>
      </c>
      <c r="BI259" s="5" t="str">
        <f t="shared" ref="BI259:BI322" si="10">TRIM(CLEAN(SUBSTITUTE(A259,CHAR(160)," ")))</f>
        <v/>
      </c>
    </row>
    <row r="260" spans="60:61" x14ac:dyDescent="0.35">
      <c r="BH260" s="5" t="str">
        <f t="shared" si="9"/>
        <v/>
      </c>
      <c r="BI260" s="5" t="str">
        <f t="shared" si="10"/>
        <v/>
      </c>
    </row>
    <row r="261" spans="60:61" x14ac:dyDescent="0.35">
      <c r="BH261" s="5" t="str">
        <f t="shared" si="9"/>
        <v/>
      </c>
      <c r="BI261" s="5" t="str">
        <f t="shared" si="10"/>
        <v/>
      </c>
    </row>
    <row r="262" spans="60:61" x14ac:dyDescent="0.35">
      <c r="BH262" s="5" t="str">
        <f t="shared" si="9"/>
        <v/>
      </c>
      <c r="BI262" s="5" t="str">
        <f t="shared" si="10"/>
        <v/>
      </c>
    </row>
    <row r="263" spans="60:61" x14ac:dyDescent="0.35">
      <c r="BH263" s="5" t="str">
        <f t="shared" si="9"/>
        <v/>
      </c>
      <c r="BI263" s="5" t="str">
        <f t="shared" si="10"/>
        <v/>
      </c>
    </row>
    <row r="264" spans="60:61" x14ac:dyDescent="0.35">
      <c r="BH264" s="5" t="str">
        <f t="shared" si="9"/>
        <v/>
      </c>
      <c r="BI264" s="5" t="str">
        <f t="shared" si="10"/>
        <v/>
      </c>
    </row>
    <row r="265" spans="60:61" x14ac:dyDescent="0.35">
      <c r="BH265" s="5" t="str">
        <f t="shared" si="9"/>
        <v/>
      </c>
      <c r="BI265" s="5" t="str">
        <f t="shared" si="10"/>
        <v/>
      </c>
    </row>
    <row r="266" spans="60:61" x14ac:dyDescent="0.35">
      <c r="BH266" s="5" t="str">
        <f t="shared" si="9"/>
        <v/>
      </c>
      <c r="BI266" s="5" t="str">
        <f t="shared" si="10"/>
        <v/>
      </c>
    </row>
    <row r="267" spans="60:61" x14ac:dyDescent="0.35">
      <c r="BH267" s="5" t="str">
        <f t="shared" si="9"/>
        <v/>
      </c>
      <c r="BI267" s="5" t="str">
        <f t="shared" si="10"/>
        <v/>
      </c>
    </row>
    <row r="268" spans="60:61" x14ac:dyDescent="0.35">
      <c r="BH268" s="5" t="str">
        <f t="shared" si="9"/>
        <v/>
      </c>
      <c r="BI268" s="5" t="str">
        <f t="shared" si="10"/>
        <v/>
      </c>
    </row>
    <row r="269" spans="60:61" x14ac:dyDescent="0.35">
      <c r="BH269" s="5" t="str">
        <f t="shared" si="9"/>
        <v/>
      </c>
      <c r="BI269" s="5" t="str">
        <f t="shared" si="10"/>
        <v/>
      </c>
    </row>
    <row r="270" spans="60:61" x14ac:dyDescent="0.35">
      <c r="BH270" s="5" t="str">
        <f t="shared" si="9"/>
        <v/>
      </c>
      <c r="BI270" s="5" t="str">
        <f t="shared" si="10"/>
        <v/>
      </c>
    </row>
    <row r="271" spans="60:61" x14ac:dyDescent="0.35">
      <c r="BH271" s="5" t="str">
        <f t="shared" si="9"/>
        <v/>
      </c>
      <c r="BI271" s="5" t="str">
        <f t="shared" si="10"/>
        <v/>
      </c>
    </row>
    <row r="272" spans="60:61" x14ac:dyDescent="0.35">
      <c r="BH272" s="5" t="str">
        <f t="shared" si="9"/>
        <v/>
      </c>
      <c r="BI272" s="5" t="str">
        <f t="shared" si="10"/>
        <v/>
      </c>
    </row>
    <row r="273" spans="60:61" x14ac:dyDescent="0.35">
      <c r="BH273" s="5" t="str">
        <f t="shared" si="9"/>
        <v/>
      </c>
      <c r="BI273" s="5" t="str">
        <f t="shared" si="10"/>
        <v/>
      </c>
    </row>
    <row r="274" spans="60:61" x14ac:dyDescent="0.35">
      <c r="BH274" s="5" t="str">
        <f t="shared" si="9"/>
        <v/>
      </c>
      <c r="BI274" s="5" t="str">
        <f t="shared" si="10"/>
        <v/>
      </c>
    </row>
    <row r="275" spans="60:61" x14ac:dyDescent="0.35">
      <c r="BH275" s="5" t="str">
        <f t="shared" si="9"/>
        <v/>
      </c>
      <c r="BI275" s="5" t="str">
        <f t="shared" si="10"/>
        <v/>
      </c>
    </row>
    <row r="276" spans="60:61" x14ac:dyDescent="0.35">
      <c r="BH276" s="5" t="str">
        <f t="shared" si="9"/>
        <v/>
      </c>
      <c r="BI276" s="5" t="str">
        <f t="shared" si="10"/>
        <v/>
      </c>
    </row>
    <row r="277" spans="60:61" x14ac:dyDescent="0.35">
      <c r="BH277" s="5" t="str">
        <f t="shared" si="9"/>
        <v/>
      </c>
      <c r="BI277" s="5" t="str">
        <f t="shared" si="10"/>
        <v/>
      </c>
    </row>
    <row r="278" spans="60:61" x14ac:dyDescent="0.35">
      <c r="BH278" s="5" t="str">
        <f t="shared" si="9"/>
        <v/>
      </c>
      <c r="BI278" s="5" t="str">
        <f t="shared" si="10"/>
        <v/>
      </c>
    </row>
    <row r="279" spans="60:61" x14ac:dyDescent="0.35">
      <c r="BH279" s="5" t="str">
        <f t="shared" si="9"/>
        <v/>
      </c>
      <c r="BI279" s="5" t="str">
        <f t="shared" si="10"/>
        <v/>
      </c>
    </row>
    <row r="280" spans="60:61" x14ac:dyDescent="0.35">
      <c r="BH280" s="5" t="str">
        <f t="shared" si="9"/>
        <v/>
      </c>
      <c r="BI280" s="5" t="str">
        <f t="shared" si="10"/>
        <v/>
      </c>
    </row>
    <row r="281" spans="60:61" x14ac:dyDescent="0.35">
      <c r="BH281" s="5" t="str">
        <f t="shared" si="9"/>
        <v/>
      </c>
      <c r="BI281" s="5" t="str">
        <f t="shared" si="10"/>
        <v/>
      </c>
    </row>
    <row r="282" spans="60:61" x14ac:dyDescent="0.35">
      <c r="BH282" s="5" t="str">
        <f t="shared" si="9"/>
        <v/>
      </c>
      <c r="BI282" s="5" t="str">
        <f t="shared" si="10"/>
        <v/>
      </c>
    </row>
    <row r="283" spans="60:61" x14ac:dyDescent="0.35">
      <c r="BH283" s="5" t="str">
        <f t="shared" si="9"/>
        <v/>
      </c>
      <c r="BI283" s="5" t="str">
        <f t="shared" si="10"/>
        <v/>
      </c>
    </row>
    <row r="284" spans="60:61" x14ac:dyDescent="0.35">
      <c r="BH284" s="5" t="str">
        <f t="shared" si="9"/>
        <v/>
      </c>
      <c r="BI284" s="5" t="str">
        <f t="shared" si="10"/>
        <v/>
      </c>
    </row>
    <row r="285" spans="60:61" x14ac:dyDescent="0.35">
      <c r="BH285" s="5" t="str">
        <f t="shared" si="9"/>
        <v/>
      </c>
      <c r="BI285" s="5" t="str">
        <f t="shared" si="10"/>
        <v/>
      </c>
    </row>
    <row r="286" spans="60:61" x14ac:dyDescent="0.35">
      <c r="BH286" s="5" t="str">
        <f t="shared" si="9"/>
        <v/>
      </c>
      <c r="BI286" s="5" t="str">
        <f t="shared" si="10"/>
        <v/>
      </c>
    </row>
    <row r="287" spans="60:61" x14ac:dyDescent="0.35">
      <c r="BH287" s="5" t="str">
        <f t="shared" si="9"/>
        <v/>
      </c>
      <c r="BI287" s="5" t="str">
        <f t="shared" si="10"/>
        <v/>
      </c>
    </row>
    <row r="288" spans="60:61" x14ac:dyDescent="0.35">
      <c r="BH288" s="5" t="str">
        <f t="shared" si="9"/>
        <v/>
      </c>
      <c r="BI288" s="5" t="str">
        <f t="shared" si="10"/>
        <v/>
      </c>
    </row>
    <row r="289" spans="60:61" x14ac:dyDescent="0.35">
      <c r="BH289" s="5" t="str">
        <f t="shared" si="9"/>
        <v/>
      </c>
      <c r="BI289" s="5" t="str">
        <f t="shared" si="10"/>
        <v/>
      </c>
    </row>
    <row r="290" spans="60:61" x14ac:dyDescent="0.35">
      <c r="BH290" s="5" t="str">
        <f t="shared" si="9"/>
        <v/>
      </c>
      <c r="BI290" s="5" t="str">
        <f t="shared" si="10"/>
        <v/>
      </c>
    </row>
    <row r="291" spans="60:61" x14ac:dyDescent="0.35">
      <c r="BH291" s="5" t="str">
        <f t="shared" si="9"/>
        <v/>
      </c>
      <c r="BI291" s="5" t="str">
        <f t="shared" si="10"/>
        <v/>
      </c>
    </row>
    <row r="292" spans="60:61" x14ac:dyDescent="0.35">
      <c r="BH292" s="5" t="str">
        <f t="shared" si="9"/>
        <v/>
      </c>
      <c r="BI292" s="5" t="str">
        <f t="shared" si="10"/>
        <v/>
      </c>
    </row>
    <row r="293" spans="60:61" x14ac:dyDescent="0.35">
      <c r="BH293" s="5" t="str">
        <f t="shared" si="9"/>
        <v/>
      </c>
      <c r="BI293" s="5" t="str">
        <f t="shared" si="10"/>
        <v/>
      </c>
    </row>
    <row r="294" spans="60:61" x14ac:dyDescent="0.35">
      <c r="BH294" s="5" t="str">
        <f t="shared" si="9"/>
        <v/>
      </c>
      <c r="BI294" s="5" t="str">
        <f t="shared" si="10"/>
        <v/>
      </c>
    </row>
    <row r="295" spans="60:61" x14ac:dyDescent="0.35">
      <c r="BH295" s="5" t="str">
        <f t="shared" si="9"/>
        <v/>
      </c>
      <c r="BI295" s="5" t="str">
        <f t="shared" si="10"/>
        <v/>
      </c>
    </row>
    <row r="296" spans="60:61" x14ac:dyDescent="0.35">
      <c r="BH296" s="5" t="str">
        <f t="shared" si="9"/>
        <v/>
      </c>
      <c r="BI296" s="5" t="str">
        <f t="shared" si="10"/>
        <v/>
      </c>
    </row>
    <row r="297" spans="60:61" x14ac:dyDescent="0.35">
      <c r="BH297" s="5" t="str">
        <f t="shared" si="9"/>
        <v/>
      </c>
      <c r="BI297" s="5" t="str">
        <f t="shared" si="10"/>
        <v/>
      </c>
    </row>
    <row r="298" spans="60:61" x14ac:dyDescent="0.35">
      <c r="BH298" s="5" t="str">
        <f t="shared" si="9"/>
        <v/>
      </c>
      <c r="BI298" s="5" t="str">
        <f t="shared" si="10"/>
        <v/>
      </c>
    </row>
    <row r="299" spans="60:61" x14ac:dyDescent="0.35">
      <c r="BH299" s="5" t="str">
        <f t="shared" si="9"/>
        <v/>
      </c>
      <c r="BI299" s="5" t="str">
        <f t="shared" si="10"/>
        <v/>
      </c>
    </row>
    <row r="300" spans="60:61" x14ac:dyDescent="0.35">
      <c r="BH300" s="5" t="str">
        <f t="shared" si="9"/>
        <v/>
      </c>
      <c r="BI300" s="5" t="str">
        <f t="shared" si="10"/>
        <v/>
      </c>
    </row>
    <row r="301" spans="60:61" x14ac:dyDescent="0.35">
      <c r="BH301" s="5" t="str">
        <f t="shared" si="9"/>
        <v/>
      </c>
      <c r="BI301" s="5" t="str">
        <f t="shared" si="10"/>
        <v/>
      </c>
    </row>
    <row r="302" spans="60:61" x14ac:dyDescent="0.35">
      <c r="BH302" s="5" t="str">
        <f t="shared" si="9"/>
        <v/>
      </c>
      <c r="BI302" s="5" t="str">
        <f t="shared" si="10"/>
        <v/>
      </c>
    </row>
    <row r="303" spans="60:61" x14ac:dyDescent="0.35">
      <c r="BH303" s="5" t="str">
        <f t="shared" si="9"/>
        <v/>
      </c>
      <c r="BI303" s="5" t="str">
        <f t="shared" si="10"/>
        <v/>
      </c>
    </row>
    <row r="304" spans="60:61" x14ac:dyDescent="0.35">
      <c r="BH304" s="5" t="str">
        <f t="shared" si="9"/>
        <v/>
      </c>
      <c r="BI304" s="5" t="str">
        <f t="shared" si="10"/>
        <v/>
      </c>
    </row>
    <row r="305" spans="60:61" x14ac:dyDescent="0.35">
      <c r="BH305" s="5" t="str">
        <f t="shared" si="9"/>
        <v/>
      </c>
      <c r="BI305" s="5" t="str">
        <f t="shared" si="10"/>
        <v/>
      </c>
    </row>
    <row r="306" spans="60:61" x14ac:dyDescent="0.35">
      <c r="BH306" s="5" t="str">
        <f t="shared" si="9"/>
        <v/>
      </c>
      <c r="BI306" s="5" t="str">
        <f t="shared" si="10"/>
        <v/>
      </c>
    </row>
    <row r="307" spans="60:61" x14ac:dyDescent="0.35">
      <c r="BH307" s="5" t="str">
        <f t="shared" si="9"/>
        <v/>
      </c>
      <c r="BI307" s="5" t="str">
        <f t="shared" si="10"/>
        <v/>
      </c>
    </row>
    <row r="308" spans="60:61" x14ac:dyDescent="0.35">
      <c r="BH308" s="5" t="str">
        <f t="shared" si="9"/>
        <v/>
      </c>
      <c r="BI308" s="5" t="str">
        <f t="shared" si="10"/>
        <v/>
      </c>
    </row>
    <row r="309" spans="60:61" x14ac:dyDescent="0.35">
      <c r="BH309" s="5" t="str">
        <f t="shared" si="9"/>
        <v/>
      </c>
      <c r="BI309" s="5" t="str">
        <f t="shared" si="10"/>
        <v/>
      </c>
    </row>
    <row r="310" spans="60:61" x14ac:dyDescent="0.35">
      <c r="BH310" s="5" t="str">
        <f t="shared" si="9"/>
        <v/>
      </c>
      <c r="BI310" s="5" t="str">
        <f t="shared" si="10"/>
        <v/>
      </c>
    </row>
    <row r="311" spans="60:61" x14ac:dyDescent="0.35">
      <c r="BH311" s="5" t="str">
        <f t="shared" si="9"/>
        <v/>
      </c>
      <c r="BI311" s="5" t="str">
        <f t="shared" si="10"/>
        <v/>
      </c>
    </row>
    <row r="312" spans="60:61" x14ac:dyDescent="0.35">
      <c r="BH312" s="5" t="str">
        <f t="shared" si="9"/>
        <v/>
      </c>
      <c r="BI312" s="5" t="str">
        <f t="shared" si="10"/>
        <v/>
      </c>
    </row>
    <row r="313" spans="60:61" x14ac:dyDescent="0.35">
      <c r="BH313" s="5" t="str">
        <f t="shared" si="9"/>
        <v/>
      </c>
      <c r="BI313" s="5" t="str">
        <f t="shared" si="10"/>
        <v/>
      </c>
    </row>
    <row r="314" spans="60:61" x14ac:dyDescent="0.35">
      <c r="BH314" s="5" t="str">
        <f t="shared" si="9"/>
        <v/>
      </c>
      <c r="BI314" s="5" t="str">
        <f t="shared" si="10"/>
        <v/>
      </c>
    </row>
    <row r="315" spans="60:61" x14ac:dyDescent="0.35">
      <c r="BH315" s="5" t="str">
        <f t="shared" si="9"/>
        <v/>
      </c>
      <c r="BI315" s="5" t="str">
        <f t="shared" si="10"/>
        <v/>
      </c>
    </row>
    <row r="316" spans="60:61" x14ac:dyDescent="0.35">
      <c r="BH316" s="5" t="str">
        <f t="shared" si="9"/>
        <v/>
      </c>
      <c r="BI316" s="5" t="str">
        <f t="shared" si="10"/>
        <v/>
      </c>
    </row>
    <row r="317" spans="60:61" x14ac:dyDescent="0.35">
      <c r="BH317" s="5" t="str">
        <f t="shared" si="9"/>
        <v/>
      </c>
      <c r="BI317" s="5" t="str">
        <f t="shared" si="10"/>
        <v/>
      </c>
    </row>
    <row r="318" spans="60:61" x14ac:dyDescent="0.35">
      <c r="BH318" s="5" t="str">
        <f t="shared" si="9"/>
        <v/>
      </c>
      <c r="BI318" s="5" t="str">
        <f t="shared" si="10"/>
        <v/>
      </c>
    </row>
    <row r="319" spans="60:61" x14ac:dyDescent="0.35">
      <c r="BH319" s="5" t="str">
        <f t="shared" si="9"/>
        <v/>
      </c>
      <c r="BI319" s="5" t="str">
        <f t="shared" si="10"/>
        <v/>
      </c>
    </row>
    <row r="320" spans="60:61" x14ac:dyDescent="0.35">
      <c r="BH320" s="5" t="str">
        <f t="shared" si="9"/>
        <v/>
      </c>
      <c r="BI320" s="5" t="str">
        <f t="shared" si="10"/>
        <v/>
      </c>
    </row>
    <row r="321" spans="60:61" x14ac:dyDescent="0.35">
      <c r="BH321" s="5" t="str">
        <f t="shared" si="9"/>
        <v/>
      </c>
      <c r="BI321" s="5" t="str">
        <f t="shared" si="10"/>
        <v/>
      </c>
    </row>
    <row r="322" spans="60:61" x14ac:dyDescent="0.35">
      <c r="BH322" s="5" t="str">
        <f t="shared" ref="BH322:BH385" si="11">TRIM(CLEAN(SUBSTITUTE(AM322,CHAR(160)," ")))</f>
        <v/>
      </c>
      <c r="BI322" s="5" t="str">
        <f t="shared" si="10"/>
        <v/>
      </c>
    </row>
    <row r="323" spans="60:61" x14ac:dyDescent="0.35">
      <c r="BH323" s="5" t="str">
        <f t="shared" si="11"/>
        <v/>
      </c>
      <c r="BI323" s="5" t="str">
        <f t="shared" ref="BI323:BI386" si="12">TRIM(CLEAN(SUBSTITUTE(A323,CHAR(160)," ")))</f>
        <v/>
      </c>
    </row>
    <row r="324" spans="60:61" x14ac:dyDescent="0.35">
      <c r="BH324" s="5" t="str">
        <f t="shared" si="11"/>
        <v/>
      </c>
      <c r="BI324" s="5" t="str">
        <f t="shared" si="12"/>
        <v/>
      </c>
    </row>
    <row r="325" spans="60:61" x14ac:dyDescent="0.35">
      <c r="BH325" s="5" t="str">
        <f t="shared" si="11"/>
        <v/>
      </c>
      <c r="BI325" s="5" t="str">
        <f t="shared" si="12"/>
        <v/>
      </c>
    </row>
    <row r="326" spans="60:61" x14ac:dyDescent="0.35">
      <c r="BH326" s="5" t="str">
        <f t="shared" si="11"/>
        <v/>
      </c>
      <c r="BI326" s="5" t="str">
        <f t="shared" si="12"/>
        <v/>
      </c>
    </row>
    <row r="327" spans="60:61" x14ac:dyDescent="0.35">
      <c r="BH327" s="5" t="str">
        <f t="shared" si="11"/>
        <v/>
      </c>
      <c r="BI327" s="5" t="str">
        <f t="shared" si="12"/>
        <v/>
      </c>
    </row>
    <row r="328" spans="60:61" x14ac:dyDescent="0.35">
      <c r="BH328" s="5" t="str">
        <f t="shared" si="11"/>
        <v/>
      </c>
      <c r="BI328" s="5" t="str">
        <f t="shared" si="12"/>
        <v/>
      </c>
    </row>
    <row r="329" spans="60:61" x14ac:dyDescent="0.35">
      <c r="BH329" s="5" t="str">
        <f t="shared" si="11"/>
        <v/>
      </c>
      <c r="BI329" s="5" t="str">
        <f t="shared" si="12"/>
        <v/>
      </c>
    </row>
    <row r="330" spans="60:61" x14ac:dyDescent="0.35">
      <c r="BH330" s="5" t="str">
        <f t="shared" si="11"/>
        <v/>
      </c>
      <c r="BI330" s="5" t="str">
        <f t="shared" si="12"/>
        <v/>
      </c>
    </row>
    <row r="331" spans="60:61" x14ac:dyDescent="0.35">
      <c r="BH331" s="5" t="str">
        <f t="shared" si="11"/>
        <v/>
      </c>
      <c r="BI331" s="5" t="str">
        <f t="shared" si="12"/>
        <v/>
      </c>
    </row>
    <row r="332" spans="60:61" x14ac:dyDescent="0.35">
      <c r="BH332" s="5" t="str">
        <f t="shared" si="11"/>
        <v/>
      </c>
      <c r="BI332" s="5" t="str">
        <f t="shared" si="12"/>
        <v/>
      </c>
    </row>
    <row r="333" spans="60:61" x14ac:dyDescent="0.35">
      <c r="BH333" s="5" t="str">
        <f t="shared" si="11"/>
        <v/>
      </c>
      <c r="BI333" s="5" t="str">
        <f t="shared" si="12"/>
        <v/>
      </c>
    </row>
    <row r="334" spans="60:61" x14ac:dyDescent="0.35">
      <c r="BH334" s="5" t="str">
        <f t="shared" si="11"/>
        <v/>
      </c>
      <c r="BI334" s="5" t="str">
        <f t="shared" si="12"/>
        <v/>
      </c>
    </row>
    <row r="335" spans="60:61" x14ac:dyDescent="0.35">
      <c r="BH335" s="5" t="str">
        <f t="shared" si="11"/>
        <v/>
      </c>
      <c r="BI335" s="5" t="str">
        <f t="shared" si="12"/>
        <v/>
      </c>
    </row>
    <row r="336" spans="60:61" x14ac:dyDescent="0.35">
      <c r="BH336" s="5" t="str">
        <f t="shared" si="11"/>
        <v/>
      </c>
      <c r="BI336" s="5" t="str">
        <f t="shared" si="12"/>
        <v/>
      </c>
    </row>
    <row r="337" spans="60:61" x14ac:dyDescent="0.35">
      <c r="BH337" s="5" t="str">
        <f t="shared" si="11"/>
        <v/>
      </c>
      <c r="BI337" s="5" t="str">
        <f t="shared" si="12"/>
        <v/>
      </c>
    </row>
    <row r="338" spans="60:61" x14ac:dyDescent="0.35">
      <c r="BH338" s="5" t="str">
        <f t="shared" si="11"/>
        <v/>
      </c>
      <c r="BI338" s="5" t="str">
        <f t="shared" si="12"/>
        <v/>
      </c>
    </row>
    <row r="339" spans="60:61" x14ac:dyDescent="0.35">
      <c r="BH339" s="5" t="str">
        <f t="shared" si="11"/>
        <v/>
      </c>
      <c r="BI339" s="5" t="str">
        <f t="shared" si="12"/>
        <v/>
      </c>
    </row>
    <row r="340" spans="60:61" x14ac:dyDescent="0.35">
      <c r="BH340" s="5" t="str">
        <f t="shared" si="11"/>
        <v/>
      </c>
      <c r="BI340" s="5" t="str">
        <f t="shared" si="12"/>
        <v/>
      </c>
    </row>
    <row r="341" spans="60:61" x14ac:dyDescent="0.35">
      <c r="BH341" s="5" t="str">
        <f t="shared" si="11"/>
        <v/>
      </c>
      <c r="BI341" s="5" t="str">
        <f t="shared" si="12"/>
        <v/>
      </c>
    </row>
    <row r="342" spans="60:61" x14ac:dyDescent="0.35">
      <c r="BH342" s="5" t="str">
        <f t="shared" si="11"/>
        <v/>
      </c>
      <c r="BI342" s="5" t="str">
        <f t="shared" si="12"/>
        <v/>
      </c>
    </row>
    <row r="343" spans="60:61" x14ac:dyDescent="0.35">
      <c r="BH343" s="5" t="str">
        <f t="shared" si="11"/>
        <v/>
      </c>
      <c r="BI343" s="5" t="str">
        <f t="shared" si="12"/>
        <v/>
      </c>
    </row>
    <row r="344" spans="60:61" x14ac:dyDescent="0.35">
      <c r="BH344" s="5" t="str">
        <f t="shared" si="11"/>
        <v/>
      </c>
      <c r="BI344" s="5" t="str">
        <f t="shared" si="12"/>
        <v/>
      </c>
    </row>
    <row r="345" spans="60:61" x14ac:dyDescent="0.35">
      <c r="BH345" s="5" t="str">
        <f t="shared" si="11"/>
        <v/>
      </c>
      <c r="BI345" s="5" t="str">
        <f t="shared" si="12"/>
        <v/>
      </c>
    </row>
    <row r="346" spans="60:61" x14ac:dyDescent="0.35">
      <c r="BH346" s="5" t="str">
        <f t="shared" si="11"/>
        <v/>
      </c>
      <c r="BI346" s="5" t="str">
        <f t="shared" si="12"/>
        <v/>
      </c>
    </row>
    <row r="347" spans="60:61" x14ac:dyDescent="0.35">
      <c r="BH347" s="5" t="str">
        <f t="shared" si="11"/>
        <v/>
      </c>
      <c r="BI347" s="5" t="str">
        <f t="shared" si="12"/>
        <v/>
      </c>
    </row>
    <row r="348" spans="60:61" x14ac:dyDescent="0.35">
      <c r="BH348" s="5" t="str">
        <f t="shared" si="11"/>
        <v/>
      </c>
      <c r="BI348" s="5" t="str">
        <f t="shared" si="12"/>
        <v/>
      </c>
    </row>
    <row r="349" spans="60:61" x14ac:dyDescent="0.35">
      <c r="BH349" s="5" t="str">
        <f t="shared" si="11"/>
        <v/>
      </c>
      <c r="BI349" s="5" t="str">
        <f t="shared" si="12"/>
        <v/>
      </c>
    </row>
    <row r="350" spans="60:61" x14ac:dyDescent="0.35">
      <c r="BH350" s="5" t="str">
        <f t="shared" si="11"/>
        <v/>
      </c>
      <c r="BI350" s="5" t="str">
        <f t="shared" si="12"/>
        <v/>
      </c>
    </row>
    <row r="351" spans="60:61" x14ac:dyDescent="0.35">
      <c r="BH351" s="5" t="str">
        <f t="shared" si="11"/>
        <v/>
      </c>
      <c r="BI351" s="5" t="str">
        <f t="shared" si="12"/>
        <v/>
      </c>
    </row>
    <row r="352" spans="60:61" x14ac:dyDescent="0.35">
      <c r="BH352" s="5" t="str">
        <f t="shared" si="11"/>
        <v/>
      </c>
      <c r="BI352" s="5" t="str">
        <f t="shared" si="12"/>
        <v/>
      </c>
    </row>
    <row r="353" spans="60:61" x14ac:dyDescent="0.35">
      <c r="BH353" s="5" t="str">
        <f t="shared" si="11"/>
        <v/>
      </c>
      <c r="BI353" s="5" t="str">
        <f t="shared" si="12"/>
        <v/>
      </c>
    </row>
    <row r="354" spans="60:61" x14ac:dyDescent="0.35">
      <c r="BH354" s="5" t="str">
        <f t="shared" si="11"/>
        <v/>
      </c>
      <c r="BI354" s="5" t="str">
        <f t="shared" si="12"/>
        <v/>
      </c>
    </row>
    <row r="355" spans="60:61" x14ac:dyDescent="0.35">
      <c r="BH355" s="5" t="str">
        <f t="shared" si="11"/>
        <v/>
      </c>
      <c r="BI355" s="5" t="str">
        <f t="shared" si="12"/>
        <v/>
      </c>
    </row>
    <row r="356" spans="60:61" x14ac:dyDescent="0.35">
      <c r="BH356" s="5" t="str">
        <f t="shared" si="11"/>
        <v/>
      </c>
      <c r="BI356" s="5" t="str">
        <f t="shared" si="12"/>
        <v/>
      </c>
    </row>
    <row r="357" spans="60:61" x14ac:dyDescent="0.35">
      <c r="BH357" s="5" t="str">
        <f t="shared" si="11"/>
        <v/>
      </c>
      <c r="BI357" s="5" t="str">
        <f t="shared" si="12"/>
        <v/>
      </c>
    </row>
    <row r="358" spans="60:61" x14ac:dyDescent="0.35">
      <c r="BH358" s="5" t="str">
        <f t="shared" si="11"/>
        <v/>
      </c>
      <c r="BI358" s="5" t="str">
        <f t="shared" si="12"/>
        <v/>
      </c>
    </row>
    <row r="359" spans="60:61" x14ac:dyDescent="0.35">
      <c r="BH359" s="5" t="str">
        <f t="shared" si="11"/>
        <v/>
      </c>
      <c r="BI359" s="5" t="str">
        <f t="shared" si="12"/>
        <v/>
      </c>
    </row>
    <row r="360" spans="60:61" x14ac:dyDescent="0.35">
      <c r="BH360" s="5" t="str">
        <f t="shared" si="11"/>
        <v/>
      </c>
      <c r="BI360" s="5" t="str">
        <f t="shared" si="12"/>
        <v/>
      </c>
    </row>
    <row r="361" spans="60:61" x14ac:dyDescent="0.35">
      <c r="BH361" s="5" t="str">
        <f t="shared" si="11"/>
        <v/>
      </c>
      <c r="BI361" s="5" t="str">
        <f t="shared" si="12"/>
        <v/>
      </c>
    </row>
    <row r="362" spans="60:61" x14ac:dyDescent="0.35">
      <c r="BH362" s="5" t="str">
        <f t="shared" si="11"/>
        <v/>
      </c>
      <c r="BI362" s="5" t="str">
        <f t="shared" si="12"/>
        <v/>
      </c>
    </row>
    <row r="363" spans="60:61" x14ac:dyDescent="0.35">
      <c r="BH363" s="5" t="str">
        <f t="shared" si="11"/>
        <v/>
      </c>
      <c r="BI363" s="5" t="str">
        <f t="shared" si="12"/>
        <v/>
      </c>
    </row>
    <row r="364" spans="60:61" x14ac:dyDescent="0.35">
      <c r="BH364" s="5" t="str">
        <f t="shared" si="11"/>
        <v/>
      </c>
      <c r="BI364" s="5" t="str">
        <f t="shared" si="12"/>
        <v/>
      </c>
    </row>
    <row r="365" spans="60:61" x14ac:dyDescent="0.35">
      <c r="BH365" s="5" t="str">
        <f t="shared" si="11"/>
        <v/>
      </c>
      <c r="BI365" s="5" t="str">
        <f t="shared" si="12"/>
        <v/>
      </c>
    </row>
    <row r="366" spans="60:61" x14ac:dyDescent="0.35">
      <c r="BH366" s="5" t="str">
        <f t="shared" si="11"/>
        <v/>
      </c>
      <c r="BI366" s="5" t="str">
        <f t="shared" si="12"/>
        <v/>
      </c>
    </row>
    <row r="367" spans="60:61" x14ac:dyDescent="0.35">
      <c r="BH367" s="5" t="str">
        <f t="shared" si="11"/>
        <v/>
      </c>
      <c r="BI367" s="5" t="str">
        <f t="shared" si="12"/>
        <v/>
      </c>
    </row>
    <row r="368" spans="60:61" x14ac:dyDescent="0.35">
      <c r="BH368" s="5" t="str">
        <f t="shared" si="11"/>
        <v/>
      </c>
      <c r="BI368" s="5" t="str">
        <f t="shared" si="12"/>
        <v/>
      </c>
    </row>
    <row r="369" spans="60:61" x14ac:dyDescent="0.35">
      <c r="BH369" s="5" t="str">
        <f t="shared" si="11"/>
        <v/>
      </c>
      <c r="BI369" s="5" t="str">
        <f t="shared" si="12"/>
        <v/>
      </c>
    </row>
    <row r="370" spans="60:61" x14ac:dyDescent="0.35">
      <c r="BH370" s="5" t="str">
        <f t="shared" si="11"/>
        <v/>
      </c>
      <c r="BI370" s="5" t="str">
        <f t="shared" si="12"/>
        <v/>
      </c>
    </row>
    <row r="371" spans="60:61" x14ac:dyDescent="0.35">
      <c r="BH371" s="5" t="str">
        <f t="shared" si="11"/>
        <v/>
      </c>
      <c r="BI371" s="5" t="str">
        <f t="shared" si="12"/>
        <v/>
      </c>
    </row>
    <row r="372" spans="60:61" x14ac:dyDescent="0.35">
      <c r="BH372" s="5" t="str">
        <f t="shared" si="11"/>
        <v/>
      </c>
      <c r="BI372" s="5" t="str">
        <f t="shared" si="12"/>
        <v/>
      </c>
    </row>
    <row r="373" spans="60:61" x14ac:dyDescent="0.35">
      <c r="BH373" s="5" t="str">
        <f t="shared" si="11"/>
        <v/>
      </c>
      <c r="BI373" s="5" t="str">
        <f t="shared" si="12"/>
        <v/>
      </c>
    </row>
    <row r="374" spans="60:61" x14ac:dyDescent="0.35">
      <c r="BH374" s="5" t="str">
        <f t="shared" si="11"/>
        <v/>
      </c>
      <c r="BI374" s="5" t="str">
        <f t="shared" si="12"/>
        <v/>
      </c>
    </row>
    <row r="375" spans="60:61" x14ac:dyDescent="0.35">
      <c r="BH375" s="5" t="str">
        <f t="shared" si="11"/>
        <v/>
      </c>
      <c r="BI375" s="5" t="str">
        <f t="shared" si="12"/>
        <v/>
      </c>
    </row>
    <row r="376" spans="60:61" x14ac:dyDescent="0.35">
      <c r="BH376" s="5" t="str">
        <f t="shared" si="11"/>
        <v/>
      </c>
      <c r="BI376" s="5" t="str">
        <f t="shared" si="12"/>
        <v/>
      </c>
    </row>
    <row r="377" spans="60:61" x14ac:dyDescent="0.35">
      <c r="BH377" s="5" t="str">
        <f t="shared" si="11"/>
        <v/>
      </c>
      <c r="BI377" s="5" t="str">
        <f t="shared" si="12"/>
        <v/>
      </c>
    </row>
    <row r="378" spans="60:61" x14ac:dyDescent="0.35">
      <c r="BH378" s="5" t="str">
        <f t="shared" si="11"/>
        <v/>
      </c>
      <c r="BI378" s="5" t="str">
        <f t="shared" si="12"/>
        <v/>
      </c>
    </row>
    <row r="379" spans="60:61" x14ac:dyDescent="0.35">
      <c r="BH379" s="5" t="str">
        <f t="shared" si="11"/>
        <v/>
      </c>
      <c r="BI379" s="5" t="str">
        <f t="shared" si="12"/>
        <v/>
      </c>
    </row>
    <row r="380" spans="60:61" x14ac:dyDescent="0.35">
      <c r="BH380" s="5" t="str">
        <f t="shared" si="11"/>
        <v/>
      </c>
      <c r="BI380" s="5" t="str">
        <f t="shared" si="12"/>
        <v/>
      </c>
    </row>
    <row r="381" spans="60:61" x14ac:dyDescent="0.35">
      <c r="BH381" s="5" t="str">
        <f t="shared" si="11"/>
        <v/>
      </c>
      <c r="BI381" s="5" t="str">
        <f t="shared" si="12"/>
        <v/>
      </c>
    </row>
    <row r="382" spans="60:61" x14ac:dyDescent="0.35">
      <c r="BH382" s="5" t="str">
        <f t="shared" si="11"/>
        <v/>
      </c>
      <c r="BI382" s="5" t="str">
        <f t="shared" si="12"/>
        <v/>
      </c>
    </row>
    <row r="383" spans="60:61" x14ac:dyDescent="0.35">
      <c r="BH383" s="5" t="str">
        <f t="shared" si="11"/>
        <v/>
      </c>
      <c r="BI383" s="5" t="str">
        <f t="shared" si="12"/>
        <v/>
      </c>
    </row>
    <row r="384" spans="60:61" x14ac:dyDescent="0.35">
      <c r="BH384" s="5" t="str">
        <f t="shared" si="11"/>
        <v/>
      </c>
      <c r="BI384" s="5" t="str">
        <f t="shared" si="12"/>
        <v/>
      </c>
    </row>
    <row r="385" spans="60:61" x14ac:dyDescent="0.35">
      <c r="BH385" s="5" t="str">
        <f t="shared" si="11"/>
        <v/>
      </c>
      <c r="BI385" s="5" t="str">
        <f t="shared" si="12"/>
        <v/>
      </c>
    </row>
    <row r="386" spans="60:61" x14ac:dyDescent="0.35">
      <c r="BH386" s="5" t="str">
        <f t="shared" ref="BH386:BH440" si="13">TRIM(CLEAN(SUBSTITUTE(AM386,CHAR(160)," ")))</f>
        <v/>
      </c>
      <c r="BI386" s="5" t="str">
        <f t="shared" si="12"/>
        <v/>
      </c>
    </row>
    <row r="387" spans="60:61" x14ac:dyDescent="0.35">
      <c r="BH387" s="5" t="str">
        <f t="shared" si="13"/>
        <v/>
      </c>
      <c r="BI387" s="5" t="str">
        <f t="shared" ref="BI387:BI426" si="14">TRIM(CLEAN(SUBSTITUTE(A387,CHAR(160)," ")))</f>
        <v/>
      </c>
    </row>
    <row r="388" spans="60:61" x14ac:dyDescent="0.35">
      <c r="BH388" s="5" t="str">
        <f t="shared" si="13"/>
        <v/>
      </c>
      <c r="BI388" s="5" t="str">
        <f t="shared" si="14"/>
        <v/>
      </c>
    </row>
    <row r="389" spans="60:61" x14ac:dyDescent="0.35">
      <c r="BH389" s="5" t="str">
        <f t="shared" si="13"/>
        <v/>
      </c>
      <c r="BI389" s="5" t="str">
        <f t="shared" si="14"/>
        <v/>
      </c>
    </row>
    <row r="390" spans="60:61" x14ac:dyDescent="0.35">
      <c r="BH390" s="5" t="str">
        <f t="shared" si="13"/>
        <v/>
      </c>
      <c r="BI390" s="5" t="str">
        <f t="shared" si="14"/>
        <v/>
      </c>
    </row>
    <row r="391" spans="60:61" x14ac:dyDescent="0.35">
      <c r="BH391" s="5" t="str">
        <f t="shared" si="13"/>
        <v/>
      </c>
      <c r="BI391" s="5" t="str">
        <f t="shared" si="14"/>
        <v/>
      </c>
    </row>
    <row r="392" spans="60:61" x14ac:dyDescent="0.35">
      <c r="BH392" s="5" t="str">
        <f t="shared" si="13"/>
        <v/>
      </c>
      <c r="BI392" s="5" t="str">
        <f t="shared" si="14"/>
        <v/>
      </c>
    </row>
    <row r="393" spans="60:61" x14ac:dyDescent="0.35">
      <c r="BH393" s="5" t="str">
        <f t="shared" si="13"/>
        <v/>
      </c>
      <c r="BI393" s="5" t="str">
        <f t="shared" si="14"/>
        <v/>
      </c>
    </row>
    <row r="394" spans="60:61" x14ac:dyDescent="0.35">
      <c r="BH394" s="5" t="str">
        <f t="shared" si="13"/>
        <v/>
      </c>
      <c r="BI394" s="5" t="str">
        <f t="shared" si="14"/>
        <v/>
      </c>
    </row>
    <row r="395" spans="60:61" x14ac:dyDescent="0.35">
      <c r="BH395" s="5" t="str">
        <f t="shared" si="13"/>
        <v/>
      </c>
      <c r="BI395" s="5" t="str">
        <f t="shared" si="14"/>
        <v/>
      </c>
    </row>
    <row r="396" spans="60:61" x14ac:dyDescent="0.35">
      <c r="BH396" s="5" t="str">
        <f t="shared" si="13"/>
        <v/>
      </c>
      <c r="BI396" s="5" t="str">
        <f t="shared" si="14"/>
        <v/>
      </c>
    </row>
    <row r="397" spans="60:61" x14ac:dyDescent="0.35">
      <c r="BH397" s="5" t="str">
        <f t="shared" si="13"/>
        <v/>
      </c>
      <c r="BI397" s="5" t="str">
        <f t="shared" si="14"/>
        <v/>
      </c>
    </row>
    <row r="398" spans="60:61" x14ac:dyDescent="0.35">
      <c r="BH398" s="5" t="str">
        <f t="shared" si="13"/>
        <v/>
      </c>
      <c r="BI398" s="5" t="str">
        <f t="shared" si="14"/>
        <v/>
      </c>
    </row>
    <row r="399" spans="60:61" x14ac:dyDescent="0.35">
      <c r="BH399" s="5" t="str">
        <f t="shared" si="13"/>
        <v/>
      </c>
      <c r="BI399" s="5" t="str">
        <f t="shared" si="14"/>
        <v/>
      </c>
    </row>
    <row r="400" spans="60:61" x14ac:dyDescent="0.35">
      <c r="BH400" s="5" t="str">
        <f t="shared" si="13"/>
        <v/>
      </c>
      <c r="BI400" s="5" t="str">
        <f t="shared" si="14"/>
        <v/>
      </c>
    </row>
    <row r="401" spans="60:61" x14ac:dyDescent="0.35">
      <c r="BH401" s="5" t="str">
        <f t="shared" si="13"/>
        <v/>
      </c>
      <c r="BI401" s="5" t="str">
        <f t="shared" si="14"/>
        <v/>
      </c>
    </row>
    <row r="402" spans="60:61" x14ac:dyDescent="0.35">
      <c r="BH402" s="5" t="str">
        <f t="shared" si="13"/>
        <v/>
      </c>
      <c r="BI402" s="5" t="str">
        <f t="shared" si="14"/>
        <v/>
      </c>
    </row>
    <row r="403" spans="60:61" x14ac:dyDescent="0.35">
      <c r="BH403" s="5" t="str">
        <f t="shared" si="13"/>
        <v/>
      </c>
      <c r="BI403" s="5" t="str">
        <f t="shared" si="14"/>
        <v/>
      </c>
    </row>
    <row r="404" spans="60:61" x14ac:dyDescent="0.35">
      <c r="BH404" s="5" t="str">
        <f t="shared" si="13"/>
        <v/>
      </c>
      <c r="BI404" s="5" t="str">
        <f t="shared" si="14"/>
        <v/>
      </c>
    </row>
    <row r="405" spans="60:61" x14ac:dyDescent="0.35">
      <c r="BH405" s="5" t="str">
        <f t="shared" si="13"/>
        <v/>
      </c>
      <c r="BI405" s="5" t="str">
        <f t="shared" si="14"/>
        <v/>
      </c>
    </row>
    <row r="406" spans="60:61" x14ac:dyDescent="0.35">
      <c r="BH406" s="5" t="str">
        <f t="shared" si="13"/>
        <v/>
      </c>
      <c r="BI406" s="5" t="str">
        <f t="shared" si="14"/>
        <v/>
      </c>
    </row>
    <row r="407" spans="60:61" x14ac:dyDescent="0.35">
      <c r="BH407" s="5" t="str">
        <f t="shared" si="13"/>
        <v/>
      </c>
      <c r="BI407" s="5" t="str">
        <f t="shared" si="14"/>
        <v/>
      </c>
    </row>
    <row r="408" spans="60:61" x14ac:dyDescent="0.35">
      <c r="BH408" s="5" t="str">
        <f t="shared" si="13"/>
        <v/>
      </c>
      <c r="BI408" s="5" t="str">
        <f t="shared" si="14"/>
        <v/>
      </c>
    </row>
    <row r="409" spans="60:61" x14ac:dyDescent="0.35">
      <c r="BH409" s="5" t="str">
        <f t="shared" si="13"/>
        <v/>
      </c>
      <c r="BI409" s="5" t="str">
        <f t="shared" si="14"/>
        <v/>
      </c>
    </row>
    <row r="410" spans="60:61" x14ac:dyDescent="0.35">
      <c r="BH410" s="5" t="str">
        <f t="shared" si="13"/>
        <v/>
      </c>
      <c r="BI410" s="5" t="str">
        <f t="shared" si="14"/>
        <v/>
      </c>
    </row>
    <row r="411" spans="60:61" x14ac:dyDescent="0.35">
      <c r="BH411" s="5" t="str">
        <f t="shared" si="13"/>
        <v/>
      </c>
      <c r="BI411" s="5" t="str">
        <f t="shared" si="14"/>
        <v/>
      </c>
    </row>
    <row r="412" spans="60:61" x14ac:dyDescent="0.35">
      <c r="BH412" s="5" t="str">
        <f t="shared" si="13"/>
        <v/>
      </c>
      <c r="BI412" s="5" t="str">
        <f t="shared" si="14"/>
        <v/>
      </c>
    </row>
    <row r="413" spans="60:61" x14ac:dyDescent="0.35">
      <c r="BH413" s="5" t="str">
        <f t="shared" si="13"/>
        <v/>
      </c>
      <c r="BI413" s="5" t="str">
        <f t="shared" si="14"/>
        <v/>
      </c>
    </row>
    <row r="414" spans="60:61" x14ac:dyDescent="0.35">
      <c r="BH414" s="5" t="str">
        <f t="shared" si="13"/>
        <v/>
      </c>
      <c r="BI414" s="5" t="str">
        <f t="shared" si="14"/>
        <v/>
      </c>
    </row>
    <row r="415" spans="60:61" x14ac:dyDescent="0.35">
      <c r="BH415" s="5" t="str">
        <f t="shared" si="13"/>
        <v/>
      </c>
      <c r="BI415" s="5" t="str">
        <f t="shared" si="14"/>
        <v/>
      </c>
    </row>
    <row r="416" spans="60:61" x14ac:dyDescent="0.35">
      <c r="BH416" s="5" t="str">
        <f t="shared" si="13"/>
        <v/>
      </c>
      <c r="BI416" s="5" t="str">
        <f t="shared" si="14"/>
        <v/>
      </c>
    </row>
    <row r="417" spans="60:61" x14ac:dyDescent="0.35">
      <c r="BH417" s="5" t="str">
        <f t="shared" si="13"/>
        <v/>
      </c>
      <c r="BI417" s="5" t="str">
        <f t="shared" si="14"/>
        <v/>
      </c>
    </row>
    <row r="418" spans="60:61" x14ac:dyDescent="0.35">
      <c r="BH418" s="5" t="str">
        <f t="shared" si="13"/>
        <v/>
      </c>
      <c r="BI418" s="5" t="str">
        <f t="shared" si="14"/>
        <v/>
      </c>
    </row>
    <row r="419" spans="60:61" x14ac:dyDescent="0.35">
      <c r="BH419" s="5" t="str">
        <f t="shared" si="13"/>
        <v/>
      </c>
      <c r="BI419" s="5" t="str">
        <f t="shared" si="14"/>
        <v/>
      </c>
    </row>
    <row r="420" spans="60:61" x14ac:dyDescent="0.35">
      <c r="BH420" s="5" t="str">
        <f t="shared" si="13"/>
        <v/>
      </c>
      <c r="BI420" s="5" t="str">
        <f t="shared" si="14"/>
        <v/>
      </c>
    </row>
    <row r="421" spans="60:61" x14ac:dyDescent="0.35">
      <c r="BH421" s="5" t="str">
        <f t="shared" si="13"/>
        <v/>
      </c>
      <c r="BI421" s="5" t="str">
        <f t="shared" si="14"/>
        <v/>
      </c>
    </row>
    <row r="422" spans="60:61" x14ac:dyDescent="0.35">
      <c r="BH422" s="5" t="str">
        <f t="shared" si="13"/>
        <v/>
      </c>
      <c r="BI422" s="5" t="str">
        <f t="shared" si="14"/>
        <v/>
      </c>
    </row>
    <row r="423" spans="60:61" x14ac:dyDescent="0.35">
      <c r="BH423" s="5" t="str">
        <f t="shared" si="13"/>
        <v/>
      </c>
      <c r="BI423" s="5" t="str">
        <f t="shared" si="14"/>
        <v/>
      </c>
    </row>
    <row r="424" spans="60:61" x14ac:dyDescent="0.35">
      <c r="BH424" s="5" t="str">
        <f t="shared" si="13"/>
        <v/>
      </c>
      <c r="BI424" s="5" t="str">
        <f t="shared" si="14"/>
        <v/>
      </c>
    </row>
    <row r="425" spans="60:61" x14ac:dyDescent="0.35">
      <c r="BH425" s="5" t="str">
        <f t="shared" si="13"/>
        <v/>
      </c>
      <c r="BI425" s="5" t="str">
        <f t="shared" si="14"/>
        <v/>
      </c>
    </row>
    <row r="426" spans="60:61" x14ac:dyDescent="0.35">
      <c r="BH426" s="5" t="str">
        <f t="shared" si="13"/>
        <v/>
      </c>
      <c r="BI426" s="5" t="str">
        <f t="shared" si="14"/>
        <v/>
      </c>
    </row>
    <row r="427" spans="60:61" x14ac:dyDescent="0.35">
      <c r="BH427" s="5" t="str">
        <f t="shared" si="13"/>
        <v/>
      </c>
      <c r="BI427" s="5" t="str">
        <f t="shared" ref="BI427:BI440" si="15">TRIM(CLEAN(SUBSTITUTE(AN428,CHAR(160)," ")))</f>
        <v/>
      </c>
    </row>
    <row r="428" spans="60:61" x14ac:dyDescent="0.35">
      <c r="BH428" s="5" t="str">
        <f t="shared" si="13"/>
        <v/>
      </c>
      <c r="BI428" s="5" t="str">
        <f t="shared" si="15"/>
        <v/>
      </c>
    </row>
    <row r="429" spans="60:61" x14ac:dyDescent="0.35">
      <c r="BH429" s="5" t="str">
        <f t="shared" si="13"/>
        <v/>
      </c>
      <c r="BI429" s="5" t="str">
        <f t="shared" si="15"/>
        <v/>
      </c>
    </row>
    <row r="430" spans="60:61" x14ac:dyDescent="0.35">
      <c r="BH430" s="5" t="str">
        <f t="shared" si="13"/>
        <v/>
      </c>
      <c r="BI430" s="5" t="str">
        <f t="shared" si="15"/>
        <v/>
      </c>
    </row>
    <row r="431" spans="60:61" x14ac:dyDescent="0.35">
      <c r="BH431" s="5" t="str">
        <f t="shared" si="13"/>
        <v/>
      </c>
      <c r="BI431" s="5" t="str">
        <f t="shared" si="15"/>
        <v/>
      </c>
    </row>
    <row r="432" spans="60:61" x14ac:dyDescent="0.35">
      <c r="BH432" s="5" t="str">
        <f t="shared" si="13"/>
        <v/>
      </c>
      <c r="BI432" s="5" t="str">
        <f t="shared" si="15"/>
        <v/>
      </c>
    </row>
    <row r="433" spans="60:61" x14ac:dyDescent="0.35">
      <c r="BH433" s="5" t="str">
        <f t="shared" si="13"/>
        <v/>
      </c>
      <c r="BI433" s="5" t="str">
        <f t="shared" si="15"/>
        <v/>
      </c>
    </row>
    <row r="434" spans="60:61" x14ac:dyDescent="0.35">
      <c r="BH434" s="5" t="str">
        <f t="shared" si="13"/>
        <v/>
      </c>
      <c r="BI434" s="5" t="str">
        <f t="shared" si="15"/>
        <v/>
      </c>
    </row>
    <row r="435" spans="60:61" x14ac:dyDescent="0.35">
      <c r="BH435" s="5" t="str">
        <f t="shared" si="13"/>
        <v/>
      </c>
      <c r="BI435" s="5" t="str">
        <f t="shared" si="15"/>
        <v/>
      </c>
    </row>
    <row r="436" spans="60:61" x14ac:dyDescent="0.35">
      <c r="BH436" s="5" t="str">
        <f t="shared" si="13"/>
        <v/>
      </c>
      <c r="BI436" s="5" t="str">
        <f t="shared" si="15"/>
        <v/>
      </c>
    </row>
    <row r="437" spans="60:61" x14ac:dyDescent="0.35">
      <c r="BH437" s="5" t="str">
        <f t="shared" si="13"/>
        <v/>
      </c>
      <c r="BI437" s="5" t="str">
        <f t="shared" si="15"/>
        <v/>
      </c>
    </row>
    <row r="438" spans="60:61" x14ac:dyDescent="0.35">
      <c r="BH438" s="5" t="str">
        <f t="shared" si="13"/>
        <v/>
      </c>
      <c r="BI438" s="5" t="str">
        <f t="shared" si="15"/>
        <v/>
      </c>
    </row>
    <row r="439" spans="60:61" x14ac:dyDescent="0.35">
      <c r="BH439" s="5" t="str">
        <f t="shared" si="13"/>
        <v/>
      </c>
      <c r="BI439" s="5" t="str">
        <f t="shared" si="15"/>
        <v/>
      </c>
    </row>
    <row r="440" spans="60:61" x14ac:dyDescent="0.35">
      <c r="BH440" s="5" t="str">
        <f t="shared" si="13"/>
        <v/>
      </c>
      <c r="BI440" s="5" t="str">
        <f t="shared" si="15"/>
        <v/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582-5BB7-45F8-ADAD-FE7C789A10B5}">
  <dimension ref="C3:D104"/>
  <sheetViews>
    <sheetView workbookViewId="0">
      <selection activeCell="L52" sqref="L52"/>
    </sheetView>
  </sheetViews>
  <sheetFormatPr defaultRowHeight="14.5" x14ac:dyDescent="0.35"/>
  <sheetData>
    <row r="3" spans="3:4" x14ac:dyDescent="0.35">
      <c r="C3" t="s">
        <v>326</v>
      </c>
      <c r="D3" t="s">
        <v>327</v>
      </c>
    </row>
    <row r="4" spans="3:4" x14ac:dyDescent="0.35">
      <c r="C4" t="s">
        <v>318</v>
      </c>
      <c r="D4">
        <f xml:space="preserve"> COUNTIF(Table1[STot],"&lt;=1.50")</f>
        <v>4</v>
      </c>
    </row>
    <row r="5" spans="3:4" x14ac:dyDescent="0.35">
      <c r="C5" t="s">
        <v>319</v>
      </c>
      <c r="D5">
        <f xml:space="preserve"> COUNTIFS(Table1[STot],"&gt;1.5",Table1[STot],"&lt;=2.0")</f>
        <v>11</v>
      </c>
    </row>
    <row r="6" spans="3:4" x14ac:dyDescent="0.35">
      <c r="C6" t="s">
        <v>320</v>
      </c>
      <c r="D6">
        <f xml:space="preserve"> COUNTIFS(Table1[STot],"&gt;2.0",Table1[STot],"&lt;=2.5")</f>
        <v>45</v>
      </c>
    </row>
    <row r="7" spans="3:4" x14ac:dyDescent="0.35">
      <c r="C7" t="s">
        <v>321</v>
      </c>
      <c r="D7">
        <f xml:space="preserve"> COUNTIFS(Table1[STot],"&gt;2.5",Table1[STot],"&lt;=3.0")</f>
        <v>84</v>
      </c>
    </row>
    <row r="8" spans="3:4" x14ac:dyDescent="0.35">
      <c r="C8" t="s">
        <v>322</v>
      </c>
      <c r="D8">
        <f xml:space="preserve"> COUNTIFS(Table1[STot],"&gt;3.0",Table1[STot],"&lt;=3.5")</f>
        <v>187</v>
      </c>
    </row>
    <row r="9" spans="3:4" x14ac:dyDescent="0.35">
      <c r="C9" t="s">
        <v>323</v>
      </c>
      <c r="D9">
        <f xml:space="preserve"> COUNTIFS(Table1[STot],"&gt;3.5",Table1[STot],"&lt;=4.0")</f>
        <v>128</v>
      </c>
    </row>
    <row r="10" spans="3:4" x14ac:dyDescent="0.35">
      <c r="C10" t="s">
        <v>324</v>
      </c>
      <c r="D10">
        <f xml:space="preserve"> COUNTIFS(Table1[STot],"&gt;4.0",Table1[STot],"&lt;=4.5")</f>
        <v>44</v>
      </c>
    </row>
    <row r="11" spans="3:4" x14ac:dyDescent="0.35">
      <c r="C11" t="s">
        <v>325</v>
      </c>
      <c r="D11">
        <f xml:space="preserve"> COUNTIFS(Table1[STot],"&gt;4.5",Table1[STot],"&lt;=5.0")</f>
        <v>10</v>
      </c>
    </row>
    <row r="21" spans="3:4" x14ac:dyDescent="0.35">
      <c r="C21" t="s">
        <v>329</v>
      </c>
      <c r="D21" t="s">
        <v>330</v>
      </c>
    </row>
    <row r="22" spans="3:4" x14ac:dyDescent="0.35">
      <c r="C22">
        <v>1940</v>
      </c>
      <c r="D22">
        <v>0</v>
      </c>
    </row>
    <row r="23" spans="3:4" x14ac:dyDescent="0.35">
      <c r="C23">
        <v>1941</v>
      </c>
      <c r="D23">
        <f xml:space="preserve"> COUNTIF(Table1[Year],C23)</f>
        <v>0</v>
      </c>
    </row>
    <row r="24" spans="3:4" x14ac:dyDescent="0.35">
      <c r="C24">
        <v>1942</v>
      </c>
      <c r="D24">
        <f xml:space="preserve"> COUNTIF(Table1[Year],C24)</f>
        <v>0</v>
      </c>
    </row>
    <row r="25" spans="3:4" x14ac:dyDescent="0.35">
      <c r="C25">
        <v>1943</v>
      </c>
      <c r="D25">
        <f xml:space="preserve"> COUNTIF(Table1[Year],C25)</f>
        <v>0</v>
      </c>
    </row>
    <row r="26" spans="3:4" x14ac:dyDescent="0.35">
      <c r="C26">
        <v>1944</v>
      </c>
      <c r="D26">
        <f xml:space="preserve"> COUNTIF(Table1[Year],C26)</f>
        <v>0</v>
      </c>
    </row>
    <row r="27" spans="3:4" x14ac:dyDescent="0.35">
      <c r="C27">
        <v>1945</v>
      </c>
      <c r="D27">
        <f xml:space="preserve"> COUNTIF(Table1[Year],C27)</f>
        <v>1</v>
      </c>
    </row>
    <row r="28" spans="3:4" x14ac:dyDescent="0.35">
      <c r="C28">
        <v>1946</v>
      </c>
      <c r="D28">
        <f xml:space="preserve"> COUNTIF(Table1[Year],C28)</f>
        <v>0</v>
      </c>
    </row>
    <row r="29" spans="3:4" x14ac:dyDescent="0.35">
      <c r="C29">
        <v>1947</v>
      </c>
      <c r="D29">
        <f xml:space="preserve"> COUNTIF(Table1[Year],C29)</f>
        <v>0</v>
      </c>
    </row>
    <row r="30" spans="3:4" x14ac:dyDescent="0.35">
      <c r="C30">
        <v>1948</v>
      </c>
      <c r="D30">
        <f xml:space="preserve"> COUNTIF(Table1[Year],C30)</f>
        <v>0</v>
      </c>
    </row>
    <row r="31" spans="3:4" x14ac:dyDescent="0.35">
      <c r="C31">
        <v>1949</v>
      </c>
      <c r="D31">
        <f xml:space="preserve"> COUNTIF(Table1[Year],C31)</f>
        <v>0</v>
      </c>
    </row>
    <row r="32" spans="3:4" x14ac:dyDescent="0.35">
      <c r="C32">
        <v>1950</v>
      </c>
      <c r="D32">
        <f xml:space="preserve"> COUNTIF(Table1[Year],C32)</f>
        <v>0</v>
      </c>
    </row>
    <row r="33" spans="3:4" x14ac:dyDescent="0.35">
      <c r="C33">
        <v>1951</v>
      </c>
      <c r="D33">
        <f xml:space="preserve"> COUNTIF(Table1[Year],C33)</f>
        <v>0</v>
      </c>
    </row>
    <row r="34" spans="3:4" x14ac:dyDescent="0.35">
      <c r="C34">
        <v>1952</v>
      </c>
      <c r="D34">
        <f xml:space="preserve"> COUNTIF(Table1[Year],C34)</f>
        <v>0</v>
      </c>
    </row>
    <row r="35" spans="3:4" x14ac:dyDescent="0.35">
      <c r="C35">
        <v>1953</v>
      </c>
      <c r="D35">
        <f xml:space="preserve"> COUNTIF(Table1[Year],C35)</f>
        <v>0</v>
      </c>
    </row>
    <row r="36" spans="3:4" x14ac:dyDescent="0.35">
      <c r="C36">
        <v>1954</v>
      </c>
      <c r="D36">
        <f xml:space="preserve"> COUNTIF(Table1[Year],C36)</f>
        <v>0</v>
      </c>
    </row>
    <row r="37" spans="3:4" x14ac:dyDescent="0.35">
      <c r="C37">
        <v>1955</v>
      </c>
      <c r="D37">
        <f xml:space="preserve"> COUNTIF(Table1[Year],C37)</f>
        <v>0</v>
      </c>
    </row>
    <row r="38" spans="3:4" x14ac:dyDescent="0.35">
      <c r="C38">
        <v>1956</v>
      </c>
      <c r="D38">
        <f xml:space="preserve"> COUNTIF(Table1[Year],C38)</f>
        <v>0</v>
      </c>
    </row>
    <row r="39" spans="3:4" x14ac:dyDescent="0.35">
      <c r="C39">
        <v>1957</v>
      </c>
      <c r="D39">
        <f xml:space="preserve"> COUNTIF(Table1[Year],C39)</f>
        <v>0</v>
      </c>
    </row>
    <row r="40" spans="3:4" x14ac:dyDescent="0.35">
      <c r="C40">
        <v>1958</v>
      </c>
      <c r="D40">
        <f xml:space="preserve"> COUNTIF(Table1[Year],C40)</f>
        <v>0</v>
      </c>
    </row>
    <row r="41" spans="3:4" x14ac:dyDescent="0.35">
      <c r="C41">
        <v>1959</v>
      </c>
      <c r="D41">
        <f xml:space="preserve"> COUNTIF(Table1[Year],C41)</f>
        <v>0</v>
      </c>
    </row>
    <row r="42" spans="3:4" x14ac:dyDescent="0.35">
      <c r="C42">
        <v>1960</v>
      </c>
      <c r="D42">
        <f xml:space="preserve"> COUNTIF(Table1[Year],C42)</f>
        <v>0</v>
      </c>
    </row>
    <row r="43" spans="3:4" x14ac:dyDescent="0.35">
      <c r="C43">
        <v>1961</v>
      </c>
      <c r="D43">
        <f xml:space="preserve"> COUNTIF(Table1[Year],C43)</f>
        <v>0</v>
      </c>
    </row>
    <row r="44" spans="3:4" x14ac:dyDescent="0.35">
      <c r="C44">
        <v>1962</v>
      </c>
      <c r="D44">
        <f xml:space="preserve"> COUNTIF(Table1[Year],C44)</f>
        <v>0</v>
      </c>
    </row>
    <row r="45" spans="3:4" x14ac:dyDescent="0.35">
      <c r="C45">
        <v>1963</v>
      </c>
      <c r="D45">
        <f xml:space="preserve"> COUNTIF(Table1[Year],C45)</f>
        <v>0</v>
      </c>
    </row>
    <row r="46" spans="3:4" x14ac:dyDescent="0.35">
      <c r="C46">
        <v>1964</v>
      </c>
      <c r="D46">
        <f xml:space="preserve"> COUNTIF(Table1[Year],C46)</f>
        <v>0</v>
      </c>
    </row>
    <row r="47" spans="3:4" x14ac:dyDescent="0.35">
      <c r="C47">
        <v>1965</v>
      </c>
      <c r="D47">
        <f xml:space="preserve"> COUNTIF(Table1[Year],C47)</f>
        <v>0</v>
      </c>
    </row>
    <row r="48" spans="3:4" x14ac:dyDescent="0.35">
      <c r="C48">
        <v>1966</v>
      </c>
      <c r="D48">
        <f xml:space="preserve"> COUNTIF(Table1[Year],C48)</f>
        <v>0</v>
      </c>
    </row>
    <row r="49" spans="3:4" x14ac:dyDescent="0.35">
      <c r="C49">
        <v>1967</v>
      </c>
      <c r="D49">
        <f xml:space="preserve"> COUNTIF(Table1[Year],C49)</f>
        <v>0</v>
      </c>
    </row>
    <row r="50" spans="3:4" x14ac:dyDescent="0.35">
      <c r="C50">
        <v>1968</v>
      </c>
      <c r="D50">
        <f xml:space="preserve"> COUNTIF(Table1[Year],C50)</f>
        <v>1</v>
      </c>
    </row>
    <row r="51" spans="3:4" x14ac:dyDescent="0.35">
      <c r="C51">
        <v>1969</v>
      </c>
      <c r="D51">
        <f xml:space="preserve"> COUNTIF(Table1[Year],C51)</f>
        <v>2</v>
      </c>
    </row>
    <row r="52" spans="3:4" x14ac:dyDescent="0.35">
      <c r="C52">
        <v>1970</v>
      </c>
      <c r="D52">
        <f xml:space="preserve"> COUNTIF(Table1[Year],C52)</f>
        <v>1</v>
      </c>
    </row>
    <row r="53" spans="3:4" x14ac:dyDescent="0.35">
      <c r="C53">
        <v>1971</v>
      </c>
      <c r="D53">
        <f xml:space="preserve"> COUNTIF(Table1[Year],C53)</f>
        <v>1</v>
      </c>
    </row>
    <row r="54" spans="3:4" x14ac:dyDescent="0.35">
      <c r="C54">
        <v>1972</v>
      </c>
      <c r="D54">
        <f xml:space="preserve"> COUNTIF(Table1[Year],C54)</f>
        <v>0</v>
      </c>
    </row>
    <row r="55" spans="3:4" x14ac:dyDescent="0.35">
      <c r="C55">
        <v>1973</v>
      </c>
      <c r="D55">
        <f xml:space="preserve"> COUNTIF(Table1[Year],C55)</f>
        <v>2</v>
      </c>
    </row>
    <row r="56" spans="3:4" x14ac:dyDescent="0.35">
      <c r="C56">
        <v>1974</v>
      </c>
      <c r="D56">
        <f xml:space="preserve"> COUNTIF(Table1[Year],C56)</f>
        <v>0</v>
      </c>
    </row>
    <row r="57" spans="3:4" x14ac:dyDescent="0.35">
      <c r="C57">
        <v>1975</v>
      </c>
      <c r="D57">
        <f xml:space="preserve"> COUNTIF(Table1[Year],C57)</f>
        <v>0</v>
      </c>
    </row>
    <row r="58" spans="3:4" x14ac:dyDescent="0.35">
      <c r="C58">
        <v>1976</v>
      </c>
      <c r="D58">
        <f xml:space="preserve"> COUNTIF(Table1[Year],C58)</f>
        <v>0</v>
      </c>
    </row>
    <row r="59" spans="3:4" x14ac:dyDescent="0.35">
      <c r="C59">
        <v>1977</v>
      </c>
      <c r="D59">
        <f xml:space="preserve"> COUNTIF(Table1[Year],C59)</f>
        <v>2</v>
      </c>
    </row>
    <row r="60" spans="3:4" x14ac:dyDescent="0.35">
      <c r="C60">
        <v>1978</v>
      </c>
      <c r="D60">
        <f xml:space="preserve"> COUNTIF(Table1[Year],C60)</f>
        <v>4</v>
      </c>
    </row>
    <row r="61" spans="3:4" x14ac:dyDescent="0.35">
      <c r="C61">
        <v>1979</v>
      </c>
      <c r="D61">
        <f xml:space="preserve"> COUNTIF(Table1[Year],C61)</f>
        <v>1</v>
      </c>
    </row>
    <row r="62" spans="3:4" x14ac:dyDescent="0.35">
      <c r="C62">
        <v>1980</v>
      </c>
      <c r="D62">
        <f xml:space="preserve"> COUNTIF(Table1[Year],C62)</f>
        <v>2</v>
      </c>
    </row>
    <row r="63" spans="3:4" x14ac:dyDescent="0.35">
      <c r="C63">
        <v>1981</v>
      </c>
      <c r="D63">
        <f xml:space="preserve"> COUNTIF(Table1[Year],C63)</f>
        <v>3</v>
      </c>
    </row>
    <row r="64" spans="3:4" x14ac:dyDescent="0.35">
      <c r="C64">
        <v>1982</v>
      </c>
      <c r="D64">
        <f xml:space="preserve"> COUNTIF(Table1[Year],C64)</f>
        <v>5</v>
      </c>
    </row>
    <row r="65" spans="3:4" x14ac:dyDescent="0.35">
      <c r="C65">
        <v>1983</v>
      </c>
      <c r="D65">
        <f xml:space="preserve"> COUNTIF(Table1[Year],C65)</f>
        <v>4</v>
      </c>
    </row>
    <row r="66" spans="3:4" x14ac:dyDescent="0.35">
      <c r="C66">
        <v>1984</v>
      </c>
      <c r="D66">
        <f xml:space="preserve"> COUNTIF(Table1[Year],C66)</f>
        <v>2</v>
      </c>
    </row>
    <row r="67" spans="3:4" x14ac:dyDescent="0.35">
      <c r="C67">
        <v>1985</v>
      </c>
      <c r="D67">
        <f xml:space="preserve"> COUNTIF(Table1[Year],C67)</f>
        <v>2</v>
      </c>
    </row>
    <row r="68" spans="3:4" x14ac:dyDescent="0.35">
      <c r="C68">
        <v>1986</v>
      </c>
      <c r="D68">
        <f xml:space="preserve"> COUNTIF(Table1[Year],C68)</f>
        <v>4</v>
      </c>
    </row>
    <row r="69" spans="3:4" x14ac:dyDescent="0.35">
      <c r="C69">
        <v>1987</v>
      </c>
      <c r="D69">
        <f xml:space="preserve"> COUNTIF(Table1[Year],C69)</f>
        <v>3</v>
      </c>
    </row>
    <row r="70" spans="3:4" x14ac:dyDescent="0.35">
      <c r="C70">
        <v>1988</v>
      </c>
      <c r="D70">
        <f xml:space="preserve"> COUNTIF(Table1[Year],C70)</f>
        <v>4</v>
      </c>
    </row>
    <row r="71" spans="3:4" x14ac:dyDescent="0.35">
      <c r="C71">
        <v>1989</v>
      </c>
      <c r="D71">
        <f xml:space="preserve"> COUNTIF(Table1[Year],C71)</f>
        <v>1</v>
      </c>
    </row>
    <row r="72" spans="3:4" x14ac:dyDescent="0.35">
      <c r="C72">
        <v>1990</v>
      </c>
      <c r="D72">
        <f xml:space="preserve"> COUNTIF(Table1[Year],C72)</f>
        <v>2</v>
      </c>
    </row>
    <row r="73" spans="3:4" x14ac:dyDescent="0.35">
      <c r="C73">
        <v>1991</v>
      </c>
      <c r="D73">
        <f xml:space="preserve"> COUNTIF(Table1[Year],C73)</f>
        <v>3</v>
      </c>
    </row>
    <row r="74" spans="3:4" x14ac:dyDescent="0.35">
      <c r="C74">
        <v>1992</v>
      </c>
      <c r="D74">
        <f xml:space="preserve"> COUNTIF(Table1[Year],C74)</f>
        <v>1</v>
      </c>
    </row>
    <row r="75" spans="3:4" x14ac:dyDescent="0.35">
      <c r="C75">
        <v>1993</v>
      </c>
      <c r="D75">
        <f xml:space="preserve"> COUNTIF(Table1[Year],C75)</f>
        <v>4</v>
      </c>
    </row>
    <row r="76" spans="3:4" x14ac:dyDescent="0.35">
      <c r="C76">
        <v>1994</v>
      </c>
      <c r="D76">
        <f xml:space="preserve"> COUNTIF(Table1[Year],C76)</f>
        <v>5</v>
      </c>
    </row>
    <row r="77" spans="3:4" x14ac:dyDescent="0.35">
      <c r="C77">
        <v>1995</v>
      </c>
      <c r="D77">
        <f xml:space="preserve"> COUNTIF(Table1[Year],C77)</f>
        <v>4</v>
      </c>
    </row>
    <row r="78" spans="3:4" x14ac:dyDescent="0.35">
      <c r="C78">
        <v>1996</v>
      </c>
      <c r="D78">
        <f xml:space="preserve"> COUNTIF(Table1[Year],C78)</f>
        <v>1</v>
      </c>
    </row>
    <row r="79" spans="3:4" x14ac:dyDescent="0.35">
      <c r="C79">
        <v>1997</v>
      </c>
      <c r="D79">
        <f xml:space="preserve"> COUNTIF(Table1[Year],C79)</f>
        <v>6</v>
      </c>
    </row>
    <row r="80" spans="3:4" x14ac:dyDescent="0.35">
      <c r="C80">
        <v>1998</v>
      </c>
      <c r="D80">
        <f xml:space="preserve"> COUNTIF(Table1[Year],C80)</f>
        <v>4</v>
      </c>
    </row>
    <row r="81" spans="3:4" x14ac:dyDescent="0.35">
      <c r="C81">
        <v>1999</v>
      </c>
      <c r="D81">
        <f xml:space="preserve"> COUNTIF(Table1[Year],C81)</f>
        <v>3</v>
      </c>
    </row>
    <row r="82" spans="3:4" x14ac:dyDescent="0.35">
      <c r="C82">
        <v>2000</v>
      </c>
      <c r="D82">
        <f xml:space="preserve"> COUNTIF(Table1[Year],C82)</f>
        <v>7</v>
      </c>
    </row>
    <row r="83" spans="3:4" x14ac:dyDescent="0.35">
      <c r="C83">
        <v>2001</v>
      </c>
      <c r="D83">
        <f xml:space="preserve"> COUNTIF(Table1[Year],C83)</f>
        <v>7</v>
      </c>
    </row>
    <row r="84" spans="3:4" x14ac:dyDescent="0.35">
      <c r="C84">
        <v>2002</v>
      </c>
      <c r="D84">
        <f xml:space="preserve"> COUNTIF(Table1[Year],C84)</f>
        <v>9</v>
      </c>
    </row>
    <row r="85" spans="3:4" x14ac:dyDescent="0.35">
      <c r="C85">
        <v>2003</v>
      </c>
      <c r="D85">
        <f xml:space="preserve"> COUNTIF(Table1[Year],C85)</f>
        <v>13</v>
      </c>
    </row>
    <row r="86" spans="3:4" x14ac:dyDescent="0.35">
      <c r="C86">
        <v>2004</v>
      </c>
      <c r="D86">
        <f xml:space="preserve"> COUNTIF(Table1[Year],C86)</f>
        <v>13</v>
      </c>
    </row>
    <row r="87" spans="3:4" x14ac:dyDescent="0.35">
      <c r="C87">
        <v>2005</v>
      </c>
      <c r="D87">
        <f xml:space="preserve"> COUNTIF(Table1[Year],C87)</f>
        <v>7</v>
      </c>
    </row>
    <row r="88" spans="3:4" x14ac:dyDescent="0.35">
      <c r="C88">
        <v>2006</v>
      </c>
      <c r="D88">
        <f xml:space="preserve"> COUNTIF(Table1[Year],C88)</f>
        <v>20</v>
      </c>
    </row>
    <row r="89" spans="3:4" x14ac:dyDescent="0.35">
      <c r="C89">
        <v>2007</v>
      </c>
      <c r="D89">
        <f xml:space="preserve"> COUNTIF(Table1[Year],C89)</f>
        <v>21</v>
      </c>
    </row>
    <row r="90" spans="3:4" x14ac:dyDescent="0.35">
      <c r="C90">
        <v>2008</v>
      </c>
      <c r="D90">
        <f xml:space="preserve"> COUNTIF(Table1[Year],C90)</f>
        <v>15</v>
      </c>
    </row>
    <row r="91" spans="3:4" x14ac:dyDescent="0.35">
      <c r="C91">
        <v>2009</v>
      </c>
      <c r="D91">
        <f xml:space="preserve"> COUNTIF(Table1[Year],C91)</f>
        <v>18</v>
      </c>
    </row>
    <row r="92" spans="3:4" x14ac:dyDescent="0.35">
      <c r="C92">
        <v>2010</v>
      </c>
      <c r="D92">
        <f xml:space="preserve"> COUNTIF(Table1[Year],C92)</f>
        <v>24</v>
      </c>
    </row>
    <row r="93" spans="3:4" x14ac:dyDescent="0.35">
      <c r="C93">
        <v>2011</v>
      </c>
      <c r="D93">
        <f xml:space="preserve"> COUNTIF(Table1[Year],C93)</f>
        <v>28</v>
      </c>
    </row>
    <row r="94" spans="3:4" x14ac:dyDescent="0.35">
      <c r="C94">
        <v>2012</v>
      </c>
      <c r="D94">
        <f xml:space="preserve"> COUNTIF(Table1[Year],C94)</f>
        <v>35</v>
      </c>
    </row>
    <row r="95" spans="3:4" x14ac:dyDescent="0.35">
      <c r="C95">
        <v>2013</v>
      </c>
      <c r="D95">
        <f xml:space="preserve"> COUNTIF(Table1[Year],C95)</f>
        <v>24</v>
      </c>
    </row>
    <row r="96" spans="3:4" x14ac:dyDescent="0.35">
      <c r="C96">
        <v>2014</v>
      </c>
      <c r="D96">
        <f xml:space="preserve"> COUNTIF(Table1[Year],C96)</f>
        <v>29</v>
      </c>
    </row>
    <row r="97" spans="3:4" x14ac:dyDescent="0.35">
      <c r="C97">
        <v>2015</v>
      </c>
      <c r="D97">
        <f xml:space="preserve"> COUNTIF(Table1[Year],C97)</f>
        <v>37</v>
      </c>
    </row>
    <row r="98" spans="3:4" x14ac:dyDescent="0.35">
      <c r="C98">
        <v>2016</v>
      </c>
      <c r="D98">
        <f xml:space="preserve"> COUNTIF(Table1[Year],C98)</f>
        <v>33</v>
      </c>
    </row>
    <row r="99" spans="3:4" x14ac:dyDescent="0.35">
      <c r="C99">
        <v>2017</v>
      </c>
      <c r="D99">
        <f xml:space="preserve"> COUNTIF(Table1[Year],C99)</f>
        <v>36</v>
      </c>
    </row>
    <row r="100" spans="3:4" x14ac:dyDescent="0.35">
      <c r="C100">
        <v>2018</v>
      </c>
      <c r="D100">
        <f xml:space="preserve"> COUNTIF(Table1[Year],C100)</f>
        <v>23</v>
      </c>
    </row>
    <row r="101" spans="3:4" x14ac:dyDescent="0.35">
      <c r="C101">
        <v>2019</v>
      </c>
      <c r="D101">
        <f xml:space="preserve"> COUNTIF(Table1[Year],C101)</f>
        <v>20</v>
      </c>
    </row>
    <row r="102" spans="3:4" x14ac:dyDescent="0.35">
      <c r="C102">
        <v>2020</v>
      </c>
      <c r="D102">
        <f xml:space="preserve"> COUNTIF(Table1[Year],C102)</f>
        <v>13</v>
      </c>
    </row>
    <row r="103" spans="3:4" x14ac:dyDescent="0.35">
      <c r="C103">
        <v>2021</v>
      </c>
      <c r="D103">
        <f xml:space="preserve"> COUNTIF(Table1[Year],C103)</f>
        <v>3</v>
      </c>
    </row>
    <row r="104" spans="3:4" x14ac:dyDescent="0.35">
      <c r="C104">
        <v>2022</v>
      </c>
      <c r="D104">
        <f xml:space="preserve"> COUNTIF(Table1[Year],C104)</f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4FB8-0D13-426B-B5EB-8AA79C0C5BB6}">
  <dimension ref="B3:D42"/>
  <sheetViews>
    <sheetView workbookViewId="0">
      <selection activeCell="C43" sqref="C43"/>
    </sheetView>
  </sheetViews>
  <sheetFormatPr defaultRowHeight="14.5" x14ac:dyDescent="0.35"/>
  <cols>
    <col min="1" max="1" width="8.7265625" style="2"/>
    <col min="2" max="2" width="13.453125" style="2" customWidth="1"/>
    <col min="3" max="16384" width="8.7265625" style="2"/>
  </cols>
  <sheetData>
    <row r="3" spans="2:3" ht="18.5" x14ac:dyDescent="0.45">
      <c r="B3" s="1" t="s">
        <v>11</v>
      </c>
    </row>
    <row r="5" spans="2:3" x14ac:dyDescent="0.35">
      <c r="B5" s="2" t="s">
        <v>12</v>
      </c>
    </row>
    <row r="7" spans="2:3" x14ac:dyDescent="0.35">
      <c r="B7" s="11" t="s">
        <v>13</v>
      </c>
      <c r="C7" s="2" t="s">
        <v>14</v>
      </c>
    </row>
    <row r="8" spans="2:3" x14ac:dyDescent="0.35">
      <c r="B8" s="11" t="s">
        <v>15</v>
      </c>
      <c r="C8" s="2" t="s">
        <v>16</v>
      </c>
    </row>
    <row r="9" spans="2:3" x14ac:dyDescent="0.35">
      <c r="B9" s="12" t="s">
        <v>17</v>
      </c>
      <c r="C9" s="2" t="s">
        <v>18</v>
      </c>
    </row>
    <row r="10" spans="2:3" x14ac:dyDescent="0.35">
      <c r="B10" s="12" t="s">
        <v>19</v>
      </c>
      <c r="C10" s="2" t="s">
        <v>20</v>
      </c>
    </row>
    <row r="11" spans="2:3" x14ac:dyDescent="0.35">
      <c r="B11" s="13" t="s">
        <v>21</v>
      </c>
      <c r="C11" s="2" t="s">
        <v>22</v>
      </c>
    </row>
    <row r="12" spans="2:3" x14ac:dyDescent="0.35">
      <c r="B12" s="13" t="s">
        <v>23</v>
      </c>
      <c r="C12" s="2" t="s">
        <v>24</v>
      </c>
    </row>
    <row r="13" spans="2:3" x14ac:dyDescent="0.35">
      <c r="B13" s="14" t="s">
        <v>25</v>
      </c>
      <c r="C13" s="2" t="s">
        <v>26</v>
      </c>
    </row>
    <row r="17" spans="2:4" x14ac:dyDescent="0.35">
      <c r="B17" s="2" t="s">
        <v>27</v>
      </c>
    </row>
    <row r="18" spans="2:4" x14ac:dyDescent="0.35">
      <c r="C18" s="2" t="s">
        <v>632</v>
      </c>
    </row>
    <row r="19" spans="2:4" x14ac:dyDescent="0.35">
      <c r="C19" s="2" t="s">
        <v>633</v>
      </c>
    </row>
    <row r="20" spans="2:4" x14ac:dyDescent="0.35">
      <c r="B20" s="2" t="s">
        <v>634</v>
      </c>
    </row>
    <row r="21" spans="2:4" x14ac:dyDescent="0.35">
      <c r="C21" s="2" t="s">
        <v>635</v>
      </c>
    </row>
    <row r="23" spans="2:4" x14ac:dyDescent="0.35">
      <c r="B23" s="2" t="s">
        <v>29</v>
      </c>
    </row>
    <row r="25" spans="2:4" x14ac:dyDescent="0.35">
      <c r="C25" s="10">
        <v>1</v>
      </c>
      <c r="D25" s="2" t="s">
        <v>34</v>
      </c>
    </row>
    <row r="26" spans="2:4" x14ac:dyDescent="0.35">
      <c r="C26" s="10">
        <v>1.5</v>
      </c>
      <c r="D26" s="2" t="s">
        <v>30</v>
      </c>
    </row>
    <row r="27" spans="2:4" x14ac:dyDescent="0.35">
      <c r="C27" s="10">
        <v>2</v>
      </c>
      <c r="D27" s="2" t="s">
        <v>37</v>
      </c>
    </row>
    <row r="28" spans="2:4" x14ac:dyDescent="0.35">
      <c r="C28" s="10">
        <v>2.5</v>
      </c>
      <c r="D28" s="2" t="s">
        <v>36</v>
      </c>
    </row>
    <row r="29" spans="2:4" x14ac:dyDescent="0.35">
      <c r="C29" s="10">
        <v>3</v>
      </c>
      <c r="D29" s="2" t="s">
        <v>35</v>
      </c>
    </row>
    <row r="30" spans="2:4" x14ac:dyDescent="0.35">
      <c r="C30" s="10">
        <v>3.5</v>
      </c>
      <c r="D30" s="2" t="s">
        <v>31</v>
      </c>
    </row>
    <row r="31" spans="2:4" x14ac:dyDescent="0.35">
      <c r="C31" s="10">
        <v>4</v>
      </c>
      <c r="D31" s="2" t="s">
        <v>32</v>
      </c>
    </row>
    <row r="32" spans="2:4" x14ac:dyDescent="0.35">
      <c r="C32" s="10">
        <v>4.5</v>
      </c>
      <c r="D32" s="2" t="s">
        <v>636</v>
      </c>
    </row>
    <row r="33" spans="2:4" x14ac:dyDescent="0.35">
      <c r="C33" s="10">
        <v>5</v>
      </c>
      <c r="D33" s="2" t="s">
        <v>33</v>
      </c>
    </row>
    <row r="36" spans="2:4" x14ac:dyDescent="0.35">
      <c r="B36" s="2" t="s">
        <v>28</v>
      </c>
    </row>
    <row r="37" spans="2:4" x14ac:dyDescent="0.35">
      <c r="C37" s="2" t="s">
        <v>637</v>
      </c>
    </row>
    <row r="38" spans="2:4" x14ac:dyDescent="0.35">
      <c r="B38" s="2" t="s">
        <v>638</v>
      </c>
    </row>
    <row r="39" spans="2:4" x14ac:dyDescent="0.35">
      <c r="C39" s="2" t="s">
        <v>639</v>
      </c>
    </row>
    <row r="41" spans="2:4" x14ac:dyDescent="0.35">
      <c r="B41" s="2" t="s">
        <v>328</v>
      </c>
    </row>
    <row r="42" spans="2:4" x14ac:dyDescent="0.35">
      <c r="C42" s="2" t="s">
        <v>640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1196-37FA-4DF4-B667-8AEC183F88BF}">
  <dimension ref="B3:C11"/>
  <sheetViews>
    <sheetView workbookViewId="0">
      <selection activeCell="B8" sqref="B8"/>
    </sheetView>
  </sheetViews>
  <sheetFormatPr defaultRowHeight="14.5" x14ac:dyDescent="0.35"/>
  <cols>
    <col min="1" max="16384" width="8.7265625" style="2"/>
  </cols>
  <sheetData>
    <row r="3" spans="2:3" ht="18.5" x14ac:dyDescent="0.45">
      <c r="B3" s="1" t="s">
        <v>6</v>
      </c>
    </row>
    <row r="5" spans="2:3" x14ac:dyDescent="0.35">
      <c r="B5" s="2" t="s">
        <v>628</v>
      </c>
    </row>
    <row r="6" spans="2:3" x14ac:dyDescent="0.35">
      <c r="B6" s="2" t="s">
        <v>629</v>
      </c>
    </row>
    <row r="7" spans="2:3" x14ac:dyDescent="0.35">
      <c r="C7" s="2" t="s">
        <v>630</v>
      </c>
    </row>
    <row r="8" spans="2:3" x14ac:dyDescent="0.35">
      <c r="C8" s="2" t="s">
        <v>631</v>
      </c>
    </row>
    <row r="10" spans="2:3" x14ac:dyDescent="0.35">
      <c r="B10" s="2" t="s">
        <v>7</v>
      </c>
    </row>
    <row r="11" spans="2:3" x14ac:dyDescent="0.35">
      <c r="B11" s="4" t="str">
        <f>HYPERLINK("https://github.com/2DAniCritic/2danicritic.github.io","https://github.com/2DAniCritic/2danicritic.github.io")</f>
        <v>https://github.com/2DAniCritic/2danicritic.github.io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Table (All) - Alphabetcal</vt:lpstr>
      <vt:lpstr>Table (Films, Anime) - Year</vt:lpstr>
      <vt:lpstr>Extra Sheet</vt:lpstr>
      <vt:lpstr>More Info</vt:lpstr>
      <vt:lpstr>Download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2019-01-07T07:57:17Z</dcterms:created>
  <dcterms:modified xsi:type="dcterms:W3CDTF">2021-08-27T19:07:01Z</dcterms:modified>
</cp:coreProperties>
</file>