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66925"/>
  <xr:revisionPtr revIDLastSave="0" documentId="13_ncr:1_{56C9A9DA-D251-41A0-8304-DC5E412E1F94}" xr6:coauthVersionLast="41" xr6:coauthVersionMax="41" xr10:uidLastSave="{00000000-0000-0000-0000-000000000000}"/>
  <bookViews>
    <workbookView xWindow="0" yWindow="0" windowWidth="27360" windowHeight="17640" xr2:uid="{A58E8F5E-137C-4732-BF16-A9BCF0B50BB6}"/>
  </bookViews>
  <sheets>
    <sheet name="Home" sheetId="1" r:id="rId1"/>
    <sheet name="Table (All) - Alphabetcal" sheetId="2" r:id="rId2"/>
    <sheet name="Table (Films, Anime) - Year" sheetId="4" r:id="rId3"/>
    <sheet name="Extra Sheet" sheetId="6" r:id="rId4"/>
    <sheet name="More Info" sheetId="8" r:id="rId5"/>
    <sheet name="Download Local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2" i="2" l="1"/>
  <c r="S65" i="2"/>
  <c r="S304" i="2"/>
  <c r="S219" i="2"/>
  <c r="S212" i="2"/>
  <c r="S133" i="2"/>
  <c r="S302" i="2"/>
  <c r="S134" i="2"/>
  <c r="S244" i="2"/>
  <c r="S273" i="2"/>
  <c r="S85" i="2"/>
  <c r="S218" i="2"/>
  <c r="S300" i="2"/>
  <c r="S260" i="2"/>
  <c r="S230" i="2"/>
  <c r="S281" i="2"/>
  <c r="S286" i="2"/>
  <c r="S290" i="2"/>
  <c r="S51" i="2"/>
  <c r="S71" i="2"/>
  <c r="S156" i="2"/>
  <c r="S293" i="2"/>
  <c r="S144" i="2"/>
  <c r="S188" i="2"/>
  <c r="S70" i="2"/>
  <c r="S292" i="2"/>
  <c r="S203" i="2"/>
  <c r="S13" i="2"/>
  <c r="S152" i="2"/>
  <c r="S265" i="2"/>
  <c r="S131" i="2"/>
  <c r="S106" i="2"/>
  <c r="S246" i="2"/>
  <c r="S266" i="2"/>
  <c r="S103" i="2"/>
  <c r="S173" i="2"/>
  <c r="S150" i="2"/>
  <c r="S299" i="2"/>
  <c r="S234" i="2"/>
  <c r="S253" i="2"/>
  <c r="S121" i="2"/>
  <c r="S211" i="2"/>
  <c r="S143" i="2"/>
  <c r="S262" i="2"/>
  <c r="S297" i="2"/>
  <c r="S201" i="2"/>
  <c r="S107" i="2"/>
  <c r="S45" i="2"/>
  <c r="S129" i="2"/>
  <c r="S168" i="2"/>
  <c r="S217" i="2"/>
  <c r="S130" i="2"/>
  <c r="S142" i="2"/>
  <c r="S294" i="2"/>
  <c r="S222" i="2"/>
  <c r="S119" i="2"/>
  <c r="S194" i="2"/>
  <c r="S99" i="2"/>
  <c r="S185" i="2"/>
  <c r="S128" i="2"/>
  <c r="S279" i="2"/>
  <c r="S291" i="2"/>
  <c r="S80" i="2"/>
  <c r="S15" i="2"/>
  <c r="S50" i="2"/>
  <c r="S149" i="2"/>
  <c r="S69" i="2"/>
  <c r="S210" i="2"/>
  <c r="S46" i="2"/>
  <c r="S79" i="2"/>
  <c r="S40" i="2"/>
  <c r="S202" i="2"/>
  <c r="S5" i="2"/>
  <c r="S191" i="2"/>
  <c r="S182" i="2"/>
  <c r="S126" i="2"/>
  <c r="S169" i="2"/>
  <c r="S248" i="2"/>
  <c r="S97" i="2"/>
  <c r="S125" i="2"/>
  <c r="S228" i="2"/>
  <c r="S186" i="2"/>
  <c r="S68" i="2"/>
  <c r="S183" i="2"/>
  <c r="S164" i="2"/>
  <c r="S287" i="2"/>
  <c r="S95" i="2"/>
  <c r="S67" i="2"/>
  <c r="S48" i="2"/>
  <c r="S288" i="2"/>
  <c r="S163" i="2"/>
  <c r="S105" i="2"/>
  <c r="S4" i="2"/>
  <c r="S47" i="2"/>
  <c r="S268" i="2"/>
  <c r="S277" i="2"/>
  <c r="S301" i="2"/>
  <c r="S167" i="2"/>
  <c r="S66" i="2"/>
  <c r="S64" i="2"/>
  <c r="S44" i="2"/>
  <c r="S127" i="2"/>
  <c r="S43" i="2"/>
  <c r="S239" i="2"/>
  <c r="S255" i="2"/>
  <c r="S172" i="2"/>
  <c r="S245" i="2"/>
  <c r="S63" i="2"/>
  <c r="S124" i="2"/>
  <c r="S94" i="2"/>
  <c r="S236" i="2"/>
  <c r="S237" i="2"/>
  <c r="S254" i="2"/>
  <c r="S256" i="2"/>
  <c r="S231" i="2"/>
  <c r="S189" i="2"/>
  <c r="S153" i="2"/>
  <c r="S259" i="2"/>
  <c r="S41" i="2"/>
  <c r="S61" i="2"/>
  <c r="S198" i="2"/>
  <c r="S250" i="2"/>
  <c r="S115" i="2"/>
  <c r="S62" i="2"/>
  <c r="S42" i="2"/>
  <c r="S60" i="2"/>
  <c r="S102" i="2"/>
  <c r="S247" i="2"/>
  <c r="S249" i="2"/>
  <c r="S227" i="2"/>
  <c r="S280" i="2"/>
  <c r="S123" i="2"/>
  <c r="S104" i="2"/>
  <c r="S235" i="2"/>
  <c r="S233" i="2"/>
  <c r="S295" i="2"/>
  <c r="S284" i="2"/>
  <c r="S36" i="2"/>
  <c r="S303" i="2"/>
  <c r="S232" i="2"/>
  <c r="S271" i="2"/>
  <c r="S84" i="2"/>
  <c r="S31" i="2"/>
  <c r="S251" i="2"/>
  <c r="S221" i="2"/>
  <c r="S39" i="2"/>
  <c r="S101" i="2"/>
  <c r="S17" i="2"/>
  <c r="S12" i="2"/>
  <c r="S10" i="2"/>
  <c r="S200" i="2"/>
  <c r="S30" i="2"/>
  <c r="S285" i="2"/>
  <c r="S225" i="2"/>
  <c r="S226" i="2"/>
  <c r="S122" i="2"/>
  <c r="S29" i="2"/>
  <c r="S9" i="2"/>
  <c r="S93" i="2"/>
  <c r="S116" i="2"/>
  <c r="S100" i="2"/>
  <c r="S298" i="2"/>
  <c r="S272" i="2"/>
  <c r="S296" i="2"/>
  <c r="S81" i="2"/>
  <c r="S181" i="2"/>
  <c r="S209" i="2"/>
  <c r="S243" i="2"/>
  <c r="S27" i="2"/>
  <c r="S22" i="2"/>
  <c r="S98" i="2"/>
  <c r="S148" i="2"/>
  <c r="S77" i="2"/>
  <c r="S7" i="2"/>
  <c r="S83" i="2"/>
  <c r="S96" i="2"/>
  <c r="S59" i="2"/>
  <c r="S242" i="2"/>
  <c r="S82" i="2"/>
  <c r="S261" i="2"/>
  <c r="S28" i="2"/>
  <c r="S180" i="2"/>
  <c r="S179" i="2"/>
  <c r="S177" i="2"/>
  <c r="S92" i="2"/>
  <c r="S252" i="2"/>
  <c r="S91" i="2"/>
  <c r="S196" i="2"/>
  <c r="S38" i="2"/>
  <c r="S193" i="2"/>
  <c r="S56" i="2"/>
  <c r="S16" i="2"/>
  <c r="S6" i="2"/>
  <c r="S197" i="2"/>
  <c r="S151" i="2"/>
  <c r="S90" i="2"/>
  <c r="S162" i="2"/>
  <c r="S215" i="2"/>
  <c r="S170" i="2"/>
  <c r="S120" i="2"/>
  <c r="S140" i="2"/>
  <c r="S161" i="2"/>
  <c r="S14" i="2"/>
  <c r="S78" i="2"/>
  <c r="S118" i="2"/>
  <c r="S117" i="2"/>
  <c r="S21" i="2"/>
  <c r="S270" i="2"/>
  <c r="S89" i="2"/>
  <c r="S195" i="2"/>
  <c r="S258" i="2"/>
  <c r="S187" i="2"/>
  <c r="S241" i="2"/>
  <c r="S53" i="2"/>
  <c r="S74" i="2"/>
  <c r="S224" i="2"/>
  <c r="S223" i="2"/>
  <c r="S37" i="2"/>
  <c r="S138" i="2"/>
  <c r="S20" i="2"/>
  <c r="S283" i="2"/>
  <c r="S26" i="2"/>
  <c r="S274" i="2"/>
  <c r="S112" i="2"/>
  <c r="S213" i="2"/>
  <c r="S25" i="2"/>
  <c r="S114" i="2"/>
  <c r="S166" i="2"/>
  <c r="S178" i="2"/>
  <c r="S76" i="2"/>
  <c r="S184" i="2"/>
  <c r="S159" i="2"/>
  <c r="S160" i="2"/>
  <c r="S87" i="2"/>
  <c r="S19" i="2"/>
  <c r="S73" i="2"/>
  <c r="S306" i="2"/>
  <c r="S8" i="2"/>
  <c r="S35" i="2"/>
  <c r="S208" i="2"/>
  <c r="S111" i="2"/>
  <c r="S147" i="2"/>
  <c r="S146" i="2"/>
  <c r="S18" i="2"/>
  <c r="S110" i="2"/>
  <c r="S220" i="2"/>
  <c r="S175" i="2"/>
  <c r="S145" i="2"/>
  <c r="S109" i="2"/>
  <c r="S207" i="2"/>
  <c r="S24" i="2"/>
  <c r="S206" i="2"/>
  <c r="S34" i="2"/>
  <c r="S135" i="2"/>
  <c r="S216" i="2"/>
  <c r="S282" i="2"/>
  <c r="S141" i="2"/>
  <c r="S278" i="2"/>
  <c r="S158" i="2"/>
  <c r="S86" i="2"/>
  <c r="S165" i="2"/>
  <c r="S113" i="2"/>
  <c r="S11" i="2"/>
  <c r="S33" i="2"/>
  <c r="S229" i="2"/>
  <c r="S240" i="2"/>
  <c r="S238" i="2"/>
  <c r="S139" i="2"/>
  <c r="S204" i="2"/>
  <c r="S136" i="2"/>
  <c r="S23" i="2"/>
  <c r="S58" i="2"/>
  <c r="S57" i="2"/>
  <c r="S171" i="2"/>
  <c r="S55" i="2"/>
  <c r="S155" i="2"/>
  <c r="S52" i="2"/>
  <c r="S75" i="2"/>
  <c r="S72" i="2"/>
  <c r="S108" i="2"/>
  <c r="S305" i="2"/>
  <c r="S3" i="2"/>
  <c r="S275" i="2"/>
  <c r="S289" i="2"/>
  <c r="S263" i="2"/>
  <c r="S154" i="2"/>
  <c r="S192" i="2"/>
  <c r="S257" i="2"/>
  <c r="S199" i="2"/>
  <c r="S88" i="2"/>
  <c r="S137" i="2"/>
  <c r="S132" i="2"/>
  <c r="S267" i="2"/>
  <c r="S269" i="2"/>
  <c r="S54" i="2"/>
  <c r="S276" i="2"/>
  <c r="S264" i="2"/>
  <c r="S157" i="2"/>
  <c r="S190" i="2"/>
  <c r="S205" i="2"/>
  <c r="S49" i="2"/>
  <c r="S174" i="2"/>
  <c r="S214" i="2"/>
  <c r="S176" i="2"/>
  <c r="B11" i="7" l="1"/>
  <c r="D77" i="6" l="1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11" i="6"/>
  <c r="D10" i="6"/>
  <c r="D9" i="6"/>
  <c r="D8" i="6"/>
  <c r="D7" i="6"/>
  <c r="D6" i="6"/>
  <c r="D5" i="6"/>
  <c r="D4" i="6"/>
  <c r="B40" i="1"/>
  <c r="B45" i="1"/>
</calcChain>
</file>

<file path=xl/sharedStrings.xml><?xml version="1.0" encoding="utf-8"?>
<sst xmlns="http://schemas.openxmlformats.org/spreadsheetml/2006/main" count="4106" uniqueCount="1326">
  <si>
    <t>2DAniCritic's Review Library</t>
  </si>
  <si>
    <t>Over the years, I've obtained a lot of 2D animated films on home video.</t>
  </si>
  <si>
    <t>Is 2D animation dead?</t>
  </si>
  <si>
    <t>But since the decline of American 2D animated feature films, other countries filled the void,</t>
  </si>
  <si>
    <t>This site features reviews of 2D animation in feature films and televised Japanese anime.</t>
  </si>
  <si>
    <t>Living in Canada, almost all subjects on this site were once available on DVD or Bluray in North America.</t>
  </si>
  <si>
    <t>More Info:</t>
  </si>
  <si>
    <t>Download the full directory as a zip file here:</t>
  </si>
  <si>
    <t>Welcome to</t>
  </si>
  <si>
    <r>
      <t>Hello. My name is "</t>
    </r>
    <r>
      <rPr>
        <b/>
        <sz val="11"/>
        <color theme="1"/>
        <rFont val="Calibri"/>
        <family val="2"/>
        <scheme val="minor"/>
      </rPr>
      <t>Ani</t>
    </r>
    <r>
      <rPr>
        <sz val="11"/>
        <color theme="1"/>
        <rFont val="Calibri"/>
        <family val="2"/>
        <scheme val="minor"/>
      </rPr>
      <t>."</t>
    </r>
  </si>
  <si>
    <t>What is that short for? Anthony? Andy? Danny? Fred? Eh, doesn't matter.</t>
  </si>
  <si>
    <r>
      <t xml:space="preserve">I like </t>
    </r>
    <r>
      <rPr>
        <b/>
        <sz val="11"/>
        <color theme="1"/>
        <rFont val="Calibri"/>
        <family val="2"/>
        <scheme val="minor"/>
      </rPr>
      <t>2D animation</t>
    </r>
    <r>
      <rPr>
        <sz val="11"/>
        <color theme="1"/>
        <rFont val="Calibri"/>
        <family val="2"/>
        <scheme val="minor"/>
      </rPr>
      <t>. A lot.</t>
    </r>
  </si>
  <si>
    <t>Grading Scheme:</t>
  </si>
  <si>
    <t>Each review has 7 score numbers, and the total score is the average of these numbers.</t>
  </si>
  <si>
    <t>Animation:</t>
  </si>
  <si>
    <t>The amount and appeal of motion.</t>
  </si>
  <si>
    <t>Visual:</t>
  </si>
  <si>
    <t>The appeal of character design, background art, detail, style.</t>
  </si>
  <si>
    <t>Audio:</t>
  </si>
  <si>
    <t>The background music, sound effects.</t>
  </si>
  <si>
    <t>Acting:</t>
  </si>
  <si>
    <t>The enjoyment of the acting for the characters (graded in English, when available).</t>
  </si>
  <si>
    <t>Story:</t>
  </si>
  <si>
    <t>Is the story good?</t>
  </si>
  <si>
    <t>Fun:</t>
  </si>
  <si>
    <t>Is the content fun to watch?</t>
  </si>
  <si>
    <t>Bias:</t>
  </si>
  <si>
    <t>Last chance to skew the final score based on my personal preference.</t>
  </si>
  <si>
    <t>The scores are from 1.0 to 5.0,</t>
  </si>
  <si>
    <t>Generally, all scores between films are directly comparable,</t>
  </si>
  <si>
    <t>The average scores could also be read as the following:</t>
  </si>
  <si>
    <r>
      <rPr>
        <b/>
        <sz val="11"/>
        <color theme="1"/>
        <rFont val="Calibri"/>
        <family val="2"/>
        <scheme val="minor"/>
      </rPr>
      <t>Not good</t>
    </r>
    <r>
      <rPr>
        <sz val="11"/>
        <color theme="1"/>
        <rFont val="Calibri"/>
        <family val="2"/>
        <scheme val="minor"/>
      </rPr>
      <t>. As in, really not good. Avoid if possible.</t>
    </r>
  </si>
  <si>
    <r>
      <rPr>
        <b/>
        <sz val="11"/>
        <color theme="1"/>
        <rFont val="Calibri"/>
        <family val="2"/>
        <scheme val="minor"/>
      </rPr>
      <t>Above average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good</t>
    </r>
    <r>
      <rPr>
        <sz val="11"/>
        <color theme="1"/>
        <rFont val="Calibri"/>
        <family val="2"/>
        <scheme val="minor"/>
      </rPr>
      <t>). Worth watching even with minimal interest.</t>
    </r>
  </si>
  <si>
    <r>
      <rPr>
        <b/>
        <sz val="11"/>
        <color theme="1"/>
        <rFont val="Calibri"/>
        <family val="2"/>
        <scheme val="minor"/>
      </rPr>
      <t>Really good</t>
    </r>
    <r>
      <rPr>
        <sz val="11"/>
        <color theme="1"/>
        <rFont val="Calibri"/>
        <family val="2"/>
        <scheme val="minor"/>
      </rPr>
      <t>. Give this a try, you won't regret it.</t>
    </r>
  </si>
  <si>
    <r>
      <rPr>
        <b/>
        <sz val="11"/>
        <color theme="1"/>
        <rFont val="Calibri"/>
        <family val="2"/>
        <scheme val="minor"/>
      </rPr>
      <t>Fantastic.</t>
    </r>
    <r>
      <rPr>
        <sz val="11"/>
        <color theme="1"/>
        <rFont val="Calibri"/>
        <family val="2"/>
        <scheme val="minor"/>
      </rPr>
      <t xml:space="preserve"> Seek out now, spare no expense to see it.</t>
    </r>
  </si>
  <si>
    <r>
      <rPr>
        <b/>
        <sz val="11"/>
        <color theme="1"/>
        <rFont val="Calibri"/>
        <family val="2"/>
        <scheme val="minor"/>
      </rPr>
      <t>Horrible</t>
    </r>
    <r>
      <rPr>
        <sz val="11"/>
        <color theme="1"/>
        <rFont val="Calibri"/>
        <family val="2"/>
        <scheme val="minor"/>
      </rPr>
      <t>. An embarressment to the medium and a waste of your time and money.</t>
    </r>
  </si>
  <si>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>. Not worth going out of your way for unless significantly interested.</t>
    </r>
  </si>
  <si>
    <r>
      <rPr>
        <b/>
        <sz val="11"/>
        <color theme="1"/>
        <rFont val="Calibri"/>
        <family val="2"/>
        <scheme val="minor"/>
      </rPr>
      <t>Below average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mediocre</t>
    </r>
    <r>
      <rPr>
        <sz val="11"/>
        <color theme="1"/>
        <rFont val="Calibri"/>
        <family val="2"/>
        <scheme val="minor"/>
      </rPr>
      <t>). Despite good intentions, something came out wrong in the final product.</t>
    </r>
  </si>
  <si>
    <r>
      <rPr>
        <b/>
        <sz val="11"/>
        <color theme="1"/>
        <rFont val="Calibri"/>
        <family val="2"/>
        <scheme val="minor"/>
      </rPr>
      <t>Poor</t>
    </r>
    <r>
      <rPr>
        <sz val="11"/>
        <color theme="1"/>
        <rFont val="Calibri"/>
        <family val="2"/>
        <scheme val="minor"/>
      </rPr>
      <t>. A handful of well-done elements prevent it from being horrible.</t>
    </r>
  </si>
  <si>
    <t>This webpage is a catalogue of reviews I've written to help me organize my collection.</t>
  </si>
  <si>
    <t>With reviews of hundreds of films (old and new) on this site, we have evidence</t>
  </si>
  <si>
    <t>for any inquiries.</t>
  </si>
  <si>
    <t>in.</t>
  </si>
  <si>
    <t>director</t>
  </si>
  <si>
    <t>STot</t>
  </si>
  <si>
    <t>SAni</t>
  </si>
  <si>
    <t>SVis</t>
  </si>
  <si>
    <t>SAud</t>
  </si>
  <si>
    <t>SAct</t>
  </si>
  <si>
    <t>SSto</t>
  </si>
  <si>
    <t>SFun</t>
  </si>
  <si>
    <t>SBias</t>
  </si>
  <si>
    <t>genre</t>
  </si>
  <si>
    <t>Link</t>
  </si>
  <si>
    <t xml:space="preserve">Japan       </t>
  </si>
  <si>
    <t>family, philosophy, romance, drama</t>
  </si>
  <si>
    <t>Jean-Loup Felicioli, Alain Gagnol</t>
  </si>
  <si>
    <t>action, adventure, comedy, family, thriller</t>
  </si>
  <si>
    <t>A Liar's Autobiography - The Untrue Story of Monty Python's Graham Chapman</t>
  </si>
  <si>
    <t>United Kingdom</t>
  </si>
  <si>
    <t>Bill Jones, Jeff Simpson, Ben Timlett</t>
  </si>
  <si>
    <t>adventure, comedy, experimental, philosophy, drama, non fiction</t>
  </si>
  <si>
    <t>philosophy, romance, drama</t>
  </si>
  <si>
    <t>adventure, experimental, philosophy, fantasy, science fiction</t>
  </si>
  <si>
    <t>Fuminori Kizaki, Jamie Simone</t>
  </si>
  <si>
    <t>action, horror, fantasy, drama</t>
  </si>
  <si>
    <t>action, adventure, horror, fantasy, drama</t>
  </si>
  <si>
    <t>action, experimental, horror, science fiction</t>
  </si>
  <si>
    <t>comedy, fantasy</t>
  </si>
  <si>
    <t>action, adventure, comedy, fantasy, drama</t>
  </si>
  <si>
    <t>Christian Desmares, Franck Ekinci</t>
  </si>
  <si>
    <t>action, adventure, comedy, family, romance, science fiction, mystery</t>
  </si>
  <si>
    <t>comedy, philosophy, romance, fantasy, drama</t>
  </si>
  <si>
    <t>adventure, experimental, philosophy, fantasy, mystery</t>
  </si>
  <si>
    <t>comedy, family</t>
  </si>
  <si>
    <t>action, comedy, experimental, horror, thriller, mystery</t>
  </si>
  <si>
    <t>Akiyuki Shinbo, Tatsuya Oishi</t>
  </si>
  <si>
    <t>action, comedy, erotic, experimental, horror, philosophy, romance, drama</t>
  </si>
  <si>
    <t>erotic, experimental, horror, romance, fantasy, drama</t>
  </si>
  <si>
    <t>Berserk - The Golden Age Arc (The Egg of the King, The Battle for Doldrey, The Advent)</t>
  </si>
  <si>
    <t>action, adventure, horror, fantasy</t>
  </si>
  <si>
    <t>action, horror, romance, fantasy, drama, mystery</t>
  </si>
  <si>
    <t>Liang Xuan, Zhang Chun</t>
  </si>
  <si>
    <t>adventure, family, philosophy, romance, fantasy</t>
  </si>
  <si>
    <t>Alberto Vazquez, Pedro Rivero</t>
  </si>
  <si>
    <t>action, adventure, comedy, experimental, horror, philosophy, romance, fantasy, drama</t>
  </si>
  <si>
    <t>action, comedy, science fiction, drama</t>
  </si>
  <si>
    <t>action, adventure, comedy, erotic, horror, fantasy, drama, mystery</t>
  </si>
  <si>
    <t xml:space="preserve">OVA             </t>
  </si>
  <si>
    <t>comedy, erotic, horror, fantasy, mystery</t>
  </si>
  <si>
    <t>action, adventure, comedy, erotic, horror, fantasy, drama</t>
  </si>
  <si>
    <t>action, drama, thriller</t>
  </si>
  <si>
    <t>Oriental Light and Magic, Character Plan</t>
  </si>
  <si>
    <t>Joji Shimura, Ahn Tae-kun</t>
  </si>
  <si>
    <t>action, adventure</t>
  </si>
  <si>
    <t>action, experimental, philosophy, science fiction, mystery</t>
  </si>
  <si>
    <t>action, horror, thriller</t>
  </si>
  <si>
    <t>action, adventure, comedy, experimental, horror, fantasy</t>
  </si>
  <si>
    <t>action, horror, thriller, mystery</t>
  </si>
  <si>
    <t>adventure, experimental, family, philosophy</t>
  </si>
  <si>
    <t>action, adventure, fantasy, thriller</t>
  </si>
  <si>
    <t>action, adventure, comedy, family, romance, fantasy</t>
  </si>
  <si>
    <t>action, comedy, erotic, romance, science fiction</t>
  </si>
  <si>
    <t>adventure, comedy, experimental, horror, philosophy, fantasy</t>
  </si>
  <si>
    <t>romance, drama</t>
  </si>
  <si>
    <t>adventure, family, philosophy, fantasy, drama</t>
  </si>
  <si>
    <t>action, adventure, philosophy, science fiction, drama, thriller</t>
  </si>
  <si>
    <t>action, comedy, philosophy, romance, science fiction, drama, thriller</t>
  </si>
  <si>
    <t>Akio Watanabe, Toshikazu Matsubara</t>
  </si>
  <si>
    <t>adventure, comedy, experimental, family, romance, fantasy, science fiction</t>
  </si>
  <si>
    <t>Shuhei Morita, Hiroaki Ando</t>
  </si>
  <si>
    <t>action, adventure, comedy, experimental, family, horror, philosophy, romance, fantasy, science fiction, drama, thriller, mystery</t>
  </si>
  <si>
    <t>adventure, family, philosophy, drama, mystery</t>
  </si>
  <si>
    <t>action, horror, romance, fantasy, thriller</t>
  </si>
  <si>
    <t>comedy, family, philosophy, drama</t>
  </si>
  <si>
    <t>Shigehito Takayanagi</t>
  </si>
  <si>
    <t>comedy, non fiction</t>
  </si>
  <si>
    <t>action, erotic, horror, romance, fantasy</t>
  </si>
  <si>
    <t>Film Roman, Production I.G., Don Woo Animation, Manglobe, JM Animation, MOI Animation, Digital eMation, BigStar, EA Pictures</t>
  </si>
  <si>
    <t>Mika Disa, Shuko Murase, Yasuomi Umetsu, Victor Cook, Jong-Sik Nam, Kim Sang-jin, Lee Seung-Gyu</t>
  </si>
  <si>
    <t>action, experimental, horror</t>
  </si>
  <si>
    <t>action, comedy, horror, science fiction, thriller, mystery</t>
  </si>
  <si>
    <t>horror, philosophy, drama, thriller, mystery</t>
  </si>
  <si>
    <t>philosophy, fantasy, drama, thriller</t>
  </si>
  <si>
    <t>action, erotic, experimental, horror, romance, fantasy, drama</t>
  </si>
  <si>
    <t>action, horror, fantasy</t>
  </si>
  <si>
    <t>adventure, comedy, mystery</t>
  </si>
  <si>
    <t>action, comedy, fantasy</t>
  </si>
  <si>
    <t>adventure, comedy, horror, philosophy, romance, drama, mystery</t>
  </si>
  <si>
    <t>adventure, philosophy, romance, drama, thriller, mystery</t>
  </si>
  <si>
    <t>Stephani Aubier, Vincent Patar, Benjamin Renner</t>
  </si>
  <si>
    <t>adventure, comedy, family, philosophy, drama</t>
  </si>
  <si>
    <t>comedy, family, romance, non fiction</t>
  </si>
  <si>
    <t>action, adventure, comedy, fantasy</t>
  </si>
  <si>
    <t>action, adventure, fantasy</t>
  </si>
  <si>
    <t>action, horror, philosophy, fantasy, drama</t>
  </si>
  <si>
    <t>Akiyuki Shinbo, Nobuyuki Takeuchi</t>
  </si>
  <si>
    <t>adventure, romance, fantasy, drama</t>
  </si>
  <si>
    <t>action, adventure, comedy, experimental, philosophy, romance, fantasy</t>
  </si>
  <si>
    <t>action, adventure, comedy, experimental, romance, fantasy</t>
  </si>
  <si>
    <t>family, romance, drama</t>
  </si>
  <si>
    <t>action, philosophy, drama</t>
  </si>
  <si>
    <t>experimental, romance, fantasy, science fiction, drama, thriller, mystery</t>
  </si>
  <si>
    <t>action, horror, science fiction, thriller, mystery</t>
  </si>
  <si>
    <t>adventure, horror, philosophy, science fiction, mystery</t>
  </si>
  <si>
    <t>action, philosophy, science fiction, thriller, mystery</t>
  </si>
  <si>
    <t>action, philosophy, science fiction</t>
  </si>
  <si>
    <t>action, philosophy, science fiction, thriller</t>
  </si>
  <si>
    <t>comedy</t>
  </si>
  <si>
    <t>family, horror, philosophy, drama, non fiction</t>
  </si>
  <si>
    <t>action, adventure, fantasy, drama</t>
  </si>
  <si>
    <t>Yukihiro Miyamoto, Akiyuki Shinbo</t>
  </si>
  <si>
    <t>comedy, erotic, romance, science fiction, drama</t>
  </si>
  <si>
    <t>action, adventure, experimental, romance, fantasy, science fiction, drama</t>
  </si>
  <si>
    <t>Michael Arias, Takashi Nakamura</t>
  </si>
  <si>
    <t>philosophy, science fiction, drama, thriller, mystery</t>
  </si>
  <si>
    <t>action, adventure, comedy, drama, thriller</t>
  </si>
  <si>
    <t>action, comedy, erotic, romance, fantasy, science fiction, drama</t>
  </si>
  <si>
    <t>Heaven's Lost Property the Movie - The Angeloid of Clockwork</t>
  </si>
  <si>
    <t>Hisashi Saito, Tetsuya Yanagisawa</t>
  </si>
  <si>
    <t>action, comedy, erotic, romance, fantasy</t>
  </si>
  <si>
    <t>comedy, philosophy, drama, mystery</t>
  </si>
  <si>
    <t>Satelight, Madhouse, Graphinica &amp; Kelmadick</t>
  </si>
  <si>
    <t>Tomokazu Tokoro, Hiroyuki Tanaka, Yasuhiro Matsumura</t>
  </si>
  <si>
    <t>action, experimental, horror, fantasy</t>
  </si>
  <si>
    <t>comedy, romance</t>
  </si>
  <si>
    <t>action, erotic, horror, thriller</t>
  </si>
  <si>
    <t>adventure, experimental, family, philosophy, romance, fantasy</t>
  </si>
  <si>
    <t>adventure, comedy, philosophy, drama</t>
  </si>
  <si>
    <t>family, drama, non fiction</t>
  </si>
  <si>
    <t>comedy, experimental, philosophy, drama</t>
  </si>
  <si>
    <t>action, comedy, drama, thriller</t>
  </si>
  <si>
    <t>action, fantasy, drama, mystery</t>
  </si>
  <si>
    <t>experimental, philosophy, romance, science fiction, mystery</t>
  </si>
  <si>
    <t>comedy, romance, drama</t>
  </si>
  <si>
    <t>comedy, erotic, romance</t>
  </si>
  <si>
    <t>action, comedy, erotic, sports</t>
  </si>
  <si>
    <t>adventure, comedy, family, philosophy, romance, fantasy</t>
  </si>
  <si>
    <t>adventure, experimental, philosophy, science fiction</t>
  </si>
  <si>
    <t>action, comedy, erotic, experimental, horror, romance, fantasy, thriller</t>
  </si>
  <si>
    <t>Shin Onuma, Shin'ya Kawatsura</t>
  </si>
  <si>
    <t>comedy, horror, philosophy, romance, drama</t>
  </si>
  <si>
    <t>action, adventure, comedy, experimental, family, philosophy, fantasy</t>
  </si>
  <si>
    <t>Jean-Francois Laguionie</t>
  </si>
  <si>
    <t>philosophy, drama</t>
  </si>
  <si>
    <t>comedy, romance, fantasy, drama</t>
  </si>
  <si>
    <t>Dorota Kobiela, Hugh Welchman</t>
  </si>
  <si>
    <t>family, philosophy, drama, mystery</t>
  </si>
  <si>
    <t>adventure, comedy, family</t>
  </si>
  <si>
    <t>action, adventure, comedy</t>
  </si>
  <si>
    <t>action, adventure, experimental, philosophy, drama, mystery</t>
  </si>
  <si>
    <t>action, adventure, comedy, family, romance</t>
  </si>
  <si>
    <t>action, adventure, comedy, science fiction</t>
  </si>
  <si>
    <t>action, adventure, erotic, experimental, drama, mystery</t>
  </si>
  <si>
    <t>Akiyuki Shinbo, Yukihiro Miyamoto</t>
  </si>
  <si>
    <t>action, experimental, horror, fantasy, drama, mystery</t>
  </si>
  <si>
    <t>action, philosophy, fantasy, drama</t>
  </si>
  <si>
    <t>action, adventure, romance, fantasy, drama</t>
  </si>
  <si>
    <t>Hiromasa Yonebayashi</t>
  </si>
  <si>
    <t>adventure, family, fantasy</t>
  </si>
  <si>
    <t>action, comedy, thriller</t>
  </si>
  <si>
    <t>action, comedy, erotic, thriller</t>
  </si>
  <si>
    <t>Guillaume "Run" Renard, Shojiro Nishimi</t>
  </si>
  <si>
    <t>action, comedy, romance, science fiction</t>
  </si>
  <si>
    <t>adventure, comedy, experimental, philosophy, romance</t>
  </si>
  <si>
    <t>philosophy, fantasy, drama, mystery</t>
  </si>
  <si>
    <t>adventure, family, philosophy, romance, drama</t>
  </si>
  <si>
    <t>family, philosophy, drama</t>
  </si>
  <si>
    <t>action, adventure, comedy, experimental, horror, philosophy, romance, drama</t>
  </si>
  <si>
    <t>comedy, experimental, family, philosophy</t>
  </si>
  <si>
    <t>Hideaki Anno, Shinji Higuchi</t>
  </si>
  <si>
    <t>action, adventure, family, fantasy</t>
  </si>
  <si>
    <t>adventure, comedy, experimental, family, fantasy, science fiction, mystery</t>
  </si>
  <si>
    <t>action, adventure, family, philosophy, fantasy, science fiction</t>
  </si>
  <si>
    <t>adventure, comedy</t>
  </si>
  <si>
    <t>comedy, experimental, family</t>
  </si>
  <si>
    <t>adventure, experimental, family, philosophy, fantasy</t>
  </si>
  <si>
    <t>action, adventure, erotic, horror, fantasy</t>
  </si>
  <si>
    <t>Akiyuki Shinbo, Tatsuya Osihi</t>
  </si>
  <si>
    <t>action, adventure, comedy, erotic, fantasy</t>
  </si>
  <si>
    <t>action, adventure, comedy, horror, romance, fantasy, drama</t>
  </si>
  <si>
    <t>action, comedy, horror, romance, fantasy</t>
  </si>
  <si>
    <t>action, adventure, fantasy, science fiction</t>
  </si>
  <si>
    <t>action, adventure, comedy, romance, fantasy</t>
  </si>
  <si>
    <t>action, comedy, erotic, experimental, fantasy</t>
  </si>
  <si>
    <t>adventure, erotic, experimental, horror, fantasy, science fiction, thriller</t>
  </si>
  <si>
    <t>Yoshinaga Naoyuki, Nakazawa Kazuto</t>
  </si>
  <si>
    <t>action, philosophy, science fiction, drama, mystery</t>
  </si>
  <si>
    <t>action, philosophy, science fiction, drama, thriller, mystery</t>
  </si>
  <si>
    <t>erotic, experimental, horror, thriller, mystery</t>
  </si>
  <si>
    <t>Marjane Satrapi, Vincent Paronnaud</t>
  </si>
  <si>
    <t>comedy, philosophy, romance, drama, non fiction</t>
  </si>
  <si>
    <t>Persona 3 The Movie - Spring of Birth, Midsummer Knight's Dream, Falling Down, Winter of Rebirth</t>
  </si>
  <si>
    <t>Noriaki Akitaya, Tomohisa Taguchi, Keitaro Motonaga</t>
  </si>
  <si>
    <t>action, adventure, comedy, family, fantasy</t>
  </si>
  <si>
    <t>experimental, drama, sports</t>
  </si>
  <si>
    <t>adventure, comedy, experimental, family, philosophy, fantasy</t>
  </si>
  <si>
    <t>adventure, family, romance, fantasy</t>
  </si>
  <si>
    <t>action, adventure, philosophy, romance, fantasy</t>
  </si>
  <si>
    <t>action, comedy, erotic, horror, romance, thriller</t>
  </si>
  <si>
    <t>action, comedy, erotic, experimental, fantasy, science fiction, drama, mystery</t>
  </si>
  <si>
    <t>adventure, comedy, erotic, romance, drama, thriller, non fiction</t>
  </si>
  <si>
    <t>action, science fiction, sports</t>
  </si>
  <si>
    <t>adventure, family, horror, philosophy</t>
  </si>
  <si>
    <t>adventure, family</t>
  </si>
  <si>
    <t>action, adventure, fantasy, mystery</t>
  </si>
  <si>
    <t>action, comedy, family, romance, fantasy</t>
  </si>
  <si>
    <t>experimental, horror, philosophy, science fiction, mystery</t>
  </si>
  <si>
    <t>Shimoneta - A Boring World Where the Concept of Dirty Jokes Doesn't Exist</t>
  </si>
  <si>
    <t>adventure, comedy, erotic, philosophy</t>
  </si>
  <si>
    <t>comedy, philosophy, drama</t>
  </si>
  <si>
    <t>action, horror, science fiction</t>
  </si>
  <si>
    <t>action, adventure, comedy, horror, fantasy</t>
  </si>
  <si>
    <t>Shinichiro Watanabe, Shingo Natsume</t>
  </si>
  <si>
    <t>adventure, comedy, experimental, science fiction</t>
  </si>
  <si>
    <t>adventure, romance, fantasy</t>
  </si>
  <si>
    <t>Hiroshi Hamasaki, Takyua Sato</t>
  </si>
  <si>
    <t>adventure, comedy, horror, romance, science fiction, drama, thriller</t>
  </si>
  <si>
    <t>action, adventure, comedy, family, romance, science fiction, drama, thriller</t>
  </si>
  <si>
    <t>Shigeyuki Miya, Atsuko Ishizuka</t>
  </si>
  <si>
    <t>action, adventure, horror, fantasy, mystery</t>
  </si>
  <si>
    <t>adventure, philosophy, fantasy, drama</t>
  </si>
  <si>
    <t>Peter Rida Michail, Aaron Horvath</t>
  </si>
  <si>
    <t>action, adventure, comedy, family</t>
  </si>
  <si>
    <t>Benjamin Renner, Patrick Imbert</t>
  </si>
  <si>
    <t>action, adventure, comedy, family, romance, fantasy, drama, sports</t>
  </si>
  <si>
    <t>adventure, family, philosophy, drama</t>
  </si>
  <si>
    <t>Tatsuya Ishihara, Yasuhiro Takemoto</t>
  </si>
  <si>
    <t>adventure, philosophy, romance, science fiction, drama, mystery</t>
  </si>
  <si>
    <t>action, adventure, experimental, fantasy</t>
  </si>
  <si>
    <t>action, adventure, horror, philosophy, science fiction, thriller</t>
  </si>
  <si>
    <t>Arthur Rankin, Jr., Jules Bass</t>
  </si>
  <si>
    <t>Ei Aoki, Takuya Nonaka, Mitsuru Obunai, Teiichi Takiguchi, Takayuki Hiaro, Takahiro Miura, Shinsuke Takizawa, Tomonori Sudou</t>
  </si>
  <si>
    <t>action, horror, romance, fantasy, thriller, mystery</t>
  </si>
  <si>
    <t>comedy, family, romance, science fiction, drama</t>
  </si>
  <si>
    <t>Sebastien Laudenbach</t>
  </si>
  <si>
    <t>experimental, horror, philosophy, romance, fantasy, drama</t>
  </si>
  <si>
    <t>Arthur Rankin Jr., Jules Bass</t>
  </si>
  <si>
    <t>adventure, experimental, family, philosophy, fantasy, drama</t>
  </si>
  <si>
    <t>adventure, comedy, experimental, romance, science fiction</t>
  </si>
  <si>
    <t>comedy, experimental</t>
  </si>
  <si>
    <t>adventure, comedy, experimental, romance</t>
  </si>
  <si>
    <t>adventure, family, romance, science fiction</t>
  </si>
  <si>
    <t>Brenda Chapman, Steve Hickner, Simon Wells</t>
  </si>
  <si>
    <t>adventure, comedy, family, romance</t>
  </si>
  <si>
    <t>action, adventure, family, romance, fantasy</t>
  </si>
  <si>
    <t>Joann Sfar, Antoine Delesvaux</t>
  </si>
  <si>
    <t>adventure, comedy, philosophy</t>
  </si>
  <si>
    <t>Michael Dudok de Wit</t>
  </si>
  <si>
    <t>adventure, experimental, philosophy, drama</t>
  </si>
  <si>
    <t>adventure, family, philosophy, fantasy, mystery</t>
  </si>
  <si>
    <t>philosophy, drama, mystery</t>
  </si>
  <si>
    <t>adventure, experimental, family, philosophy, romance, fantasy, drama</t>
  </si>
  <si>
    <t>Richard Williams Animation Productions</t>
  </si>
  <si>
    <t>adventure, comedy, experimental, family, romance, fantasy</t>
  </si>
  <si>
    <t>philosophy, romance, drama, non fiction</t>
  </si>
  <si>
    <t>experimental, philosophy, science fiction, drama</t>
  </si>
  <si>
    <t>Don Bluth, Gary Goldman</t>
  </si>
  <si>
    <t>adventure, comedy, family, romance, fantasy</t>
  </si>
  <si>
    <t>philosophy, science fiction, drama</t>
  </si>
  <si>
    <t>adventure, comedy, family, drama</t>
  </si>
  <si>
    <t>Osamu Dezaki, Yoichiro Fukuda</t>
  </si>
  <si>
    <t>action, drama, sports</t>
  </si>
  <si>
    <t>action, science fiction, drama</t>
  </si>
  <si>
    <t>action, adventure, comedy, science fiction, drama</t>
  </si>
  <si>
    <t>family, romance, fantasy, drama</t>
  </si>
  <si>
    <t>adventure, comedy, experimental, philosophy, romance, fantasy</t>
  </si>
  <si>
    <t>action, romance, science fiction, drama</t>
  </si>
  <si>
    <t>adventure, comedy, experimental, philosophy, romance, drama</t>
  </si>
  <si>
    <t>adventure, family, drama, mystery</t>
  </si>
  <si>
    <t>comedy, experimental, horror, philosophy, drama</t>
  </si>
  <si>
    <t>experimental, family, romance, drama</t>
  </si>
  <si>
    <t>adventure, family, romance, fantasy, drama</t>
  </si>
  <si>
    <t>adventure, comedy, experimental, horror, philosophy, fantasy, mystery</t>
  </si>
  <si>
    <t>adventure, comedy, experimental, family</t>
  </si>
  <si>
    <t>comedy, romance, drama, sports</t>
  </si>
  <si>
    <t>runtime</t>
  </si>
  <si>
    <t>Anime (TV)</t>
  </si>
  <si>
    <t>Anime (Films)</t>
  </si>
  <si>
    <t>International (outside of Japan) (Films)</t>
  </si>
  <si>
    <t>&gt;&gt;&gt;</t>
  </si>
  <si>
    <t>1.0 -&gt; 1.5</t>
  </si>
  <si>
    <t>1.5 -&gt; 2.0</t>
  </si>
  <si>
    <t>2.0 -&gt; 2.5</t>
  </si>
  <si>
    <t>2.5 -&gt; 3.0</t>
  </si>
  <si>
    <t>3.0 -&gt; 3.5</t>
  </si>
  <si>
    <t>3.5 -&gt; 4.0</t>
  </si>
  <si>
    <t>4.0 -&gt; 4.5</t>
  </si>
  <si>
    <t>4.5 -&gt; 5.0</t>
  </si>
  <si>
    <t>Range</t>
  </si>
  <si>
    <t>Count for Range</t>
  </si>
  <si>
    <t>Naturally, since I choose what I watch,</t>
  </si>
  <si>
    <t>Year</t>
  </si>
  <si>
    <t>Count</t>
  </si>
  <si>
    <t>I hold the right to edit existing reviews after they are published.</t>
  </si>
  <si>
    <t>Reviews written since 2014, made public since 2018, updated (approximately) every couple months.</t>
  </si>
  <si>
    <t>Maybe in Hollywood, where only the most popular and commercial methods can survive.</t>
  </si>
  <si>
    <t>With these films, you will always have the option to seek out a lost classic on home video,</t>
  </si>
  <si>
    <t>Jiro Fujimoto, Yasuhiro Irie</t>
  </si>
  <si>
    <t>action, comedy, horror, science fiction, drama</t>
  </si>
  <si>
    <t>comedy, horror, drama, non fiction</t>
  </si>
  <si>
    <t>adventure, comedy, drama, non fiction</t>
  </si>
  <si>
    <t>action, adventure, experimental, family</t>
  </si>
  <si>
    <t>action, comedy, horror, fantasy, thriller</t>
  </si>
  <si>
    <t>action, comedy, horror, fantasy</t>
  </si>
  <si>
    <t>action, comedy, erotic, romance</t>
  </si>
  <si>
    <t>action, adventure, family, philosophy, romance, science fiction, thriller</t>
  </si>
  <si>
    <t>adventure, comedy, family, philosophy</t>
  </si>
  <si>
    <t>comedy, romance, fantasy</t>
  </si>
  <si>
    <t>philosophy, romance, science fiction, drama, thriller</t>
  </si>
  <si>
    <t>comedy, erotic, horror, romance, fantasy, mystery</t>
  </si>
  <si>
    <t>adventure, family, fantasy, mystery</t>
  </si>
  <si>
    <t>action, comedy, horror, romance, fantasy, thriller, mystery</t>
  </si>
  <si>
    <t>comedy, philosophy, romance, drama</t>
  </si>
  <si>
    <t>comedy, erotic, romance, drama</t>
  </si>
  <si>
    <t>Tomm Moore, Nora Twomey</t>
  </si>
  <si>
    <t>adventure, comedy, experimental, thriller</t>
  </si>
  <si>
    <t>action, adventure, horror, romance, fantasy</t>
  </si>
  <si>
    <t>https://2danicritic.github.io/ReviewHtml/review_Teen_Titans_Go_(To_The_Movies).html</t>
  </si>
  <si>
    <t>https://2danicritic.github.io/ReviewHtml/review_Have_a_Nice_Day.html</t>
  </si>
  <si>
    <t>https://2danicritic.github.io/ReviewHtml/review_I'll_Just_Live_In_Bando.html</t>
  </si>
  <si>
    <t>https://2danicritic.github.io/ReviewHtml/review_Loving_Vincent.html</t>
  </si>
  <si>
    <t>https://2danicritic.github.io/ReviewHtml/review_MFKZ.html</t>
  </si>
  <si>
    <t>https://2danicritic.github.io/ReviewHtml/review_My_Dogs,_Jinjin_and_Akida.html</t>
  </si>
  <si>
    <t>https://2danicritic.github.io/ReviewHtml/review_The_Big_Bad_Fox_and_Other_Tales.html</t>
  </si>
  <si>
    <t>https://2danicritic.github.io/ReviewHtml/review_The_Breadwinner.html</t>
  </si>
  <si>
    <t>https://2danicritic.github.io/ReviewHtml/review_Big_Fish_and_Begonia.html</t>
  </si>
  <si>
    <t>https://2danicritic.github.io/ReviewHtml/review_Ethel_&amp;_Ernest_.html</t>
  </si>
  <si>
    <t>https://2danicritic.github.io/ReviewHtml/review_Louise_By_The_Shore.html</t>
  </si>
  <si>
    <t>https://2danicritic.github.io/ReviewHtml/review_My_Entire_High_School_Sinking_Into_The_Sea.html</t>
  </si>
  <si>
    <t>https://2danicritic.github.io/ReviewHtml/review_Nerdland.html</t>
  </si>
  <si>
    <t>https://2danicritic.github.io/ReviewHtml/review_Nova_Seed.html</t>
  </si>
  <si>
    <t>https://2danicritic.github.io/ReviewHtml/review_The_Girl_Without_Hands.html</t>
  </si>
  <si>
    <t>https://2danicritic.github.io/ReviewHtml/review_The_Red_Turtle.html</t>
  </si>
  <si>
    <t>https://2danicritic.github.io/ReviewHtml/review_Window_Horses_-_The_Poetic_Persian_Epiphany_of_Rosie_Ming.html</t>
  </si>
  <si>
    <t>https://2danicritic.github.io/ReviewHtml/review_April_and_the_Extraordinary_World.html</t>
  </si>
  <si>
    <t>https://2danicritic.github.io/ReviewHtml/review_Birdboy_-_The_Forgotten_Children.html</t>
  </si>
  <si>
    <t>https://2danicritic.github.io/ReviewHtml/review_Satellite_Girl_and_Milk_Cow.html</t>
  </si>
  <si>
    <t>https://2danicritic.github.io/ReviewHtml/review_Song_of_the_Sea.html</t>
  </si>
  <si>
    <t>https://2danicritic.github.io/ReviewHtml/review_Boy_and_the_World.html</t>
  </si>
  <si>
    <t>https://2danicritic.github.io/ReviewHtml/review_A_Liar's_Autobiography_-_The_Untrue_Story_of_Monty_Python's_Graham_Chapman.html</t>
  </si>
  <si>
    <t>https://2danicritic.github.io/ReviewHtml/review_Ernest_and_Celestine.html</t>
  </si>
  <si>
    <t>https://2danicritic.github.io/ReviewHtml/review_It's_Such_a_Beautiful_Day.html</t>
  </si>
  <si>
    <t>https://2danicritic.github.io/ReviewHtml/review_The_Rabbi's_Cat.html</t>
  </si>
  <si>
    <t>https://2danicritic.github.io/ReviewHtml/review_Wrinkles.html</t>
  </si>
  <si>
    <t>https://2danicritic.github.io/ReviewHtml/review_A_Cat_in_Paris.html</t>
  </si>
  <si>
    <t>https://2danicritic.github.io/ReviewHtml/review_Chico_and_Rita.html</t>
  </si>
  <si>
    <t>https://2danicritic.github.io/ReviewHtml/review_The_Illusionist.html</t>
  </si>
  <si>
    <t>https://2danicritic.github.io/ReviewHtml/review_The_Secret_of_Kells.html</t>
  </si>
  <si>
    <t>https://2danicritic.github.io/ReviewHtml/review_Persepolis.html</t>
  </si>
  <si>
    <t>https://2danicritic.github.io/ReviewHtml/review_Blade_of_the_Phantom_Master.html</t>
  </si>
  <si>
    <t>https://2danicritic.github.io/ReviewHtml/review_The_Triplets_of_Belleville.html</t>
  </si>
  <si>
    <t>https://2danicritic.github.io/ReviewHtml/review_My_Beautiful_Girl_Mari.html</t>
  </si>
  <si>
    <t>https://2danicritic.github.io/ReviewHtml/review_The_Prince_of_Egpyt.html</t>
  </si>
  <si>
    <t>https://2danicritic.github.io/ReviewHtml/review_Thumbelina.html</t>
  </si>
  <si>
    <t>https://2danicritic.github.io/ReviewHtml/review_The_Thief_and_the_Cobbler.html</t>
  </si>
  <si>
    <t>https://2danicritic.github.io/ReviewHtml/review_Rock-a-Doodle.html</t>
  </si>
  <si>
    <t>https://2danicritic.github.io/ReviewHtml/review_When_The_Wind_Blows.html</t>
  </si>
  <si>
    <t>https://2danicritic.github.io/ReviewHtml/review_Rock_and_Rule.html</t>
  </si>
  <si>
    <t>https://2danicritic.github.io/ReviewHtml/review_The_Flight_of_Dragons.html</t>
  </si>
  <si>
    <t>https://2danicritic.github.io/ReviewHtml/review_The_Last_Unicorn.html</t>
  </si>
  <si>
    <t>https://2danicritic.github.io/ReviewHtml/review_The_Secret_of_Nimh.html</t>
  </si>
  <si>
    <t>https://2danicritic.github.io/ReviewHtml/review_Wizards.html</t>
  </si>
  <si>
    <t>https://2danicritic.github.io/ReviewHtml/review_Yellow_Submarine.html</t>
  </si>
  <si>
    <t>https://2danicritic.github.io/ReviewHtml/review_5_Centimeters_per_Second.html</t>
  </si>
  <si>
    <t>https://2danicritic.github.io/ReviewHtml/review_A_Silent_Voice.html</t>
  </si>
  <si>
    <t>https://2danicritic.github.io/ReviewHtml/review_A_Tree_of_Palme.html</t>
  </si>
  <si>
    <t>https://2danicritic.github.io/ReviewHtml/review_Afro_Samurai_-_Resurrection.html</t>
  </si>
  <si>
    <t>https://2danicritic.github.io/ReviewHtml/review_Akira.html</t>
  </si>
  <si>
    <t>https://2danicritic.github.io/ReviewHtml/review_Aura_-_Koga_Maryuin's_Last_War.html</t>
  </si>
  <si>
    <t>https://2danicritic.github.io/ReviewHtml/review_Barefoot_Gen.html</t>
  </si>
  <si>
    <t>https://2danicritic.github.io/ReviewHtml/review_Barefoot_Gen_2.html</t>
  </si>
  <si>
    <t>https://2danicritic.github.io/ReviewHtml/review_Batman_Ninja.html</t>
  </si>
  <si>
    <t>https://2danicritic.github.io/ReviewHtml/review_Belladonna_of_Sadness.html</t>
  </si>
  <si>
    <t>https://2danicritic.github.io/ReviewHtml/review_Berserk_-_The_Golden_Age_Arc_(The_Egg_of_the_King,_The_Battle_for_Doldrey,_The_Advent).html</t>
  </si>
  <si>
    <t>https://2danicritic.github.io/ReviewHtml/review_Beyond_the_Boundary_-_I'll_Be_Here.html</t>
  </si>
  <si>
    <t>https://2danicritic.github.io/ReviewHtml/review_Black_Butler_-_Book_of_the_Atlantic.html</t>
  </si>
  <si>
    <t>https://2danicritic.github.io/ReviewHtml/review_Blood_-_The_Last_Vampire.html</t>
  </si>
  <si>
    <t>https://2danicritic.github.io/ReviewHtml/review_Blood-C_-_The_Last_Dark.html</t>
  </si>
  <si>
    <t>https://2danicritic.github.io/ReviewHtml/review_Castle_in_the_Sky.html</t>
  </si>
  <si>
    <t>https://2danicritic.github.io/ReviewHtml/review_Children_Who_Chase_Lost_Voices.html</t>
  </si>
  <si>
    <t>https://2danicritic.github.io/ReviewHtml/review_Colorful_-_The_Motion_Picture.html</t>
  </si>
  <si>
    <t>https://2danicritic.github.io/ReviewHtml/review_Dante's_Inferno_-_An_Animated_Epic.html</t>
  </si>
  <si>
    <t>https://2danicritic.github.io/ReviewHtml/review_Eden_of_the_East_-_The_King_of_Eden,_Paradise_Lost.html</t>
  </si>
  <si>
    <t>https://2danicritic.github.io/ReviewHtml/review_Fairy_Tail_-_Dragon_Cry.html</t>
  </si>
  <si>
    <t>https://2danicritic.github.io/ReviewHtml/review_Fireworks.html</t>
  </si>
  <si>
    <t>https://2danicritic.github.io/ReviewHtml/review_From_Up_On_Poppy_Hill.html</t>
  </si>
  <si>
    <t>https://2danicritic.github.io/ReviewHtml/review_Genocidal_Organ.html</t>
  </si>
  <si>
    <t>https://2danicritic.github.io/ReviewHtml/review_Ghost_in_the_Shell.html</t>
  </si>
  <si>
    <t>https://2danicritic.github.io/ReviewHtml/review_Ghost_in_the_Shell_-_Solid_State_Society.html</t>
  </si>
  <si>
    <t>https://2danicritic.github.io/ReviewHtml/review_Ghost_in_the_Shell_2_-_Innocence.html</t>
  </si>
  <si>
    <t>https://2danicritic.github.io/ReviewHtml/review_Grave_of_the_Fireflies.html</t>
  </si>
  <si>
    <t>https://2danicritic.github.io/ReviewHtml/review_Harmony.html</t>
  </si>
  <si>
    <t>https://2danicritic.github.io/ReviewHtml/review_Heaven's_Lost_Property_the_Movie_-_The_Angeloid_of_Clockwork.html</t>
  </si>
  <si>
    <t>https://2danicritic.github.io/ReviewHtml/review_Howl's_Moving_Castle.html</t>
  </si>
  <si>
    <t>https://2danicritic.github.io/ReviewHtml/review_In_This_Corner_of_the_World.html</t>
  </si>
  <si>
    <t>https://2danicritic.github.io/ReviewHtml/review_Kiki's_Delivery_Service.html</t>
  </si>
  <si>
    <t>https://2danicritic.github.io/ReviewHtml/review_Kizumonogatari_-_Tekketsu,_Nekketsu,_Reiketsu.html</t>
  </si>
  <si>
    <t>https://2danicritic.github.io/ReviewHtml/review_Liz_and_the_Blue_Bird.html</t>
  </si>
  <si>
    <t>https://2danicritic.github.io/ReviewHtml/review_Loups=Garous.html</t>
  </si>
  <si>
    <t>https://2danicritic.github.io/ReviewHtml/review_Lu_Over_The_Wall.html</t>
  </si>
  <si>
    <t>https://2danicritic.github.io/ReviewHtml/review_Lupin_the_Third_-_Episode_0_-_First_Contact.html</t>
  </si>
  <si>
    <t>https://2danicritic.github.io/ReviewHtml/review_Lupin_the_Third_-_The_Castle_of_Cagliostro.html</t>
  </si>
  <si>
    <t>https://2danicritic.github.io/ReviewHtml/review_Lupin_the_Third_-_The_Fuma_Conspiracy.html</t>
  </si>
  <si>
    <t>https://2danicritic.github.io/ReviewHtml/review_Lupin_the_Third_-_The_Mystery_of_Mamo.html</t>
  </si>
  <si>
    <t>https://2danicritic.github.io/ReviewHtml/review_Madoka_Magica_The_Movie_1_&amp;_2_-_Beginnings,_Eternal.html</t>
  </si>
  <si>
    <t>https://2danicritic.github.io/ReviewHtml/review_Madoka_Magica_The_Movie_3_-_Rebellion.html</t>
  </si>
  <si>
    <t>https://2danicritic.github.io/ReviewHtml/review_Maquia_-_When_the_Promised_Flower_Blooms.html</t>
  </si>
  <si>
    <t>https://2danicritic.github.io/ReviewHtml/review_Mary_and_the_Witch's_Flower.html</t>
  </si>
  <si>
    <t>https://2danicritic.github.io/ReviewHtml/review_Metropolis.html</t>
  </si>
  <si>
    <t>https://2danicritic.github.io/ReviewHtml/review_Mind_Game.html</t>
  </si>
  <si>
    <t>https://2danicritic.github.io/ReviewHtml/review_Mirai.html</t>
  </si>
  <si>
    <t>https://2danicritic.github.io/ReviewHtml/review_My_Neighbor_Totoro.html</t>
  </si>
  <si>
    <t>https://2danicritic.github.io/ReviewHtml/review_My_Neighbors_The_Yamadas.html</t>
  </si>
  <si>
    <t>https://2danicritic.github.io/ReviewHtml/review_Napping_Princess.html</t>
  </si>
  <si>
    <t>https://2danicritic.github.io/ReviewHtml/review_Nausicaa_of_the_Valley_of_the_Wind.html</t>
  </si>
  <si>
    <t>https://2danicritic.github.io/ReviewHtml/review_Night_on_the_Galactic_Railroad.html</t>
  </si>
  <si>
    <t>https://2danicritic.github.io/ReviewHtml/review_Ninja_Scroll.html</t>
  </si>
  <si>
    <t>https://2danicritic.github.io/ReviewHtml/review_No_Game_No_Life_-_Zero.html</t>
  </si>
  <si>
    <t>https://2danicritic.github.io/ReviewHtml/review_Ocean_Waves.html</t>
  </si>
  <si>
    <t>https://2danicritic.github.io/ReviewHtml/review_Only_Yesterday.html</t>
  </si>
  <si>
    <t>https://2danicritic.github.io/ReviewHtml/review_Paprika.html</t>
  </si>
  <si>
    <t>https://2danicritic.github.io/ReviewHtml/review_Patlabor_2.html</t>
  </si>
  <si>
    <t>https://2danicritic.github.io/ReviewHtml/review_Perfect_Blue.html</t>
  </si>
  <si>
    <t>https://2danicritic.github.io/ReviewHtml/review_Persona_3_The_Movie_-_Spring_of_Birth,_Midsummer_Knight's_Dream,_Falling_Down,_Winter_of_Rebirth.html</t>
  </si>
  <si>
    <t>https://2danicritic.github.io/ReviewHtml/review_Pom_Poko.html</t>
  </si>
  <si>
    <t>https://2danicritic.github.io/ReviewHtml/review_Ponyo.html</t>
  </si>
  <si>
    <t>https://2danicritic.github.io/ReviewHtml/review_Porco_Rosso.html</t>
  </si>
  <si>
    <t>https://2danicritic.github.io/ReviewHtml/review_Princess_Mononoke.html</t>
  </si>
  <si>
    <t>https://2danicritic.github.io/ReviewHtml/review_Psychic_School_Wars.html</t>
  </si>
  <si>
    <t>https://2danicritic.github.io/ReviewHtml/review_Redline.html</t>
  </si>
  <si>
    <t>https://2danicritic.github.io/ReviewHtml/review_Ringing_Bell.html</t>
  </si>
  <si>
    <t>https://2danicritic.github.io/ReviewHtml/review_Spirited_Away.html</t>
  </si>
  <si>
    <t>https://2danicritic.github.io/ReviewHtml/review_Street_Fighter_II_-_The_Animated_Movie.html</t>
  </si>
  <si>
    <t>https://2danicritic.github.io/ReviewHtml/review_Summer_Wars.html</t>
  </si>
  <si>
    <t>https://2danicritic.github.io/ReviewHtml/review_Sword_of_the_Stranger.html</t>
  </si>
  <si>
    <t>https://2danicritic.github.io/ReviewHtml/review_Tales_From_Earthsea.html</t>
  </si>
  <si>
    <t>https://2danicritic.github.io/ReviewHtml/review_The_Boy_and_the_Beast.html</t>
  </si>
  <si>
    <t>https://2danicritic.github.io/ReviewHtml/review_The_Cat_Returns.html</t>
  </si>
  <si>
    <t>https://2danicritic.github.io/ReviewHtml/review_The_Disappearance_of_Haruhi_Suzumiya.html</t>
  </si>
  <si>
    <t>https://2danicritic.github.io/ReviewHtml/review_The_Empire_of_Corpses.html</t>
  </si>
  <si>
    <t>https://2danicritic.github.io/ReviewHtml/review_The_Fantastic_Adventures_of_Unico.html</t>
  </si>
  <si>
    <t>https://2danicritic.github.io/ReviewHtml/review_The_Garden_of_Sinners.html</t>
  </si>
  <si>
    <t>https://2danicritic.github.io/ReviewHtml/review_The_Garden_of_Words.html</t>
  </si>
  <si>
    <t>https://2danicritic.github.io/ReviewHtml/review_The_Girl_Who_Leapt_Through_Time.html</t>
  </si>
  <si>
    <t>https://2danicritic.github.io/ReviewHtml/review_The_Legend_of_the_Millennium_Dragon.html</t>
  </si>
  <si>
    <t>https://2danicritic.github.io/ReviewHtml/review_The_Life_of_Guskou_Budori.html</t>
  </si>
  <si>
    <t>https://2danicritic.github.io/ReviewHtml/review_The_Night_Is_Short,_Walk_On_Girl.html</t>
  </si>
  <si>
    <t>https://2danicritic.github.io/ReviewHtml/review_The_Place_Promised_in_Our_Early_Days.html</t>
  </si>
  <si>
    <t>https://2danicritic.github.io/ReviewHtml/review_The_Princess_and_the_Pilot.html</t>
  </si>
  <si>
    <t>https://2danicritic.github.io/ReviewHtml/review_The_Secret_World_of_Arrietty.html</t>
  </si>
  <si>
    <t>https://2danicritic.github.io/ReviewHtml/review_The_Sky_Crawlers.html</t>
  </si>
  <si>
    <t>https://2danicritic.github.io/ReviewHtml/review_The_Tale_of_Princess_Kaguya.html</t>
  </si>
  <si>
    <t>https://2danicritic.github.io/ReviewHtml/review_The_Wind_Rises.html</t>
  </si>
  <si>
    <t>https://2danicritic.github.io/ReviewHtml/review_Time_of_Eve.html</t>
  </si>
  <si>
    <t>https://2danicritic.github.io/ReviewHtml/review_Tokyo_Godfathers.html</t>
  </si>
  <si>
    <t>https://2danicritic.github.io/ReviewHtml/review_Tomorrow's_Joe.html</t>
  </si>
  <si>
    <t>https://2danicritic.github.io/ReviewHtml/review_Towanoquon.html</t>
  </si>
  <si>
    <t>https://2danicritic.github.io/ReviewHtml/review_Trigun_-_Badlands_Rumble.html</t>
  </si>
  <si>
    <t>https://2danicritic.github.io/ReviewHtml/review_Unico_in_the_Island_of_Magic.html</t>
  </si>
  <si>
    <t>https://2danicritic.github.io/ReviewHtml/review_Urusei_Yatsura_-_Beautiful_Dreamer.html</t>
  </si>
  <si>
    <t>https://2danicritic.github.io/ReviewHtml/review_Vampire_Hunter_D.html</t>
  </si>
  <si>
    <t>https://2danicritic.github.io/ReviewHtml/review_Vampire_Hunter_D_-_Bloodlust.html</t>
  </si>
  <si>
    <t>https://2danicritic.github.io/ReviewHtml/review_When_Marnie_Was_There.html</t>
  </si>
  <si>
    <t>https://2danicritic.github.io/ReviewHtml/review_Whisper_of_the_Heart.html</t>
  </si>
  <si>
    <t>https://2danicritic.github.io/ReviewHtml/review_Wolf_Children.html</t>
  </si>
  <si>
    <t>https://2danicritic.github.io/ReviewHtml/review_Your_Name..html</t>
  </si>
  <si>
    <t>https://2danicritic.github.io/ReviewHtml/review_Devilman_-_Crybaby.html</t>
  </si>
  <si>
    <t>https://2danicritic.github.io/ReviewHtml/review_Blood_Blockade_Battlefront_&amp;_Beyond.html</t>
  </si>
  <si>
    <t>https://2danicritic.github.io/ReviewHtml/review_Miss_Kobayashi's_Dragon_Maid.html</t>
  </si>
  <si>
    <t>https://2danicritic.github.io/ReviewHtml/review_The_Dragon_Dentist.html</t>
  </si>
  <si>
    <t>https://2danicritic.github.io/ReviewHtml/review_Dagashi_Kashi.html</t>
  </si>
  <si>
    <t>https://2danicritic.github.io/ReviewHtml/review_Drifters.html</t>
  </si>
  <si>
    <t>https://2danicritic.github.io/ReviewHtml/review_Flip_Flappers.html</t>
  </si>
  <si>
    <t>https://2danicritic.github.io/ReviewHtml/review_Grimgar_-_Ashes_and_Illusions.html</t>
  </si>
  <si>
    <t>https://2danicritic.github.io/ReviewHtml/review_Keijo.html</t>
  </si>
  <si>
    <t>https://2danicritic.github.io/ReviewHtml/review_Yuri_on_Ice.html</t>
  </si>
  <si>
    <t>https://2danicritic.github.io/ReviewHtml/review_Blood_Blockade_Battlefront.html</t>
  </si>
  <si>
    <t>https://2danicritic.github.io/ReviewHtml/review_Code_Geass_-_Akito_the_Exiled.html</t>
  </si>
  <si>
    <t>https://2danicritic.github.io/ReviewHtml/review_Death_Parade.html</t>
  </si>
  <si>
    <t>https://2danicritic.github.io/ReviewHtml/review_Gangsta.html</t>
  </si>
  <si>
    <t>https://2danicritic.github.io/ReviewHtml/review_Is_It_Wrong_To_Try_To_Pick_Up_Girls_In_A_Dungeon.html</t>
  </si>
  <si>
    <t>https://2danicritic.github.io/ReviewHtml/review_Monster_Musume_-_Everyday_Life_With_Monster_Girls.html</t>
  </si>
  <si>
    <t>https://2danicritic.github.io/ReviewHtml/review_One_Punch_Man.html</t>
  </si>
  <si>
    <t>https://2danicritic.github.io/ReviewHtml/review_Prison_School.html</t>
  </si>
  <si>
    <t>https://2danicritic.github.io/ReviewHtml/review_Punch_Line.html</t>
  </si>
  <si>
    <t>https://2danicritic.github.io/ReviewHtml/review_Rokka_-_Braves_of_the_Six_Flowers.html</t>
  </si>
  <si>
    <t>https://2danicritic.github.io/ReviewHtml/review_Shimoneta_-_A_Boring_World_Where_the_Concept_of_Dirty_Jokes_Doesn't_Exist.html</t>
  </si>
  <si>
    <t>https://2danicritic.github.io/ReviewHtml/review_The_Disappearance_of_Nagato_Yuki-chan.html</t>
  </si>
  <si>
    <t>https://2danicritic.github.io/ReviewHtml/review_Typhoon_Noruda.html</t>
  </si>
  <si>
    <t>https://2danicritic.github.io/ReviewHtml/review_Amagi_Brilliant_Park.html</t>
  </si>
  <si>
    <t>https://2danicritic.github.io/ReviewHtml/review_Black_Bullet.html</t>
  </si>
  <si>
    <t>https://2danicritic.github.io/ReviewHtml/review_Black_Butler_-_Book_of_Circus.html</t>
  </si>
  <si>
    <t>https://2danicritic.github.io/ReviewHtml/review_Black_Butler_-_Book_of_Murder.html</t>
  </si>
  <si>
    <t>https://2danicritic.github.io/ReviewHtml/review_No_Game_No_Life.html</t>
  </si>
  <si>
    <t>https://2danicritic.github.io/ReviewHtml/review_Noragami.html</t>
  </si>
  <si>
    <t>https://2danicritic.github.io/ReviewHtml/review_Ping_Pong_the_Animation.html</t>
  </si>
  <si>
    <t>https://2danicritic.github.io/ReviewHtml/review_Rage_of_Bahamut_-_Genesis.html</t>
  </si>
  <si>
    <t>https://2danicritic.github.io/ReviewHtml/review_Rail_Wars.html</t>
  </si>
  <si>
    <t>https://2danicritic.github.io/ReviewHtml/review_Shirobako.html</t>
  </si>
  <si>
    <t>https://2danicritic.github.io/ReviewHtml/review_Space_Dandy.html</t>
  </si>
  <si>
    <t>https://2danicritic.github.io/ReviewHtml/review_Trinity_Seven.html</t>
  </si>
  <si>
    <t>https://2danicritic.github.io/ReviewHtml/review_Beyond_the_Boundary.html</t>
  </si>
  <si>
    <t>https://2danicritic.github.io/ReviewHtml/review_Dog_and_Scissors.html</t>
  </si>
  <si>
    <t>https://2danicritic.github.io/ReviewHtml/review_Gargantia_on_the_Verdurous_Planet.html</t>
  </si>
  <si>
    <t>https://2danicritic.github.io/ReviewHtml/review_Kill_la_Kill.html</t>
  </si>
  <si>
    <t>https://2danicritic.github.io/ReviewHtml/review_Kyousougiga.html</t>
  </si>
  <si>
    <t>https://2danicritic.github.io/ReviewHtml/review_Btooom!.html</t>
  </si>
  <si>
    <t>https://2danicritic.github.io/ReviewHtml/review_Dusk_Maiden_of_Amnesia.html</t>
  </si>
  <si>
    <t>https://2danicritic.github.io/ReviewHtml/review_Good_Luck_Girl!.html</t>
  </si>
  <si>
    <t>https://2danicritic.github.io/ReviewHtml/review_Highschool_DxD.html</t>
  </si>
  <si>
    <t>https://2danicritic.github.io/ReviewHtml/review_Jormungand.html</t>
  </si>
  <si>
    <t>https://2danicritic.github.io/ReviewHtml/review_K.html</t>
  </si>
  <si>
    <t>https://2danicritic.github.io/ReviewHtml/review_Kokoro_Connect.html</t>
  </si>
  <si>
    <t>https://2danicritic.github.io/ReviewHtml/review_Love,_Chunibyo_&amp;_Other_Delusions!.html</t>
  </si>
  <si>
    <t>https://2danicritic.github.io/ReviewHtml/review_Lupin_the_Third_-_The_Woman_Called_Fujiko_Mine.html</t>
  </si>
  <si>
    <t>https://2danicritic.github.io/ReviewHtml/review_Nisemonogatari.html</t>
  </si>
  <si>
    <t>https://2danicritic.github.io/ReviewHtml/review_Sankarea_-_Undying_Love.html</t>
  </si>
  <si>
    <t>https://2danicritic.github.io/ReviewHtml/review_The_Pet_Girl_of_Sakurasou.html</t>
  </si>
  <si>
    <t>https://2danicritic.github.io/ReviewHtml/review_Coicent_&amp;_Five_Numbers.html</t>
  </si>
  <si>
    <t>https://2danicritic.github.io/ReviewHtml/review_Croisee_in_a_Foreign_Labyrinth.html</t>
  </si>
  <si>
    <t>https://2danicritic.github.io/ReviewHtml/review_Deadman_Wonderland.html</t>
  </si>
  <si>
    <t>https://2danicritic.github.io/ReviewHtml/review_Fate_-_Zero.html</t>
  </si>
  <si>
    <t>https://2danicritic.github.io/ReviewHtml/review_Ground_Control_to_Psychoelectric_Girl.html</t>
  </si>
  <si>
    <t>https://2danicritic.github.io/ReviewHtml/review_Guilty_Crown.html</t>
  </si>
  <si>
    <t>https://2danicritic.github.io/ReviewHtml/review_Heaven's_Memo_Pad.html</t>
  </si>
  <si>
    <t>https://2danicritic.github.io/ReviewHtml/review_Mayo_Chiki!.html</t>
  </si>
  <si>
    <t>https://2danicritic.github.io/ReviewHtml/review_Nichijou.html</t>
  </si>
  <si>
    <t>https://2danicritic.github.io/ReviewHtml/review_Persona_4_-_The_Animation.html</t>
  </si>
  <si>
    <t>https://2danicritic.github.io/ReviewHtml/review_Steins;Gate.html</t>
  </si>
  <si>
    <t>https://2danicritic.github.io/ReviewHtml/review_Supernatural_-_The_Animation.html</t>
  </si>
  <si>
    <t>https://2danicritic.github.io/ReviewHtml/review_The_Future_Diary.html</t>
  </si>
  <si>
    <t>https://2danicritic.github.io/ReviewHtml/review_The_Mystic_Archives_of_Dantalian.html</t>
  </si>
  <si>
    <t>https://2danicritic.github.io/ReviewHtml/review_This_Boy_Can_Fight_Aliens.html</t>
  </si>
  <si>
    <t>https://2danicritic.github.io/ReviewHtml/review_Angel_Beats.html</t>
  </si>
  <si>
    <t>https://2danicritic.github.io/ReviewHtml/review_Black_Butler_II.html</t>
  </si>
  <si>
    <t>https://2danicritic.github.io/ReviewHtml/review_Black_Lagoon_-_Roberta's_Blood_Trail.html</t>
  </si>
  <si>
    <t>https://2danicritic.github.io/ReviewHtml/review_Cat_Planet_Cuties.html</t>
  </si>
  <si>
    <t>https://2danicritic.github.io/ReviewHtml/review_Dance_in_the_Vampire_Bund.html</t>
  </si>
  <si>
    <t>https://2danicritic.github.io/ReviewHtml/review_Highschool_of_the_Dead.html</t>
  </si>
  <si>
    <t>https://2danicritic.github.io/ReviewHtml/review_Panty_and_Stocking_with_Garterbelt.html</t>
  </si>
  <si>
    <t>https://2danicritic.github.io/ReviewHtml/review_Bakemonogatari.html</t>
  </si>
  <si>
    <t>https://2danicritic.github.io/ReviewHtml/review_Canaan.html</t>
  </si>
  <si>
    <t>https://2danicritic.github.io/ReviewHtml/review_Eden_of_the_East.html</t>
  </si>
  <si>
    <t>https://2danicritic.github.io/ReviewHtml/review_Heaven's_Lost_Property.html</t>
  </si>
  <si>
    <t>https://2danicritic.github.io/ReviewHtml/review_Hetalia_-_Season_1_and_2.html</t>
  </si>
  <si>
    <t>https://2danicritic.github.io/ReviewHtml/review_The_Melancholy_of_Haruhi-Chan_Suzumiya.html</t>
  </si>
  <si>
    <t>https://2danicritic.github.io/ReviewHtml/review_Black_Butler.html</t>
  </si>
  <si>
    <t>https://2danicritic.github.io/ReviewHtml/review_Corpse_Princess.html</t>
  </si>
  <si>
    <t>https://2danicritic.github.io/ReviewHtml/review_Kaiba.html</t>
  </si>
  <si>
    <t>https://2danicritic.github.io/ReviewHtml/review_Kannagi_-_Crazy_Shrine_Maidens.html</t>
  </si>
  <si>
    <t>https://2danicritic.github.io/ReviewHtml/review_Kanokon_-_The_Girl_Who_Cried_Fox.html</t>
  </si>
  <si>
    <t>https://2danicritic.github.io/ReviewHtml/review_Lupin_the_Third_-_Green_VS_Red.html</t>
  </si>
  <si>
    <t>https://2danicritic.github.io/ReviewHtml/review_Soul_Eater.html</t>
  </si>
  <si>
    <t>https://2danicritic.github.io/ReviewHtml/review_Spice_and_Wolf.html</t>
  </si>
  <si>
    <t>https://2danicritic.github.io/ReviewHtml/review_Toradora.html</t>
  </si>
  <si>
    <t>https://2danicritic.github.io/ReviewHtml/review_Afro_Samurai.html</t>
  </si>
  <si>
    <t>https://2danicritic.github.io/ReviewHtml/review_Baccano!.html</t>
  </si>
  <si>
    <t>https://2danicritic.github.io/ReviewHtml/review_Indian_Summer.html</t>
  </si>
  <si>
    <t>https://2danicritic.github.io/ReviewHtml/review_Oh!_Edo_Rocket.html</t>
  </si>
  <si>
    <t>https://2danicritic.github.io/ReviewHtml/review_Ayakashi_-_Samurai_Horror_Tales_-_Goblin_Cat.html</t>
  </si>
  <si>
    <t>https://2danicritic.github.io/ReviewHtml/review_Black_Lagoon.html</t>
  </si>
  <si>
    <t>https://2danicritic.github.io/ReviewHtml/review_Code_Geass_-_Lelouch_of_the_Rebellion.html</t>
  </si>
  <si>
    <t>https://2danicritic.github.io/ReviewHtml/review_Coffee_Samurai_&amp;_Hoshizora_Kiseki.html</t>
  </si>
  <si>
    <t>https://2danicritic.github.io/ReviewHtml/review_Death_Note.html</t>
  </si>
  <si>
    <t>https://2danicritic.github.io/ReviewHtml/review_Fate_-_Stay_Night.html</t>
  </si>
  <si>
    <t>https://2danicritic.github.io/ReviewHtml/review_Hellsing_Ultimate.html</t>
  </si>
  <si>
    <t>https://2danicritic.github.io/ReviewHtml/review_The_Melancholy_of_Haruhi_Suzumiya.html</t>
  </si>
  <si>
    <t>https://2danicritic.github.io/ReviewHtml/review_Welcome_to_the_N.H.K..html</t>
  </si>
  <si>
    <t>https://2danicritic.github.io/ReviewHtml/review_xxxHolic.html</t>
  </si>
  <si>
    <t>https://2danicritic.github.io/ReviewHtml/review_Mushi-Shi.html</t>
  </si>
  <si>
    <t>https://2danicritic.github.io/ReviewHtml/review_Gankutsuou_-_The_Count_of_Monte_Cristo.html</t>
  </si>
  <si>
    <t>https://2danicritic.github.io/ReviewHtml/review_Gantz.html</t>
  </si>
  <si>
    <t>https://2danicritic.github.io/ReviewHtml/review_Mezzo_DSA.html</t>
  </si>
  <si>
    <t>https://2danicritic.github.io/ReviewHtml/review_Ninja_Nonsense.html</t>
  </si>
  <si>
    <t>https://2danicritic.github.io/ReviewHtml/review_Blame!.html</t>
  </si>
  <si>
    <t>https://2danicritic.github.io/ReviewHtml/review_Kino's_Journey.html</t>
  </si>
  <si>
    <t>https://2danicritic.github.io/ReviewHtml/review_Lunar_Legend_-_Tsukihime.html</t>
  </si>
  <si>
    <t>https://2danicritic.github.io/ReviewHtml/review_Ninja_Scroll_-_The_Series.html</t>
  </si>
  <si>
    <t>https://2danicritic.github.io/ReviewHtml/review_Parasite_Dolls.html</t>
  </si>
  <si>
    <t>https://2danicritic.github.io/ReviewHtml/review_Azumanga_Daioh.html</t>
  </si>
  <si>
    <t>https://2danicritic.github.io/ReviewHtml/review_Ghost_in_the_Shell_-_Stand_Alone_Complex.html</t>
  </si>
  <si>
    <t>https://2danicritic.github.io/ReviewHtml/review_Voices_of_a_Distant_Star.html</t>
  </si>
  <si>
    <t>https://2danicritic.github.io/ReviewHtml/review_Alien_Nine.html</t>
  </si>
  <si>
    <t>https://2danicritic.github.io/ReviewHtml/review_Cat_Soup.html</t>
  </si>
  <si>
    <t>https://2danicritic.github.io/ReviewHtml/review_FLCL.html</t>
  </si>
  <si>
    <t>https://2danicritic.github.io/ReviewHtml/review_Mezzo_Forte.html</t>
  </si>
  <si>
    <t>https://2danicritic.github.io/ReviewHtml/review_Sin_-_The_Movie.html</t>
  </si>
  <si>
    <t>https://2danicritic.github.io/ReviewHtml/review_Serial_Experiments_Lain.html</t>
  </si>
  <si>
    <t>https://2danicritic.github.io/ReviewHtml/review_Trigun.html</t>
  </si>
  <si>
    <t>https://2danicritic.github.io/ReviewHtml/review_Nadia_-_The_Secret_of_Blue_Water.html</t>
  </si>
  <si>
    <t>https://2danicritic.github.io/ReviewHtml/review_Devilman_-_The_Birth,_Demon_Bird_Sirene.html</t>
  </si>
  <si>
    <t>And yes, this website was made in Microsoft Excel, and is hosted on Github Pages.</t>
  </si>
  <si>
    <t>It was built such that you can download the entire web directory locally to review offline,</t>
  </si>
  <si>
    <t>including the original Excel file,</t>
  </si>
  <si>
    <t>allowing you to order filter out the catalogue by name, genre, director, year, country, or grade.</t>
  </si>
  <si>
    <t>with 1.0 = WORST,</t>
  </si>
  <si>
    <t>and 5.0 = BEST.</t>
  </si>
  <si>
    <t>Since I don't give scores less than 1.0,</t>
  </si>
  <si>
    <t>3.0 is considered middle-of-the-road average.</t>
  </si>
  <si>
    <r>
      <rPr>
        <b/>
        <sz val="11"/>
        <color theme="1"/>
        <rFont val="Calibri"/>
        <family val="2"/>
        <scheme val="minor"/>
      </rPr>
      <t>Great</t>
    </r>
    <r>
      <rPr>
        <sz val="11"/>
        <color theme="1"/>
        <rFont val="Calibri"/>
        <family val="2"/>
        <scheme val="minor"/>
      </rPr>
      <t>. This is something special, an achievement as art and entertainment.</t>
    </r>
  </si>
  <si>
    <t>allowing you to find the best movies, best visually, best story, etc.</t>
  </si>
  <si>
    <t>All scores are treated equally, even against older films,</t>
  </si>
  <si>
    <t>meaning most older films are at a disadvantage from a technical perspective.</t>
  </si>
  <si>
    <t>most reviews are skewed to be slightly above average.</t>
  </si>
  <si>
    <t>including independent films from Japan, France, Ireland, Spain and beyond.</t>
  </si>
  <si>
    <t>that 2D animation is still alive and well, and widely available to access,</t>
  </si>
  <si>
    <r>
      <rPr>
        <b/>
        <u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you seek it out.</t>
    </r>
  </si>
  <si>
    <t>As physical home media begins to disappear in favor of online streaming,</t>
  </si>
  <si>
    <t>it might be difficult to find shows when they are removed from a service.</t>
  </si>
  <si>
    <t>either new or used, to add to your shelf.</t>
  </si>
  <si>
    <t>Contact me at</t>
  </si>
  <si>
    <t>Title</t>
  </si>
  <si>
    <t>Country</t>
  </si>
  <si>
    <t>Studio</t>
  </si>
  <si>
    <t>Format</t>
  </si>
  <si>
    <t>5 Centimeters per Second</t>
  </si>
  <si>
    <t>Comix Wave</t>
  </si>
  <si>
    <t>Makoto Shinkai</t>
  </si>
  <si>
    <t>A Cat in Paris</t>
  </si>
  <si>
    <t>Folimage</t>
  </si>
  <si>
    <t>Bill and Ben Productions</t>
  </si>
  <si>
    <t>A Silent Voice</t>
  </si>
  <si>
    <t>Kyoto Animation</t>
  </si>
  <si>
    <t>Naoko Yamada</t>
  </si>
  <si>
    <t>A Tree of Palme</t>
  </si>
  <si>
    <t>Palm Studio</t>
  </si>
  <si>
    <t>Takashi Nakamura</t>
  </si>
  <si>
    <t>Afro Samurai</t>
  </si>
  <si>
    <t>Gonzo</t>
  </si>
  <si>
    <t>Afro Samurai - Resurrection</t>
  </si>
  <si>
    <t>Akira</t>
  </si>
  <si>
    <t>Tokyo Movie Shinsha</t>
  </si>
  <si>
    <t>Katsuhiro Otomo</t>
  </si>
  <si>
    <t>Alien Nine</t>
  </si>
  <si>
    <t>J.C. Staff</t>
  </si>
  <si>
    <t>Amagi Brilliant Park</t>
  </si>
  <si>
    <t>Yasuhiro Takemoto</t>
  </si>
  <si>
    <t>Angel Beats</t>
  </si>
  <si>
    <t>P.A. Works</t>
  </si>
  <si>
    <t>Seiji Kishi</t>
  </si>
  <si>
    <t>April and the Extraordinary World</t>
  </si>
  <si>
    <t>Arte France</t>
  </si>
  <si>
    <t>Aura - Koga Maryuin's Last War</t>
  </si>
  <si>
    <t>AIC ASTA</t>
  </si>
  <si>
    <t>Ayakashi - Samurai Horror Tales - Goblin Cat</t>
  </si>
  <si>
    <t>Toei Animation</t>
  </si>
  <si>
    <t>Kenji Nakamura</t>
  </si>
  <si>
    <t>Azumanga Daioh</t>
  </si>
  <si>
    <t>Hiroshi Nishikiori</t>
  </si>
  <si>
    <t>Baccano!</t>
  </si>
  <si>
    <t>Brain's Base</t>
  </si>
  <si>
    <t>Takahiro Omori</t>
  </si>
  <si>
    <t>Bakemonogatari</t>
  </si>
  <si>
    <t>Shaft</t>
  </si>
  <si>
    <t>Barefoot Gen</t>
  </si>
  <si>
    <t>Gen Production</t>
  </si>
  <si>
    <t>Mori Masaki</t>
  </si>
  <si>
    <t>Barefoot Gen 2</t>
  </si>
  <si>
    <t>Madhouse</t>
  </si>
  <si>
    <t>Toshio Hirata</t>
  </si>
  <si>
    <t>Batman Ninja</t>
  </si>
  <si>
    <t>Warner Bros. Animation</t>
  </si>
  <si>
    <t>Junpei Mizusaki</t>
  </si>
  <si>
    <t>Belladonna of Sadness</t>
  </si>
  <si>
    <t>Mushi Production</t>
  </si>
  <si>
    <t>Eiichi Yamamoto</t>
  </si>
  <si>
    <t>Studio 4C</t>
  </si>
  <si>
    <t>Toshiyuki Kubooka</t>
  </si>
  <si>
    <t>Beyond the Boundary</t>
  </si>
  <si>
    <t>Taichi Ishidate</t>
  </si>
  <si>
    <t>Beyond the Boundary - I'll Be Here</t>
  </si>
  <si>
    <t>Big Fish and Begonia</t>
  </si>
  <si>
    <t>Beijing Enlight Media</t>
  </si>
  <si>
    <t>Birdboy - The Forgotten Children</t>
  </si>
  <si>
    <t>ZircoZine</t>
  </si>
  <si>
    <t>Black Bullet</t>
  </si>
  <si>
    <t>Kinema Citrus, Studio Orange</t>
  </si>
  <si>
    <t>Masayuki Kojima</t>
  </si>
  <si>
    <t>Black Butler</t>
  </si>
  <si>
    <t>A-1 Pictures</t>
  </si>
  <si>
    <t>Toshiya Shinohara</t>
  </si>
  <si>
    <t>Black Butler - Book of Circus</t>
  </si>
  <si>
    <t>Noriyuki Abe</t>
  </si>
  <si>
    <t>Black Butler - Book of Murder</t>
  </si>
  <si>
    <t>Black Butler - Book of the Atlantic</t>
  </si>
  <si>
    <t>Black Butler II</t>
  </si>
  <si>
    <t>Hirofumi Ogura</t>
  </si>
  <si>
    <t>Black Lagoon</t>
  </si>
  <si>
    <t>Sunao Katabuchi</t>
  </si>
  <si>
    <t>Black Lagoon - Roberta's Blood Trail</t>
  </si>
  <si>
    <t>Blade of the Phantom Master</t>
  </si>
  <si>
    <t>Blame!</t>
  </si>
  <si>
    <t>Group TAC</t>
  </si>
  <si>
    <t>Shintaro Inokawa</t>
  </si>
  <si>
    <t>Blood - The Last Vampire</t>
  </si>
  <si>
    <t>Production I.G.</t>
  </si>
  <si>
    <t>Hiroyuki Kitakubo</t>
  </si>
  <si>
    <t>Blood Blockade Battlefront</t>
  </si>
  <si>
    <t>Bones</t>
  </si>
  <si>
    <t>Rie Matsumoto</t>
  </si>
  <si>
    <t>Blood Blockade Battlefront &amp; Beyond</t>
  </si>
  <si>
    <t>Blood-C - The Last Dark</t>
  </si>
  <si>
    <t>Naoyoshi Shiotani</t>
  </si>
  <si>
    <t>Boy and the World</t>
  </si>
  <si>
    <t>Filme do Papel</t>
  </si>
  <si>
    <t>Ale Abreu</t>
  </si>
  <si>
    <t>Btooom!</t>
  </si>
  <si>
    <t>Kotono Watanabe</t>
  </si>
  <si>
    <t>Canaan</t>
  </si>
  <si>
    <t>Masahiro Ando</t>
  </si>
  <si>
    <t>Castle in the Sky</t>
  </si>
  <si>
    <t>Studio Ghibli</t>
  </si>
  <si>
    <t>Hayao Miyazaki</t>
  </si>
  <si>
    <t>Cat Planet Cuties</t>
  </si>
  <si>
    <t>AIC</t>
  </si>
  <si>
    <t>Youichi Ueda</t>
  </si>
  <si>
    <t>Cat Soup</t>
  </si>
  <si>
    <t>Tatsuo Sato</t>
  </si>
  <si>
    <t>Chico and Rita</t>
  </si>
  <si>
    <t>Fernando Truba PC</t>
  </si>
  <si>
    <t>Fernando Trueba</t>
  </si>
  <si>
    <t>Children Who Chase Lost Voices</t>
  </si>
  <si>
    <t>Code Geass - Akito the Exiled</t>
  </si>
  <si>
    <t>Sunrise</t>
  </si>
  <si>
    <t>Kazuki Akane</t>
  </si>
  <si>
    <t>Code Geass - Lelouch of the Rebellion</t>
  </si>
  <si>
    <t>Goro Taniguchi</t>
  </si>
  <si>
    <t>Coffee Samurai &amp; Hoshizora Kiseki</t>
  </si>
  <si>
    <t>Coicent &amp; Five Numbers</t>
  </si>
  <si>
    <t>Colorful - The Motion Picture</t>
  </si>
  <si>
    <t>Ascension</t>
  </si>
  <si>
    <t>Keiichi Hara</t>
  </si>
  <si>
    <t>Corpse Princess</t>
  </si>
  <si>
    <t>Feel, Gainax</t>
  </si>
  <si>
    <t>Masahiko Murata</t>
  </si>
  <si>
    <t>Croisee in a Foreign Labyrinth</t>
  </si>
  <si>
    <t>Satelight</t>
  </si>
  <si>
    <t>Kenji Yasuda</t>
  </si>
  <si>
    <t>Dagashi Kashi</t>
  </si>
  <si>
    <t>Feel</t>
  </si>
  <si>
    <t>Dance in the Vampire Bund</t>
  </si>
  <si>
    <t>Akiyuki Shinbo</t>
  </si>
  <si>
    <t>Dante's Inferno - An Animated Epic</t>
  </si>
  <si>
    <t>Deadman Wonderland</t>
  </si>
  <si>
    <t>Manglobe</t>
  </si>
  <si>
    <t>Koichiro Hatsumi</t>
  </si>
  <si>
    <t>Death Note</t>
  </si>
  <si>
    <t>Tetsuro Araki</t>
  </si>
  <si>
    <t>Death Parade</t>
  </si>
  <si>
    <t>Yuzuru Tachikawa</t>
  </si>
  <si>
    <t>Devilman - Crybaby</t>
  </si>
  <si>
    <t>Science Saru</t>
  </si>
  <si>
    <t>Masaaki Yuasa</t>
  </si>
  <si>
    <t>Devilman - The Birth, Demon Bird Sirene</t>
  </si>
  <si>
    <t>Oh! Production</t>
  </si>
  <si>
    <t>Umanosuke Iida</t>
  </si>
  <si>
    <t>Dog and Scissors</t>
  </si>
  <si>
    <t>Yukio Takahashi</t>
  </si>
  <si>
    <t>Drifters</t>
  </si>
  <si>
    <t>Hoods Drifters Studio</t>
  </si>
  <si>
    <t>Kenichi Suzuki</t>
  </si>
  <si>
    <t>Dusk Maiden of Amnesia</t>
  </si>
  <si>
    <t>Silver Link</t>
  </si>
  <si>
    <t>Shin Onuma</t>
  </si>
  <si>
    <t>Eden of the East</t>
  </si>
  <si>
    <t>Kenji Kamiyama</t>
  </si>
  <si>
    <t>Eden of the East - The King of Eden, Paradise Lost</t>
  </si>
  <si>
    <t>Ernest and Celestine</t>
  </si>
  <si>
    <t>La Parti Productions</t>
  </si>
  <si>
    <t>Ethel &amp; Ernest</t>
  </si>
  <si>
    <t>Lupus Films</t>
  </si>
  <si>
    <t>Roger Mainwood</t>
  </si>
  <si>
    <t>Fairy Tail - Dragon Cry</t>
  </si>
  <si>
    <t>Tatsuma Minamikawa</t>
  </si>
  <si>
    <t>Fate - Stay Night</t>
  </si>
  <si>
    <t>Studio Deen</t>
  </si>
  <si>
    <t>Yuji Yamaguchi</t>
  </si>
  <si>
    <t>Fate - Zero</t>
  </si>
  <si>
    <t>Ufotable</t>
  </si>
  <si>
    <t>Ei Aoki</t>
  </si>
  <si>
    <t>Fireworks</t>
  </si>
  <si>
    <t>FLCL</t>
  </si>
  <si>
    <t>Production I.G., Gainax</t>
  </si>
  <si>
    <t>Kazuya Tsurumaki</t>
  </si>
  <si>
    <t>Flip Flappers</t>
  </si>
  <si>
    <t>Studio 3Hz</t>
  </si>
  <si>
    <t>Kiyotaka Oshiyama</t>
  </si>
  <si>
    <t>From Up On Poppy Hill</t>
  </si>
  <si>
    <t>Goro Miyazaki</t>
  </si>
  <si>
    <t>Gangsta</t>
  </si>
  <si>
    <t>Shuko Murase</t>
  </si>
  <si>
    <t>Gankutsuou - The Count of Monte Cristo</t>
  </si>
  <si>
    <t>Mahiro Maeda</t>
  </si>
  <si>
    <t>Gantz</t>
  </si>
  <si>
    <t>Ichiro Itano</t>
  </si>
  <si>
    <t>Gargantia on the Verdurous Planet</t>
  </si>
  <si>
    <t>Kazuya Murata</t>
  </si>
  <si>
    <t>Genocidal Organ</t>
  </si>
  <si>
    <t>Geno Studio</t>
  </si>
  <si>
    <t>Ghost in the Shell</t>
  </si>
  <si>
    <t>Mamoru Oshii</t>
  </si>
  <si>
    <t>Ghost in the Shell - Solid State Society</t>
  </si>
  <si>
    <t>Ghost in the Shell - Stand Alone Complex</t>
  </si>
  <si>
    <t>Ghost in the Shell 2 - Innocence</t>
  </si>
  <si>
    <t>Good Luck Girl!</t>
  </si>
  <si>
    <t>Yoichi Fujita</t>
  </si>
  <si>
    <t>Grave of the Fireflies</t>
  </si>
  <si>
    <t>Isao Takahata</t>
  </si>
  <si>
    <t>Grimgar - Ashes and Illusions</t>
  </si>
  <si>
    <t>Ryosuke Nakamura</t>
  </si>
  <si>
    <t>Ground Control to Psychoelectric Girl</t>
  </si>
  <si>
    <t>Guilty Crown</t>
  </si>
  <si>
    <t>Harmony</t>
  </si>
  <si>
    <t>Have a Nice Day</t>
  </si>
  <si>
    <t>Le-joy Animation Studio</t>
  </si>
  <si>
    <t>Liu Jian</t>
  </si>
  <si>
    <t>Heaven's Lost Property</t>
  </si>
  <si>
    <t>Hisashi Saito</t>
  </si>
  <si>
    <t>Heaven's Memo Pad</t>
  </si>
  <si>
    <t>Katsushi Sakurabi</t>
  </si>
  <si>
    <t>Hellsing Ultimate</t>
  </si>
  <si>
    <t>Hetalia - Season 1 and 2</t>
  </si>
  <si>
    <t>Bob Shirohata</t>
  </si>
  <si>
    <t>Highschool DxD</t>
  </si>
  <si>
    <t>TNK</t>
  </si>
  <si>
    <t>Tetsuya Yanagisawa</t>
  </si>
  <si>
    <t>Highschool of the Dead</t>
  </si>
  <si>
    <t>Howl's Moving Castle</t>
  </si>
  <si>
    <t>I'll Just Live In Bando</t>
  </si>
  <si>
    <t>N/A</t>
  </si>
  <si>
    <t>Youngsun Lee</t>
  </si>
  <si>
    <t>In This Corner of the World</t>
  </si>
  <si>
    <t>MAPPA</t>
  </si>
  <si>
    <t>Indian Summer</t>
  </si>
  <si>
    <t>Doumu</t>
  </si>
  <si>
    <t>Takayuki Inagaki</t>
  </si>
  <si>
    <t>Is It Wrong To Try To Pick Up Girls In A Dungeon</t>
  </si>
  <si>
    <t>J.C. Studio</t>
  </si>
  <si>
    <t>Yoshiki Yamakawa</t>
  </si>
  <si>
    <t>It's Such a Beautiful Day</t>
  </si>
  <si>
    <t>Bitter Films</t>
  </si>
  <si>
    <t>Don Hertzfeldt</t>
  </si>
  <si>
    <t>Jormungand</t>
  </si>
  <si>
    <t>White Fox</t>
  </si>
  <si>
    <t>Keitaro Motonaga</t>
  </si>
  <si>
    <t>K</t>
  </si>
  <si>
    <t>GoHands</t>
  </si>
  <si>
    <t>Shingo Suzuki</t>
  </si>
  <si>
    <t>Kaiba</t>
  </si>
  <si>
    <t>Kannagi - Crazy Shrine Maidens</t>
  </si>
  <si>
    <t>Yutaka Yamamoto</t>
  </si>
  <si>
    <t>Kanokon - The Girl Who Cried Fox</t>
  </si>
  <si>
    <t>Xebec</t>
  </si>
  <si>
    <t>Atsushi Otsuki</t>
  </si>
  <si>
    <t>Keijo</t>
  </si>
  <si>
    <t>Hideya Takahashi</t>
  </si>
  <si>
    <t>Kiki's Delivery Service</t>
  </si>
  <si>
    <t>Kill la Kill</t>
  </si>
  <si>
    <t>Trigger</t>
  </si>
  <si>
    <t>Hiroyuki Imaishi</t>
  </si>
  <si>
    <t>Kino's Journey</t>
  </si>
  <si>
    <t>A.C.G.T.</t>
  </si>
  <si>
    <t>Ryutaro Nakamura</t>
  </si>
  <si>
    <t>Kizumonogatari - Tekketsu, Nekketsu, Reiketsu</t>
  </si>
  <si>
    <t>Kokoro Connect</t>
  </si>
  <si>
    <t>Kyousougiga</t>
  </si>
  <si>
    <t>Liz and the Blue Bird</t>
  </si>
  <si>
    <t>Louise By The Shore</t>
  </si>
  <si>
    <t>JPL Films</t>
  </si>
  <si>
    <t>Loups=Garous</t>
  </si>
  <si>
    <t>Production I.G., TransArts</t>
  </si>
  <si>
    <t>Junichi Fujisaku</t>
  </si>
  <si>
    <t>Love, Chunibyo &amp; Other Delusions!</t>
  </si>
  <si>
    <t>Tatsuya Ishihara</t>
  </si>
  <si>
    <t>Loving Vincent</t>
  </si>
  <si>
    <t>BreakThru Productions</t>
  </si>
  <si>
    <t>Lu Over The Wall</t>
  </si>
  <si>
    <t>Lunar Legend - Tsukihime</t>
  </si>
  <si>
    <t>Lupin the Third - Episode 0 - First Contact</t>
  </si>
  <si>
    <t>TMS Entertainment</t>
  </si>
  <si>
    <t>Minoru Ohara</t>
  </si>
  <si>
    <t>Lupin the Third - Green VS Red</t>
  </si>
  <si>
    <t>Shigeyuki Miya</t>
  </si>
  <si>
    <t>Lupin the Third - The Castle of Cagliostro</t>
  </si>
  <si>
    <t>Lupin the Third - The Fuma Conspiracy</t>
  </si>
  <si>
    <t>Masayuki Ozeki</t>
  </si>
  <si>
    <t>Lupin the Third - The Mystery of Mamo</t>
  </si>
  <si>
    <t>Soji Yoshikawa</t>
  </si>
  <si>
    <t>Lupin the Third - The Woman Called Fujiko Mine</t>
  </si>
  <si>
    <t>Sayo Yamamoto</t>
  </si>
  <si>
    <t>Madoka Magica The Movie 1 &amp; 2 - Beginnings, Eternal</t>
  </si>
  <si>
    <t>Madoka Magica The Movie 3 - Rebellion</t>
  </si>
  <si>
    <t>Yukihiro Miyamoto</t>
  </si>
  <si>
    <t>Maquia - When the Promised Flower Blooms</t>
  </si>
  <si>
    <t>Mari Okada</t>
  </si>
  <si>
    <t>Mary and the Witch's Flower</t>
  </si>
  <si>
    <t>Studio Ponoc</t>
  </si>
  <si>
    <t>Mayo Chiki!</t>
  </si>
  <si>
    <t>Keiichiro Kawaguchi</t>
  </si>
  <si>
    <t>Metropolis</t>
  </si>
  <si>
    <t>Rintaro</t>
  </si>
  <si>
    <t>Mezzo DSA</t>
  </si>
  <si>
    <t>ARMS</t>
  </si>
  <si>
    <t>Yasuomi Umetsu</t>
  </si>
  <si>
    <t>Mezzo Forte</t>
  </si>
  <si>
    <t>MFKZ</t>
  </si>
  <si>
    <t>Mind Game</t>
  </si>
  <si>
    <t>Mirai</t>
  </si>
  <si>
    <t>Studio Chizu</t>
  </si>
  <si>
    <t>Mamoru Hosoda</t>
  </si>
  <si>
    <t>Miss Kobayashi's Dragon Maid</t>
  </si>
  <si>
    <t>Monster Musume - Everyday Life With Monster Girls</t>
  </si>
  <si>
    <t>Lerche</t>
  </si>
  <si>
    <t>Tatsuya Yoshihara</t>
  </si>
  <si>
    <t>Mushi-Shi</t>
  </si>
  <si>
    <t>Artland</t>
  </si>
  <si>
    <t>Hiroshi Nagahama</t>
  </si>
  <si>
    <t>My Beautiful Girl Mari</t>
  </si>
  <si>
    <t>Daewoo Entertainment</t>
  </si>
  <si>
    <t>Lee Sung-gang</t>
  </si>
  <si>
    <t>My Dogs, Jinjin and Akida</t>
  </si>
  <si>
    <t>Korean Academy of Film Arts</t>
  </si>
  <si>
    <t>Jong-Duck Cho</t>
  </si>
  <si>
    <t>My Entire High School Sinking Into The Sea</t>
  </si>
  <si>
    <t>Electric Chinoland</t>
  </si>
  <si>
    <t>Dash Shaw</t>
  </si>
  <si>
    <t>My Neighbor Totoro</t>
  </si>
  <si>
    <t>My Neighbors The Yamadas</t>
  </si>
  <si>
    <t>Nadia - The Secret of Blue Water</t>
  </si>
  <si>
    <t>Gainax</t>
  </si>
  <si>
    <t>Napping Princess</t>
  </si>
  <si>
    <t>Signal.MD</t>
  </si>
  <si>
    <t>Nausicaa of the Valley of the Wind</t>
  </si>
  <si>
    <t>Hayao Miyazalo</t>
  </si>
  <si>
    <t>Nerdland</t>
  </si>
  <si>
    <t>Titmouse Inc</t>
  </si>
  <si>
    <t>Chris Prynoski</t>
  </si>
  <si>
    <t>Nichijou</t>
  </si>
  <si>
    <t>Night on the Galactic Railroad</t>
  </si>
  <si>
    <t>Gisaburo Sugii</t>
  </si>
  <si>
    <t>Ninja Nonsense</t>
  </si>
  <si>
    <t>Hitoyuki Matsui</t>
  </si>
  <si>
    <t>Ninja Scroll</t>
  </si>
  <si>
    <t>Yoshiaki Kawajiri</t>
  </si>
  <si>
    <t>Ninja Scroll - The Series</t>
  </si>
  <si>
    <t>Nisemonogatari</t>
  </si>
  <si>
    <t>No Game No Life</t>
  </si>
  <si>
    <t>Atsuko Ishizuka</t>
  </si>
  <si>
    <t>No Game No Life - Zero</t>
  </si>
  <si>
    <t>Noragami</t>
  </si>
  <si>
    <t>Kotaro Tamura</t>
  </si>
  <si>
    <t>Nova Seed</t>
  </si>
  <si>
    <t>Gorgon Pictures</t>
  </si>
  <si>
    <t>Nick DiLiberto</t>
  </si>
  <si>
    <t>Ocean Waves</t>
  </si>
  <si>
    <t>Tomomi Mochizuki</t>
  </si>
  <si>
    <t>Oh! Edo Rocket</t>
  </si>
  <si>
    <t>Seiji Mizushima</t>
  </si>
  <si>
    <t>One Punch Man</t>
  </si>
  <si>
    <t>Shingo Natsume</t>
  </si>
  <si>
    <t>Only Yesterday</t>
  </si>
  <si>
    <t>Panty and Stocking with Garterbelt</t>
  </si>
  <si>
    <t>Paprika</t>
  </si>
  <si>
    <t>Satoshi Kon</t>
  </si>
  <si>
    <t>Parasite Dolls</t>
  </si>
  <si>
    <t>Anime International Company</t>
  </si>
  <si>
    <t>Patlabor 2</t>
  </si>
  <si>
    <t>Perfect Blue</t>
  </si>
  <si>
    <t>Persepolis</t>
  </si>
  <si>
    <t>Celluloid Dreams</t>
  </si>
  <si>
    <t>Persona 4 - The Animation</t>
  </si>
  <si>
    <t>AIC A.S.T.A.</t>
  </si>
  <si>
    <t>Senji Kishi</t>
  </si>
  <si>
    <t>Ping Pong the Animation</t>
  </si>
  <si>
    <t>Tatsunoko Production</t>
  </si>
  <si>
    <t>Pom Poko</t>
  </si>
  <si>
    <t>Studio Ghilbi</t>
  </si>
  <si>
    <t>Ponyo</t>
  </si>
  <si>
    <t>Porco Rosso</t>
  </si>
  <si>
    <t>Princess Mononoke</t>
  </si>
  <si>
    <t>Prison School</t>
  </si>
  <si>
    <t>J.C. Shaft</t>
  </si>
  <si>
    <t>Tsutomu Mizushima</t>
  </si>
  <si>
    <t>Psychic School Wars</t>
  </si>
  <si>
    <t>Punch Line</t>
  </si>
  <si>
    <t>Yutaka Uemura</t>
  </si>
  <si>
    <t>Rage of Bahamut - Genesis</t>
  </si>
  <si>
    <t>Mappa</t>
  </si>
  <si>
    <t>Keiichi Sato</t>
  </si>
  <si>
    <t>Rail Wars</t>
  </si>
  <si>
    <t>Passione</t>
  </si>
  <si>
    <t>Yoshifumi Matsuda</t>
  </si>
  <si>
    <t>Redline</t>
  </si>
  <si>
    <t>Madhous</t>
  </si>
  <si>
    <t>Takeshi Koike</t>
  </si>
  <si>
    <t>Ringing Bell</t>
  </si>
  <si>
    <t>Sanrio</t>
  </si>
  <si>
    <t>Masami Hata</t>
  </si>
  <si>
    <t>Rock and Rule</t>
  </si>
  <si>
    <t>Nelvana</t>
  </si>
  <si>
    <t>Clive A. Smith</t>
  </si>
  <si>
    <t>Rock-a-Doodle</t>
  </si>
  <si>
    <t>Don Bluth Productions</t>
  </si>
  <si>
    <t>Don Bluth</t>
  </si>
  <si>
    <t>Rokka - Braves of the Six Flowers</t>
  </si>
  <si>
    <t>Takeo Takahashi</t>
  </si>
  <si>
    <t>Sankarea - Undying Love</t>
  </si>
  <si>
    <t>Mamoru Hatakeyama</t>
  </si>
  <si>
    <t>Satellite Girl and Milk Cow</t>
  </si>
  <si>
    <t>Now or Never Studio</t>
  </si>
  <si>
    <t>Chang Hyung-yun</t>
  </si>
  <si>
    <t>Serial Experiments Lain</t>
  </si>
  <si>
    <t>Triangle Staff</t>
  </si>
  <si>
    <t>Youhei Suzuki</t>
  </si>
  <si>
    <t>Shirobako</t>
  </si>
  <si>
    <t>Sin - The Movie</t>
  </si>
  <si>
    <t>Phoenix Entertainment</t>
  </si>
  <si>
    <t>Yasunori Urata</t>
  </si>
  <si>
    <t>Song of the Sea</t>
  </si>
  <si>
    <t>Cartoon Saloon</t>
  </si>
  <si>
    <t>Tomm Moore</t>
  </si>
  <si>
    <t>Soul Eater</t>
  </si>
  <si>
    <t>Takuya Igarashi</t>
  </si>
  <si>
    <t>Space Dandy</t>
  </si>
  <si>
    <t>Spice and Wolf</t>
  </si>
  <si>
    <t>Imagin, Brain's Base</t>
  </si>
  <si>
    <t>Takeo Taahashi</t>
  </si>
  <si>
    <t>Spirited Away</t>
  </si>
  <si>
    <t>Steins;Gate</t>
  </si>
  <si>
    <t>Street Fighter II - The Animated Movie</t>
  </si>
  <si>
    <t>Summer Wars</t>
  </si>
  <si>
    <t>Supernatural - The Animation</t>
  </si>
  <si>
    <t>Sword of the Stranger</t>
  </si>
  <si>
    <t>Tales From Earthsea</t>
  </si>
  <si>
    <t>Teen Titans Go (To The Movies)</t>
  </si>
  <si>
    <t>Warner Bros Animation</t>
  </si>
  <si>
    <t>The Big Bad Fox and Other Tales</t>
  </si>
  <si>
    <t>Folivari</t>
  </si>
  <si>
    <t>The Boy and the Beast</t>
  </si>
  <si>
    <t>The Breadwinner</t>
  </si>
  <si>
    <t>Nora Twomey</t>
  </si>
  <si>
    <t>The Cat Returns</t>
  </si>
  <si>
    <t>Hiroyuki Morita</t>
  </si>
  <si>
    <t>The Disappearance of Haruhi Suzumiya</t>
  </si>
  <si>
    <t>The Disappearance of Nagato Yuki-chan</t>
  </si>
  <si>
    <t>Jun'ichi Wada</t>
  </si>
  <si>
    <t>The Dragon Dentist</t>
  </si>
  <si>
    <t>Khara</t>
  </si>
  <si>
    <t>The Empire of Corpses</t>
  </si>
  <si>
    <t>Wit Studio</t>
  </si>
  <si>
    <t>Ryoutarou Makihara</t>
  </si>
  <si>
    <t>The Fantastic Adventures of Unico</t>
  </si>
  <si>
    <t>The Flight of Dragons</t>
  </si>
  <si>
    <t>Rankim/Bass Productions</t>
  </si>
  <si>
    <t>The Future Diary</t>
  </si>
  <si>
    <t>Asread</t>
  </si>
  <si>
    <t>Naoto Hosoda</t>
  </si>
  <si>
    <t>The Garden of Sinners</t>
  </si>
  <si>
    <t>The Garden of Words</t>
  </si>
  <si>
    <t>The Girl Who Leapt Through Time</t>
  </si>
  <si>
    <t>The Girl Without Hands</t>
  </si>
  <si>
    <t>Les Films Sauvages</t>
  </si>
  <si>
    <t>The Illusionist</t>
  </si>
  <si>
    <t>Pathe</t>
  </si>
  <si>
    <t>Sylvain Chomet</t>
  </si>
  <si>
    <t>The Last Unicorn</t>
  </si>
  <si>
    <t>Topcraft</t>
  </si>
  <si>
    <t>The Legend of the Millennium Dragon</t>
  </si>
  <si>
    <t>Studio Pierrot</t>
  </si>
  <si>
    <t>Hirotsugu Kawasaki</t>
  </si>
  <si>
    <t>The Life of Guskou Budori</t>
  </si>
  <si>
    <t>Tezuka Productions</t>
  </si>
  <si>
    <t>The Melancholy of Haruhi Suzumiya</t>
  </si>
  <si>
    <t>The Melancholy of Haruhi-Chan Suzumiya</t>
  </si>
  <si>
    <t>Puyo, Eretto</t>
  </si>
  <si>
    <t>The Mystic Archives of Dantalian</t>
  </si>
  <si>
    <t>The Night Is Short, Walk On Girl</t>
  </si>
  <si>
    <t>The Pet Girl of Sakurasou</t>
  </si>
  <si>
    <t>The Place Promised in Our Early Days</t>
  </si>
  <si>
    <t>The Prince of Egpyt</t>
  </si>
  <si>
    <t>Dreamworks Pictures</t>
  </si>
  <si>
    <t>The Princess and the Pilot</t>
  </si>
  <si>
    <t>Jun Shishido</t>
  </si>
  <si>
    <t>The Rabbi's Cat</t>
  </si>
  <si>
    <t>Autochenille Production</t>
  </si>
  <si>
    <t>The Red Turtle</t>
  </si>
  <si>
    <t>Prima Linea</t>
  </si>
  <si>
    <t>The Secret of Kells</t>
  </si>
  <si>
    <t>The Secret of Nimh</t>
  </si>
  <si>
    <t>The Secret World of Arrietty</t>
  </si>
  <si>
    <t>The Sky Crawlers</t>
  </si>
  <si>
    <t>The Tale of Princess Kaguya</t>
  </si>
  <si>
    <t>The Thief and the Cobbler</t>
  </si>
  <si>
    <t>Richard Williams</t>
  </si>
  <si>
    <t>The Triplets of Belleville</t>
  </si>
  <si>
    <t>Les Amateurs</t>
  </si>
  <si>
    <t>The Wind Rises</t>
  </si>
  <si>
    <t>This Boy Can Fight Aliens</t>
  </si>
  <si>
    <t>Soubi Yamamoto</t>
  </si>
  <si>
    <t>Thumbelina</t>
  </si>
  <si>
    <t>Time of Eve</t>
  </si>
  <si>
    <t>Studio Rikka</t>
  </si>
  <si>
    <t>Yashuhiro Yoshiura</t>
  </si>
  <si>
    <t>Tokyo Godfathers</t>
  </si>
  <si>
    <t>Tomorrow's Joe</t>
  </si>
  <si>
    <t>Toradora</t>
  </si>
  <si>
    <t>Tatsuyuki Nagai</t>
  </si>
  <si>
    <t>Towanoquon</t>
  </si>
  <si>
    <t>Trigun</t>
  </si>
  <si>
    <t>Satoshi Nishimura</t>
  </si>
  <si>
    <t>Trigun - Badlands Rumble</t>
  </si>
  <si>
    <t>Trinity Seven</t>
  </si>
  <si>
    <t>Seven Arcs Pictures</t>
  </si>
  <si>
    <t>Typhoon Noruda</t>
  </si>
  <si>
    <t>Studio Colorido</t>
  </si>
  <si>
    <t>Yojiro Arai</t>
  </si>
  <si>
    <t>Unico in the Island of Magic</t>
  </si>
  <si>
    <t>Moribi Murano</t>
  </si>
  <si>
    <t>Urusei Yatsura - Beautiful Dreamer</t>
  </si>
  <si>
    <t>Vampire Hunter D</t>
  </si>
  <si>
    <t>Asahi Production</t>
  </si>
  <si>
    <t>Toyoo Ashida</t>
  </si>
  <si>
    <t>Vampire Hunter D - Bloodlust</t>
  </si>
  <si>
    <t>Voices of a Distant Star</t>
  </si>
  <si>
    <t>Welcome to the N.H.K.</t>
  </si>
  <si>
    <t>Yusuke Yamamoto</t>
  </si>
  <si>
    <t>When Marnie Was There</t>
  </si>
  <si>
    <t>When The Wind Blows</t>
  </si>
  <si>
    <t>Kings Road Entertainment</t>
  </si>
  <si>
    <t>Jimmy Murakami</t>
  </si>
  <si>
    <t>Whisper of the Heart</t>
  </si>
  <si>
    <t>Yoshifumi Kondo</t>
  </si>
  <si>
    <t>Window Horses - The Poetic Persian Epiphany of Rosie Ming</t>
  </si>
  <si>
    <t>StickGirl Productions</t>
  </si>
  <si>
    <t>Ann Marie Fleming</t>
  </si>
  <si>
    <t>Wizards</t>
  </si>
  <si>
    <t>Bakshi Productions</t>
  </si>
  <si>
    <t>Ralph Bakshi</t>
  </si>
  <si>
    <t>Wolf Children</t>
  </si>
  <si>
    <t>Studio Chizu, Madhouse</t>
  </si>
  <si>
    <t>Wrinkles</t>
  </si>
  <si>
    <t>Perro Verde Films</t>
  </si>
  <si>
    <t>Ignacio Ferreras</t>
  </si>
  <si>
    <t>xxxHolic</t>
  </si>
  <si>
    <t>Yellow Submarine</t>
  </si>
  <si>
    <t>Apple Films</t>
  </si>
  <si>
    <t>George Dunning</t>
  </si>
  <si>
    <t>Your Name.</t>
  </si>
  <si>
    <t>Yuri on Ice</t>
  </si>
  <si>
    <t xml:space="preserve">Anthology       </t>
  </si>
  <si>
    <t xml:space="preserve">France      </t>
  </si>
  <si>
    <t xml:space="preserve">Film            </t>
  </si>
  <si>
    <t xml:space="preserve">TV              </t>
  </si>
  <si>
    <t xml:space="preserve">USA         </t>
  </si>
  <si>
    <t>Phil Nibbelink, Simon Wells</t>
  </si>
  <si>
    <t>action, adventure, comedy, family, romance, thriller, non fiction</t>
  </si>
  <si>
    <t xml:space="preserve">China       </t>
  </si>
  <si>
    <t xml:space="preserve">Spain       </t>
  </si>
  <si>
    <t xml:space="preserve">South Korea </t>
  </si>
  <si>
    <t xml:space="preserve">ONA             </t>
  </si>
  <si>
    <t xml:space="preserve">Brazil      </t>
  </si>
  <si>
    <t>action, science fiction, drama, thriller</t>
  </si>
  <si>
    <t>action, science fiction, thriller, mystery</t>
  </si>
  <si>
    <t>Hideaki Anno, Masayuki, Kazyua Tsurumaki</t>
  </si>
  <si>
    <t>action, philosophy, romance, science fiction, drama, thriller</t>
  </si>
  <si>
    <t>Hideaki Anno, Masayuki, Kazuya Tsurumaki</t>
  </si>
  <si>
    <t>action, comedy, horror, philosophy, romance, science fiction, drama, thriller</t>
  </si>
  <si>
    <t>Hideaki Anno, Mahiro Maeda, Kazuya Tsurumaki</t>
  </si>
  <si>
    <t>action, adventure, romance, fantasy</t>
  </si>
  <si>
    <t>action, adventure, comedy, experimental, fantasy</t>
  </si>
  <si>
    <t>Shin'ichiro Ushijima</t>
  </si>
  <si>
    <t>Rob LaDuca, Robert C. Ramirez</t>
  </si>
  <si>
    <t xml:space="preserve">Poland      </t>
  </si>
  <si>
    <t>action, erotic, thriller</t>
  </si>
  <si>
    <t>Hiromasa Yonebayashi, Yoshiyuki Momose, Akihiki Yamashita</t>
  </si>
  <si>
    <t>adventure, experimental, family</t>
  </si>
  <si>
    <t>Akiyuki Shinbo, Tomoyuki Itamura</t>
  </si>
  <si>
    <t>comedy, experimental, horror, philosophy, fantasy, mystery</t>
  </si>
  <si>
    <t>action, comedy, experimental, horror, philosophy, science fiction, mystery</t>
  </si>
  <si>
    <t>Gainax, Tatsunoko, Production I.G.</t>
  </si>
  <si>
    <t>Hideki Anno, Masayuki, Kazuya Tsurumaki</t>
  </si>
  <si>
    <t>action, experimental, horror, philosophy, science fiction, drama</t>
  </si>
  <si>
    <t>Hideaki Anno, Kazuya Tsurumaki</t>
  </si>
  <si>
    <t>action, experimental, horror, philosophy, science fiction, drama, thriller</t>
  </si>
  <si>
    <t xml:space="preserve">Canada      </t>
  </si>
  <si>
    <t>action, adventure, comedy, thriller</t>
  </si>
  <si>
    <t>comedy, experimental, horror, philosophy, drama, mystery</t>
  </si>
  <si>
    <t xml:space="preserve">Hungary     </t>
  </si>
  <si>
    <t>action, adventure, experimental, romance, thriller</t>
  </si>
  <si>
    <t>Shuhei Morita, Katsuhiro Otomo, Hiroaki Ando, Hajime Katoki</t>
  </si>
  <si>
    <t>action, adventure, experimental, horror, fantasy</t>
  </si>
  <si>
    <t xml:space="preserve">Ireland     </t>
  </si>
  <si>
    <t>romance, science fiction, drama</t>
  </si>
  <si>
    <t>Village Roadshow Pictures, Square Pictures, Studio 4C, Madhouse, DNA</t>
  </si>
  <si>
    <t>Koji Morimoto, Shinichiro Watanabe, Mahiro Maeda, Peter Chung, Andy Jones, Yoshiaki Kawajiri, Takeshi Koike</t>
  </si>
  <si>
    <t>action, adventure, experimental, philosophy, science fiction</t>
  </si>
  <si>
    <t>comedy, erotic</t>
  </si>
  <si>
    <t xml:space="preserve">French      </t>
  </si>
  <si>
    <t>adventure, horror, philosophy, drama</t>
  </si>
  <si>
    <t>Don Paul, Eric Bergeron</t>
  </si>
  <si>
    <t>Gustavo Steinberg, Gabriel Bitar, Andre Catoto</t>
  </si>
  <si>
    <t>action, adventure, family, science fiction, sports</t>
  </si>
  <si>
    <t>adventure, horror, philosophy, drama, thriller</t>
  </si>
  <si>
    <t>https://2danicritic.github.io/ReviewHtml/review_Ruben_Brandt_-_Collector.html</t>
  </si>
  <si>
    <t>https://2danicritic.github.io/ReviewHtml/review_Tito_and_the_Birds.html</t>
  </si>
  <si>
    <t>https://2danicritic.github.io/ReviewHtml/review_Joseph_-_King_of_Dreams.html</t>
  </si>
  <si>
    <t>https://2danicritic.github.io/ReviewHtml/review_The_Road_to_El_Dorado.html</t>
  </si>
  <si>
    <t>https://2danicritic.github.io/ReviewHtml/review_Balto.html</t>
  </si>
  <si>
    <t>https://2danicritic.github.io/ReviewHtml/review_An_American_Tail_-_Fievel_Goes_West.html</t>
  </si>
  <si>
    <t>https://2danicritic.github.io/ReviewHtml/review_An_American_Tail.html</t>
  </si>
  <si>
    <t>https://2danicritic.github.io/ReviewHtml/review_Fire_and_Ice.html</t>
  </si>
  <si>
    <t>https://2danicritic.github.io/ReviewHtml/review_The_Plague_Dogs.html</t>
  </si>
  <si>
    <t>https://2danicritic.github.io/ReviewHtml/review_Watership_Down.html</t>
  </si>
  <si>
    <t>https://2danicritic.github.io/ReviewHtml/review_I_Want_To_Eat_Your_Pancreas.html</t>
  </si>
  <si>
    <t>https://2danicritic.github.io/ReviewHtml/review_Modest_Heroes.html</t>
  </si>
  <si>
    <t>https://2danicritic.github.io/ReviewHtml/review_Code_Geass_-_Lelouch_of_the_Rebellion_-_Movie_Trilogy.html</t>
  </si>
  <si>
    <t>https://2danicritic.github.io/ReviewHtml/review_One_Piece_Film_-_Gold.html</t>
  </si>
  <si>
    <t>https://2danicritic.github.io/ReviewHtml/review_Lupin_the_Third_-_Jigen's_Gravestone.html</t>
  </si>
  <si>
    <t>https://2danicritic.github.io/ReviewHtml/review_Short_Peace.html</t>
  </si>
  <si>
    <t>https://2danicritic.github.io/ReviewHtml/review_Steins;Gate_The_Movie_-_Load_Region_of_Deja_Vu.html</t>
  </si>
  <si>
    <t>https://2danicritic.github.io/ReviewHtml/review_Evangelion_3.33_-_You_Can_(Not)_Redo.html</t>
  </si>
  <si>
    <t>https://2danicritic.github.io/ReviewHtml/review_Evangelion_2.22_-_You_Can_(Not)_Advance.html</t>
  </si>
  <si>
    <t>https://2danicritic.github.io/ReviewHtml/review_Hells.html</t>
  </si>
  <si>
    <t>https://2danicritic.github.io/ReviewHtml/review_Evangelion_1.11_-_You_Are_(Not)_Alone.html</t>
  </si>
  <si>
    <t>https://2danicritic.github.io/ReviewHtml/review_The_Animatrix.html</t>
  </si>
  <si>
    <t>https://2danicritic.github.io/ReviewHtml/review_Cowboy_Bebop_-_The_Movie.html</t>
  </si>
  <si>
    <t>https://2danicritic.github.io/ReviewHtml/review_Neon_Genesis_Evangelion_-_Death_and_Rebirth.html</t>
  </si>
  <si>
    <t>https://2danicritic.github.io/ReviewHtml/review_Neon_Genesis_Evangelion_-_The_End_of_Evangelion.html</t>
  </si>
  <si>
    <t>https://2danicritic.github.io/ReviewHtml/review_The_Comic_Artist_&amp;_His_Assistants.html</t>
  </si>
  <si>
    <t>https://2danicritic.github.io/ReviewHtml/review_Tonari_No_Seki-Kun_-_The_Master_of_Killing_Time.html</t>
  </si>
  <si>
    <t>https://2danicritic.github.io/ReviewHtml/review_Monogatari_Series_-_Second_Season.html</t>
  </si>
  <si>
    <t>https://2danicritic.github.io/ReviewHtml/review_Paranoia_Agent.html</t>
  </si>
  <si>
    <t>https://2danicritic.github.io/ReviewHtml/review_Neon_Genesis_Evangelion.html</t>
  </si>
  <si>
    <t>An American Tail</t>
  </si>
  <si>
    <t>An American Tail - Fievel Goes West</t>
  </si>
  <si>
    <t>Balto</t>
  </si>
  <si>
    <t>Code Geass - Lelouch of the Rebellion - Movie Trilogy</t>
  </si>
  <si>
    <t>Cowboy Bebop - The Movie</t>
  </si>
  <si>
    <t>Evangelion 1.11 - You Are (Not) Alone</t>
  </si>
  <si>
    <t>Evangelion 2.22 - You Can (Not) Advance</t>
  </si>
  <si>
    <t>Evangelion 3.33 - You Can (Not) Redo</t>
  </si>
  <si>
    <t>Fire and Ice</t>
  </si>
  <si>
    <t>Hells</t>
  </si>
  <si>
    <t>I Want To Eat Your Pancreas</t>
  </si>
  <si>
    <t>Joseph - King of Dreams</t>
  </si>
  <si>
    <t>Lupin the Third - Jigen's Gravestone</t>
  </si>
  <si>
    <t>Modest Heroes</t>
  </si>
  <si>
    <t>Monogatari Series - Second Season</t>
  </si>
  <si>
    <t>Neon Genesis Evangelion</t>
  </si>
  <si>
    <t>Neon Genesis Evangelion - Death and Rebirth</t>
  </si>
  <si>
    <t>Neon Genesis Evangelion - The End of Evangelion</t>
  </si>
  <si>
    <t>One Piece Film - Gold</t>
  </si>
  <si>
    <t>Paranoia Agent</t>
  </si>
  <si>
    <t>Ruben Brandt - Collector</t>
  </si>
  <si>
    <t>Short Peace</t>
  </si>
  <si>
    <t>Steins;Gate The Movie - Load Region of Deja Vu</t>
  </si>
  <si>
    <t>The Animatrix</t>
  </si>
  <si>
    <t>The Comic Artist &amp; His Assistants</t>
  </si>
  <si>
    <t>The Plague Dogs</t>
  </si>
  <si>
    <t>The Road to El Dorado</t>
  </si>
  <si>
    <t>Tito and the Birds</t>
  </si>
  <si>
    <t>Tonari No Seki-Kun - The Master of Killing Time</t>
  </si>
  <si>
    <t>Watership Down</t>
  </si>
  <si>
    <t>Sullivan Bluth Inc</t>
  </si>
  <si>
    <t>Amblimation</t>
  </si>
  <si>
    <t>Studio Khara</t>
  </si>
  <si>
    <t>Producers Sales Organization</t>
  </si>
  <si>
    <t>Studio VOLN</t>
  </si>
  <si>
    <t>DreamWorks Animation</t>
  </si>
  <si>
    <t>Gainax, Production I.G.</t>
  </si>
  <si>
    <t>Ruben Brandt LLC</t>
  </si>
  <si>
    <t>Zexcs</t>
  </si>
  <si>
    <t>Nepenthe Productions</t>
  </si>
  <si>
    <t>Dreamworks Animation</t>
  </si>
  <si>
    <t>Bits Productions</t>
  </si>
  <si>
    <t>Shin-Ei Animation</t>
  </si>
  <si>
    <t>Simon Wells</t>
  </si>
  <si>
    <t>Shinichiro Watanabe</t>
  </si>
  <si>
    <t>Hideaki Anno</t>
  </si>
  <si>
    <t>Hiroaki Miyamoto</t>
  </si>
  <si>
    <t>Milorad Krstic</t>
  </si>
  <si>
    <t>Kanji Wakabayashi</t>
  </si>
  <si>
    <t>Takeshi Furuta</t>
  </si>
  <si>
    <t>Martin Rosen</t>
  </si>
  <si>
    <t>Yuji Mutoh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</si>
</sst>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0" fontId="4" fillId="2" borderId="0" xfId="1" applyFill="1"/>
    <xf numFmtId="0" fontId="0" fillId="3" borderId="0" xfId="0" applyFill="1"/>
    <xf numFmtId="0" fontId="0" fillId="0" borderId="2" xfId="0" applyBorder="1"/>
    <xf numFmtId="0" fontId="5" fillId="3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applyFill="1" applyAlignment="1">
      <alignment horizontal="left"/>
    </xf>
    <xf numFmtId="2" fontId="0" fillId="2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9" fontId="0" fillId="0" borderId="0" xfId="0" applyNumberFormat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</cellXfs>
  <cellStyles count="2">
    <cellStyle name="Hyperlink" xfId="1" builtinId="8"/>
    <cellStyle name="Normal" xfId="0" builtinId="0"/>
  </cellStyles>
  <dxfs count="7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FFFF"/>
      <color rgb="FFFFCC99"/>
      <color rgb="FF99FFCC"/>
      <color rgb="FFCCFFCC"/>
      <color rgb="FFFFCCFF"/>
      <color rgb="FFFF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Review</a:t>
            </a:r>
            <a:r>
              <a:rPr lang="en-US" baseline="0"/>
              <a:t> </a:t>
            </a:r>
            <a:r>
              <a:rPr lang="en-US"/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'Extra Sheet'!$D$3</c:f>
              <c:strCache>
                <c:ptCount val="1"/>
                <c:pt idx="0">
                  <c:v>Count for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'Extra Sheet'!$C$4:$C$11</c:f>
              <c:strCache>
                <c:ptCount val="8"/>
                <c:pt idx="0">
                  <c:v>1.0 -&gt; 1.5</c:v>
                </c:pt>
                <c:pt idx="1">
                  <c:v>1.5 -&gt; 2.0</c:v>
                </c:pt>
                <c:pt idx="2">
                  <c:v>2.0 -&gt; 2.5</c:v>
                </c:pt>
                <c:pt idx="3">
                  <c:v>2.5 -&gt; 3.0</c:v>
                </c:pt>
                <c:pt idx="4">
                  <c:v>3.0 -&gt; 3.5</c:v>
                </c:pt>
                <c:pt idx="5">
                  <c:v>3.5 -&gt; 4.0</c:v>
                </c:pt>
                <c:pt idx="6">
                  <c:v>4.0 -&gt; 4.5</c:v>
                </c:pt>
                <c:pt idx="7">
                  <c:v>4.5 -&gt; 5.0</c:v>
                </c:pt>
              </c:strCache>
            </c:strRef>
          </c:cat>
          <c:val>
            <c:numRef>
              <c:f>'Extra Sheet'!$D$4:$D$11</c:f>
              <c:numCache>
                <c:formatCode>General</c:formatCode>
                <c:ptCount val="8"/>
                <c:pt idx="0">
                  <c:v>4</c:v>
                </c:pt>
                <c:pt idx="1">
                  <c:v>10</c:v>
                </c:pt>
                <c:pt idx="2">
                  <c:v>26</c:v>
                </c:pt>
                <c:pt idx="3">
                  <c:v>43</c:v>
                </c:pt>
                <c:pt idx="4">
                  <c:v>84</c:v>
                </c:pt>
                <c:pt idx="5">
                  <c:v>87</c:v>
                </c:pt>
                <c:pt idx="6">
                  <c:v>40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6-4CD6-BF5F-A5A68791E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9"/>
        <c:axId val="433190888"/>
        <c:axId val="444953704"/>
      </c:barChart>
      <c:catAx>
        <c:axId val="43319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53704"/>
        <c:crosses val="autoZero"/>
        <c:auto val="1"/>
        <c:lblAlgn val="ctr"/>
        <c:lblOffset val="100"/>
        <c:noMultiLvlLbl val="0"/>
      </c:catAx>
      <c:valAx>
        <c:axId val="44495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90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Distribution of Reviews By</a:t>
            </a:r>
            <a:r>
              <a:rPr lang="en-CA" baseline="0"/>
              <a:t>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'Extra Sheet'!$C$22:$C$77</c:f>
              <c:numCache>
                <c:formatCode>General</c:formatCode>
                <c:ptCount val="56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</c:numCache>
            </c:numRef>
          </c:cat>
          <c:val>
            <c:numRef>
              <c:f>'Extra Sheet'!$D$22:$D$77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4</c:v>
                </c:pt>
                <c:pt idx="29">
                  <c:v>3</c:v>
                </c:pt>
                <c:pt idx="30">
                  <c:v>4</c:v>
                </c:pt>
                <c:pt idx="31">
                  <c:v>0</c:v>
                </c:pt>
                <c:pt idx="32">
                  <c:v>4</c:v>
                </c:pt>
                <c:pt idx="33">
                  <c:v>3</c:v>
                </c:pt>
                <c:pt idx="34">
                  <c:v>1</c:v>
                </c:pt>
                <c:pt idx="35">
                  <c:v>7</c:v>
                </c:pt>
                <c:pt idx="36">
                  <c:v>5</c:v>
                </c:pt>
                <c:pt idx="37">
                  <c:v>7</c:v>
                </c:pt>
                <c:pt idx="38">
                  <c:v>8</c:v>
                </c:pt>
                <c:pt idx="39">
                  <c:v>10</c:v>
                </c:pt>
                <c:pt idx="40">
                  <c:v>1</c:v>
                </c:pt>
                <c:pt idx="41">
                  <c:v>14</c:v>
                </c:pt>
                <c:pt idx="42">
                  <c:v>9</c:v>
                </c:pt>
                <c:pt idx="43">
                  <c:v>12</c:v>
                </c:pt>
                <c:pt idx="44">
                  <c:v>12</c:v>
                </c:pt>
                <c:pt idx="45">
                  <c:v>17</c:v>
                </c:pt>
                <c:pt idx="46">
                  <c:v>23</c:v>
                </c:pt>
                <c:pt idx="47">
                  <c:v>23</c:v>
                </c:pt>
                <c:pt idx="48">
                  <c:v>14</c:v>
                </c:pt>
                <c:pt idx="49">
                  <c:v>18</c:v>
                </c:pt>
                <c:pt idx="50">
                  <c:v>19</c:v>
                </c:pt>
                <c:pt idx="51">
                  <c:v>21</c:v>
                </c:pt>
                <c:pt idx="52">
                  <c:v>19</c:v>
                </c:pt>
                <c:pt idx="53">
                  <c:v>10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F-4AFC-BEC7-667F2AA7C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618716160"/>
        <c:axId val="618715176"/>
      </c:barChart>
      <c:catAx>
        <c:axId val="61871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15176"/>
        <c:crosses val="autoZero"/>
        <c:auto val="1"/>
        <c:lblAlgn val="ctr"/>
        <c:lblOffset val="100"/>
        <c:tickLblSkip val="1"/>
        <c:noMultiLvlLbl val="0"/>
      </c:catAx>
      <c:valAx>
        <c:axId val="618715176"/>
        <c:scaling>
          <c:orientation val="minMax"/>
          <c:max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16160"/>
        <c:crossesAt val="1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903810</xdr:colOff>
      <xdr:row>33</xdr:row>
      <xdr:rowOff>92200</xdr:rowOff>
    </xdr:from>
    <xdr:to>
      <xdr:col>1</xdr:col>
      <xdr:colOff>914970</xdr:colOff>
      <xdr:row>33</xdr:row>
      <xdr:rowOff>96880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AF214D2-8502-447E-81DA-C36301FD0C93}"/>
                </a:ext>
              </a:extLst>
            </xdr14:cNvPr>
            <xdr14:cNvContentPartPr/>
          </xdr14:nvContentPartPr>
          <xdr14:nvPr macro=""/>
          <xdr14:xfrm>
            <a:off x="1265760" y="5299200"/>
            <a:ext cx="111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AF214D2-8502-447E-81DA-C36301FD0C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760" y="5290560"/>
              <a:ext cx="28800" cy="22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1094250</xdr:colOff>
      <xdr:row>33</xdr:row>
      <xdr:rowOff>89320</xdr:rowOff>
    </xdr:from>
    <xdr:to>
      <xdr:col>1</xdr:col>
      <xdr:colOff>1123050</xdr:colOff>
      <xdr:row>33</xdr:row>
      <xdr:rowOff>105520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F8F54C1-3129-4582-AE78-697498F83385}"/>
                </a:ext>
              </a:extLst>
            </xdr14:cNvPr>
            <xdr14:cNvContentPartPr/>
          </xdr14:nvContentPartPr>
          <xdr14:nvPr macro=""/>
          <xdr14:xfrm>
            <a:off x="1456200" y="5296320"/>
            <a:ext cx="28800" cy="162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2F8F54C1-3129-4582-AE78-697498F8338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47560" y="5287320"/>
              <a:ext cx="46440" cy="3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95250</xdr:colOff>
      <xdr:row>27</xdr:row>
      <xdr:rowOff>25400</xdr:rowOff>
    </xdr:from>
    <xdr:to>
      <xdr:col>1</xdr:col>
      <xdr:colOff>1655829</xdr:colOff>
      <xdr:row>35</xdr:row>
      <xdr:rowOff>112779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3D410A-3F93-4D1A-8714-B5F72FE6F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5048250"/>
          <a:ext cx="1560579" cy="156057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177800</xdr:rowOff>
    </xdr:from>
    <xdr:to>
      <xdr:col>13</xdr:col>
      <xdr:colOff>371475</xdr:colOff>
      <xdr:row>16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37A82-A82F-4A4A-BDF1-987D05463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85724</xdr:colOff>
      <xdr:row>21</xdr:row>
      <xdr:rowOff>107950</xdr:rowOff>
    </xdr:from>
    <xdr:to>
      <xdr:col>17</xdr:col>
      <xdr:colOff>590549</xdr:colOff>
      <xdr:row>39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B4E92D-3C76-4558-8C76-B25200B4A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12</xdr:row>
      <xdr:rowOff>54374</xdr:rowOff>
    </xdr:from>
    <xdr:to>
      <xdr:col>15</xdr:col>
      <xdr:colOff>596900</xdr:colOff>
      <xdr:row>51</xdr:row>
      <xdr:rowOff>101599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AFC527-D28C-4753-B03B-11B56B219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2314974"/>
          <a:ext cx="9105900" cy="72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53</xdr:row>
      <xdr:rowOff>50800</xdr:rowOff>
    </xdr:from>
    <xdr:to>
      <xdr:col>17</xdr:col>
      <xdr:colOff>447297</xdr:colOff>
      <xdr:row>77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C87C4B-C6D6-4785-80C6-EE3ADD15E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9861550"/>
          <a:ext cx="10181847" cy="443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1-22T03:08:18.878"/>
    </inkml:context>
    <inkml:brush xml:id="br0">
      <inkml:brushProperty name="width" value="0.05" units="cm"/>
      <inkml:brushProperty name="height" value="0.05" units="cm"/>
      <inkml:brushProperty name="color" value="#EEB3A6"/>
      <inkml:brushProperty name="inkEffects" value="rosegold"/>
      <inkml:brushProperty name="anchorX" value="0"/>
      <inkml:brushProperty name="anchorY" value="0"/>
      <inkml:brushProperty name="scaleFactor" value="0.5"/>
    </inkml:brush>
  </inkml:definitions>
  <inkml:trace contextRef="#ctx0" brushRef="#br0">30 1 7832 0 0,'0'0'0'0'0,"-12"5"2544"0"0,-6 2-15072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1-22T03:08:28.116"/>
    </inkml:context>
    <inkml:brush xml:id="br0">
      <inkml:brushProperty name="width" value="0.05" units="cm"/>
      <inkml:brushProperty name="height" value="0.05" units="cm"/>
      <inkml:brushProperty name="color" value="#EEB3A6"/>
      <inkml:brushProperty name="inkEffects" value="rosegold"/>
      <inkml:brushProperty name="anchorX" value="876.79297"/>
      <inkml:brushProperty name="anchorY" value="834.61639"/>
      <inkml:brushProperty name="scaleFactor" value="0.5"/>
    </inkml:brush>
  </inkml:definitions>
  <inkml:trace contextRef="#ctx0" brushRef="#br0">79 44 15056 0 0,'0'0'0'0'0,"-6"-1"1631"0"0,-5-1-1903 0 0,0-1 544 0 0,-1 1-272 0 0,2-1 0 0 0,0-2 0 0 0,3 1 0 0 0,3 1 0 0 0,0-1-121 0 0,1 2 25 0 0,3 0-14 0 0,0-1-2 0 0,7-2-1568 0 0,-4 3-6048 0 0,1-1-1334 0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0BF76C-923B-42AF-BD58-C5AF21145B26}" name="Table1" displayName="Table1" ref="B2:S306" totalsRowShown="0" dataDxfId="55">
  <autoFilter ref="B2:S306" xr:uid="{BF850E12-6FCD-45DC-BC44-9D63E95AAFF8}">
    <filterColumn colId="3">
      <filters>
        <filter val="Japan"/>
      </filters>
    </filterColumn>
    <filterColumn colId="5">
      <filters>
        <filter val="ONA"/>
        <filter val="OVA"/>
        <filter val="TV"/>
      </filters>
    </filterColumn>
  </autoFilter>
  <sortState xmlns:xlrd2="http://schemas.microsoft.com/office/spreadsheetml/2017/richdata2" ref="B8:S306">
    <sortCondition descending="1" ref="D2:D306"/>
  </sortState>
  <tableColumns count="18">
    <tableColumn id="1" xr3:uid="{98A049F6-BCE2-4EA4-AA7A-289B06AF0073}" name="in." dataDxfId="77"/>
    <tableColumn id="2" xr3:uid="{E7335D57-CA83-41EA-9B9D-7EAC951511C6}" name="Title"/>
    <tableColumn id="3" xr3:uid="{74240D15-BBE4-410A-92B0-1CF71DC374A0}" name="Year" dataDxfId="9"/>
    <tableColumn id="4" xr3:uid="{EC3D14FF-1D16-4C1A-B645-9FF0D06492BF}" name="Country"/>
    <tableColumn id="5" xr3:uid="{54B1534E-56EF-4088-8DDF-07F746231842}" name="Studio"/>
    <tableColumn id="6" xr3:uid="{DAA03520-1BB0-4BE9-B543-A0B0AC4818AA}" name="Format"/>
    <tableColumn id="7" xr3:uid="{643DE38D-C92F-4760-9DD9-2575F9E13E6B}" name="director"/>
    <tableColumn id="8" xr3:uid="{B671D164-C623-4A86-8CF9-D8BC90FA3439}" name="STot" dataDxfId="8"/>
    <tableColumn id="9" xr3:uid="{E37DE94C-A9EF-427B-99C1-B71B9691E216}" name="SAni" dataDxfId="7"/>
    <tableColumn id="10" xr3:uid="{82E40030-1DCE-4E8A-86C9-32D15516C2BB}" name="SVis" dataDxfId="6"/>
    <tableColumn id="11" xr3:uid="{33A3FC78-3847-498D-9541-2C6AC6BF2E06}" name="SAud" dataDxfId="5"/>
    <tableColumn id="12" xr3:uid="{1E2D42E7-3BA8-4953-82F3-A45B6179A8EE}" name="SAct" dataDxfId="4"/>
    <tableColumn id="13" xr3:uid="{6FD5A408-2FDD-46DF-A3EE-1185BEA1E123}" name="SSto" dataDxfId="3"/>
    <tableColumn id="14" xr3:uid="{5A5E4541-BEE0-42E7-91DF-E85688FF88A1}" name="SFun" dataDxfId="2"/>
    <tableColumn id="15" xr3:uid="{49F4B9CF-8A1A-4BBC-B143-93D8063A2D77}" name="SBias" dataDxfId="1"/>
    <tableColumn id="16" xr3:uid="{38DC5F4C-941C-4420-A7E6-157F1DCAD7C7}" name="genre"/>
    <tableColumn id="23" xr3:uid="{EE206047-6552-4295-8190-10F45F07A0F7}" name="runtime" dataDxfId="0"/>
    <tableColumn id="24" xr3:uid="{336A1B1D-767B-4F16-96DD-70A397465C8B}" name="Li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748642-EF57-4D6C-9CC1-9458B59C5D12}" name="Table2" displayName="Table2" ref="AN3:BD133" totalsRowShown="0" headerRowDxfId="76" dataDxfId="74" headerRowBorderDxfId="75" tableBorderDxfId="73" totalsRowBorderDxfId="72">
  <autoFilter ref="AN3:BD133" xr:uid="{CEB9ED83-E83E-4958-8C68-0B7F10F77214}"/>
  <sortState xmlns:xlrd2="http://schemas.microsoft.com/office/spreadsheetml/2017/richdata2" ref="AN4:BD97">
    <sortCondition descending="1" ref="AO3:AO97"/>
  </sortState>
  <tableColumns count="17">
    <tableColumn id="2" xr3:uid="{4FF837C3-F431-4795-B6AB-32B66706B028}" name="Title" dataDxfId="24"/>
    <tableColumn id="3" xr3:uid="{39EE7171-F94F-473B-A0BE-2D85A4EDF44A}" name="Year" dataDxfId="22"/>
    <tableColumn id="4" xr3:uid="{51D6B399-9B77-444E-A116-2F7D85A8C41D}" name="Country" dataDxfId="23"/>
    <tableColumn id="5" xr3:uid="{12C242E8-BA51-4036-82C0-87A7536D0A30}" name="Studio" dataDxfId="71"/>
    <tableColumn id="6" xr3:uid="{217DC267-F88E-4F82-998D-65294A0245CE}" name="Format" dataDxfId="70"/>
    <tableColumn id="7" xr3:uid="{1A4A769D-DEE8-4D10-A749-CFC38A894817}" name="director" dataDxfId="21"/>
    <tableColumn id="8" xr3:uid="{F942B480-3582-40DC-83C0-BE4BC21407A1}" name="STot" dataDxfId="20"/>
    <tableColumn id="9" xr3:uid="{9FF39E62-C200-4D41-ABBD-42CD7B3170DE}" name="SAni" dataDxfId="19"/>
    <tableColumn id="10" xr3:uid="{8AE94519-159B-4207-A6A0-F230A3921756}" name="SVis" dataDxfId="18"/>
    <tableColumn id="11" xr3:uid="{9DF8262C-1B5C-4073-83A9-2A2AC6383E4D}" name="SAud" dataDxfId="17"/>
    <tableColumn id="12" xr3:uid="{A33005A8-DCDF-4B3B-B466-8ED99830515A}" name="SAct" dataDxfId="16"/>
    <tableColumn id="13" xr3:uid="{81DA279D-B064-4FB1-90D9-406B3203F4A6}" name="SSto" dataDxfId="15"/>
    <tableColumn id="14" xr3:uid="{E2E6419A-479C-4652-BB7A-82E67802C5B4}" name="SFun" dataDxfId="14"/>
    <tableColumn id="15" xr3:uid="{6EC7E238-EF8F-4745-8647-02050178AE26}" name="SBias" dataDxfId="13"/>
    <tableColumn id="16" xr3:uid="{8FB7D69B-0407-46B4-A7BA-D7C6CCB93EA0}" name="genre" dataDxfId="12"/>
    <tableColumn id="17" xr3:uid="{74210527-54B4-4B92-8685-F18E2F2A0444}" name="runtime" dataDxfId="10"/>
    <tableColumn id="18" xr3:uid="{1496301A-A875-4470-823B-2481C77DEF53}" name="Link" dataDxfId="11">
      <calculatedColumnFormula xml:space="preserve"> HYPERLINK("ReviewHtml/review_Afro_Samurai.html", "https://2danicritic.github.io/ReviewHtml/review_Afro_Samurai.html")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655A7B-4CC2-4C63-9141-266E29F0217F}" name="Table3" displayName="Table3" ref="U3:AK121" totalsRowShown="0" headerRowDxfId="69" dataDxfId="67" headerRowBorderDxfId="68" tableBorderDxfId="66" totalsRowBorderDxfId="65">
  <autoFilter ref="U3:AK121" xr:uid="{AE77BB8F-4479-4FEC-BE11-8FBBFC65601D}"/>
  <sortState xmlns:xlrd2="http://schemas.microsoft.com/office/spreadsheetml/2017/richdata2" ref="U4:AK106">
    <sortCondition descending="1" ref="V3:V106"/>
  </sortState>
  <tableColumns count="17">
    <tableColumn id="1" xr3:uid="{89E53AF8-FA5C-4AC1-8CB4-454D3DF2F334}" name="Title" dataDxfId="39"/>
    <tableColumn id="2" xr3:uid="{2DAB46D3-61CD-4DFB-AC39-6CE27FDE7646}" name="Year" dataDxfId="37"/>
    <tableColumn id="3" xr3:uid="{E221385B-3225-4C07-90AF-4A8D2791AE87}" name="Country" dataDxfId="38"/>
    <tableColumn id="4" xr3:uid="{D46F189B-3501-4A77-A2AF-5EB1C2EFBD13}" name="Studio" dataDxfId="64"/>
    <tableColumn id="5" xr3:uid="{817A866C-DD4C-4473-A9CE-C6F7A5E282C6}" name="Format" dataDxfId="63"/>
    <tableColumn id="6" xr3:uid="{AF24D233-1D56-47AA-B252-11FE43F62801}" name="director" dataDxfId="36"/>
    <tableColumn id="7" xr3:uid="{D779DA09-083C-4E6E-9F2E-3E06BC537C01}" name="STot" dataDxfId="35"/>
    <tableColumn id="8" xr3:uid="{463F54D1-E06A-4858-89BB-C02740634AF2}" name="SAni" dataDxfId="34"/>
    <tableColumn id="9" xr3:uid="{4071D48B-6188-47D7-B217-4D59EC60FE03}" name="SVis" dataDxfId="33"/>
    <tableColumn id="10" xr3:uid="{1E19C3EE-4885-4535-AE81-29F2F29B8B45}" name="SAud" dataDxfId="32"/>
    <tableColumn id="11" xr3:uid="{D899921D-B1EF-471B-AE6B-C1C963B47E02}" name="SAct" dataDxfId="31"/>
    <tableColumn id="12" xr3:uid="{E4926729-B9E8-49BD-A79A-6E2DA30D3C35}" name="SSto" dataDxfId="30"/>
    <tableColumn id="13" xr3:uid="{C6D993DD-83D4-4246-A2C9-70EDAC256262}" name="SFun" dataDxfId="29"/>
    <tableColumn id="14" xr3:uid="{CF663B50-79A5-4185-A0A3-437DF2B4CFEB}" name="SBias" dataDxfId="28"/>
    <tableColumn id="15" xr3:uid="{C33B75D0-3FCE-42AB-8F4D-A04C14A87BF3}" name="genre" dataDxfId="27"/>
    <tableColumn id="16" xr3:uid="{A0BED576-5964-4A73-B633-77A24F7CC625}" name="runtime" dataDxfId="25"/>
    <tableColumn id="17" xr3:uid="{28500ED1-4C8C-4549-8B99-DEDDD1D9638E}" name="Link" dataDxfId="26">
      <calculatedColumnFormula xml:space="preserve"> HYPERLINK("ReviewHtml/review_5_Centimeters_per_Second.html", "https://2danicritic.github.io/ReviewHtml/review_5_Centimeters_per_Second.html")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0464E2-1A68-4DF3-B32D-8AE3212586C9}" name="Table4" displayName="Table4" ref="B3:R59" totalsRowShown="0" headerRowDxfId="62" dataDxfId="60" headerRowBorderDxfId="61" tableBorderDxfId="59" totalsRowBorderDxfId="58">
  <autoFilter ref="B3:R59" xr:uid="{47021024-A794-46E1-A7F4-8B0463D40855}"/>
  <sortState xmlns:xlrd2="http://schemas.microsoft.com/office/spreadsheetml/2017/richdata2" ref="B4:R45">
    <sortCondition descending="1" ref="C3:C45"/>
  </sortState>
  <tableColumns count="17">
    <tableColumn id="1" xr3:uid="{46741F2C-92DE-4093-AA6C-15B71B64DBE9}" name="Title" dataDxfId="54"/>
    <tableColumn id="2" xr3:uid="{DE638702-C4CB-474A-8AB2-A2570503C226}" name="Year" dataDxfId="52"/>
    <tableColumn id="3" xr3:uid="{E907283A-B90C-456C-BB8B-28822024051F}" name="Country" dataDxfId="53"/>
    <tableColumn id="4" xr3:uid="{D493A74A-10CF-455C-B687-EEB62CF2EA9B}" name="Studio" dataDxfId="57"/>
    <tableColumn id="5" xr3:uid="{ED5C14E1-4AC4-4BE7-9098-0C8BB6F3D2AF}" name="Format" dataDxfId="56"/>
    <tableColumn id="6" xr3:uid="{FFE2A051-9ACF-484D-80C4-92D014A36BB6}" name="director" dataDxfId="51"/>
    <tableColumn id="7" xr3:uid="{F27F3012-F63B-44E3-BAEA-69AF7D85CE73}" name="STot" dataDxfId="50"/>
    <tableColumn id="8" xr3:uid="{01684FC9-B53E-4FA5-BD00-97ADBCE18E48}" name="SAni" dataDxfId="49"/>
    <tableColumn id="9" xr3:uid="{36A29D74-718D-49B7-9625-D42084DD1292}" name="SVis" dataDxfId="48"/>
    <tableColumn id="10" xr3:uid="{DFF0D030-6F2C-460A-97AE-2C3095958CFD}" name="SAud" dataDxfId="47"/>
    <tableColumn id="11" xr3:uid="{7858F99B-D7C0-46D4-BC80-91371F9D310F}" name="SAct" dataDxfId="46"/>
    <tableColumn id="12" xr3:uid="{2DCF6565-B741-419E-A76A-51FA1EF7A1BA}" name="SSto" dataDxfId="45"/>
    <tableColumn id="13" xr3:uid="{7F8A50AD-F503-4362-93DE-6DDE5EA049BE}" name="SFun" dataDxfId="44"/>
    <tableColumn id="14" xr3:uid="{2D41A799-985F-4721-B409-A2708318AE5F}" name="SBias" dataDxfId="43"/>
    <tableColumn id="15" xr3:uid="{84ED9525-F4F3-418B-9240-75DE20ED6E7F}" name="genre" dataDxfId="42"/>
    <tableColumn id="16" xr3:uid="{1965E371-955B-4664-ADBC-75474D11DF99}" name="runtime" dataDxfId="40"/>
    <tableColumn id="17" xr3:uid="{ACD43AF6-3490-4148-9585-AC33BA0D0477}" name="Link" dataDxfId="4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202B2-3CBF-4558-AA45-F3FC95D4932C}">
  <dimension ref="B3:B46"/>
  <sheetViews>
    <sheetView tabSelected="1" workbookViewId="0">
      <selection activeCell="B45" sqref="B45"/>
    </sheetView>
  </sheetViews>
  <sheetFormatPr defaultRowHeight="14.5" x14ac:dyDescent="0.35"/>
  <cols>
    <col min="1" max="1" width="5.1796875" style="2" customWidth="1"/>
    <col min="2" max="2" width="33.08984375" style="2" customWidth="1"/>
    <col min="3" max="16384" width="8.7265625" style="2"/>
  </cols>
  <sheetData>
    <row r="3" spans="2:2" ht="18.5" x14ac:dyDescent="0.45">
      <c r="B3" s="3" t="s">
        <v>0</v>
      </c>
    </row>
    <row r="6" spans="2:2" x14ac:dyDescent="0.35">
      <c r="B6" s="2" t="s">
        <v>9</v>
      </c>
    </row>
    <row r="7" spans="2:2" x14ac:dyDescent="0.35">
      <c r="B7" s="2" t="s">
        <v>10</v>
      </c>
    </row>
    <row r="9" spans="2:2" x14ac:dyDescent="0.35">
      <c r="B9" s="2" t="s">
        <v>11</v>
      </c>
    </row>
    <row r="10" spans="2:2" x14ac:dyDescent="0.35">
      <c r="B10" s="2" t="s">
        <v>1</v>
      </c>
    </row>
    <row r="11" spans="2:2" x14ac:dyDescent="0.35">
      <c r="B11" s="2" t="s">
        <v>39</v>
      </c>
    </row>
    <row r="13" spans="2:2" x14ac:dyDescent="0.35">
      <c r="B13" s="2" t="s">
        <v>2</v>
      </c>
    </row>
    <row r="14" spans="2:2" x14ac:dyDescent="0.35">
      <c r="B14" s="2" t="s">
        <v>336</v>
      </c>
    </row>
    <row r="15" spans="2:2" x14ac:dyDescent="0.35">
      <c r="B15" s="2" t="s">
        <v>3</v>
      </c>
    </row>
    <row r="16" spans="2:2" x14ac:dyDescent="0.35">
      <c r="B16" s="2" t="s">
        <v>645</v>
      </c>
    </row>
    <row r="17" spans="2:2" x14ac:dyDescent="0.35">
      <c r="B17" s="2" t="s">
        <v>40</v>
      </c>
    </row>
    <row r="18" spans="2:2" x14ac:dyDescent="0.35">
      <c r="B18" s="2" t="s">
        <v>646</v>
      </c>
    </row>
    <row r="19" spans="2:2" x14ac:dyDescent="0.35">
      <c r="B19" s="2" t="s">
        <v>647</v>
      </c>
    </row>
    <row r="21" spans="2:2" x14ac:dyDescent="0.35">
      <c r="B21" s="2" t="s">
        <v>4</v>
      </c>
    </row>
    <row r="22" spans="2:2" x14ac:dyDescent="0.35">
      <c r="B22" s="2" t="s">
        <v>5</v>
      </c>
    </row>
    <row r="23" spans="2:2" x14ac:dyDescent="0.35">
      <c r="B23" s="2" t="s">
        <v>648</v>
      </c>
    </row>
    <row r="24" spans="2:2" x14ac:dyDescent="0.35">
      <c r="B24" s="2" t="s">
        <v>649</v>
      </c>
    </row>
    <row r="25" spans="2:2" x14ac:dyDescent="0.35">
      <c r="B25" s="2" t="s">
        <v>337</v>
      </c>
    </row>
    <row r="26" spans="2:2" x14ac:dyDescent="0.35">
      <c r="B26" s="2" t="s">
        <v>650</v>
      </c>
    </row>
    <row r="38" spans="2:2" x14ac:dyDescent="0.35">
      <c r="B38" s="2" t="s">
        <v>632</v>
      </c>
    </row>
    <row r="39" spans="2:2" x14ac:dyDescent="0.35">
      <c r="B39" s="2" t="s">
        <v>8</v>
      </c>
    </row>
    <row r="40" spans="2:2" x14ac:dyDescent="0.35">
      <c r="B40" s="4" t="str">
        <f>HYPERLINK("https://2danicritic.github.io/","https://2danicritic.github.io/")</f>
        <v>https://2danicritic.github.io/</v>
      </c>
    </row>
    <row r="41" spans="2:2" x14ac:dyDescent="0.35">
      <c r="B41" s="2" t="s">
        <v>335</v>
      </c>
    </row>
    <row r="42" spans="2:2" x14ac:dyDescent="0.35">
      <c r="B42" s="2" t="s">
        <v>334</v>
      </c>
    </row>
    <row r="43" spans="2:2" x14ac:dyDescent="0.35">
      <c r="B43" s="4"/>
    </row>
    <row r="44" spans="2:2" x14ac:dyDescent="0.35">
      <c r="B44" s="2" t="s">
        <v>651</v>
      </c>
    </row>
    <row r="45" spans="2:2" x14ac:dyDescent="0.35">
      <c r="B45" s="4" t="str">
        <f>HYPERLINK("2danicritic@gmail.com","2danicritic@gmail.com")</f>
        <v>2danicritic@gmail.com</v>
      </c>
    </row>
    <row r="46" spans="2:2" x14ac:dyDescent="0.35">
      <c r="B46" s="2" t="s">
        <v>41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7E18-BC47-4414-9164-3B2A1C501471}">
  <dimension ref="B2:S306"/>
  <sheetViews>
    <sheetView workbookViewId="0">
      <selection activeCell="C8" sqref="C8:S306"/>
    </sheetView>
  </sheetViews>
  <sheetFormatPr defaultRowHeight="14.5" x14ac:dyDescent="0.35"/>
  <cols>
    <col min="1" max="1" width="8.7265625" style="5"/>
    <col min="2" max="2" width="5.26953125" style="12" customWidth="1"/>
    <col min="3" max="3" width="50.6328125" style="5" customWidth="1"/>
    <col min="4" max="4" width="6.6328125" style="10" customWidth="1"/>
    <col min="5" max="5" width="15.6328125" style="5" customWidth="1"/>
    <col min="6" max="6" width="20.6328125" style="5" customWidth="1"/>
    <col min="7" max="7" width="6.6328125" style="5" customWidth="1"/>
    <col min="8" max="8" width="40.6328125" style="5" customWidth="1"/>
    <col min="9" max="16" width="6.6328125" style="10" customWidth="1"/>
    <col min="17" max="17" width="80.6328125" style="5" customWidth="1"/>
    <col min="18" max="18" width="8.7265625" style="10"/>
    <col min="19" max="19" width="100.6328125" style="5" customWidth="1"/>
    <col min="20" max="16384" width="8.7265625" style="5"/>
  </cols>
  <sheetData>
    <row r="2" spans="2:19" x14ac:dyDescent="0.35">
      <c r="B2" s="8" t="s">
        <v>42</v>
      </c>
      <c r="C2" s="18" t="s">
        <v>652</v>
      </c>
      <c r="D2" s="9" t="s">
        <v>332</v>
      </c>
      <c r="E2" t="s">
        <v>653</v>
      </c>
      <c r="F2" t="s">
        <v>654</v>
      </c>
      <c r="G2" t="s">
        <v>655</v>
      </c>
      <c r="H2" t="s">
        <v>43</v>
      </c>
      <c r="I2" s="9" t="s">
        <v>44</v>
      </c>
      <c r="J2" s="9" t="s">
        <v>45</v>
      </c>
      <c r="K2" s="9" t="s">
        <v>46</v>
      </c>
      <c r="L2" s="9" t="s">
        <v>47</v>
      </c>
      <c r="M2" s="9" t="s">
        <v>48</v>
      </c>
      <c r="N2" s="9" t="s">
        <v>49</v>
      </c>
      <c r="O2" s="9" t="s">
        <v>50</v>
      </c>
      <c r="P2" s="9" t="s">
        <v>51</v>
      </c>
      <c r="Q2" t="s">
        <v>52</v>
      </c>
      <c r="R2" s="9" t="s">
        <v>316</v>
      </c>
      <c r="S2" t="s">
        <v>53</v>
      </c>
    </row>
    <row r="3" spans="2:19" hidden="1" x14ac:dyDescent="0.35">
      <c r="B3">
        <v>22</v>
      </c>
      <c r="C3" t="s">
        <v>701</v>
      </c>
      <c r="D3" s="9">
        <v>2018</v>
      </c>
      <c r="E3" t="s">
        <v>54</v>
      </c>
      <c r="F3" t="s">
        <v>702</v>
      </c>
      <c r="G3" t="s">
        <v>1192</v>
      </c>
      <c r="H3" t="s">
        <v>703</v>
      </c>
      <c r="I3" s="9">
        <v>3.57</v>
      </c>
      <c r="J3" s="9">
        <v>4</v>
      </c>
      <c r="K3" s="9">
        <v>4</v>
      </c>
      <c r="L3" s="9">
        <v>4</v>
      </c>
      <c r="M3" s="9">
        <v>3.5</v>
      </c>
      <c r="N3" s="9">
        <v>2</v>
      </c>
      <c r="O3" s="9">
        <v>4</v>
      </c>
      <c r="P3" s="9">
        <v>3.5</v>
      </c>
      <c r="Q3" t="s">
        <v>342</v>
      </c>
      <c r="R3" s="9">
        <v>85</v>
      </c>
      <c r="S3" t="str">
        <f xml:space="preserve"> HYPERLINK("ReviewHtml/review_Batman_Ninja.html", "https://2danicritic.github.io/ReviewHtml/review_Batman_Ninja.html")</f>
        <v>https://2danicritic.github.io/ReviewHtml/review_Batman_Ninja.html</v>
      </c>
    </row>
    <row r="4" spans="2:19" hidden="1" x14ac:dyDescent="0.35">
      <c r="B4">
        <v>211</v>
      </c>
      <c r="C4" t="s">
        <v>1294</v>
      </c>
      <c r="D4" s="9">
        <v>2018</v>
      </c>
      <c r="E4" t="s">
        <v>1228</v>
      </c>
      <c r="F4" t="s">
        <v>1311</v>
      </c>
      <c r="G4" t="s">
        <v>1192</v>
      </c>
      <c r="H4" t="s">
        <v>1321</v>
      </c>
      <c r="I4" s="9">
        <v>3.86</v>
      </c>
      <c r="J4" s="9">
        <v>3.5</v>
      </c>
      <c r="K4" s="9">
        <v>4</v>
      </c>
      <c r="L4" s="9">
        <v>4</v>
      </c>
      <c r="M4" s="9">
        <v>4</v>
      </c>
      <c r="N4" s="9">
        <v>3.5</v>
      </c>
      <c r="O4" s="9">
        <v>4</v>
      </c>
      <c r="P4" s="9">
        <v>4</v>
      </c>
      <c r="Q4" t="s">
        <v>1229</v>
      </c>
      <c r="R4" s="9">
        <v>96</v>
      </c>
      <c r="S4" t="str">
        <f xml:space="preserve"> HYPERLINK("ReviewHtml/review_Ruben_Brandt_-_Collector.html", "https://2danicritic.github.io/ReviewHtml/review_Ruben_Brandt_-_Collector.html")</f>
        <v>https://2danicritic.github.io/ReviewHtml/review_Ruben_Brandt_-_Collector.html</v>
      </c>
    </row>
    <row r="5" spans="2:19" hidden="1" x14ac:dyDescent="0.35">
      <c r="B5">
        <v>231</v>
      </c>
      <c r="C5" t="s">
        <v>1075</v>
      </c>
      <c r="D5" s="9">
        <v>2018</v>
      </c>
      <c r="E5" t="s">
        <v>1194</v>
      </c>
      <c r="F5" t="s">
        <v>1076</v>
      </c>
      <c r="G5" t="s">
        <v>1192</v>
      </c>
      <c r="H5" t="s">
        <v>262</v>
      </c>
      <c r="I5" s="9">
        <v>2.71</v>
      </c>
      <c r="J5" s="9">
        <v>2.5</v>
      </c>
      <c r="K5" s="9">
        <v>2.5</v>
      </c>
      <c r="L5" s="9">
        <v>2.5</v>
      </c>
      <c r="M5" s="9">
        <v>4</v>
      </c>
      <c r="N5" s="9">
        <v>2</v>
      </c>
      <c r="O5" s="9">
        <v>3.5</v>
      </c>
      <c r="P5" s="9">
        <v>2</v>
      </c>
      <c r="Q5" t="s">
        <v>263</v>
      </c>
      <c r="R5" s="9">
        <v>88</v>
      </c>
      <c r="S5" t="str">
        <f xml:space="preserve"> HYPERLINK("ReviewHtml/review_Teen_Titans_Go_(To_The_Movies).html", "https://2danicritic.github.io/ReviewHtml/review_Teen_Titans_Go_(To_The_Movies).html")</f>
        <v>https://2danicritic.github.io/ReviewHtml/review_Teen_Titans_Go_(To_The_Movies).html</v>
      </c>
    </row>
    <row r="6" spans="2:19" hidden="1" x14ac:dyDescent="0.35">
      <c r="B6">
        <v>111</v>
      </c>
      <c r="C6" t="s">
        <v>1284</v>
      </c>
      <c r="D6" s="9">
        <v>2018</v>
      </c>
      <c r="E6" t="s">
        <v>54</v>
      </c>
      <c r="F6" t="s">
        <v>1308</v>
      </c>
      <c r="G6" t="s">
        <v>1192</v>
      </c>
      <c r="H6" t="s">
        <v>1211</v>
      </c>
      <c r="I6" s="9">
        <v>3.5</v>
      </c>
      <c r="J6" s="9">
        <v>3.5</v>
      </c>
      <c r="K6" s="9">
        <v>3</v>
      </c>
      <c r="L6" s="9">
        <v>3.5</v>
      </c>
      <c r="M6" s="9">
        <v>3.5</v>
      </c>
      <c r="N6" s="9">
        <v>3.5</v>
      </c>
      <c r="O6" s="9">
        <v>4</v>
      </c>
      <c r="P6" s="9">
        <v>3.5</v>
      </c>
      <c r="Q6" t="s">
        <v>104</v>
      </c>
      <c r="R6" s="9">
        <v>108</v>
      </c>
      <c r="S6" t="str">
        <f xml:space="preserve"> HYPERLINK("ReviewHtml/review_I_Want_To_Eat_Your_Pancreas.html", "https://2danicritic.github.io/ReviewHtml/review_I_Want_To_Eat_Your_Pancreas.html")</f>
        <v>https://2danicritic.github.io/ReviewHtml/review_I_Want_To_Eat_Your_Pancreas.html</v>
      </c>
    </row>
    <row r="7" spans="2:19" hidden="1" x14ac:dyDescent="0.35">
      <c r="B7">
        <v>130</v>
      </c>
      <c r="C7" t="s">
        <v>907</v>
      </c>
      <c r="D7" s="9">
        <v>2018</v>
      </c>
      <c r="E7" t="s">
        <v>54</v>
      </c>
      <c r="F7" t="s">
        <v>663</v>
      </c>
      <c r="G7" t="s">
        <v>1192</v>
      </c>
      <c r="H7" t="s">
        <v>664</v>
      </c>
      <c r="I7" s="9">
        <v>3.64</v>
      </c>
      <c r="J7" s="9">
        <v>3.5</v>
      </c>
      <c r="K7" s="9">
        <v>4</v>
      </c>
      <c r="L7" s="9">
        <v>4</v>
      </c>
      <c r="M7" s="9">
        <v>4</v>
      </c>
      <c r="N7" s="9">
        <v>3.5</v>
      </c>
      <c r="O7" s="9">
        <v>3</v>
      </c>
      <c r="P7" s="9">
        <v>3.5</v>
      </c>
      <c r="Q7" t="s">
        <v>140</v>
      </c>
      <c r="R7" s="9">
        <v>90</v>
      </c>
      <c r="S7" t="str">
        <f xml:space="preserve"> HYPERLINK("ReviewHtml/review_Liz_and_the_Blue_Bird.html", "https://2danicritic.github.io/ReviewHtml/review_Liz_and_the_Blue_Bird.html")</f>
        <v>https://2danicritic.github.io/ReviewHtml/review_Liz_and_the_Blue_Bird.html</v>
      </c>
    </row>
    <row r="8" spans="2:19" x14ac:dyDescent="0.35">
      <c r="B8">
        <v>66</v>
      </c>
      <c r="C8" t="s">
        <v>791</v>
      </c>
      <c r="D8" s="9">
        <v>2018</v>
      </c>
      <c r="E8" t="s">
        <v>54</v>
      </c>
      <c r="F8" t="s">
        <v>792</v>
      </c>
      <c r="G8" t="s">
        <v>1200</v>
      </c>
      <c r="H8" t="s">
        <v>793</v>
      </c>
      <c r="I8" s="9">
        <v>3.29</v>
      </c>
      <c r="J8" s="9">
        <v>2.5</v>
      </c>
      <c r="K8" s="9">
        <v>3</v>
      </c>
      <c r="L8" s="9">
        <v>3.5</v>
      </c>
      <c r="M8" s="9">
        <v>3</v>
      </c>
      <c r="N8" s="9">
        <v>3.5</v>
      </c>
      <c r="O8" s="9">
        <v>3.5</v>
      </c>
      <c r="P8" s="9">
        <v>4</v>
      </c>
      <c r="Q8" t="s">
        <v>124</v>
      </c>
      <c r="R8" s="9">
        <v>250</v>
      </c>
      <c r="S8" t="str">
        <f xml:space="preserve"> HYPERLINK("ReviewHtml/review_Devilman_-_Crybaby.html", "https://2danicritic.github.io/ReviewHtml/review_Devilman_-_Crybaby.html")</f>
        <v>https://2danicritic.github.io/ReviewHtml/review_Devilman_-_Crybaby.html</v>
      </c>
    </row>
    <row r="9" spans="2:19" hidden="1" x14ac:dyDescent="0.35">
      <c r="B9">
        <v>146</v>
      </c>
      <c r="C9" t="s">
        <v>934</v>
      </c>
      <c r="D9" s="9">
        <v>2018</v>
      </c>
      <c r="E9" t="s">
        <v>54</v>
      </c>
      <c r="F9" t="s">
        <v>679</v>
      </c>
      <c r="G9" t="s">
        <v>1192</v>
      </c>
      <c r="H9" t="s">
        <v>935</v>
      </c>
      <c r="I9" s="9">
        <v>4</v>
      </c>
      <c r="J9" s="9">
        <v>3.5</v>
      </c>
      <c r="K9" s="9">
        <v>4</v>
      </c>
      <c r="L9" s="9">
        <v>4.5</v>
      </c>
      <c r="M9" s="9">
        <v>3.5</v>
      </c>
      <c r="N9" s="9">
        <v>4</v>
      </c>
      <c r="O9" s="9">
        <v>4</v>
      </c>
      <c r="P9" s="9">
        <v>4.5</v>
      </c>
      <c r="Q9" t="s">
        <v>197</v>
      </c>
      <c r="R9" s="9">
        <v>115</v>
      </c>
      <c r="S9" t="str">
        <f xml:space="preserve"> HYPERLINK("ReviewHtml/review_Maquia_-_When_the_Promised_Flower_Blooms.html", "https://2danicritic.github.io/ReviewHtml/review_Maquia_-_When_the_Promised_Flower_Blooms.html")</f>
        <v>https://2danicritic.github.io/ReviewHtml/review_Maquia_-_When_the_Promised_Flower_Blooms.html</v>
      </c>
    </row>
    <row r="10" spans="2:19" hidden="1" x14ac:dyDescent="0.35">
      <c r="B10">
        <v>154</v>
      </c>
      <c r="C10" t="s">
        <v>948</v>
      </c>
      <c r="D10" s="9">
        <v>2018</v>
      </c>
      <c r="E10" t="s">
        <v>54</v>
      </c>
      <c r="F10" t="s">
        <v>949</v>
      </c>
      <c r="G10" t="s">
        <v>1192</v>
      </c>
      <c r="H10" t="s">
        <v>950</v>
      </c>
      <c r="I10" s="9">
        <v>3.79</v>
      </c>
      <c r="J10" s="9">
        <v>4</v>
      </c>
      <c r="K10" s="9">
        <v>3.5</v>
      </c>
      <c r="L10" s="9">
        <v>4</v>
      </c>
      <c r="M10" s="9">
        <v>4</v>
      </c>
      <c r="N10" s="9">
        <v>2.5</v>
      </c>
      <c r="O10" s="9">
        <v>4.5</v>
      </c>
      <c r="P10" s="9">
        <v>4</v>
      </c>
      <c r="Q10" t="s">
        <v>347</v>
      </c>
      <c r="R10" s="9">
        <v>98</v>
      </c>
      <c r="S10" t="str">
        <f xml:space="preserve"> HYPERLINK("ReviewHtml/review_Mirai.html", "https://2danicritic.github.io/ReviewHtml/review_Mirai.html")</f>
        <v>https://2danicritic.github.io/ReviewHtml/review_Mirai.html</v>
      </c>
    </row>
    <row r="11" spans="2:19" x14ac:dyDescent="0.35">
      <c r="B11">
        <v>41</v>
      </c>
      <c r="C11" t="s">
        <v>741</v>
      </c>
      <c r="D11" s="9">
        <v>2017</v>
      </c>
      <c r="E11" t="s">
        <v>54</v>
      </c>
      <c r="F11" t="s">
        <v>739</v>
      </c>
      <c r="G11" t="s">
        <v>1193</v>
      </c>
      <c r="H11" t="s">
        <v>115</v>
      </c>
      <c r="I11" s="9">
        <v>4.29</v>
      </c>
      <c r="J11" s="9">
        <v>4</v>
      </c>
      <c r="K11" s="9">
        <v>4</v>
      </c>
      <c r="L11" s="9">
        <v>4.5</v>
      </c>
      <c r="M11" s="9">
        <v>4</v>
      </c>
      <c r="N11" s="9">
        <v>4</v>
      </c>
      <c r="O11" s="9">
        <v>4.5</v>
      </c>
      <c r="P11" s="9">
        <v>5</v>
      </c>
      <c r="Q11" t="s">
        <v>344</v>
      </c>
      <c r="R11" s="9">
        <v>300</v>
      </c>
      <c r="S11" t="str">
        <f xml:space="preserve"> HYPERLINK("ReviewHtml/review_Blood_Blockade_Battlefront_&amp;_Beyond.html", "https://2danicritic.github.io/ReviewHtml/review_Blood_Blockade_Battlefront_&amp;_Beyond.html")</f>
        <v>https://2danicritic.github.io/ReviewHtml/review_Blood_Blockade_Battlefront_&amp;_Beyond.html</v>
      </c>
    </row>
    <row r="12" spans="2:19" x14ac:dyDescent="0.35">
      <c r="B12">
        <v>155</v>
      </c>
      <c r="C12" t="s">
        <v>951</v>
      </c>
      <c r="D12" s="9">
        <v>2017</v>
      </c>
      <c r="E12" t="s">
        <v>54</v>
      </c>
      <c r="F12" t="s">
        <v>663</v>
      </c>
      <c r="G12" t="s">
        <v>1193</v>
      </c>
      <c r="H12" t="s">
        <v>677</v>
      </c>
      <c r="I12" s="9">
        <v>3.86</v>
      </c>
      <c r="J12" s="9">
        <v>4</v>
      </c>
      <c r="K12" s="9">
        <v>4</v>
      </c>
      <c r="L12" s="9">
        <v>4</v>
      </c>
      <c r="M12" s="9">
        <v>3</v>
      </c>
      <c r="N12" s="9">
        <v>3</v>
      </c>
      <c r="O12" s="9">
        <v>4.5</v>
      </c>
      <c r="P12" s="9">
        <v>4.5</v>
      </c>
      <c r="Q12" t="s">
        <v>348</v>
      </c>
      <c r="R12" s="9">
        <v>350</v>
      </c>
      <c r="S12" t="str">
        <f xml:space="preserve"> HYPERLINK("ReviewHtml/review_Miss_Kobayashi's_Dragon_Maid.html", "https://2danicritic.github.io/ReviewHtml/review_Miss_Kobayashi's_Dragon_Maid.html")</f>
        <v>https://2danicritic.github.io/ReviewHtml/review_Miss_Kobayashi's_Dragon_Maid.html</v>
      </c>
    </row>
    <row r="13" spans="2:19" hidden="1" x14ac:dyDescent="0.35">
      <c r="B13">
        <v>276</v>
      </c>
      <c r="C13" t="s">
        <v>1301</v>
      </c>
      <c r="D13" s="9">
        <v>2018</v>
      </c>
      <c r="E13" t="s">
        <v>1201</v>
      </c>
      <c r="F13" t="s">
        <v>1315</v>
      </c>
      <c r="G13" t="s">
        <v>1192</v>
      </c>
      <c r="H13" t="s">
        <v>1241</v>
      </c>
      <c r="I13" s="9">
        <v>3.43</v>
      </c>
      <c r="J13" s="9">
        <v>3</v>
      </c>
      <c r="K13" s="9">
        <v>3.5</v>
      </c>
      <c r="L13" s="9">
        <v>3.5</v>
      </c>
      <c r="M13" s="9">
        <v>3.5</v>
      </c>
      <c r="N13" s="9">
        <v>3.5</v>
      </c>
      <c r="O13" s="9">
        <v>3.5</v>
      </c>
      <c r="P13" s="9">
        <v>3.5</v>
      </c>
      <c r="Q13" t="s">
        <v>1242</v>
      </c>
      <c r="R13" s="9">
        <v>73</v>
      </c>
      <c r="S13" t="str">
        <f xml:space="preserve"> HYPERLINK("ReviewHtml/review_Tito_and_the_Birds.html", "https://2danicritic.github.io/ReviewHtml/review_Tito_and_the_Birds.html")</f>
        <v>https://2danicritic.github.io/ReviewHtml/review_Tito_and_the_Birds.html</v>
      </c>
    </row>
    <row r="14" spans="2:19" hidden="1" x14ac:dyDescent="0.35">
      <c r="B14">
        <v>101</v>
      </c>
      <c r="C14" t="s">
        <v>854</v>
      </c>
      <c r="D14" s="9">
        <v>2017</v>
      </c>
      <c r="E14" t="s">
        <v>1197</v>
      </c>
      <c r="F14" t="s">
        <v>855</v>
      </c>
      <c r="G14" t="s">
        <v>1192</v>
      </c>
      <c r="H14" t="s">
        <v>856</v>
      </c>
      <c r="I14" s="9">
        <v>3.57</v>
      </c>
      <c r="J14" s="9">
        <v>1</v>
      </c>
      <c r="K14" s="9">
        <v>4</v>
      </c>
      <c r="L14" s="9">
        <v>4</v>
      </c>
      <c r="M14" s="9">
        <v>4</v>
      </c>
      <c r="N14" s="9">
        <v>4</v>
      </c>
      <c r="O14" s="9">
        <v>4</v>
      </c>
      <c r="P14" s="9">
        <v>4</v>
      </c>
      <c r="Q14" t="s">
        <v>156</v>
      </c>
      <c r="R14" s="9">
        <v>75</v>
      </c>
      <c r="S14" t="str">
        <f xml:space="preserve"> HYPERLINK("ReviewHtml/review_Have_a_Nice_Day.html", "https://2danicritic.github.io/ReviewHtml/review_Have_a_Nice_Day.html")</f>
        <v>https://2danicritic.github.io/ReviewHtml/review_Have_a_Nice_Day.html</v>
      </c>
    </row>
    <row r="15" spans="2:19" x14ac:dyDescent="0.35">
      <c r="B15">
        <v>240</v>
      </c>
      <c r="C15" t="s">
        <v>1087</v>
      </c>
      <c r="D15" s="9">
        <v>2017</v>
      </c>
      <c r="E15" t="s">
        <v>54</v>
      </c>
      <c r="F15" t="s">
        <v>1088</v>
      </c>
      <c r="G15" t="s">
        <v>88</v>
      </c>
      <c r="H15" t="s">
        <v>824</v>
      </c>
      <c r="I15" s="9">
        <v>2.93</v>
      </c>
      <c r="J15" s="9">
        <v>3.5</v>
      </c>
      <c r="K15" s="9">
        <v>3.5</v>
      </c>
      <c r="L15" s="9">
        <v>2</v>
      </c>
      <c r="M15" s="9">
        <v>2</v>
      </c>
      <c r="N15" s="9">
        <v>2.5</v>
      </c>
      <c r="O15" s="9">
        <v>3</v>
      </c>
      <c r="P15" s="9">
        <v>4</v>
      </c>
      <c r="Q15" t="s">
        <v>269</v>
      </c>
      <c r="R15" s="9">
        <v>90</v>
      </c>
      <c r="S15" t="str">
        <f xml:space="preserve"> HYPERLINK("ReviewHtml/review_The_Dragon_Dentist.html", "https://2danicritic.github.io/ReviewHtml/review_The_Dragon_Dentist.html")</f>
        <v>https://2danicritic.github.io/ReviewHtml/review_The_Dragon_Dentist.html</v>
      </c>
    </row>
    <row r="16" spans="2:19" hidden="1" x14ac:dyDescent="0.35">
      <c r="B16">
        <v>112</v>
      </c>
      <c r="C16" t="s">
        <v>869</v>
      </c>
      <c r="D16" s="9">
        <v>2017</v>
      </c>
      <c r="E16" t="s">
        <v>1199</v>
      </c>
      <c r="F16" t="s">
        <v>870</v>
      </c>
      <c r="G16" t="s">
        <v>1192</v>
      </c>
      <c r="H16" t="s">
        <v>871</v>
      </c>
      <c r="I16" s="9">
        <v>3.43</v>
      </c>
      <c r="J16" s="9">
        <v>3</v>
      </c>
      <c r="K16" s="9">
        <v>3</v>
      </c>
      <c r="L16" s="9">
        <v>3</v>
      </c>
      <c r="M16" s="9">
        <v>4</v>
      </c>
      <c r="N16" s="9">
        <v>4</v>
      </c>
      <c r="O16" s="9">
        <v>4</v>
      </c>
      <c r="P16" s="9">
        <v>3</v>
      </c>
      <c r="Q16" t="s">
        <v>168</v>
      </c>
      <c r="R16" s="9">
        <v>85</v>
      </c>
      <c r="S16" t="str">
        <f xml:space="preserve"> HYPERLINK("ReviewHtml/review_I'll_Just_Live_In_Bando.html", "https://2danicritic.github.io/ReviewHtml/review_I'll_Just_Live_In_Bando.html")</f>
        <v>https://2danicritic.github.io/ReviewHtml/review_I'll_Just_Live_In_Bando.html</v>
      </c>
    </row>
    <row r="17" spans="2:19" hidden="1" x14ac:dyDescent="0.35">
      <c r="B17">
        <v>156</v>
      </c>
      <c r="C17" t="s">
        <v>1287</v>
      </c>
      <c r="D17" s="9">
        <v>2018</v>
      </c>
      <c r="E17" t="s">
        <v>54</v>
      </c>
      <c r="F17" t="s">
        <v>937</v>
      </c>
      <c r="G17" t="s">
        <v>1190</v>
      </c>
      <c r="H17" t="s">
        <v>1215</v>
      </c>
      <c r="I17" s="9">
        <v>3.93</v>
      </c>
      <c r="J17" s="9">
        <v>4.5</v>
      </c>
      <c r="K17" s="9">
        <v>4</v>
      </c>
      <c r="L17" s="9">
        <v>3.5</v>
      </c>
      <c r="M17" s="9">
        <v>3</v>
      </c>
      <c r="N17" s="9">
        <v>4</v>
      </c>
      <c r="O17" s="9">
        <v>4</v>
      </c>
      <c r="P17" s="9">
        <v>4.5</v>
      </c>
      <c r="Q17" t="s">
        <v>1216</v>
      </c>
      <c r="R17" s="9">
        <v>53</v>
      </c>
      <c r="S17" t="str">
        <f xml:space="preserve"> HYPERLINK("ReviewHtml/review_Modest_Heroes.html", "https://2danicritic.github.io/ReviewHtml/review_Modest_Heroes.html")</f>
        <v>https://2danicritic.github.io/ReviewHtml/review_Modest_Heroes.html</v>
      </c>
    </row>
    <row r="18" spans="2:19" x14ac:dyDescent="0.35">
      <c r="B18">
        <v>60</v>
      </c>
      <c r="C18" t="s">
        <v>779</v>
      </c>
      <c r="D18" s="9">
        <v>2016</v>
      </c>
      <c r="E18" t="s">
        <v>54</v>
      </c>
      <c r="F18" t="s">
        <v>780</v>
      </c>
      <c r="G18" t="s">
        <v>1193</v>
      </c>
      <c r="H18" t="s">
        <v>115</v>
      </c>
      <c r="I18" s="9">
        <v>2.57</v>
      </c>
      <c r="J18" s="9">
        <v>2.5</v>
      </c>
      <c r="K18" s="9">
        <v>3</v>
      </c>
      <c r="L18" s="9">
        <v>2.5</v>
      </c>
      <c r="M18" s="9">
        <v>2</v>
      </c>
      <c r="N18" s="9">
        <v>2</v>
      </c>
      <c r="O18" s="9">
        <v>3</v>
      </c>
      <c r="P18" s="9">
        <v>3</v>
      </c>
      <c r="Q18" t="s">
        <v>116</v>
      </c>
      <c r="R18" s="9">
        <v>300</v>
      </c>
      <c r="S18" t="str">
        <f xml:space="preserve"> HYPERLINK("ReviewHtml/review_Dagashi_Kashi.html", "https://2danicritic.github.io/ReviewHtml/review_Dagashi_Kashi.html")</f>
        <v>https://2danicritic.github.io/ReviewHtml/review_Dagashi_Kashi.html</v>
      </c>
    </row>
    <row r="19" spans="2:19" x14ac:dyDescent="0.35">
      <c r="B19">
        <v>69</v>
      </c>
      <c r="C19" t="s">
        <v>799</v>
      </c>
      <c r="D19" s="9">
        <v>2016</v>
      </c>
      <c r="E19" t="s">
        <v>54</v>
      </c>
      <c r="F19" t="s">
        <v>800</v>
      </c>
      <c r="G19" t="s">
        <v>1193</v>
      </c>
      <c r="H19" t="s">
        <v>801</v>
      </c>
      <c r="I19" s="9">
        <v>3.71</v>
      </c>
      <c r="J19" s="9">
        <v>3</v>
      </c>
      <c r="K19" s="9">
        <v>4</v>
      </c>
      <c r="L19" s="9">
        <v>3.5</v>
      </c>
      <c r="M19" s="9">
        <v>4</v>
      </c>
      <c r="N19" s="9">
        <v>3</v>
      </c>
      <c r="O19" s="9">
        <v>4.5</v>
      </c>
      <c r="P19" s="9">
        <v>4</v>
      </c>
      <c r="Q19" t="s">
        <v>127</v>
      </c>
      <c r="R19" s="9">
        <v>300</v>
      </c>
      <c r="S19" t="str">
        <f xml:space="preserve"> HYPERLINK("ReviewHtml/review_Drifters.html", "https://2danicritic.github.io/ReviewHtml/review_Drifters.html")</f>
        <v>https://2danicritic.github.io/ReviewHtml/review_Drifters.html</v>
      </c>
    </row>
    <row r="20" spans="2:19" x14ac:dyDescent="0.35">
      <c r="B20">
        <v>84</v>
      </c>
      <c r="C20" t="s">
        <v>825</v>
      </c>
      <c r="D20" s="9">
        <v>2016</v>
      </c>
      <c r="E20" t="s">
        <v>54</v>
      </c>
      <c r="F20" t="s">
        <v>826</v>
      </c>
      <c r="G20" t="s">
        <v>1193</v>
      </c>
      <c r="H20" t="s">
        <v>827</v>
      </c>
      <c r="I20" s="9">
        <v>3.71</v>
      </c>
      <c r="J20" s="9">
        <v>4</v>
      </c>
      <c r="K20" s="9">
        <v>4</v>
      </c>
      <c r="L20" s="9">
        <v>3.5</v>
      </c>
      <c r="M20" s="9">
        <v>3</v>
      </c>
      <c r="N20" s="9">
        <v>3.5</v>
      </c>
      <c r="O20" s="9">
        <v>4</v>
      </c>
      <c r="P20" s="9">
        <v>4</v>
      </c>
      <c r="Q20" t="s">
        <v>139</v>
      </c>
      <c r="R20" s="9">
        <v>325</v>
      </c>
      <c r="S20" t="str">
        <f xml:space="preserve"> HYPERLINK("ReviewHtml/review_Flip_Flappers.html", "https://2danicritic.github.io/ReviewHtml/review_Flip_Flappers.html")</f>
        <v>https://2danicritic.github.io/ReviewHtml/review_Flip_Flappers.html</v>
      </c>
    </row>
    <row r="21" spans="2:19" x14ac:dyDescent="0.35">
      <c r="B21">
        <v>97</v>
      </c>
      <c r="C21" t="s">
        <v>849</v>
      </c>
      <c r="D21" s="9">
        <v>2016</v>
      </c>
      <c r="E21" t="s">
        <v>54</v>
      </c>
      <c r="F21" t="s">
        <v>720</v>
      </c>
      <c r="G21" t="s">
        <v>1193</v>
      </c>
      <c r="H21" t="s">
        <v>850</v>
      </c>
      <c r="I21" s="9">
        <v>3.64</v>
      </c>
      <c r="J21" s="9">
        <v>3.5</v>
      </c>
      <c r="K21" s="9">
        <v>4.5</v>
      </c>
      <c r="L21" s="9">
        <v>3.5</v>
      </c>
      <c r="M21" s="9">
        <v>3.5</v>
      </c>
      <c r="N21" s="9">
        <v>3</v>
      </c>
      <c r="O21" s="9">
        <v>3.5</v>
      </c>
      <c r="P21" s="9">
        <v>4</v>
      </c>
      <c r="Q21" t="s">
        <v>150</v>
      </c>
      <c r="R21" s="9">
        <v>300</v>
      </c>
      <c r="S21" t="str">
        <f xml:space="preserve"> HYPERLINK("ReviewHtml/review_Grimgar_-_Ashes_and_Illusions.html", "https://2danicritic.github.io/ReviewHtml/review_Grimgar_-_Ashes_and_Illusions.html")</f>
        <v>https://2danicritic.github.io/ReviewHtml/review_Grimgar_-_Ashes_and_Illusions.html</v>
      </c>
    </row>
    <row r="22" spans="2:19" hidden="1" x14ac:dyDescent="0.35">
      <c r="B22">
        <v>134</v>
      </c>
      <c r="C22" t="s">
        <v>915</v>
      </c>
      <c r="D22" s="9">
        <v>2017</v>
      </c>
      <c r="E22" t="s">
        <v>1213</v>
      </c>
      <c r="F22" t="s">
        <v>916</v>
      </c>
      <c r="G22" t="s">
        <v>1192</v>
      </c>
      <c r="H22" t="s">
        <v>186</v>
      </c>
      <c r="I22" s="9">
        <v>4.07</v>
      </c>
      <c r="J22" s="9">
        <v>4</v>
      </c>
      <c r="K22" s="9">
        <v>4.5</v>
      </c>
      <c r="L22" s="9">
        <v>4</v>
      </c>
      <c r="M22" s="9">
        <v>4.5</v>
      </c>
      <c r="N22" s="9">
        <v>3.5</v>
      </c>
      <c r="O22" s="9">
        <v>3</v>
      </c>
      <c r="P22" s="9">
        <v>5</v>
      </c>
      <c r="Q22" t="s">
        <v>187</v>
      </c>
      <c r="R22" s="9">
        <v>95</v>
      </c>
      <c r="S22" t="str">
        <f xml:space="preserve"> HYPERLINK("ReviewHtml/review_Loving_Vincent.html", "https://2danicritic.github.io/ReviewHtml/review_Loving_Vincent.html")</f>
        <v>https://2danicritic.github.io/ReviewHtml/review_Loving_Vincent.html</v>
      </c>
    </row>
    <row r="23" spans="2:19" hidden="1" x14ac:dyDescent="0.35">
      <c r="B23">
        <v>33</v>
      </c>
      <c r="C23" t="s">
        <v>725</v>
      </c>
      <c r="D23" s="9">
        <v>2017</v>
      </c>
      <c r="E23" t="s">
        <v>54</v>
      </c>
      <c r="F23" t="s">
        <v>720</v>
      </c>
      <c r="G23" t="s">
        <v>1192</v>
      </c>
      <c r="H23" t="s">
        <v>723</v>
      </c>
      <c r="I23" s="9">
        <v>3.5</v>
      </c>
      <c r="J23" s="9">
        <v>3.5</v>
      </c>
      <c r="K23" s="9">
        <v>3.5</v>
      </c>
      <c r="L23" s="9">
        <v>3.5</v>
      </c>
      <c r="M23" s="9">
        <v>3.5</v>
      </c>
      <c r="N23" s="9">
        <v>2.5</v>
      </c>
      <c r="O23" s="9">
        <v>4.5</v>
      </c>
      <c r="P23" s="9">
        <v>3.5</v>
      </c>
      <c r="Q23" t="s">
        <v>343</v>
      </c>
      <c r="R23" s="9">
        <v>100</v>
      </c>
      <c r="S23" t="str">
        <f xml:space="preserve"> HYPERLINK("ReviewHtml/review_Black_Butler_-_Book_of_the_Atlantic.html", "https://2danicritic.github.io/ReviewHtml/review_Black_Butler_-_Book_of_the_Atlantic.html")</f>
        <v>https://2danicritic.github.io/ReviewHtml/review_Black_Butler_-_Book_of_the_Atlantic.html</v>
      </c>
    </row>
    <row r="24" spans="2:19" hidden="1" x14ac:dyDescent="0.35">
      <c r="B24">
        <v>53</v>
      </c>
      <c r="C24" t="s">
        <v>1277</v>
      </c>
      <c r="D24" s="9">
        <v>2017</v>
      </c>
      <c r="E24" t="s">
        <v>54</v>
      </c>
      <c r="F24" t="s">
        <v>764</v>
      </c>
      <c r="G24" t="s">
        <v>1192</v>
      </c>
      <c r="H24" t="s">
        <v>767</v>
      </c>
      <c r="I24" s="9">
        <v>3.64</v>
      </c>
      <c r="J24" s="9">
        <v>3.5</v>
      </c>
      <c r="K24" s="9">
        <v>3.5</v>
      </c>
      <c r="L24" s="9">
        <v>3.5</v>
      </c>
      <c r="M24" s="9">
        <v>3.5</v>
      </c>
      <c r="N24" s="9">
        <v>4</v>
      </c>
      <c r="O24" s="9">
        <v>4</v>
      </c>
      <c r="P24" s="9">
        <v>3.5</v>
      </c>
      <c r="Q24" t="s">
        <v>1202</v>
      </c>
      <c r="R24" s="9">
        <v>406</v>
      </c>
      <c r="S24" t="str">
        <f xml:space="preserve"> HYPERLINK("ReviewHtml/review_Code_Geass_-_Lelouch_of_the_Rebellion_-_Movie_Trilogy.html", "https://2danicritic.github.io/ReviewHtml/review_Code_Geass_-_Lelouch_of_the_Rebellion_-_Movie_Trilogy.html")</f>
        <v>https://2danicritic.github.io/ReviewHtml/review_Code_Geass_-_Lelouch_of_the_Rebellion_-_Movie_Trilogy.html</v>
      </c>
    </row>
    <row r="25" spans="2:19" hidden="1" x14ac:dyDescent="0.35">
      <c r="B25">
        <v>78</v>
      </c>
      <c r="C25" t="s">
        <v>813</v>
      </c>
      <c r="D25" s="9">
        <v>2017</v>
      </c>
      <c r="E25" t="s">
        <v>54</v>
      </c>
      <c r="F25" t="s">
        <v>720</v>
      </c>
      <c r="G25" t="s">
        <v>1192</v>
      </c>
      <c r="H25" t="s">
        <v>814</v>
      </c>
      <c r="I25" s="9">
        <v>2.71</v>
      </c>
      <c r="J25" s="9">
        <v>2.5</v>
      </c>
      <c r="K25" s="9">
        <v>2.5</v>
      </c>
      <c r="L25" s="9">
        <v>3</v>
      </c>
      <c r="M25" s="9">
        <v>2.5</v>
      </c>
      <c r="N25" s="9">
        <v>2</v>
      </c>
      <c r="O25" s="9">
        <v>3.5</v>
      </c>
      <c r="P25" s="9">
        <v>3</v>
      </c>
      <c r="Q25" t="s">
        <v>133</v>
      </c>
      <c r="R25" s="9">
        <v>85</v>
      </c>
      <c r="S25" t="str">
        <f xml:space="preserve"> HYPERLINK("ReviewHtml/review_Fairy_Tail_-_Dragon_Cry.html", "https://2danicritic.github.io/ReviewHtml/review_Fairy_Tail_-_Dragon_Cry.html")</f>
        <v>https://2danicritic.github.io/ReviewHtml/review_Fairy_Tail_-_Dragon_Cry.html</v>
      </c>
    </row>
    <row r="26" spans="2:19" hidden="1" x14ac:dyDescent="0.35">
      <c r="B26">
        <v>82</v>
      </c>
      <c r="C26" t="s">
        <v>821</v>
      </c>
      <c r="D26" s="9">
        <v>2017</v>
      </c>
      <c r="E26" t="s">
        <v>54</v>
      </c>
      <c r="F26" t="s">
        <v>694</v>
      </c>
      <c r="G26" t="s">
        <v>1192</v>
      </c>
      <c r="H26" t="s">
        <v>136</v>
      </c>
      <c r="I26" s="9">
        <v>2.5</v>
      </c>
      <c r="J26" s="9">
        <v>3</v>
      </c>
      <c r="K26" s="9">
        <v>3</v>
      </c>
      <c r="L26" s="9">
        <v>3.5</v>
      </c>
      <c r="M26" s="9">
        <v>2.5</v>
      </c>
      <c r="N26" s="9">
        <v>1.5</v>
      </c>
      <c r="O26" s="9">
        <v>2.5</v>
      </c>
      <c r="P26" s="9">
        <v>1.5</v>
      </c>
      <c r="Q26" t="s">
        <v>137</v>
      </c>
      <c r="R26" s="9">
        <v>90</v>
      </c>
      <c r="S26" t="str">
        <f xml:space="preserve"> HYPERLINK("ReviewHtml/review_Fireworks.html", "https://2danicritic.github.io/ReviewHtml/review_Fireworks.html")</f>
        <v>https://2danicritic.github.io/ReviewHtml/review_Fireworks.html</v>
      </c>
    </row>
    <row r="27" spans="2:19" hidden="1" x14ac:dyDescent="0.35">
      <c r="B27">
        <v>135</v>
      </c>
      <c r="C27" t="s">
        <v>917</v>
      </c>
      <c r="D27" s="9">
        <v>2017</v>
      </c>
      <c r="E27" t="s">
        <v>54</v>
      </c>
      <c r="F27" t="s">
        <v>792</v>
      </c>
      <c r="G27" t="s">
        <v>1192</v>
      </c>
      <c r="H27" t="s">
        <v>793</v>
      </c>
      <c r="I27" s="9">
        <v>4.29</v>
      </c>
      <c r="J27" s="9">
        <v>4</v>
      </c>
      <c r="K27" s="9">
        <v>4</v>
      </c>
      <c r="L27" s="9">
        <v>5</v>
      </c>
      <c r="M27" s="9">
        <v>3.5</v>
      </c>
      <c r="N27" s="9">
        <v>4</v>
      </c>
      <c r="O27" s="9">
        <v>4.5</v>
      </c>
      <c r="P27" s="9">
        <v>5</v>
      </c>
      <c r="Q27" t="s">
        <v>188</v>
      </c>
      <c r="R27" s="9">
        <v>112</v>
      </c>
      <c r="S27" t="str">
        <f xml:space="preserve"> HYPERLINK("ReviewHtml/review_Lu_Over_The_Wall.html", "https://2danicritic.github.io/ReviewHtml/review_Lu_Over_The_Wall.html")</f>
        <v>https://2danicritic.github.io/ReviewHtml/review_Lu_Over_The_Wall.html</v>
      </c>
    </row>
    <row r="28" spans="2:19" x14ac:dyDescent="0.35">
      <c r="B28">
        <v>123</v>
      </c>
      <c r="C28" t="s">
        <v>895</v>
      </c>
      <c r="D28" s="9">
        <v>2016</v>
      </c>
      <c r="E28" t="s">
        <v>54</v>
      </c>
      <c r="F28" t="s">
        <v>893</v>
      </c>
      <c r="G28" t="s">
        <v>1193</v>
      </c>
      <c r="H28" t="s">
        <v>896</v>
      </c>
      <c r="I28" s="9">
        <v>3.43</v>
      </c>
      <c r="J28" s="9">
        <v>3.5</v>
      </c>
      <c r="K28" s="9">
        <v>3.5</v>
      </c>
      <c r="L28" s="9">
        <v>3.5</v>
      </c>
      <c r="M28" s="9">
        <v>3</v>
      </c>
      <c r="N28" s="9">
        <v>2</v>
      </c>
      <c r="O28" s="9">
        <v>4.5</v>
      </c>
      <c r="P28" s="9">
        <v>4</v>
      </c>
      <c r="Q28" t="s">
        <v>176</v>
      </c>
      <c r="R28" s="9">
        <v>300</v>
      </c>
      <c r="S28" t="str">
        <f xml:space="preserve"> HYPERLINK("ReviewHtml/review_Keijo.html", "https://2danicritic.github.io/ReviewHtml/review_Keijo.html")</f>
        <v>https://2danicritic.github.io/ReviewHtml/review_Keijo.html</v>
      </c>
    </row>
    <row r="29" spans="2:19" hidden="1" x14ac:dyDescent="0.35">
      <c r="B29">
        <v>147</v>
      </c>
      <c r="C29" t="s">
        <v>936</v>
      </c>
      <c r="D29" s="9">
        <v>2017</v>
      </c>
      <c r="E29" t="s">
        <v>54</v>
      </c>
      <c r="F29" t="s">
        <v>937</v>
      </c>
      <c r="G29" t="s">
        <v>1192</v>
      </c>
      <c r="H29" t="s">
        <v>198</v>
      </c>
      <c r="I29" s="9">
        <v>2.93</v>
      </c>
      <c r="J29" s="9">
        <v>3.5</v>
      </c>
      <c r="K29" s="9">
        <v>3.5</v>
      </c>
      <c r="L29" s="9">
        <v>4</v>
      </c>
      <c r="M29" s="9">
        <v>2.5</v>
      </c>
      <c r="N29" s="9">
        <v>2</v>
      </c>
      <c r="O29" s="9">
        <v>2.5</v>
      </c>
      <c r="P29" s="9">
        <v>2.5</v>
      </c>
      <c r="Q29" t="s">
        <v>199</v>
      </c>
      <c r="R29" s="9">
        <v>103</v>
      </c>
      <c r="S29" t="str">
        <f xml:space="preserve"> HYPERLINK("ReviewHtml/review_Mary_and_the_Witch's_Flower.html", "https://2danicritic.github.io/ReviewHtml/review_Mary_and_the_Witch's_Flower.html")</f>
        <v>https://2danicritic.github.io/ReviewHtml/review_Mary_and_the_Witch's_Flower.html</v>
      </c>
    </row>
    <row r="30" spans="2:19" hidden="1" x14ac:dyDescent="0.35">
      <c r="B30">
        <v>152</v>
      </c>
      <c r="C30" t="s">
        <v>946</v>
      </c>
      <c r="D30" s="9">
        <v>2017</v>
      </c>
      <c r="E30" t="s">
        <v>1191</v>
      </c>
      <c r="F30" t="s">
        <v>707</v>
      </c>
      <c r="G30" t="s">
        <v>1192</v>
      </c>
      <c r="H30" t="s">
        <v>202</v>
      </c>
      <c r="I30" s="9">
        <v>3.43</v>
      </c>
      <c r="J30" s="9">
        <v>3.5</v>
      </c>
      <c r="K30" s="9">
        <v>3.5</v>
      </c>
      <c r="L30" s="9">
        <v>3.5</v>
      </c>
      <c r="M30" s="9">
        <v>3.5</v>
      </c>
      <c r="N30" s="9">
        <v>3.5</v>
      </c>
      <c r="O30" s="9">
        <v>3.5</v>
      </c>
      <c r="P30" s="9">
        <v>3</v>
      </c>
      <c r="Q30" t="s">
        <v>203</v>
      </c>
      <c r="R30" s="9">
        <v>90</v>
      </c>
      <c r="S30" t="str">
        <f xml:space="preserve"> HYPERLINK("ReviewHtml/review_MFKZ.html", "https://2danicritic.github.io/ReviewHtml/review_MFKZ.html")</f>
        <v>https://2danicritic.github.io/ReviewHtml/review_MFKZ.html</v>
      </c>
    </row>
    <row r="31" spans="2:19" hidden="1" x14ac:dyDescent="0.35">
      <c r="B31">
        <v>161</v>
      </c>
      <c r="C31" t="s">
        <v>961</v>
      </c>
      <c r="D31" s="9">
        <v>2017</v>
      </c>
      <c r="E31" t="s">
        <v>1199</v>
      </c>
      <c r="F31" t="s">
        <v>962</v>
      </c>
      <c r="G31" t="s">
        <v>1192</v>
      </c>
      <c r="H31" t="s">
        <v>963</v>
      </c>
      <c r="I31" s="9">
        <v>2.5</v>
      </c>
      <c r="J31" s="9">
        <v>3</v>
      </c>
      <c r="K31" s="9">
        <v>2</v>
      </c>
      <c r="L31" s="9">
        <v>3</v>
      </c>
      <c r="M31" s="9">
        <v>3</v>
      </c>
      <c r="N31" s="9">
        <v>3</v>
      </c>
      <c r="O31" s="9">
        <v>2</v>
      </c>
      <c r="P31" s="9">
        <v>1.5</v>
      </c>
      <c r="Q31" t="s">
        <v>207</v>
      </c>
      <c r="R31" s="9">
        <v>80</v>
      </c>
      <c r="S31" t="str">
        <f xml:space="preserve"> HYPERLINK("ReviewHtml/review_My_Dogs,_Jinjin_and_Akida.html", "https://2danicritic.github.io/ReviewHtml/review_My_Dogs,_Jinjin_and_Akida.html")</f>
        <v>https://2danicritic.github.io/ReviewHtml/review_My_Dogs,_Jinjin_and_Akida.html</v>
      </c>
    </row>
    <row r="32" spans="2:19" x14ac:dyDescent="0.35">
      <c r="B32">
        <v>303</v>
      </c>
      <c r="C32" t="s">
        <v>1189</v>
      </c>
      <c r="D32" s="9">
        <v>2016</v>
      </c>
      <c r="E32" t="s">
        <v>54</v>
      </c>
      <c r="F32" t="s">
        <v>873</v>
      </c>
      <c r="G32" t="s">
        <v>1193</v>
      </c>
      <c r="H32" t="s">
        <v>930</v>
      </c>
      <c r="I32" s="9">
        <v>3.86</v>
      </c>
      <c r="J32" s="9">
        <v>3.5</v>
      </c>
      <c r="K32" s="9">
        <v>4</v>
      </c>
      <c r="L32" s="9">
        <v>4</v>
      </c>
      <c r="M32" s="9">
        <v>3.5</v>
      </c>
      <c r="N32" s="9">
        <v>3.5</v>
      </c>
      <c r="O32" s="9">
        <v>4</v>
      </c>
      <c r="P32" s="9">
        <v>4.5</v>
      </c>
      <c r="Q32" t="s">
        <v>315</v>
      </c>
      <c r="R32" s="9">
        <v>300</v>
      </c>
      <c r="S32" t="str">
        <f xml:space="preserve"> HYPERLINK("ReviewHtml/review_Yuri_on_Ice.html", "https://2danicritic.github.io/ReviewHtml/review_Yuri_on_Ice.html")</f>
        <v>https://2danicritic.github.io/ReviewHtml/review_Yuri_on_Ice.html</v>
      </c>
    </row>
    <row r="33" spans="2:19" x14ac:dyDescent="0.35">
      <c r="B33">
        <v>40</v>
      </c>
      <c r="C33" t="s">
        <v>738</v>
      </c>
      <c r="D33" s="9">
        <v>2015</v>
      </c>
      <c r="E33" t="s">
        <v>54</v>
      </c>
      <c r="F33" t="s">
        <v>739</v>
      </c>
      <c r="G33" t="s">
        <v>1193</v>
      </c>
      <c r="H33" t="s">
        <v>740</v>
      </c>
      <c r="I33" s="9">
        <v>4.1399999999999997</v>
      </c>
      <c r="J33" s="9">
        <v>3.5</v>
      </c>
      <c r="K33" s="9">
        <v>4</v>
      </c>
      <c r="L33" s="9">
        <v>4</v>
      </c>
      <c r="M33" s="9">
        <v>4</v>
      </c>
      <c r="N33" s="9">
        <v>4</v>
      </c>
      <c r="O33" s="9">
        <v>4.5</v>
      </c>
      <c r="P33" s="9">
        <v>5</v>
      </c>
      <c r="Q33" t="s">
        <v>97</v>
      </c>
      <c r="R33" s="9">
        <v>325</v>
      </c>
      <c r="S33" t="str">
        <f xml:space="preserve"> HYPERLINK("ReviewHtml/review_Blood_Blockade_Battlefront.html", "https://2danicritic.github.io/ReviewHtml/review_Blood_Blockade_Battlefront.html")</f>
        <v>https://2danicritic.github.io/ReviewHtml/review_Blood_Blockade_Battlefront.html</v>
      </c>
    </row>
    <row r="34" spans="2:19" x14ac:dyDescent="0.35">
      <c r="B34">
        <v>51</v>
      </c>
      <c r="C34" t="s">
        <v>763</v>
      </c>
      <c r="D34" s="9">
        <v>2015</v>
      </c>
      <c r="E34" t="s">
        <v>54</v>
      </c>
      <c r="F34" t="s">
        <v>764</v>
      </c>
      <c r="G34" t="s">
        <v>88</v>
      </c>
      <c r="H34" t="s">
        <v>765</v>
      </c>
      <c r="I34" s="9">
        <v>3.86</v>
      </c>
      <c r="J34" s="9">
        <v>4</v>
      </c>
      <c r="K34" s="9">
        <v>4</v>
      </c>
      <c r="L34" s="9">
        <v>4</v>
      </c>
      <c r="M34" s="9">
        <v>4</v>
      </c>
      <c r="N34" s="9">
        <v>3.5</v>
      </c>
      <c r="O34" s="9">
        <v>3.5</v>
      </c>
      <c r="P34" s="9">
        <v>4</v>
      </c>
      <c r="Q34" t="s">
        <v>106</v>
      </c>
      <c r="R34" s="9">
        <v>290</v>
      </c>
      <c r="S34" t="str">
        <f xml:space="preserve"> HYPERLINK("ReviewHtml/review_Code_Geass_-_Akito_the_Exiled.html", "https://2danicritic.github.io/ReviewHtml/review_Code_Geass_-_Akito_the_Exiled.html")</f>
        <v>https://2danicritic.github.io/ReviewHtml/review_Code_Geass_-_Akito_the_Exiled.html</v>
      </c>
    </row>
    <row r="35" spans="2:19" x14ac:dyDescent="0.35">
      <c r="B35">
        <v>65</v>
      </c>
      <c r="C35" t="s">
        <v>789</v>
      </c>
      <c r="D35" s="9">
        <v>2015</v>
      </c>
      <c r="E35" t="s">
        <v>54</v>
      </c>
      <c r="F35" t="s">
        <v>699</v>
      </c>
      <c r="G35" t="s">
        <v>1193</v>
      </c>
      <c r="H35" t="s">
        <v>790</v>
      </c>
      <c r="I35" s="9">
        <v>3.64</v>
      </c>
      <c r="J35" s="9">
        <v>3.5</v>
      </c>
      <c r="K35" s="9">
        <v>4</v>
      </c>
      <c r="L35" s="9">
        <v>3.5</v>
      </c>
      <c r="M35" s="9">
        <v>3.5</v>
      </c>
      <c r="N35" s="9">
        <v>3.5</v>
      </c>
      <c r="O35" s="9">
        <v>3.5</v>
      </c>
      <c r="P35" s="9">
        <v>4</v>
      </c>
      <c r="Q35" t="s">
        <v>123</v>
      </c>
      <c r="R35" s="9">
        <v>300</v>
      </c>
      <c r="S35" t="str">
        <f xml:space="preserve"> HYPERLINK("ReviewHtml/review_Death_Parade.html", "https://2danicritic.github.io/ReviewHtml/review_Death_Parade.html")</f>
        <v>https://2danicritic.github.io/ReviewHtml/review_Death_Parade.html</v>
      </c>
    </row>
    <row r="36" spans="2:19" hidden="1" x14ac:dyDescent="0.35">
      <c r="B36">
        <v>166</v>
      </c>
      <c r="C36" t="s">
        <v>971</v>
      </c>
      <c r="D36" s="9">
        <v>2017</v>
      </c>
      <c r="E36" t="s">
        <v>54</v>
      </c>
      <c r="F36" t="s">
        <v>972</v>
      </c>
      <c r="G36" t="s">
        <v>1192</v>
      </c>
      <c r="H36" t="s">
        <v>806</v>
      </c>
      <c r="I36" s="9">
        <v>2.93</v>
      </c>
      <c r="J36" s="9">
        <v>3</v>
      </c>
      <c r="K36" s="9">
        <v>3.5</v>
      </c>
      <c r="L36" s="9">
        <v>3.5</v>
      </c>
      <c r="M36" s="9">
        <v>2.5</v>
      </c>
      <c r="N36" s="9">
        <v>2</v>
      </c>
      <c r="O36" s="9">
        <v>3</v>
      </c>
      <c r="P36" s="9">
        <v>3</v>
      </c>
      <c r="Q36" t="s">
        <v>212</v>
      </c>
      <c r="R36" s="9">
        <v>111</v>
      </c>
      <c r="S36" t="str">
        <f xml:space="preserve"> HYPERLINK("ReviewHtml/review_Napping_Princess.html", "https://2danicritic.github.io/ReviewHtml/review_Napping_Princess.html")</f>
        <v>https://2danicritic.github.io/ReviewHtml/review_Napping_Princess.html</v>
      </c>
    </row>
    <row r="37" spans="2:19" x14ac:dyDescent="0.35">
      <c r="B37">
        <v>86</v>
      </c>
      <c r="C37" t="s">
        <v>830</v>
      </c>
      <c r="D37" s="9">
        <v>2015</v>
      </c>
      <c r="E37" t="s">
        <v>54</v>
      </c>
      <c r="F37" t="s">
        <v>785</v>
      </c>
      <c r="G37" t="s">
        <v>1193</v>
      </c>
      <c r="H37" t="s">
        <v>831</v>
      </c>
      <c r="I37" s="9">
        <v>3.5</v>
      </c>
      <c r="J37" s="9">
        <v>3</v>
      </c>
      <c r="K37" s="9">
        <v>3.5</v>
      </c>
      <c r="L37" s="9">
        <v>4</v>
      </c>
      <c r="M37" s="9">
        <v>3.5</v>
      </c>
      <c r="N37" s="9">
        <v>3</v>
      </c>
      <c r="O37" s="9">
        <v>3.5</v>
      </c>
      <c r="P37" s="9">
        <v>4</v>
      </c>
      <c r="Q37" t="s">
        <v>141</v>
      </c>
      <c r="R37" s="9">
        <v>300</v>
      </c>
      <c r="S37" t="str">
        <f xml:space="preserve"> HYPERLINK("ReviewHtml/review_Gangsta.html", "https://2danicritic.github.io/ReviewHtml/review_Gangsta.html")</f>
        <v>https://2danicritic.github.io/ReviewHtml/review_Gangsta.html</v>
      </c>
    </row>
    <row r="38" spans="2:19" x14ac:dyDescent="0.35">
      <c r="B38">
        <v>115</v>
      </c>
      <c r="C38" t="s">
        <v>877</v>
      </c>
      <c r="D38" s="9">
        <v>2015</v>
      </c>
      <c r="E38" t="s">
        <v>54</v>
      </c>
      <c r="F38" t="s">
        <v>878</v>
      </c>
      <c r="G38" t="s">
        <v>1193</v>
      </c>
      <c r="H38" t="s">
        <v>879</v>
      </c>
      <c r="I38" s="9">
        <v>3.5</v>
      </c>
      <c r="J38" s="9">
        <v>3.5</v>
      </c>
      <c r="K38" s="9">
        <v>3.5</v>
      </c>
      <c r="L38" s="9">
        <v>3.5</v>
      </c>
      <c r="M38" s="9">
        <v>3.5</v>
      </c>
      <c r="N38" s="9">
        <v>3</v>
      </c>
      <c r="O38" s="9">
        <v>3.5</v>
      </c>
      <c r="P38" s="9">
        <v>4</v>
      </c>
      <c r="Q38" t="s">
        <v>133</v>
      </c>
      <c r="R38" s="9">
        <v>325</v>
      </c>
      <c r="S38" t="str">
        <f xml:space="preserve"> HYPERLINK("ReviewHtml/review_Is_It_Wrong_To_Try_To_Pick_Up_Girls_In_A_Dungeon.html", "https://2danicritic.github.io/ReviewHtml/review_Is_It_Wrong_To_Try_To_Pick_Up_Girls_In_A_Dungeon.html")</f>
        <v>https://2danicritic.github.io/ReviewHtml/review_Is_It_Wrong_To_Try_To_Pick_Up_Girls_In_A_Dungeon.html</v>
      </c>
    </row>
    <row r="39" spans="2:19" x14ac:dyDescent="0.35">
      <c r="B39">
        <v>158</v>
      </c>
      <c r="C39" t="s">
        <v>952</v>
      </c>
      <c r="D39" s="9">
        <v>2015</v>
      </c>
      <c r="E39" t="s">
        <v>54</v>
      </c>
      <c r="F39" t="s">
        <v>953</v>
      </c>
      <c r="G39" t="s">
        <v>1193</v>
      </c>
      <c r="H39" t="s">
        <v>954</v>
      </c>
      <c r="I39" s="9">
        <v>3.93</v>
      </c>
      <c r="J39" s="9">
        <v>2.5</v>
      </c>
      <c r="K39" s="9">
        <v>3</v>
      </c>
      <c r="L39" s="9">
        <v>4</v>
      </c>
      <c r="M39" s="9">
        <v>4</v>
      </c>
      <c r="N39" s="9">
        <v>4</v>
      </c>
      <c r="O39" s="9">
        <v>5</v>
      </c>
      <c r="P39" s="9">
        <v>5</v>
      </c>
      <c r="Q39" t="s">
        <v>175</v>
      </c>
      <c r="R39" s="9">
        <v>300</v>
      </c>
      <c r="S39" t="str">
        <f xml:space="preserve"> HYPERLINK("ReviewHtml/review_Monster_Musume_-_Everyday_Life_With_Monster_Girls.html", "https://2danicritic.github.io/ReviewHtml/review_Monster_Musume_-_Everyday_Life_With_Monster_Girls.html")</f>
        <v>https://2danicritic.github.io/ReviewHtml/review_Monster_Musume_-_Everyday_Life_With_Monster_Girls.html</v>
      </c>
    </row>
    <row r="40" spans="2:19" hidden="1" x14ac:dyDescent="0.35">
      <c r="B40">
        <v>233</v>
      </c>
      <c r="C40" t="s">
        <v>1077</v>
      </c>
      <c r="D40" s="9">
        <v>2017</v>
      </c>
      <c r="E40" t="s">
        <v>1191</v>
      </c>
      <c r="F40" t="s">
        <v>1078</v>
      </c>
      <c r="G40" t="s">
        <v>1190</v>
      </c>
      <c r="H40" t="s">
        <v>264</v>
      </c>
      <c r="I40" s="9">
        <v>3.29</v>
      </c>
      <c r="J40" s="9">
        <v>3</v>
      </c>
      <c r="K40" s="9">
        <v>3.5</v>
      </c>
      <c r="L40" s="9">
        <v>3</v>
      </c>
      <c r="M40" s="9">
        <v>2.5</v>
      </c>
      <c r="N40" s="9">
        <v>2.5</v>
      </c>
      <c r="O40" s="9">
        <v>4.5</v>
      </c>
      <c r="P40" s="9">
        <v>4</v>
      </c>
      <c r="Q40" t="s">
        <v>188</v>
      </c>
      <c r="R40" s="9">
        <v>79</v>
      </c>
      <c r="S40" t="str">
        <f xml:space="preserve"> HYPERLINK("ReviewHtml/review_The_Big_Bad_Fox_and_Other_Tales.html", "https://2danicritic.github.io/ReviewHtml/review_The_Big_Bad_Fox_and_Other_Tales.html")</f>
        <v>https://2danicritic.github.io/ReviewHtml/review_The_Big_Bad_Fox_and_Other_Tales.html</v>
      </c>
    </row>
    <row r="41" spans="2:19" x14ac:dyDescent="0.35">
      <c r="B41">
        <v>185</v>
      </c>
      <c r="C41" t="s">
        <v>999</v>
      </c>
      <c r="D41" s="9">
        <v>2015</v>
      </c>
      <c r="E41" t="s">
        <v>54</v>
      </c>
      <c r="F41" t="s">
        <v>699</v>
      </c>
      <c r="G41" t="s">
        <v>1193</v>
      </c>
      <c r="H41" t="s">
        <v>1000</v>
      </c>
      <c r="I41" s="9">
        <v>3.21</v>
      </c>
      <c r="J41" s="9">
        <v>3.5</v>
      </c>
      <c r="K41" s="9">
        <v>3</v>
      </c>
      <c r="L41" s="9">
        <v>3.5</v>
      </c>
      <c r="M41" s="9">
        <v>2.5</v>
      </c>
      <c r="N41" s="9">
        <v>3</v>
      </c>
      <c r="O41" s="9">
        <v>3.5</v>
      </c>
      <c r="P41" s="9">
        <v>3.5</v>
      </c>
      <c r="Q41" t="s">
        <v>127</v>
      </c>
      <c r="R41" s="9">
        <v>450</v>
      </c>
      <c r="S41" t="str">
        <f xml:space="preserve"> HYPERLINK("ReviewHtml/review_One_Punch_Man.html", "https://2danicritic.github.io/ReviewHtml/review_One_Punch_Man.html")</f>
        <v>https://2danicritic.github.io/ReviewHtml/review_One_Punch_Man.html</v>
      </c>
    </row>
    <row r="42" spans="2:19" hidden="1" x14ac:dyDescent="0.35">
      <c r="B42">
        <v>179</v>
      </c>
      <c r="C42" t="s">
        <v>989</v>
      </c>
      <c r="D42" s="9">
        <v>2017</v>
      </c>
      <c r="E42" t="s">
        <v>54</v>
      </c>
      <c r="F42" t="s">
        <v>699</v>
      </c>
      <c r="G42" t="s">
        <v>1192</v>
      </c>
      <c r="H42" t="s">
        <v>988</v>
      </c>
      <c r="I42" s="9">
        <v>4</v>
      </c>
      <c r="J42" s="9">
        <v>4</v>
      </c>
      <c r="K42" s="9">
        <v>4</v>
      </c>
      <c r="L42" s="9">
        <v>4</v>
      </c>
      <c r="M42" s="9">
        <v>4</v>
      </c>
      <c r="N42" s="9">
        <v>4</v>
      </c>
      <c r="O42" s="9">
        <v>4</v>
      </c>
      <c r="P42" s="9">
        <v>4</v>
      </c>
      <c r="Q42" t="s">
        <v>220</v>
      </c>
      <c r="R42" s="9">
        <v>106</v>
      </c>
      <c r="S42" t="str">
        <f xml:space="preserve"> HYPERLINK("ReviewHtml/review_No_Game_No_Life_-_Zero.html", "https://2danicritic.github.io/ReviewHtml/review_No_Game_No_Life_-_Zero.html")</f>
        <v>https://2danicritic.github.io/ReviewHtml/review_No_Game_No_Life_-_Zero.html</v>
      </c>
    </row>
    <row r="43" spans="2:19" x14ac:dyDescent="0.35">
      <c r="B43">
        <v>201</v>
      </c>
      <c r="C43" t="s">
        <v>1021</v>
      </c>
      <c r="D43" s="9">
        <v>2015</v>
      </c>
      <c r="E43" t="s">
        <v>54</v>
      </c>
      <c r="F43" t="s">
        <v>1022</v>
      </c>
      <c r="G43" t="s">
        <v>1193</v>
      </c>
      <c r="H43" t="s">
        <v>1023</v>
      </c>
      <c r="I43" s="9">
        <v>3.21</v>
      </c>
      <c r="J43" s="9">
        <v>3</v>
      </c>
      <c r="K43" s="9">
        <v>3</v>
      </c>
      <c r="L43" s="9">
        <v>3</v>
      </c>
      <c r="M43" s="9">
        <v>3</v>
      </c>
      <c r="N43" s="9">
        <v>3</v>
      </c>
      <c r="O43" s="9">
        <v>3.5</v>
      </c>
      <c r="P43" s="9">
        <v>4</v>
      </c>
      <c r="Q43" t="s">
        <v>239</v>
      </c>
      <c r="R43" s="9">
        <v>300</v>
      </c>
      <c r="S43" t="str">
        <f xml:space="preserve"> HYPERLINK("ReviewHtml/review_Prison_School.html", "https://2danicritic.github.io/ReviewHtml/review_Prison_School.html")</f>
        <v>https://2danicritic.github.io/ReviewHtml/review_Prison_School.html</v>
      </c>
    </row>
    <row r="44" spans="2:19" x14ac:dyDescent="0.35">
      <c r="B44">
        <v>203</v>
      </c>
      <c r="C44" t="s">
        <v>1025</v>
      </c>
      <c r="D44" s="9">
        <v>2015</v>
      </c>
      <c r="E44" t="s">
        <v>54</v>
      </c>
      <c r="F44" t="s">
        <v>873</v>
      </c>
      <c r="G44" t="s">
        <v>1193</v>
      </c>
      <c r="H44" t="s">
        <v>1026</v>
      </c>
      <c r="I44" s="9">
        <v>3.07</v>
      </c>
      <c r="J44" s="9">
        <v>3</v>
      </c>
      <c r="K44" s="9">
        <v>3</v>
      </c>
      <c r="L44" s="9">
        <v>3</v>
      </c>
      <c r="M44" s="9">
        <v>3.5</v>
      </c>
      <c r="N44" s="9">
        <v>2.5</v>
      </c>
      <c r="O44" s="9">
        <v>3.5</v>
      </c>
      <c r="P44" s="9">
        <v>3</v>
      </c>
      <c r="Q44" t="s">
        <v>240</v>
      </c>
      <c r="R44" s="9">
        <v>300</v>
      </c>
      <c r="S44" t="str">
        <f xml:space="preserve"> HYPERLINK("ReviewHtml/review_Punch_Line.html", "https://2danicritic.github.io/ReviewHtml/review_Punch_Line.html")</f>
        <v>https://2danicritic.github.io/ReviewHtml/review_Punch_Line.html</v>
      </c>
    </row>
    <row r="45" spans="2:19" hidden="1" x14ac:dyDescent="0.35">
      <c r="B45">
        <v>256</v>
      </c>
      <c r="C45" t="s">
        <v>1117</v>
      </c>
      <c r="D45" s="9">
        <v>2017</v>
      </c>
      <c r="E45" t="s">
        <v>54</v>
      </c>
      <c r="F45" t="s">
        <v>792</v>
      </c>
      <c r="G45" t="s">
        <v>1192</v>
      </c>
      <c r="H45" t="s">
        <v>793</v>
      </c>
      <c r="I45" s="9">
        <v>4.71</v>
      </c>
      <c r="J45" s="9">
        <v>4</v>
      </c>
      <c r="K45" s="9">
        <v>5</v>
      </c>
      <c r="L45" s="9">
        <v>5</v>
      </c>
      <c r="M45" s="9">
        <v>5</v>
      </c>
      <c r="N45" s="9">
        <v>4</v>
      </c>
      <c r="O45" s="9">
        <v>5</v>
      </c>
      <c r="P45" s="9">
        <v>5</v>
      </c>
      <c r="Q45" t="s">
        <v>281</v>
      </c>
      <c r="R45" s="9">
        <v>93</v>
      </c>
      <c r="S45" t="str">
        <f xml:space="preserve"> HYPERLINK("ReviewHtml/review_The_Night_Is_Short,_Walk_On_Girl.html", "https://2danicritic.github.io/ReviewHtml/review_The_Night_Is_Short,_Walk_On_Girl.html")</f>
        <v>https://2danicritic.github.io/ReviewHtml/review_The_Night_Is_Short,_Walk_On_Girl.html</v>
      </c>
    </row>
    <row r="46" spans="2:19" hidden="1" x14ac:dyDescent="0.35">
      <c r="B46">
        <v>235</v>
      </c>
      <c r="C46" t="s">
        <v>1080</v>
      </c>
      <c r="D46" s="9">
        <v>2017</v>
      </c>
      <c r="E46" t="s">
        <v>1232</v>
      </c>
      <c r="F46" t="s">
        <v>1060</v>
      </c>
      <c r="G46" t="s">
        <v>1192</v>
      </c>
      <c r="H46" t="s">
        <v>1081</v>
      </c>
      <c r="I46" s="9">
        <v>4.8600000000000003</v>
      </c>
      <c r="J46" s="9">
        <v>5</v>
      </c>
      <c r="K46" s="9">
        <v>5</v>
      </c>
      <c r="L46" s="9">
        <v>4</v>
      </c>
      <c r="M46" s="9">
        <v>5</v>
      </c>
      <c r="N46" s="9">
        <v>5</v>
      </c>
      <c r="O46" s="9">
        <v>5</v>
      </c>
      <c r="P46" s="9">
        <v>5</v>
      </c>
      <c r="Q46" t="s">
        <v>266</v>
      </c>
      <c r="R46" s="9">
        <v>94</v>
      </c>
      <c r="S46" t="str">
        <f xml:space="preserve"> HYPERLINK("ReviewHtml/review_The_Breadwinner.html", "https://2danicritic.github.io/ReviewHtml/review_The_Breadwinner.html")</f>
        <v>https://2danicritic.github.io/ReviewHtml/review_The_Breadwinner.html</v>
      </c>
    </row>
    <row r="47" spans="2:19" x14ac:dyDescent="0.35">
      <c r="B47">
        <v>210</v>
      </c>
      <c r="C47" t="s">
        <v>1045</v>
      </c>
      <c r="D47" s="9">
        <v>2015</v>
      </c>
      <c r="E47" t="s">
        <v>54</v>
      </c>
      <c r="F47" t="s">
        <v>1031</v>
      </c>
      <c r="G47" t="s">
        <v>1193</v>
      </c>
      <c r="H47" t="s">
        <v>1046</v>
      </c>
      <c r="I47" s="9">
        <v>3.5</v>
      </c>
      <c r="J47" s="9">
        <v>3</v>
      </c>
      <c r="K47" s="9">
        <v>3.5</v>
      </c>
      <c r="L47" s="9">
        <v>3.5</v>
      </c>
      <c r="M47" s="9">
        <v>3.5</v>
      </c>
      <c r="N47" s="9">
        <v>3.5</v>
      </c>
      <c r="O47" s="9">
        <v>3.5</v>
      </c>
      <c r="P47" s="9">
        <v>4</v>
      </c>
      <c r="Q47" t="s">
        <v>245</v>
      </c>
      <c r="R47" s="9">
        <v>300</v>
      </c>
      <c r="S47" t="str">
        <f xml:space="preserve"> HYPERLINK("ReviewHtml/review_Rokka_-_Braves_of_the_Six_Flowers.html", "https://2danicritic.github.io/ReviewHtml/review_Rokka_-_Braves_of_the_Six_Flowers.html")</f>
        <v>https://2danicritic.github.io/ReviewHtml/review_Rokka_-_Braves_of_the_Six_Flowers.html</v>
      </c>
    </row>
    <row r="48" spans="2:19" x14ac:dyDescent="0.35">
      <c r="B48">
        <v>215</v>
      </c>
      <c r="C48" t="s">
        <v>248</v>
      </c>
      <c r="D48" s="9">
        <v>2015</v>
      </c>
      <c r="E48" t="s">
        <v>54</v>
      </c>
      <c r="F48" t="s">
        <v>675</v>
      </c>
      <c r="G48" t="s">
        <v>1193</v>
      </c>
      <c r="H48" t="s">
        <v>1054</v>
      </c>
      <c r="I48" s="9">
        <v>2.57</v>
      </c>
      <c r="J48" s="9">
        <v>2.5</v>
      </c>
      <c r="K48" s="9">
        <v>3</v>
      </c>
      <c r="L48" s="9">
        <v>3</v>
      </c>
      <c r="M48" s="9">
        <v>2.5</v>
      </c>
      <c r="N48" s="9">
        <v>2.5</v>
      </c>
      <c r="O48" s="9">
        <v>2.5</v>
      </c>
      <c r="P48" s="9">
        <v>2</v>
      </c>
      <c r="Q48" t="s">
        <v>249</v>
      </c>
      <c r="R48" s="9">
        <v>300</v>
      </c>
      <c r="S48" t="str">
        <f xml:space="preserve"> HYPERLINK("ReviewHtml/review_Shimoneta_-_A_Boring_World_Where_the_Concept_of_Dirty_Jokes_Doesn't_Exist.html", "https://2danicritic.github.io/ReviewHtml/review_Shimoneta_-_A_Boring_World_Where_the_Concept_of_Dirty_Jokes_Doesn't_Exist.html")</f>
        <v>https://2danicritic.github.io/ReviewHtml/review_Shimoneta_-_A_Boring_World_Where_the_Concept_of_Dirty_Jokes_Doesn't_Exist.html</v>
      </c>
    </row>
    <row r="49" spans="2:19" hidden="1" x14ac:dyDescent="0.35">
      <c r="B49">
        <v>3</v>
      </c>
      <c r="C49" t="s">
        <v>662</v>
      </c>
      <c r="D49" s="9">
        <v>2016</v>
      </c>
      <c r="E49" t="s">
        <v>54</v>
      </c>
      <c r="F49" t="s">
        <v>663</v>
      </c>
      <c r="G49" t="s">
        <v>1192</v>
      </c>
      <c r="H49" t="s">
        <v>664</v>
      </c>
      <c r="I49" s="9">
        <v>4.5</v>
      </c>
      <c r="J49" s="9">
        <v>4</v>
      </c>
      <c r="K49" s="9">
        <v>4</v>
      </c>
      <c r="L49" s="9">
        <v>5</v>
      </c>
      <c r="M49" s="9">
        <v>5</v>
      </c>
      <c r="N49" s="9">
        <v>4.5</v>
      </c>
      <c r="O49" s="9">
        <v>4</v>
      </c>
      <c r="P49" s="9">
        <v>5</v>
      </c>
      <c r="Q49" t="s">
        <v>62</v>
      </c>
      <c r="R49" s="9">
        <v>130</v>
      </c>
      <c r="S49" t="str">
        <f xml:space="preserve"> HYPERLINK("ReviewHtml/review_A_Silent_Voice.html", "https://2danicritic.github.io/ReviewHtml/review_A_Silent_Voice.html")</f>
        <v>https://2danicritic.github.io/ReviewHtml/review_A_Silent_Voice.html</v>
      </c>
    </row>
    <row r="50" spans="2:19" x14ac:dyDescent="0.35">
      <c r="B50">
        <v>239</v>
      </c>
      <c r="C50" t="s">
        <v>1085</v>
      </c>
      <c r="D50" s="9">
        <v>2015</v>
      </c>
      <c r="E50" t="s">
        <v>54</v>
      </c>
      <c r="F50" t="s">
        <v>777</v>
      </c>
      <c r="G50" t="s">
        <v>1193</v>
      </c>
      <c r="H50" t="s">
        <v>1086</v>
      </c>
      <c r="I50" s="9">
        <v>3</v>
      </c>
      <c r="J50" s="9">
        <v>3</v>
      </c>
      <c r="K50" s="9">
        <v>3</v>
      </c>
      <c r="L50" s="9">
        <v>3</v>
      </c>
      <c r="M50" s="9">
        <v>3.5</v>
      </c>
      <c r="N50" s="9">
        <v>2.5</v>
      </c>
      <c r="O50" s="9">
        <v>3</v>
      </c>
      <c r="P50" s="9">
        <v>3</v>
      </c>
      <c r="Q50" t="s">
        <v>104</v>
      </c>
      <c r="R50" s="9">
        <v>425</v>
      </c>
      <c r="S50" t="str">
        <f xml:space="preserve"> HYPERLINK("ReviewHtml/review_The_Disappearance_of_Nagato_Yuki-chan.html", "https://2danicritic.github.io/ReviewHtml/review_The_Disappearance_of_Nagato_Yuki-chan.html")</f>
        <v>https://2danicritic.github.io/ReviewHtml/review_The_Disappearance_of_Nagato_Yuki-chan.html</v>
      </c>
    </row>
    <row r="51" spans="2:19" x14ac:dyDescent="0.35">
      <c r="B51">
        <v>285</v>
      </c>
      <c r="C51" t="s">
        <v>1154</v>
      </c>
      <c r="D51" s="9">
        <v>2015</v>
      </c>
      <c r="E51" t="s">
        <v>54</v>
      </c>
      <c r="F51" t="s">
        <v>1155</v>
      </c>
      <c r="G51" t="s">
        <v>88</v>
      </c>
      <c r="H51" t="s">
        <v>1156</v>
      </c>
      <c r="I51" s="9">
        <v>3.36</v>
      </c>
      <c r="J51" s="9">
        <v>3.5</v>
      </c>
      <c r="K51" s="9">
        <v>3.5</v>
      </c>
      <c r="L51" s="9">
        <v>4</v>
      </c>
      <c r="M51" s="9">
        <v>3</v>
      </c>
      <c r="N51" s="9">
        <v>3</v>
      </c>
      <c r="O51" s="9">
        <v>3</v>
      </c>
      <c r="P51" s="9">
        <v>3.5</v>
      </c>
      <c r="Q51" t="s">
        <v>305</v>
      </c>
      <c r="R51" s="9">
        <v>27</v>
      </c>
      <c r="S51" t="str">
        <f xml:space="preserve"> HYPERLINK("ReviewHtml/review_Typhoon_Noruda.html", "https://2danicritic.github.io/ReviewHtml/review_Typhoon_Noruda.html")</f>
        <v>https://2danicritic.github.io/ReviewHtml/review_Typhoon_Noruda.html</v>
      </c>
    </row>
    <row r="52" spans="2:19" hidden="1" x14ac:dyDescent="0.35">
      <c r="B52">
        <v>27</v>
      </c>
      <c r="C52" t="s">
        <v>712</v>
      </c>
      <c r="D52" s="9">
        <v>2016</v>
      </c>
      <c r="E52" t="s">
        <v>1197</v>
      </c>
      <c r="F52" t="s">
        <v>713</v>
      </c>
      <c r="G52" t="s">
        <v>1192</v>
      </c>
      <c r="H52" t="s">
        <v>82</v>
      </c>
      <c r="I52" s="9">
        <v>3.57</v>
      </c>
      <c r="J52" s="9">
        <v>3</v>
      </c>
      <c r="K52" s="9">
        <v>4</v>
      </c>
      <c r="L52" s="9">
        <v>3</v>
      </c>
      <c r="M52" s="9">
        <v>3</v>
      </c>
      <c r="N52" s="9">
        <v>4</v>
      </c>
      <c r="O52" s="9">
        <v>3.5</v>
      </c>
      <c r="P52" s="9">
        <v>4.5</v>
      </c>
      <c r="Q52" t="s">
        <v>83</v>
      </c>
      <c r="R52" s="9">
        <v>105</v>
      </c>
      <c r="S52" t="str">
        <f xml:space="preserve"> HYPERLINK("ReviewHtml/review_Big_Fish_and_Begonia.html", "https://2danicritic.github.io/ReviewHtml/review_Big_Fish_and_Begonia.html")</f>
        <v>https://2danicritic.github.io/ReviewHtml/review_Big_Fish_and_Begonia.html</v>
      </c>
    </row>
    <row r="53" spans="2:19" hidden="1" x14ac:dyDescent="0.35">
      <c r="B53">
        <v>90</v>
      </c>
      <c r="C53" t="s">
        <v>838</v>
      </c>
      <c r="D53" s="9">
        <v>2016</v>
      </c>
      <c r="E53" t="s">
        <v>54</v>
      </c>
      <c r="F53" t="s">
        <v>839</v>
      </c>
      <c r="G53" t="s">
        <v>1192</v>
      </c>
      <c r="H53" t="s">
        <v>831</v>
      </c>
      <c r="I53" s="9">
        <v>3.57</v>
      </c>
      <c r="J53" s="9">
        <v>3.5</v>
      </c>
      <c r="K53" s="9">
        <v>4</v>
      </c>
      <c r="L53" s="9">
        <v>3.5</v>
      </c>
      <c r="M53" s="9">
        <v>3</v>
      </c>
      <c r="N53" s="9">
        <v>4</v>
      </c>
      <c r="O53" s="9">
        <v>3</v>
      </c>
      <c r="P53" s="9">
        <v>4</v>
      </c>
      <c r="Q53" t="s">
        <v>145</v>
      </c>
      <c r="R53" s="9">
        <v>115</v>
      </c>
      <c r="S53" t="str">
        <f xml:space="preserve"> HYPERLINK("ReviewHtml/review_Genocidal_Organ.html", "https://2danicritic.github.io/ReviewHtml/review_Genocidal_Organ.html")</f>
        <v>https://2danicritic.github.io/ReviewHtml/review_Genocidal_Organ.html</v>
      </c>
    </row>
    <row r="54" spans="2:19" x14ac:dyDescent="0.35">
      <c r="B54">
        <v>9</v>
      </c>
      <c r="C54" t="s">
        <v>676</v>
      </c>
      <c r="D54" s="9">
        <v>2014</v>
      </c>
      <c r="E54" t="s">
        <v>54</v>
      </c>
      <c r="F54" t="s">
        <v>663</v>
      </c>
      <c r="G54" t="s">
        <v>1193</v>
      </c>
      <c r="H54" t="s">
        <v>677</v>
      </c>
      <c r="I54" s="9">
        <v>3.14</v>
      </c>
      <c r="J54" s="9">
        <v>3</v>
      </c>
      <c r="K54" s="9">
        <v>3.5</v>
      </c>
      <c r="L54" s="9">
        <v>3.5</v>
      </c>
      <c r="M54" s="9">
        <v>3</v>
      </c>
      <c r="N54" s="9">
        <v>2.5</v>
      </c>
      <c r="O54" s="9">
        <v>3.5</v>
      </c>
      <c r="P54" s="9">
        <v>3</v>
      </c>
      <c r="Q54" t="s">
        <v>68</v>
      </c>
      <c r="R54" s="9">
        <v>350</v>
      </c>
      <c r="S54" t="str">
        <f xml:space="preserve"> HYPERLINK("ReviewHtml/review_Amagi_Brilliant_Park.html", "https://2danicritic.github.io/ReviewHtml/review_Amagi_Brilliant_Park.html")</f>
        <v>https://2danicritic.github.io/ReviewHtml/review_Amagi_Brilliant_Park.html</v>
      </c>
    </row>
    <row r="55" spans="2:19" x14ac:dyDescent="0.35">
      <c r="B55">
        <v>29</v>
      </c>
      <c r="C55" t="s">
        <v>716</v>
      </c>
      <c r="D55" s="9">
        <v>2014</v>
      </c>
      <c r="E55" t="s">
        <v>54</v>
      </c>
      <c r="F55" t="s">
        <v>717</v>
      </c>
      <c r="G55" t="s">
        <v>1193</v>
      </c>
      <c r="H55" t="s">
        <v>718</v>
      </c>
      <c r="I55" s="9">
        <v>2.71</v>
      </c>
      <c r="J55" s="9">
        <v>2.5</v>
      </c>
      <c r="K55" s="9">
        <v>3</v>
      </c>
      <c r="L55" s="9">
        <v>3</v>
      </c>
      <c r="M55" s="9">
        <v>4</v>
      </c>
      <c r="N55" s="9">
        <v>1.5</v>
      </c>
      <c r="O55" s="9">
        <v>3</v>
      </c>
      <c r="P55" s="9">
        <v>2</v>
      </c>
      <c r="Q55" t="s">
        <v>86</v>
      </c>
      <c r="R55" s="9">
        <v>325</v>
      </c>
      <c r="S55" t="str">
        <f xml:space="preserve"> HYPERLINK("ReviewHtml/review_Black_Bullet.html", "https://2danicritic.github.io/ReviewHtml/review_Black_Bullet.html")</f>
        <v>https://2danicritic.github.io/ReviewHtml/review_Black_Bullet.html</v>
      </c>
    </row>
    <row r="56" spans="2:19" hidden="1" x14ac:dyDescent="0.35">
      <c r="B56">
        <v>113</v>
      </c>
      <c r="C56" t="s">
        <v>872</v>
      </c>
      <c r="D56" s="9">
        <v>2016</v>
      </c>
      <c r="E56" t="s">
        <v>54</v>
      </c>
      <c r="F56" t="s">
        <v>873</v>
      </c>
      <c r="G56" t="s">
        <v>1192</v>
      </c>
      <c r="H56" t="s">
        <v>729</v>
      </c>
      <c r="I56" s="9">
        <v>3.71</v>
      </c>
      <c r="J56" s="9">
        <v>3</v>
      </c>
      <c r="K56" s="9">
        <v>4</v>
      </c>
      <c r="L56" s="9">
        <v>4</v>
      </c>
      <c r="M56" s="9">
        <v>2.5</v>
      </c>
      <c r="N56" s="9">
        <v>4</v>
      </c>
      <c r="O56" s="9">
        <v>3.5</v>
      </c>
      <c r="P56" s="9">
        <v>5</v>
      </c>
      <c r="Q56" t="s">
        <v>169</v>
      </c>
      <c r="R56" s="9">
        <v>129</v>
      </c>
      <c r="S56" t="str">
        <f xml:space="preserve"> HYPERLINK("ReviewHtml/review_In_This_Corner_of_the_World.html", "https://2danicritic.github.io/ReviewHtml/review_In_This_Corner_of_the_World.html")</f>
        <v>https://2danicritic.github.io/ReviewHtml/review_In_This_Corner_of_the_World.html</v>
      </c>
    </row>
    <row r="57" spans="2:19" x14ac:dyDescent="0.35">
      <c r="B57">
        <v>31</v>
      </c>
      <c r="C57" t="s">
        <v>722</v>
      </c>
      <c r="D57" s="9">
        <v>2014</v>
      </c>
      <c r="E57" t="s">
        <v>54</v>
      </c>
      <c r="F57" t="s">
        <v>720</v>
      </c>
      <c r="G57" t="s">
        <v>1193</v>
      </c>
      <c r="H57" t="s">
        <v>723</v>
      </c>
      <c r="I57" s="9">
        <v>3.5</v>
      </c>
      <c r="J57" s="9">
        <v>3.5</v>
      </c>
      <c r="K57" s="9">
        <v>3.5</v>
      </c>
      <c r="L57" s="9">
        <v>3.5</v>
      </c>
      <c r="M57" s="9">
        <v>3.5</v>
      </c>
      <c r="N57" s="9">
        <v>3</v>
      </c>
      <c r="O57" s="9">
        <v>3.5</v>
      </c>
      <c r="P57" s="9">
        <v>4</v>
      </c>
      <c r="Q57" t="s">
        <v>87</v>
      </c>
      <c r="R57" s="9">
        <v>250</v>
      </c>
      <c r="S57" t="str">
        <f xml:space="preserve"> HYPERLINK("ReviewHtml/review_Black_Butler_-_Book_of_Circus.html", "https://2danicritic.github.io/ReviewHtml/review_Black_Butler_-_Book_of_Circus.html")</f>
        <v>https://2danicritic.github.io/ReviewHtml/review_Black_Butler_-_Book_of_Circus.html</v>
      </c>
    </row>
    <row r="58" spans="2:19" x14ac:dyDescent="0.35">
      <c r="B58">
        <v>32</v>
      </c>
      <c r="C58" t="s">
        <v>724</v>
      </c>
      <c r="D58" s="9">
        <v>2014</v>
      </c>
      <c r="E58" t="s">
        <v>54</v>
      </c>
      <c r="F58" t="s">
        <v>720</v>
      </c>
      <c r="G58" t="s">
        <v>88</v>
      </c>
      <c r="H58" t="s">
        <v>723</v>
      </c>
      <c r="I58" s="9">
        <v>3.71</v>
      </c>
      <c r="J58" s="9">
        <v>3.5</v>
      </c>
      <c r="K58" s="9">
        <v>3.5</v>
      </c>
      <c r="L58" s="9">
        <v>3.5</v>
      </c>
      <c r="M58" s="9">
        <v>3.5</v>
      </c>
      <c r="N58" s="9">
        <v>4</v>
      </c>
      <c r="O58" s="9">
        <v>4</v>
      </c>
      <c r="P58" s="9">
        <v>4</v>
      </c>
      <c r="Q58" t="s">
        <v>89</v>
      </c>
      <c r="R58" s="9">
        <v>120</v>
      </c>
      <c r="S58" t="str">
        <f xml:space="preserve"> HYPERLINK("ReviewHtml/review_Black_Butler_-_Book_of_Murder.html", "https://2danicritic.github.io/ReviewHtml/review_Black_Butler_-_Book_of_Murder.html")</f>
        <v>https://2danicritic.github.io/ReviewHtml/review_Black_Butler_-_Book_of_Murder.html</v>
      </c>
    </row>
    <row r="59" spans="2:19" hidden="1" x14ac:dyDescent="0.35">
      <c r="B59">
        <v>127</v>
      </c>
      <c r="C59" t="s">
        <v>904</v>
      </c>
      <c r="D59" s="9">
        <v>2016</v>
      </c>
      <c r="E59" t="s">
        <v>54</v>
      </c>
      <c r="F59" t="s">
        <v>694</v>
      </c>
      <c r="G59" t="s">
        <v>1192</v>
      </c>
      <c r="H59" t="s">
        <v>76</v>
      </c>
      <c r="I59" s="9">
        <v>4.57</v>
      </c>
      <c r="J59" s="9">
        <v>5</v>
      </c>
      <c r="K59" s="9">
        <v>4.5</v>
      </c>
      <c r="L59" s="9">
        <v>4.5</v>
      </c>
      <c r="M59" s="9">
        <v>4</v>
      </c>
      <c r="N59" s="9">
        <v>4</v>
      </c>
      <c r="O59" s="9">
        <v>5</v>
      </c>
      <c r="P59" s="9">
        <v>5</v>
      </c>
      <c r="Q59" t="s">
        <v>179</v>
      </c>
      <c r="R59" s="9">
        <v>216</v>
      </c>
      <c r="S59" t="str">
        <f xml:space="preserve"> HYPERLINK("ReviewHtml/review_Kizumonogatari_-_Tekketsu,_Nekketsu,_Reiketsu.html", "https://2danicritic.github.io/ReviewHtml/review_Kizumonogatari_-_Tekketsu,_Nekketsu,_Reiketsu.html")</f>
        <v>https://2danicritic.github.io/ReviewHtml/review_Kizumonogatari_-_Tekketsu,_Nekketsu,_Reiketsu.html</v>
      </c>
    </row>
    <row r="60" spans="2:19" x14ac:dyDescent="0.35">
      <c r="B60">
        <v>178</v>
      </c>
      <c r="C60" t="s">
        <v>987</v>
      </c>
      <c r="D60" s="9">
        <v>2014</v>
      </c>
      <c r="E60" t="s">
        <v>54</v>
      </c>
      <c r="F60" t="s">
        <v>699</v>
      </c>
      <c r="G60" t="s">
        <v>1193</v>
      </c>
      <c r="H60" t="s">
        <v>988</v>
      </c>
      <c r="I60" s="9">
        <v>3.71</v>
      </c>
      <c r="J60" s="9">
        <v>3.5</v>
      </c>
      <c r="K60" s="9">
        <v>3.5</v>
      </c>
      <c r="L60" s="9">
        <v>4</v>
      </c>
      <c r="M60" s="9">
        <v>4</v>
      </c>
      <c r="N60" s="9">
        <v>3</v>
      </c>
      <c r="O60" s="9">
        <v>4</v>
      </c>
      <c r="P60" s="9">
        <v>4</v>
      </c>
      <c r="Q60" t="s">
        <v>219</v>
      </c>
      <c r="R60" s="9">
        <v>300</v>
      </c>
      <c r="S60" t="str">
        <f xml:space="preserve"> HYPERLINK("ReviewHtml/review_No_Game_No_Life.html", "https://2danicritic.github.io/ReviewHtml/review_No_Game_No_Life.html")</f>
        <v>https://2danicritic.github.io/ReviewHtml/review_No_Game_No_Life.html</v>
      </c>
    </row>
    <row r="61" spans="2:19" hidden="1" x14ac:dyDescent="0.35">
      <c r="B61">
        <v>184</v>
      </c>
      <c r="C61" t="s">
        <v>1292</v>
      </c>
      <c r="D61" s="9">
        <v>2016</v>
      </c>
      <c r="E61" t="s">
        <v>54</v>
      </c>
      <c r="F61" t="s">
        <v>686</v>
      </c>
      <c r="G61" t="s">
        <v>1192</v>
      </c>
      <c r="H61" t="s">
        <v>1320</v>
      </c>
      <c r="I61" s="9">
        <v>3.21</v>
      </c>
      <c r="J61" s="9">
        <v>3.5</v>
      </c>
      <c r="K61" s="9">
        <v>3</v>
      </c>
      <c r="L61" s="9">
        <v>3.5</v>
      </c>
      <c r="M61" s="9">
        <v>3.5</v>
      </c>
      <c r="N61" s="9">
        <v>2.5</v>
      </c>
      <c r="O61" s="9">
        <v>4</v>
      </c>
      <c r="P61" s="9">
        <v>2.5</v>
      </c>
      <c r="Q61" t="s">
        <v>1226</v>
      </c>
      <c r="R61" s="9">
        <v>120</v>
      </c>
      <c r="S61" t="str">
        <f xml:space="preserve"> HYPERLINK("ReviewHtml/review_One_Piece_Film_-_Gold.html", "https://2danicritic.github.io/ReviewHtml/review_One_Piece_Film_-_Gold.html")</f>
        <v>https://2danicritic.github.io/ReviewHtml/review_One_Piece_Film_-_Gold.html</v>
      </c>
    </row>
    <row r="62" spans="2:19" x14ac:dyDescent="0.35">
      <c r="B62">
        <v>180</v>
      </c>
      <c r="C62" t="s">
        <v>990</v>
      </c>
      <c r="D62" s="9">
        <v>2014</v>
      </c>
      <c r="E62" t="s">
        <v>54</v>
      </c>
      <c r="F62" t="s">
        <v>739</v>
      </c>
      <c r="G62" t="s">
        <v>1193</v>
      </c>
      <c r="H62" t="s">
        <v>991</v>
      </c>
      <c r="I62" s="9">
        <v>3.5</v>
      </c>
      <c r="J62" s="9">
        <v>3</v>
      </c>
      <c r="K62" s="9">
        <v>3.5</v>
      </c>
      <c r="L62" s="9">
        <v>4</v>
      </c>
      <c r="M62" s="9">
        <v>3</v>
      </c>
      <c r="N62" s="9">
        <v>3.5</v>
      </c>
      <c r="O62" s="9">
        <v>4</v>
      </c>
      <c r="P62" s="9">
        <v>3.5</v>
      </c>
      <c r="Q62" t="s">
        <v>221</v>
      </c>
      <c r="R62" s="9">
        <v>625</v>
      </c>
      <c r="S62" t="str">
        <f xml:space="preserve"> HYPERLINK("ReviewHtml/review_Noragami.html", "https://2danicritic.github.io/ReviewHtml/review_Noragami.html")</f>
        <v>https://2danicritic.github.io/ReviewHtml/review_Noragami.html</v>
      </c>
    </row>
    <row r="63" spans="2:19" x14ac:dyDescent="0.35">
      <c r="B63">
        <v>196</v>
      </c>
      <c r="C63" t="s">
        <v>1014</v>
      </c>
      <c r="D63" s="9">
        <v>2014</v>
      </c>
      <c r="E63" t="s">
        <v>54</v>
      </c>
      <c r="F63" t="s">
        <v>1015</v>
      </c>
      <c r="G63" t="s">
        <v>1193</v>
      </c>
      <c r="H63" t="s">
        <v>793</v>
      </c>
      <c r="I63" s="9">
        <v>4.21</v>
      </c>
      <c r="J63" s="9">
        <v>4</v>
      </c>
      <c r="K63" s="9">
        <v>4</v>
      </c>
      <c r="L63" s="9">
        <v>4</v>
      </c>
      <c r="M63" s="9">
        <v>4.5</v>
      </c>
      <c r="N63" s="9">
        <v>4.5</v>
      </c>
      <c r="O63" s="9">
        <v>3.5</v>
      </c>
      <c r="P63" s="9">
        <v>5</v>
      </c>
      <c r="Q63" t="s">
        <v>235</v>
      </c>
      <c r="R63" s="9">
        <v>275</v>
      </c>
      <c r="S63" t="str">
        <f xml:space="preserve"> HYPERLINK("ReviewHtml/review_Ping_Pong_the_Animation.html", "https://2danicritic.github.io/ReviewHtml/review_Ping_Pong_the_Animation.html")</f>
        <v>https://2danicritic.github.io/ReviewHtml/review_Ping_Pong_the_Animation.html</v>
      </c>
    </row>
    <row r="64" spans="2:19" x14ac:dyDescent="0.35">
      <c r="B64">
        <v>204</v>
      </c>
      <c r="C64" t="s">
        <v>1027</v>
      </c>
      <c r="D64" s="9">
        <v>2014</v>
      </c>
      <c r="E64" t="s">
        <v>54</v>
      </c>
      <c r="F64" t="s">
        <v>1028</v>
      </c>
      <c r="G64" t="s">
        <v>1193</v>
      </c>
      <c r="H64" t="s">
        <v>1029</v>
      </c>
      <c r="I64" s="9">
        <v>4</v>
      </c>
      <c r="J64" s="9">
        <v>4</v>
      </c>
      <c r="K64" s="9">
        <v>4</v>
      </c>
      <c r="L64" s="9">
        <v>3.5</v>
      </c>
      <c r="M64" s="9">
        <v>4</v>
      </c>
      <c r="N64" s="9">
        <v>3.5</v>
      </c>
      <c r="O64" s="9">
        <v>4</v>
      </c>
      <c r="P64" s="9">
        <v>5</v>
      </c>
      <c r="Q64" t="s">
        <v>134</v>
      </c>
      <c r="R64" s="9">
        <v>300</v>
      </c>
      <c r="S64" t="str">
        <f xml:space="preserve"> HYPERLINK("ReviewHtml/review_Rage_of_Bahamut_-_Genesis.html", "https://2danicritic.github.io/ReviewHtml/review_Rage_of_Bahamut_-_Genesis.html")</f>
        <v>https://2danicritic.github.io/ReviewHtml/review_Rage_of_Bahamut_-_Genesis.html</v>
      </c>
    </row>
    <row r="65" spans="2:19" hidden="1" x14ac:dyDescent="0.35">
      <c r="B65">
        <v>302</v>
      </c>
      <c r="C65" t="s">
        <v>1188</v>
      </c>
      <c r="D65" s="9">
        <v>2016</v>
      </c>
      <c r="E65" t="s">
        <v>54</v>
      </c>
      <c r="F65" t="s">
        <v>657</v>
      </c>
      <c r="G65" t="s">
        <v>1192</v>
      </c>
      <c r="H65" t="s">
        <v>658</v>
      </c>
      <c r="I65" s="9">
        <v>4.29</v>
      </c>
      <c r="J65" s="9">
        <v>4.5</v>
      </c>
      <c r="K65" s="9">
        <v>4.5</v>
      </c>
      <c r="L65" s="9">
        <v>4</v>
      </c>
      <c r="M65" s="9">
        <v>4</v>
      </c>
      <c r="N65" s="9">
        <v>4</v>
      </c>
      <c r="O65" s="9">
        <v>4</v>
      </c>
      <c r="P65" s="9">
        <v>5</v>
      </c>
      <c r="Q65" t="s">
        <v>284</v>
      </c>
      <c r="R65" s="9">
        <v>107</v>
      </c>
      <c r="S65" t="str">
        <f xml:space="preserve"> HYPERLINK("ReviewHtml/review_Your_Name..html", "https://2danicritic.github.io/ReviewHtml/review_Your_Name..html")</f>
        <v>https://2danicritic.github.io/ReviewHtml/review_Your_Name..html</v>
      </c>
    </row>
    <row r="66" spans="2:19" x14ac:dyDescent="0.35">
      <c r="B66">
        <v>205</v>
      </c>
      <c r="C66" t="s">
        <v>1030</v>
      </c>
      <c r="D66" s="9">
        <v>2014</v>
      </c>
      <c r="E66" t="s">
        <v>54</v>
      </c>
      <c r="F66" t="s">
        <v>1031</v>
      </c>
      <c r="G66" t="s">
        <v>1193</v>
      </c>
      <c r="H66" t="s">
        <v>1032</v>
      </c>
      <c r="I66" s="9">
        <v>3</v>
      </c>
      <c r="J66" s="9">
        <v>3</v>
      </c>
      <c r="K66" s="9">
        <v>3</v>
      </c>
      <c r="L66" s="9">
        <v>3.5</v>
      </c>
      <c r="M66" s="9">
        <v>3</v>
      </c>
      <c r="N66" s="9">
        <v>2.5</v>
      </c>
      <c r="O66" s="9">
        <v>3</v>
      </c>
      <c r="P66" s="9">
        <v>3</v>
      </c>
      <c r="Q66" t="s">
        <v>241</v>
      </c>
      <c r="R66" s="9">
        <v>300</v>
      </c>
      <c r="S66" t="str">
        <f xml:space="preserve"> HYPERLINK("ReviewHtml/review_Rail_Wars.html", "https://2danicritic.github.io/ReviewHtml/review_Rail_Wars.html")</f>
        <v>https://2danicritic.github.io/ReviewHtml/review_Rail_Wars.html</v>
      </c>
    </row>
    <row r="67" spans="2:19" x14ac:dyDescent="0.35">
      <c r="B67">
        <v>216</v>
      </c>
      <c r="C67" t="s">
        <v>1055</v>
      </c>
      <c r="D67" s="9">
        <v>2014</v>
      </c>
      <c r="E67" t="s">
        <v>54</v>
      </c>
      <c r="F67" t="s">
        <v>679</v>
      </c>
      <c r="G67" t="s">
        <v>1193</v>
      </c>
      <c r="H67" t="s">
        <v>1023</v>
      </c>
      <c r="I67" s="9">
        <v>3.36</v>
      </c>
      <c r="J67" s="9">
        <v>3</v>
      </c>
      <c r="K67" s="9">
        <v>3</v>
      </c>
      <c r="L67" s="9">
        <v>3</v>
      </c>
      <c r="M67" s="9">
        <v>3.5</v>
      </c>
      <c r="N67" s="9">
        <v>3.5</v>
      </c>
      <c r="O67" s="9">
        <v>3.5</v>
      </c>
      <c r="P67" s="9">
        <v>4</v>
      </c>
      <c r="Q67" t="s">
        <v>250</v>
      </c>
      <c r="R67" s="9">
        <v>600</v>
      </c>
      <c r="S67" t="str">
        <f xml:space="preserve"> HYPERLINK("ReviewHtml/review_Shirobako.html", "https://2danicritic.github.io/ReviewHtml/review_Shirobako.html")</f>
        <v>https://2danicritic.github.io/ReviewHtml/review_Shirobako.html</v>
      </c>
    </row>
    <row r="68" spans="2:19" x14ac:dyDescent="0.35">
      <c r="B68">
        <v>221</v>
      </c>
      <c r="C68" t="s">
        <v>1064</v>
      </c>
      <c r="D68" s="9">
        <v>2014</v>
      </c>
      <c r="E68" t="s">
        <v>54</v>
      </c>
      <c r="F68" t="s">
        <v>739</v>
      </c>
      <c r="G68" t="s">
        <v>1193</v>
      </c>
      <c r="H68" t="s">
        <v>253</v>
      </c>
      <c r="I68" s="9">
        <v>3.93</v>
      </c>
      <c r="J68" s="9">
        <v>4.5</v>
      </c>
      <c r="K68" s="9">
        <v>3.5</v>
      </c>
      <c r="L68" s="9">
        <v>3.5</v>
      </c>
      <c r="M68" s="9">
        <v>3.5</v>
      </c>
      <c r="N68" s="9">
        <v>3.5</v>
      </c>
      <c r="O68" s="9">
        <v>4.5</v>
      </c>
      <c r="P68" s="9">
        <v>4.5</v>
      </c>
      <c r="Q68" t="s">
        <v>254</v>
      </c>
      <c r="R68" s="9">
        <v>650</v>
      </c>
      <c r="S68" t="str">
        <f xml:space="preserve"> HYPERLINK("ReviewHtml/review_Space_Dandy.html", "https://2danicritic.github.io/ReviewHtml/review_Space_Dandy.html")</f>
        <v>https://2danicritic.github.io/ReviewHtml/review_Space_Dandy.html</v>
      </c>
    </row>
    <row r="69" spans="2:19" x14ac:dyDescent="0.35">
      <c r="B69">
        <v>237</v>
      </c>
      <c r="C69" t="s">
        <v>1298</v>
      </c>
      <c r="D69" s="9">
        <v>2014</v>
      </c>
      <c r="E69" t="s">
        <v>54</v>
      </c>
      <c r="F69" t="s">
        <v>1312</v>
      </c>
      <c r="G69" t="s">
        <v>1193</v>
      </c>
      <c r="H69" t="s">
        <v>1323</v>
      </c>
      <c r="I69" s="9">
        <v>2.36</v>
      </c>
      <c r="J69" s="9">
        <v>2.5</v>
      </c>
      <c r="K69" s="9">
        <v>2.5</v>
      </c>
      <c r="L69" s="9">
        <v>3</v>
      </c>
      <c r="M69" s="9">
        <v>3.5</v>
      </c>
      <c r="N69" s="9">
        <v>1.5</v>
      </c>
      <c r="O69" s="9">
        <v>2</v>
      </c>
      <c r="P69" s="9">
        <v>1.5</v>
      </c>
      <c r="Q69" t="s">
        <v>1237</v>
      </c>
      <c r="R69" s="9">
        <v>205</v>
      </c>
      <c r="S69" t="str">
        <f xml:space="preserve"> HYPERLINK("ReviewHtml/review_The_Comic_Artist_&amp;_His_Assistants.html", "https://2danicritic.github.io/ReviewHtml/review_The_Comic_Artist_&amp;_His_Assistants.html")</f>
        <v>https://2danicritic.github.io/ReviewHtml/review_The_Comic_Artist_&amp;_His_Assistants.html</v>
      </c>
    </row>
    <row r="70" spans="2:19" x14ac:dyDescent="0.35">
      <c r="B70">
        <v>279</v>
      </c>
      <c r="C70" t="s">
        <v>1302</v>
      </c>
      <c r="D70" s="9">
        <v>2014</v>
      </c>
      <c r="E70" t="s">
        <v>54</v>
      </c>
      <c r="F70" t="s">
        <v>1316</v>
      </c>
      <c r="G70" t="s">
        <v>1193</v>
      </c>
      <c r="H70" t="s">
        <v>1325</v>
      </c>
      <c r="I70" s="9">
        <v>2.86</v>
      </c>
      <c r="J70" s="9">
        <v>2</v>
      </c>
      <c r="K70" s="9">
        <v>2</v>
      </c>
      <c r="L70" s="9">
        <v>3.5</v>
      </c>
      <c r="M70" s="9">
        <v>3.5</v>
      </c>
      <c r="N70" s="9">
        <v>2</v>
      </c>
      <c r="O70" s="9">
        <v>4</v>
      </c>
      <c r="P70" s="9">
        <v>3</v>
      </c>
      <c r="Q70" t="s">
        <v>148</v>
      </c>
      <c r="R70" s="9">
        <v>168</v>
      </c>
      <c r="S70" t="str">
        <f xml:space="preserve"> HYPERLINK("ReviewHtml/review_Tonari_No_Seki-Kun_-_The_Master_of_Killing_Time.html", "https://2danicritic.github.io/ReviewHtml/review_Tonari_No_Seki-Kun_-_The_Master_of_Killing_Time.html")</f>
        <v>https://2danicritic.github.io/ReviewHtml/review_Tonari_No_Seki-Kun_-_The_Master_of_Killing_Time.html</v>
      </c>
    </row>
    <row r="71" spans="2:19" x14ac:dyDescent="0.35">
      <c r="B71">
        <v>284</v>
      </c>
      <c r="C71" t="s">
        <v>1152</v>
      </c>
      <c r="D71" s="9">
        <v>2014</v>
      </c>
      <c r="E71" t="s">
        <v>54</v>
      </c>
      <c r="F71" t="s">
        <v>1153</v>
      </c>
      <c r="G71" t="s">
        <v>1193</v>
      </c>
      <c r="H71" t="s">
        <v>689</v>
      </c>
      <c r="I71" s="9">
        <v>2.57</v>
      </c>
      <c r="J71" s="9">
        <v>2.5</v>
      </c>
      <c r="K71" s="9">
        <v>3</v>
      </c>
      <c r="L71" s="9">
        <v>2.5</v>
      </c>
      <c r="M71" s="9">
        <v>2.5</v>
      </c>
      <c r="N71" s="9">
        <v>2</v>
      </c>
      <c r="O71" s="9">
        <v>3</v>
      </c>
      <c r="P71" s="9">
        <v>2.5</v>
      </c>
      <c r="Q71" t="s">
        <v>160</v>
      </c>
      <c r="R71" s="9">
        <v>300</v>
      </c>
      <c r="S71" t="str">
        <f xml:space="preserve"> HYPERLINK("ReviewHtml/review_Trinity_Seven.html", "https://2danicritic.github.io/ReviewHtml/review_Trinity_Seven.html")</f>
        <v>https://2danicritic.github.io/ReviewHtml/review_Trinity_Seven.html</v>
      </c>
    </row>
    <row r="72" spans="2:19" x14ac:dyDescent="0.35">
      <c r="B72">
        <v>25</v>
      </c>
      <c r="C72" t="s">
        <v>709</v>
      </c>
      <c r="D72" s="9">
        <v>2013</v>
      </c>
      <c r="E72" t="s">
        <v>54</v>
      </c>
      <c r="F72" t="s">
        <v>663</v>
      </c>
      <c r="G72" t="s">
        <v>1193</v>
      </c>
      <c r="H72" t="s">
        <v>710</v>
      </c>
      <c r="I72" s="9">
        <v>3.5</v>
      </c>
      <c r="J72" s="9">
        <v>4</v>
      </c>
      <c r="K72" s="9">
        <v>4</v>
      </c>
      <c r="L72" s="9">
        <v>3.5</v>
      </c>
      <c r="M72" s="9">
        <v>3</v>
      </c>
      <c r="N72" s="9">
        <v>4</v>
      </c>
      <c r="O72" s="9">
        <v>3</v>
      </c>
      <c r="P72" s="9">
        <v>3</v>
      </c>
      <c r="Q72" t="s">
        <v>81</v>
      </c>
      <c r="R72" s="9">
        <v>325</v>
      </c>
      <c r="S72" t="str">
        <f xml:space="preserve"> HYPERLINK("ReviewHtml/review_Beyond_the_Boundary.html", "https://2danicritic.github.io/ReviewHtml/review_Beyond_the_Boundary.html")</f>
        <v>https://2danicritic.github.io/ReviewHtml/review_Beyond_the_Boundary.html</v>
      </c>
    </row>
    <row r="73" spans="2:19" x14ac:dyDescent="0.35">
      <c r="B73">
        <v>68</v>
      </c>
      <c r="C73" t="s">
        <v>797</v>
      </c>
      <c r="D73" s="9">
        <v>2013</v>
      </c>
      <c r="E73" t="s">
        <v>54</v>
      </c>
      <c r="F73" t="s">
        <v>669</v>
      </c>
      <c r="G73" t="s">
        <v>1193</v>
      </c>
      <c r="H73" t="s">
        <v>798</v>
      </c>
      <c r="I73" s="9">
        <v>2.29</v>
      </c>
      <c r="J73" s="9">
        <v>2.5</v>
      </c>
      <c r="K73" s="9">
        <v>2.5</v>
      </c>
      <c r="L73" s="9">
        <v>2.5</v>
      </c>
      <c r="M73" s="9">
        <v>2.5</v>
      </c>
      <c r="N73" s="9">
        <v>2.5</v>
      </c>
      <c r="O73" s="9">
        <v>2.5</v>
      </c>
      <c r="P73" s="9">
        <v>1</v>
      </c>
      <c r="Q73" t="s">
        <v>126</v>
      </c>
      <c r="R73" s="9">
        <v>300</v>
      </c>
      <c r="S73" t="str">
        <f xml:space="preserve"> HYPERLINK("ReviewHtml/review_Dog_and_Scissors.html", "https://2danicritic.github.io/ReviewHtml/review_Dog_and_Scissors.html")</f>
        <v>https://2danicritic.github.io/ReviewHtml/review_Dog_and_Scissors.html</v>
      </c>
    </row>
    <row r="74" spans="2:19" x14ac:dyDescent="0.35">
      <c r="B74">
        <v>89</v>
      </c>
      <c r="C74" t="s">
        <v>836</v>
      </c>
      <c r="D74" s="9">
        <v>2013</v>
      </c>
      <c r="E74" t="s">
        <v>54</v>
      </c>
      <c r="F74" t="s">
        <v>736</v>
      </c>
      <c r="G74" t="s">
        <v>1193</v>
      </c>
      <c r="H74" t="s">
        <v>837</v>
      </c>
      <c r="I74" s="9">
        <v>3.14</v>
      </c>
      <c r="J74" s="9">
        <v>3.5</v>
      </c>
      <c r="K74" s="9">
        <v>3.5</v>
      </c>
      <c r="L74" s="9">
        <v>2.5</v>
      </c>
      <c r="M74" s="9">
        <v>3</v>
      </c>
      <c r="N74" s="9">
        <v>3.5</v>
      </c>
      <c r="O74" s="9">
        <v>3</v>
      </c>
      <c r="P74" s="9">
        <v>3</v>
      </c>
      <c r="Q74" t="s">
        <v>144</v>
      </c>
      <c r="R74" s="9">
        <v>365</v>
      </c>
      <c r="S74" t="str">
        <f xml:space="preserve"> HYPERLINK("ReviewHtml/review_Gargantia_on_the_Verdurous_Planet.html", "https://2danicritic.github.io/ReviewHtml/review_Gargantia_on_the_Verdurous_Planet.html")</f>
        <v>https://2danicritic.github.io/ReviewHtml/review_Gargantia_on_the_Verdurous_Planet.html</v>
      </c>
    </row>
    <row r="75" spans="2:19" hidden="1" x14ac:dyDescent="0.35">
      <c r="B75">
        <v>26</v>
      </c>
      <c r="C75" t="s">
        <v>711</v>
      </c>
      <c r="D75" s="9">
        <v>2015</v>
      </c>
      <c r="E75" t="s">
        <v>54</v>
      </c>
      <c r="F75" t="s">
        <v>663</v>
      </c>
      <c r="G75" t="s">
        <v>1192</v>
      </c>
      <c r="H75" t="s">
        <v>710</v>
      </c>
      <c r="I75" s="9">
        <v>3.29</v>
      </c>
      <c r="J75" s="9">
        <v>4</v>
      </c>
      <c r="K75" s="9">
        <v>3.5</v>
      </c>
      <c r="L75" s="9">
        <v>3</v>
      </c>
      <c r="M75" s="9">
        <v>3</v>
      </c>
      <c r="N75" s="9">
        <v>3</v>
      </c>
      <c r="O75" s="9">
        <v>3.5</v>
      </c>
      <c r="P75" s="9">
        <v>3</v>
      </c>
      <c r="Q75" t="s">
        <v>81</v>
      </c>
      <c r="R75" s="9">
        <v>172</v>
      </c>
      <c r="S75" t="str">
        <f xml:space="preserve"> HYPERLINK("ReviewHtml/review_Beyond_the_Boundary_-_I'll_Be_Here.html", "https://2danicritic.github.io/ReviewHtml/review_Beyond_the_Boundary_-_I'll_Be_Here.html")</f>
        <v>https://2danicritic.github.io/ReviewHtml/review_Beyond_the_Boundary_-_I'll_Be_Here.html</v>
      </c>
    </row>
    <row r="76" spans="2:19" hidden="1" x14ac:dyDescent="0.35">
      <c r="B76">
        <v>74</v>
      </c>
      <c r="C76" t="s">
        <v>810</v>
      </c>
      <c r="D76" s="9">
        <v>2016</v>
      </c>
      <c r="E76" t="s">
        <v>59</v>
      </c>
      <c r="F76" t="s">
        <v>811</v>
      </c>
      <c r="G76" t="s">
        <v>1192</v>
      </c>
      <c r="H76" t="s">
        <v>812</v>
      </c>
      <c r="I76" s="9">
        <v>3.43</v>
      </c>
      <c r="J76" s="9">
        <v>4</v>
      </c>
      <c r="K76" s="9">
        <v>4</v>
      </c>
      <c r="L76" s="9">
        <v>3.5</v>
      </c>
      <c r="M76" s="9">
        <v>3.5</v>
      </c>
      <c r="N76" s="9">
        <v>2</v>
      </c>
      <c r="O76" s="9">
        <v>3</v>
      </c>
      <c r="P76" s="9">
        <v>4</v>
      </c>
      <c r="Q76" t="s">
        <v>132</v>
      </c>
      <c r="R76" s="9">
        <v>86</v>
      </c>
      <c r="S76" t="str">
        <f xml:space="preserve"> HYPERLINK("ReviewHtml/review_Ethel_&amp;_Ernest_.html", "https://2danicritic.github.io/ReviewHtml/review_Ethel_&amp;_Ernest_.html")</f>
        <v>https://2danicritic.github.io/ReviewHtml/review_Ethel_&amp;_Ernest_.html</v>
      </c>
    </row>
    <row r="77" spans="2:19" hidden="1" x14ac:dyDescent="0.35">
      <c r="B77">
        <v>131</v>
      </c>
      <c r="C77" t="s">
        <v>908</v>
      </c>
      <c r="D77" s="9">
        <v>2016</v>
      </c>
      <c r="E77" t="s">
        <v>1191</v>
      </c>
      <c r="F77" t="s">
        <v>909</v>
      </c>
      <c r="G77" t="s">
        <v>1192</v>
      </c>
      <c r="H77" t="s">
        <v>183</v>
      </c>
      <c r="I77" s="9">
        <v>3.14</v>
      </c>
      <c r="J77" s="9">
        <v>3</v>
      </c>
      <c r="K77" s="9">
        <v>3.5</v>
      </c>
      <c r="L77" s="9">
        <v>4</v>
      </c>
      <c r="M77" s="9">
        <v>2.5</v>
      </c>
      <c r="N77" s="9">
        <v>3.5</v>
      </c>
      <c r="O77" s="9">
        <v>2.5</v>
      </c>
      <c r="P77" s="9">
        <v>3</v>
      </c>
      <c r="Q77" t="s">
        <v>184</v>
      </c>
      <c r="R77" s="9">
        <v>75</v>
      </c>
      <c r="S77" t="str">
        <f xml:space="preserve"> HYPERLINK("ReviewHtml/review_Louise_By_The_Shore.html", "https://2danicritic.github.io/ReviewHtml/review_Louise_By_The_Shore.html")</f>
        <v>https://2danicritic.github.io/ReviewHtml/review_Louise_By_The_Shore.html</v>
      </c>
    </row>
    <row r="78" spans="2:19" hidden="1" x14ac:dyDescent="0.35">
      <c r="B78">
        <v>100</v>
      </c>
      <c r="C78" t="s">
        <v>853</v>
      </c>
      <c r="D78" s="9">
        <v>2015</v>
      </c>
      <c r="E78" t="s">
        <v>54</v>
      </c>
      <c r="F78" t="s">
        <v>707</v>
      </c>
      <c r="G78" t="s">
        <v>1192</v>
      </c>
      <c r="H78" t="s">
        <v>154</v>
      </c>
      <c r="I78" s="9">
        <v>4.1399999999999997</v>
      </c>
      <c r="J78" s="9">
        <v>4</v>
      </c>
      <c r="K78" s="9">
        <v>4.5</v>
      </c>
      <c r="L78" s="9">
        <v>4</v>
      </c>
      <c r="M78" s="9">
        <v>4</v>
      </c>
      <c r="N78" s="9">
        <v>4.5</v>
      </c>
      <c r="O78" s="9">
        <v>3.5</v>
      </c>
      <c r="P78" s="9">
        <v>4.5</v>
      </c>
      <c r="Q78" t="s">
        <v>155</v>
      </c>
      <c r="R78" s="9">
        <v>119</v>
      </c>
      <c r="S78" t="str">
        <f xml:space="preserve"> HYPERLINK("ReviewHtml/review_Harmony.html", "https://2danicritic.github.io/ReviewHtml/review_Harmony.html")</f>
        <v>https://2danicritic.github.io/ReviewHtml/review_Harmony.html</v>
      </c>
    </row>
    <row r="79" spans="2:19" hidden="1" x14ac:dyDescent="0.35">
      <c r="B79">
        <v>234</v>
      </c>
      <c r="C79" t="s">
        <v>1079</v>
      </c>
      <c r="D79" s="9">
        <v>2015</v>
      </c>
      <c r="E79" t="s">
        <v>54</v>
      </c>
      <c r="F79" t="s">
        <v>949</v>
      </c>
      <c r="G79" t="s">
        <v>1192</v>
      </c>
      <c r="H79" t="s">
        <v>950</v>
      </c>
      <c r="I79" s="9">
        <v>3.93</v>
      </c>
      <c r="J79" s="9">
        <v>4</v>
      </c>
      <c r="K79" s="9">
        <v>4</v>
      </c>
      <c r="L79" s="9">
        <v>4</v>
      </c>
      <c r="M79" s="9">
        <v>4</v>
      </c>
      <c r="N79" s="9">
        <v>3.5</v>
      </c>
      <c r="O79" s="9">
        <v>4</v>
      </c>
      <c r="P79" s="9">
        <v>4</v>
      </c>
      <c r="Q79" t="s">
        <v>265</v>
      </c>
      <c r="R79" s="9">
        <v>120</v>
      </c>
      <c r="S79" t="str">
        <f xml:space="preserve"> HYPERLINK("ReviewHtml/review_The_Boy_and_the_Beast.html", "https://2danicritic.github.io/ReviewHtml/review_The_Boy_and_the_Beast.html")</f>
        <v>https://2danicritic.github.io/ReviewHtml/review_The_Boy_and_the_Beast.html</v>
      </c>
    </row>
    <row r="80" spans="2:19" hidden="1" x14ac:dyDescent="0.35">
      <c r="B80">
        <v>241</v>
      </c>
      <c r="C80" t="s">
        <v>1089</v>
      </c>
      <c r="D80" s="9">
        <v>2015</v>
      </c>
      <c r="E80" t="s">
        <v>54</v>
      </c>
      <c r="F80" t="s">
        <v>1090</v>
      </c>
      <c r="G80" t="s">
        <v>1192</v>
      </c>
      <c r="H80" t="s">
        <v>1091</v>
      </c>
      <c r="I80" s="9">
        <v>3.79</v>
      </c>
      <c r="J80" s="9">
        <v>4</v>
      </c>
      <c r="K80" s="9">
        <v>4</v>
      </c>
      <c r="L80" s="9">
        <v>3.5</v>
      </c>
      <c r="M80" s="9">
        <v>3.5</v>
      </c>
      <c r="N80" s="9">
        <v>3.5</v>
      </c>
      <c r="O80" s="9">
        <v>4</v>
      </c>
      <c r="P80" s="9">
        <v>4</v>
      </c>
      <c r="Q80" t="s">
        <v>270</v>
      </c>
      <c r="R80" s="9">
        <v>120</v>
      </c>
      <c r="S80" t="str">
        <f xml:space="preserve"> HYPERLINK("ReviewHtml/review_The_Empire_of_Corpses.html", "https://2danicritic.github.io/ReviewHtml/review_The_Empire_of_Corpses.html")</f>
        <v>https://2danicritic.github.io/ReviewHtml/review_The_Empire_of_Corpses.html</v>
      </c>
    </row>
    <row r="81" spans="2:19" hidden="1" x14ac:dyDescent="0.35">
      <c r="B81">
        <v>139</v>
      </c>
      <c r="C81" t="s">
        <v>1286</v>
      </c>
      <c r="D81" s="9">
        <v>2014</v>
      </c>
      <c r="E81" t="s">
        <v>54</v>
      </c>
      <c r="F81" t="s">
        <v>920</v>
      </c>
      <c r="G81" t="s">
        <v>1192</v>
      </c>
      <c r="H81" t="s">
        <v>1035</v>
      </c>
      <c r="I81" s="9">
        <v>4.07</v>
      </c>
      <c r="J81" s="9">
        <v>4</v>
      </c>
      <c r="K81" s="9">
        <v>4.5</v>
      </c>
      <c r="L81" s="9">
        <v>4</v>
      </c>
      <c r="M81" s="9">
        <v>3.5</v>
      </c>
      <c r="N81" s="9">
        <v>3</v>
      </c>
      <c r="O81" s="9">
        <v>4.5</v>
      </c>
      <c r="P81" s="9">
        <v>5</v>
      </c>
      <c r="Q81" t="s">
        <v>1214</v>
      </c>
      <c r="R81" s="9">
        <v>51</v>
      </c>
      <c r="S81" t="str">
        <f xml:space="preserve"> HYPERLINK("ReviewHtml/review_Lupin_the_Third_-_Jigen's_Gravestone.html", "https://2danicritic.github.io/ReviewHtml/review_Lupin_the_Third_-_Jigen's_Gravestone.html")</f>
        <v>https://2danicritic.github.io/ReviewHtml/review_Lupin_the_Third_-_Jigen's_Gravestone.html</v>
      </c>
    </row>
    <row r="82" spans="2:19" x14ac:dyDescent="0.35">
      <c r="B82">
        <v>125</v>
      </c>
      <c r="C82" t="s">
        <v>898</v>
      </c>
      <c r="D82" s="9">
        <v>2013</v>
      </c>
      <c r="E82" t="s">
        <v>54</v>
      </c>
      <c r="F82" t="s">
        <v>899</v>
      </c>
      <c r="G82" t="s">
        <v>1193</v>
      </c>
      <c r="H82" t="s">
        <v>900</v>
      </c>
      <c r="I82" s="9">
        <v>4.1399999999999997</v>
      </c>
      <c r="J82" s="9">
        <v>3.5</v>
      </c>
      <c r="K82" s="9">
        <v>4.5</v>
      </c>
      <c r="L82" s="9">
        <v>4</v>
      </c>
      <c r="M82" s="9">
        <v>4</v>
      </c>
      <c r="N82" s="9">
        <v>3.5</v>
      </c>
      <c r="O82" s="9">
        <v>5</v>
      </c>
      <c r="P82" s="9">
        <v>4.5</v>
      </c>
      <c r="Q82" t="s">
        <v>192</v>
      </c>
      <c r="R82" s="9">
        <v>625</v>
      </c>
      <c r="S82" t="str">
        <f xml:space="preserve"> HYPERLINK("ReviewHtml/review_Kill_la_Kill.html", "https://2danicritic.github.io/ReviewHtml/review_Kill_la_Kill.html")</f>
        <v>https://2danicritic.github.io/ReviewHtml/review_Kill_la_Kill.html</v>
      </c>
    </row>
    <row r="83" spans="2:19" x14ac:dyDescent="0.35">
      <c r="B83">
        <v>129</v>
      </c>
      <c r="C83" t="s">
        <v>906</v>
      </c>
      <c r="D83" s="9">
        <v>2013</v>
      </c>
      <c r="E83" t="s">
        <v>54</v>
      </c>
      <c r="F83" t="s">
        <v>686</v>
      </c>
      <c r="G83" t="s">
        <v>1193</v>
      </c>
      <c r="H83" t="s">
        <v>740</v>
      </c>
      <c r="I83" s="9">
        <v>4.71</v>
      </c>
      <c r="J83" s="9">
        <v>4.5</v>
      </c>
      <c r="K83" s="9">
        <v>5</v>
      </c>
      <c r="L83" s="9">
        <v>4</v>
      </c>
      <c r="M83" s="9">
        <v>5</v>
      </c>
      <c r="N83" s="9">
        <v>4.5</v>
      </c>
      <c r="O83" s="9">
        <v>5</v>
      </c>
      <c r="P83" s="9">
        <v>5</v>
      </c>
      <c r="Q83" t="s">
        <v>182</v>
      </c>
      <c r="R83" s="9">
        <v>325</v>
      </c>
      <c r="S83" t="str">
        <f xml:space="preserve"> HYPERLINK("ReviewHtml/review_Kyousougiga.html", "https://2danicritic.github.io/ReviewHtml/review_Kyousougiga.html")</f>
        <v>https://2danicritic.github.io/ReviewHtml/review_Kyousougiga.html</v>
      </c>
    </row>
    <row r="84" spans="2:19" hidden="1" x14ac:dyDescent="0.35">
      <c r="B84">
        <v>162</v>
      </c>
      <c r="C84" t="s">
        <v>964</v>
      </c>
      <c r="D84" s="9">
        <v>2016</v>
      </c>
      <c r="E84" t="s">
        <v>1194</v>
      </c>
      <c r="F84" t="s">
        <v>965</v>
      </c>
      <c r="G84" t="s">
        <v>1192</v>
      </c>
      <c r="H84" t="s">
        <v>966</v>
      </c>
      <c r="I84" s="9">
        <v>1.79</v>
      </c>
      <c r="J84" s="9">
        <v>1.5</v>
      </c>
      <c r="K84" s="9">
        <v>2</v>
      </c>
      <c r="L84" s="9">
        <v>2</v>
      </c>
      <c r="M84" s="9">
        <v>2</v>
      </c>
      <c r="N84" s="9">
        <v>2</v>
      </c>
      <c r="O84" s="9">
        <v>2</v>
      </c>
      <c r="P84" s="9">
        <v>1</v>
      </c>
      <c r="Q84" t="s">
        <v>208</v>
      </c>
      <c r="R84" s="9">
        <v>75</v>
      </c>
      <c r="S84" t="str">
        <f xml:space="preserve"> HYPERLINK("ReviewHtml/review_My_Entire_High_School_Sinking_Into_The_Sea.html", "https://2danicritic.github.io/ReviewHtml/review_My_Entire_High_School_Sinking_Into_The_Sea.html")</f>
        <v>https://2danicritic.github.io/ReviewHtml/review_My_Entire_High_School_Sinking_Into_The_Sea.html</v>
      </c>
    </row>
    <row r="85" spans="2:19" hidden="1" x14ac:dyDescent="0.35">
      <c r="B85">
        <v>293</v>
      </c>
      <c r="C85" t="s">
        <v>1167</v>
      </c>
      <c r="D85" s="9">
        <v>2014</v>
      </c>
      <c r="E85" t="s">
        <v>54</v>
      </c>
      <c r="F85" t="s">
        <v>752</v>
      </c>
      <c r="G85" t="s">
        <v>1192</v>
      </c>
      <c r="H85" t="s">
        <v>198</v>
      </c>
      <c r="I85" s="9">
        <v>3.64</v>
      </c>
      <c r="J85" s="9">
        <v>4</v>
      </c>
      <c r="K85" s="9">
        <v>3.5</v>
      </c>
      <c r="L85" s="9">
        <v>3.5</v>
      </c>
      <c r="M85" s="9">
        <v>4</v>
      </c>
      <c r="N85" s="9">
        <v>3.5</v>
      </c>
      <c r="O85" s="9">
        <v>3</v>
      </c>
      <c r="P85" s="9">
        <v>4</v>
      </c>
      <c r="Q85" t="s">
        <v>309</v>
      </c>
      <c r="R85" s="9">
        <v>103</v>
      </c>
      <c r="S85" t="str">
        <f xml:space="preserve"> HYPERLINK("ReviewHtml/review_When_Marnie_Was_There.html", "https://2danicritic.github.io/ReviewHtml/review_When_Marnie_Was_There.html")</f>
        <v>https://2danicritic.github.io/ReviewHtml/review_When_Marnie_Was_There.html</v>
      </c>
    </row>
    <row r="86" spans="2:19" x14ac:dyDescent="0.35">
      <c r="B86">
        <v>44</v>
      </c>
      <c r="C86" t="s">
        <v>747</v>
      </c>
      <c r="D86" s="9">
        <v>2012</v>
      </c>
      <c r="E86" t="s">
        <v>54</v>
      </c>
      <c r="F86" t="s">
        <v>699</v>
      </c>
      <c r="G86" t="s">
        <v>1193</v>
      </c>
      <c r="H86" t="s">
        <v>748</v>
      </c>
      <c r="I86" s="9">
        <v>3.43</v>
      </c>
      <c r="J86" s="9">
        <v>3.5</v>
      </c>
      <c r="K86" s="9">
        <v>3.5</v>
      </c>
      <c r="L86" s="9">
        <v>3.5</v>
      </c>
      <c r="M86" s="9">
        <v>3</v>
      </c>
      <c r="N86" s="9">
        <v>3</v>
      </c>
      <c r="O86" s="9">
        <v>3.5</v>
      </c>
      <c r="P86" s="9">
        <v>4</v>
      </c>
      <c r="Q86" t="s">
        <v>96</v>
      </c>
      <c r="R86" s="9">
        <v>300</v>
      </c>
      <c r="S86" t="str">
        <f xml:space="preserve"> HYPERLINK("ReviewHtml/review_Btooom!.html", "https://2danicritic.github.io/ReviewHtml/review_Btooom!.html")</f>
        <v>https://2danicritic.github.io/ReviewHtml/review_Btooom!.html</v>
      </c>
    </row>
    <row r="87" spans="2:19" x14ac:dyDescent="0.35">
      <c r="B87">
        <v>70</v>
      </c>
      <c r="C87" t="s">
        <v>802</v>
      </c>
      <c r="D87" s="9">
        <v>2012</v>
      </c>
      <c r="E87" t="s">
        <v>54</v>
      </c>
      <c r="F87" t="s">
        <v>803</v>
      </c>
      <c r="G87" t="s">
        <v>1193</v>
      </c>
      <c r="H87" t="s">
        <v>804</v>
      </c>
      <c r="I87" s="9">
        <v>3.57</v>
      </c>
      <c r="J87" s="9">
        <v>3</v>
      </c>
      <c r="K87" s="9">
        <v>3.5</v>
      </c>
      <c r="L87" s="9">
        <v>4</v>
      </c>
      <c r="M87" s="9">
        <v>3</v>
      </c>
      <c r="N87" s="9">
        <v>3.5</v>
      </c>
      <c r="O87" s="9">
        <v>4</v>
      </c>
      <c r="P87" s="9">
        <v>4</v>
      </c>
      <c r="Q87" t="s">
        <v>128</v>
      </c>
      <c r="R87" s="9">
        <v>325</v>
      </c>
      <c r="S87" t="str">
        <f xml:space="preserve"> HYPERLINK("ReviewHtml/review_Dusk_Maiden_of_Amnesia.html", "https://2danicritic.github.io/ReviewHtml/review_Dusk_Maiden_of_Amnesia.html")</f>
        <v>https://2danicritic.github.io/ReviewHtml/review_Dusk_Maiden_of_Amnesia.html</v>
      </c>
    </row>
    <row r="88" spans="2:19" hidden="1" x14ac:dyDescent="0.35">
      <c r="B88">
        <v>14</v>
      </c>
      <c r="C88" t="s">
        <v>683</v>
      </c>
      <c r="D88" s="9">
        <v>2013</v>
      </c>
      <c r="E88" t="s">
        <v>54</v>
      </c>
      <c r="F88" t="s">
        <v>684</v>
      </c>
      <c r="G88" t="s">
        <v>1192</v>
      </c>
      <c r="H88" t="s">
        <v>680</v>
      </c>
      <c r="I88" s="9">
        <v>3.14</v>
      </c>
      <c r="J88" s="9">
        <v>3</v>
      </c>
      <c r="K88" s="9">
        <v>3</v>
      </c>
      <c r="L88" s="9">
        <v>4</v>
      </c>
      <c r="M88" s="9">
        <v>2.5</v>
      </c>
      <c r="N88" s="9">
        <v>3.5</v>
      </c>
      <c r="O88" s="9">
        <v>3</v>
      </c>
      <c r="P88" s="9">
        <v>3</v>
      </c>
      <c r="Q88" t="s">
        <v>72</v>
      </c>
      <c r="R88" s="9">
        <v>83</v>
      </c>
      <c r="S88" t="str">
        <f xml:space="preserve"> HYPERLINK("ReviewHtml/review_Aura_-_Koga_Maryuin's_Last_War.html", "https://2danicritic.github.io/ReviewHtml/review_Aura_-_Koga_Maryuin's_Last_War.html")</f>
        <v>https://2danicritic.github.io/ReviewHtml/review_Aura_-_Koga_Maryuin's_Last_War.html</v>
      </c>
    </row>
    <row r="89" spans="2:19" x14ac:dyDescent="0.35">
      <c r="B89">
        <v>95</v>
      </c>
      <c r="C89" t="s">
        <v>845</v>
      </c>
      <c r="D89" s="9">
        <v>2012</v>
      </c>
      <c r="E89" t="s">
        <v>54</v>
      </c>
      <c r="F89" t="s">
        <v>764</v>
      </c>
      <c r="G89" t="s">
        <v>1193</v>
      </c>
      <c r="H89" t="s">
        <v>846</v>
      </c>
      <c r="I89" s="9">
        <v>2.14</v>
      </c>
      <c r="J89" s="9">
        <v>1.5</v>
      </c>
      <c r="K89" s="9">
        <v>2</v>
      </c>
      <c r="L89" s="9">
        <v>2</v>
      </c>
      <c r="M89" s="9">
        <v>4</v>
      </c>
      <c r="N89" s="9">
        <v>1.5</v>
      </c>
      <c r="O89" s="9">
        <v>3</v>
      </c>
      <c r="P89" s="9">
        <v>1</v>
      </c>
      <c r="Q89" t="s">
        <v>148</v>
      </c>
      <c r="R89" s="9">
        <v>325</v>
      </c>
      <c r="S89" t="str">
        <f xml:space="preserve"> HYPERLINK("ReviewHtml/review_Good_Luck_Girl!.html", "https://2danicritic.github.io/ReviewHtml/review_Good_Luck_Girl!.html")</f>
        <v>https://2danicritic.github.io/ReviewHtml/review_Good_Luck_Girl!.html</v>
      </c>
    </row>
    <row r="90" spans="2:19" x14ac:dyDescent="0.35">
      <c r="B90">
        <v>108</v>
      </c>
      <c r="C90" t="s">
        <v>864</v>
      </c>
      <c r="D90" s="9">
        <v>2012</v>
      </c>
      <c r="E90" t="s">
        <v>54</v>
      </c>
      <c r="F90" t="s">
        <v>865</v>
      </c>
      <c r="G90" t="s">
        <v>1193</v>
      </c>
      <c r="H90" t="s">
        <v>866</v>
      </c>
      <c r="I90" s="9">
        <v>3.43</v>
      </c>
      <c r="J90" s="9">
        <v>2.5</v>
      </c>
      <c r="K90" s="9">
        <v>3.5</v>
      </c>
      <c r="L90" s="9">
        <v>3.5</v>
      </c>
      <c r="M90" s="9">
        <v>3.5</v>
      </c>
      <c r="N90" s="9">
        <v>2.5</v>
      </c>
      <c r="O90" s="9">
        <v>4.5</v>
      </c>
      <c r="P90" s="9">
        <v>4</v>
      </c>
      <c r="Q90" t="s">
        <v>160</v>
      </c>
      <c r="R90" s="9">
        <v>900</v>
      </c>
      <c r="S90" t="str">
        <f xml:space="preserve"> HYPERLINK("ReviewHtml/review_Highschool_DxD.html", "https://2danicritic.github.io/ReviewHtml/review_Highschool_DxD.html")</f>
        <v>https://2danicritic.github.io/ReviewHtml/review_Highschool_DxD.html</v>
      </c>
    </row>
    <row r="91" spans="2:19" x14ac:dyDescent="0.35">
      <c r="B91">
        <v>117</v>
      </c>
      <c r="C91" t="s">
        <v>883</v>
      </c>
      <c r="D91" s="9">
        <v>2012</v>
      </c>
      <c r="E91" t="s">
        <v>54</v>
      </c>
      <c r="F91" t="s">
        <v>884</v>
      </c>
      <c r="G91" t="s">
        <v>1193</v>
      </c>
      <c r="H91" t="s">
        <v>885</v>
      </c>
      <c r="I91" s="9">
        <v>3.71</v>
      </c>
      <c r="J91" s="9">
        <v>3.5</v>
      </c>
      <c r="K91" s="9">
        <v>3</v>
      </c>
      <c r="L91" s="9">
        <v>5</v>
      </c>
      <c r="M91" s="9">
        <v>3</v>
      </c>
      <c r="N91" s="9">
        <v>3.5</v>
      </c>
      <c r="O91" s="9">
        <v>4</v>
      </c>
      <c r="P91" s="9">
        <v>4</v>
      </c>
      <c r="Q91" t="s">
        <v>171</v>
      </c>
      <c r="R91" s="9">
        <v>600</v>
      </c>
      <c r="S91" t="str">
        <f xml:space="preserve"> HYPERLINK("ReviewHtml/review_Jormungand.html", "https://2danicritic.github.io/ReviewHtml/review_Jormungand.html")</f>
        <v>https://2danicritic.github.io/ReviewHtml/review_Jormungand.html</v>
      </c>
    </row>
    <row r="92" spans="2:19" x14ac:dyDescent="0.35">
      <c r="B92">
        <v>119</v>
      </c>
      <c r="C92" t="s">
        <v>886</v>
      </c>
      <c r="D92" s="9">
        <v>2012</v>
      </c>
      <c r="E92" t="s">
        <v>54</v>
      </c>
      <c r="F92" t="s">
        <v>887</v>
      </c>
      <c r="G92" t="s">
        <v>1193</v>
      </c>
      <c r="H92" t="s">
        <v>888</v>
      </c>
      <c r="I92" s="9">
        <v>3.71</v>
      </c>
      <c r="J92" s="9">
        <v>4</v>
      </c>
      <c r="K92" s="9">
        <v>4.5</v>
      </c>
      <c r="L92" s="9">
        <v>4</v>
      </c>
      <c r="M92" s="9">
        <v>3</v>
      </c>
      <c r="N92" s="9">
        <v>3</v>
      </c>
      <c r="O92" s="9">
        <v>3.5</v>
      </c>
      <c r="P92" s="9">
        <v>4</v>
      </c>
      <c r="Q92" t="s">
        <v>172</v>
      </c>
      <c r="R92" s="9">
        <v>325</v>
      </c>
      <c r="S92" t="str">
        <f xml:space="preserve"> HYPERLINK("ReviewHtml/review_K.html", "https://2danicritic.github.io/ReviewHtml/review_K.html")</f>
        <v>https://2danicritic.github.io/ReviewHtml/review_K.html</v>
      </c>
    </row>
    <row r="93" spans="2:19" hidden="1" x14ac:dyDescent="0.35">
      <c r="B93">
        <v>145</v>
      </c>
      <c r="C93" t="s">
        <v>932</v>
      </c>
      <c r="D93" s="9">
        <v>2013</v>
      </c>
      <c r="E93" t="s">
        <v>54</v>
      </c>
      <c r="F93" t="s">
        <v>694</v>
      </c>
      <c r="G93" t="s">
        <v>1192</v>
      </c>
      <c r="H93" t="s">
        <v>933</v>
      </c>
      <c r="I93" s="9">
        <v>4.29</v>
      </c>
      <c r="J93" s="9">
        <v>4</v>
      </c>
      <c r="K93" s="9">
        <v>4.5</v>
      </c>
      <c r="L93" s="9">
        <v>4.5</v>
      </c>
      <c r="M93" s="9">
        <v>3</v>
      </c>
      <c r="N93" s="9">
        <v>4.5</v>
      </c>
      <c r="O93" s="9">
        <v>4.5</v>
      </c>
      <c r="P93" s="9">
        <v>5</v>
      </c>
      <c r="Q93" t="s">
        <v>196</v>
      </c>
      <c r="R93" s="9">
        <v>116</v>
      </c>
      <c r="S93" t="str">
        <f xml:space="preserve"> HYPERLINK("ReviewHtml/review_Madoka_Magica_The_Movie_3_-_Rebellion.html", "https://2danicritic.github.io/ReviewHtml/review_Madoka_Magica_The_Movie_3_-_Rebellion.html")</f>
        <v>https://2danicritic.github.io/ReviewHtml/review_Madoka_Magica_The_Movie_3_-_Rebellion.html</v>
      </c>
    </row>
    <row r="94" spans="2:19" hidden="1" x14ac:dyDescent="0.35">
      <c r="B94">
        <v>194</v>
      </c>
      <c r="C94" t="s">
        <v>232</v>
      </c>
      <c r="D94" s="9">
        <v>2013</v>
      </c>
      <c r="E94" t="s">
        <v>54</v>
      </c>
      <c r="F94" t="s">
        <v>720</v>
      </c>
      <c r="G94" t="s">
        <v>1192</v>
      </c>
      <c r="H94" t="s">
        <v>233</v>
      </c>
      <c r="I94" s="9">
        <v>2</v>
      </c>
      <c r="J94" s="9">
        <v>2</v>
      </c>
      <c r="K94" s="9">
        <v>3</v>
      </c>
      <c r="L94" s="9">
        <v>5</v>
      </c>
      <c r="M94" s="9">
        <v>1</v>
      </c>
      <c r="N94" s="9">
        <v>1</v>
      </c>
      <c r="O94" s="9">
        <v>1</v>
      </c>
      <c r="P94" s="9">
        <v>1</v>
      </c>
      <c r="Q94" t="s">
        <v>150</v>
      </c>
      <c r="R94" s="9">
        <v>376</v>
      </c>
      <c r="S94" t="str">
        <f xml:space="preserve"> HYPERLINK("ReviewHtml/review_Persona_3_The_Movie_-_Spring_of_Birth,_Midsummer_Knight's_Dream,_Falling_Down,_Winter_of_Rebirth.html", "https://2danicritic.github.io/ReviewHtml/review_Persona_3_The_Movie_-_Spring_of_Birth,_Midsummer_Knight's_Dream,_Falling_Down,_Winter_of_Rebirth.html")</f>
        <v>https://2danicritic.github.io/ReviewHtml/review_Persona_3_The_Movie_-_Spring_of_Birth,_Midsummer_Knight's_Dream,_Falling_Down,_Winter_of_Rebirth.html</v>
      </c>
    </row>
    <row r="95" spans="2:19" hidden="1" x14ac:dyDescent="0.35">
      <c r="B95">
        <v>217</v>
      </c>
      <c r="C95" t="s">
        <v>1295</v>
      </c>
      <c r="D95" s="9">
        <v>2013</v>
      </c>
      <c r="E95" t="s">
        <v>54</v>
      </c>
      <c r="F95" t="s">
        <v>764</v>
      </c>
      <c r="G95" t="s">
        <v>1190</v>
      </c>
      <c r="H95" t="s">
        <v>1230</v>
      </c>
      <c r="I95" s="9">
        <v>3.29</v>
      </c>
      <c r="J95" s="9">
        <v>3</v>
      </c>
      <c r="K95" s="9">
        <v>4</v>
      </c>
      <c r="L95" s="9">
        <v>3.5</v>
      </c>
      <c r="M95" s="9">
        <v>3</v>
      </c>
      <c r="N95" s="9">
        <v>3.5</v>
      </c>
      <c r="O95" s="9">
        <v>3</v>
      </c>
      <c r="P95" s="9">
        <v>3</v>
      </c>
      <c r="Q95" t="s">
        <v>1231</v>
      </c>
      <c r="R95" s="9">
        <v>68</v>
      </c>
      <c r="S95" t="str">
        <f xml:space="preserve"> HYPERLINK("ReviewHtml/review_Short_Peace.html", "https://2danicritic.github.io/ReviewHtml/review_Short_Peace.html")</f>
        <v>https://2danicritic.github.io/ReviewHtml/review_Short_Peace.html</v>
      </c>
    </row>
    <row r="96" spans="2:19" x14ac:dyDescent="0.35">
      <c r="B96">
        <v>128</v>
      </c>
      <c r="C96" t="s">
        <v>905</v>
      </c>
      <c r="D96" s="9">
        <v>2012</v>
      </c>
      <c r="E96" t="s">
        <v>54</v>
      </c>
      <c r="F96" t="s">
        <v>803</v>
      </c>
      <c r="G96" t="s">
        <v>1193</v>
      </c>
      <c r="H96" t="s">
        <v>180</v>
      </c>
      <c r="I96" s="9">
        <v>3.29</v>
      </c>
      <c r="J96" s="9">
        <v>2.5</v>
      </c>
      <c r="K96" s="9">
        <v>3</v>
      </c>
      <c r="L96" s="9">
        <v>3</v>
      </c>
      <c r="M96" s="9">
        <v>3</v>
      </c>
      <c r="N96" s="9">
        <v>4</v>
      </c>
      <c r="O96" s="9">
        <v>3.5</v>
      </c>
      <c r="P96" s="9">
        <v>4</v>
      </c>
      <c r="Q96" t="s">
        <v>181</v>
      </c>
      <c r="R96" s="9">
        <v>425</v>
      </c>
      <c r="S96" t="str">
        <f xml:space="preserve"> HYPERLINK("ReviewHtml/review_Kokoro_Connect.html", "https://2danicritic.github.io/ReviewHtml/review_Kokoro_Connect.html")</f>
        <v>https://2danicritic.github.io/ReviewHtml/review_Kokoro_Connect.html</v>
      </c>
    </row>
    <row r="97" spans="2:19" hidden="1" x14ac:dyDescent="0.35">
      <c r="B97">
        <v>225</v>
      </c>
      <c r="C97" t="s">
        <v>1296</v>
      </c>
      <c r="D97" s="9">
        <v>2013</v>
      </c>
      <c r="E97" t="s">
        <v>54</v>
      </c>
      <c r="F97" t="s">
        <v>884</v>
      </c>
      <c r="G97" t="s">
        <v>1192</v>
      </c>
      <c r="H97" t="s">
        <v>1322</v>
      </c>
      <c r="I97" s="9">
        <v>3.64</v>
      </c>
      <c r="J97" s="9">
        <v>3</v>
      </c>
      <c r="K97" s="9">
        <v>3.5</v>
      </c>
      <c r="L97" s="9">
        <v>4</v>
      </c>
      <c r="M97" s="9">
        <v>4.5</v>
      </c>
      <c r="N97" s="9">
        <v>3.5</v>
      </c>
      <c r="O97" s="9">
        <v>3.5</v>
      </c>
      <c r="P97" s="9">
        <v>3.5</v>
      </c>
      <c r="Q97" t="s">
        <v>1233</v>
      </c>
      <c r="R97" s="9">
        <v>90</v>
      </c>
      <c r="S97" t="str">
        <f xml:space="preserve"> HYPERLINK("ReviewHtml/review_Steins;Gate_The_Movie_-_Load_Region_of_Deja_Vu.html", "https://2danicritic.github.io/ReviewHtml/review_Steins;Gate_The_Movie_-_Load_Region_of_Deja_Vu.html")</f>
        <v>https://2danicritic.github.io/ReviewHtml/review_Steins;Gate_The_Movie_-_Load_Region_of_Deja_Vu.html</v>
      </c>
    </row>
    <row r="98" spans="2:19" x14ac:dyDescent="0.35">
      <c r="B98">
        <v>133</v>
      </c>
      <c r="C98" t="s">
        <v>913</v>
      </c>
      <c r="D98" s="9">
        <v>2012</v>
      </c>
      <c r="E98" t="s">
        <v>54</v>
      </c>
      <c r="F98" t="s">
        <v>663</v>
      </c>
      <c r="G98" t="s">
        <v>1193</v>
      </c>
      <c r="H98" t="s">
        <v>914</v>
      </c>
      <c r="I98" s="9">
        <v>2.71</v>
      </c>
      <c r="J98" s="9">
        <v>4</v>
      </c>
      <c r="K98" s="9">
        <v>3</v>
      </c>
      <c r="L98" s="9">
        <v>3</v>
      </c>
      <c r="M98" s="9">
        <v>2.5</v>
      </c>
      <c r="N98" s="9">
        <v>2.5</v>
      </c>
      <c r="O98" s="9">
        <v>2</v>
      </c>
      <c r="P98" s="9">
        <v>2</v>
      </c>
      <c r="Q98" t="s">
        <v>185</v>
      </c>
      <c r="R98" s="9">
        <v>325</v>
      </c>
      <c r="S98" t="str">
        <f xml:space="preserve"> HYPERLINK("ReviewHtml/review_Love,_Chunibyo_&amp;_Other_Delusions!.html", "https://2danicritic.github.io/ReviewHtml/review_Love,_Chunibyo_&amp;_Other_Delusions!.html")</f>
        <v>https://2danicritic.github.io/ReviewHtml/review_Love,_Chunibyo_&amp;_Other_Delusions!.html</v>
      </c>
    </row>
    <row r="99" spans="2:19" hidden="1" x14ac:dyDescent="0.35">
      <c r="B99">
        <v>246</v>
      </c>
      <c r="C99" t="s">
        <v>1099</v>
      </c>
      <c r="D99" s="9">
        <v>2013</v>
      </c>
      <c r="E99" t="s">
        <v>54</v>
      </c>
      <c r="F99" t="s">
        <v>657</v>
      </c>
      <c r="G99" t="s">
        <v>1192</v>
      </c>
      <c r="H99" t="s">
        <v>658</v>
      </c>
      <c r="I99" s="9">
        <v>4.1399999999999997</v>
      </c>
      <c r="J99" s="9">
        <v>4.5</v>
      </c>
      <c r="K99" s="9">
        <v>4.5</v>
      </c>
      <c r="L99" s="9">
        <v>3.5</v>
      </c>
      <c r="M99" s="9">
        <v>3.5</v>
      </c>
      <c r="N99" s="9">
        <v>4.5</v>
      </c>
      <c r="O99" s="9">
        <v>3.5</v>
      </c>
      <c r="P99" s="9">
        <v>5</v>
      </c>
      <c r="Q99" t="s">
        <v>104</v>
      </c>
      <c r="R99" s="9">
        <v>46</v>
      </c>
      <c r="S99" t="str">
        <f xml:space="preserve"> HYPERLINK("ReviewHtml/review_The_Garden_of_Words.html", "https://2danicritic.github.io/ReviewHtml/review_The_Garden_of_Words.html")</f>
        <v>https://2danicritic.github.io/ReviewHtml/review_The_Garden_of_Words.html</v>
      </c>
    </row>
    <row r="100" spans="2:19" x14ac:dyDescent="0.35">
      <c r="B100">
        <v>143</v>
      </c>
      <c r="C100" t="s">
        <v>929</v>
      </c>
      <c r="D100" s="9">
        <v>2012</v>
      </c>
      <c r="E100" t="s">
        <v>54</v>
      </c>
      <c r="F100" t="s">
        <v>920</v>
      </c>
      <c r="G100" t="s">
        <v>1193</v>
      </c>
      <c r="H100" t="s">
        <v>930</v>
      </c>
      <c r="I100" s="9">
        <v>3.93</v>
      </c>
      <c r="J100" s="9">
        <v>3</v>
      </c>
      <c r="K100" s="9">
        <v>5</v>
      </c>
      <c r="L100" s="9">
        <v>4.5</v>
      </c>
      <c r="M100" s="9">
        <v>3</v>
      </c>
      <c r="N100" s="9">
        <v>3.5</v>
      </c>
      <c r="O100" s="9">
        <v>3.5</v>
      </c>
      <c r="P100" s="9">
        <v>5</v>
      </c>
      <c r="Q100" t="s">
        <v>193</v>
      </c>
      <c r="R100" s="9">
        <v>325</v>
      </c>
      <c r="S100" t="str">
        <f xml:space="preserve"> HYPERLINK("ReviewHtml/review_Lupin_the_Third_-_The_Woman_Called_Fujiko_Mine.html", "https://2danicritic.github.io/ReviewHtml/review_Lupin_the_Third_-_The_Woman_Called_Fujiko_Mine.html")</f>
        <v>https://2danicritic.github.io/ReviewHtml/review_Lupin_the_Third_-_The_Woman_Called_Fujiko_Mine.html</v>
      </c>
    </row>
    <row r="101" spans="2:19" x14ac:dyDescent="0.35">
      <c r="B101">
        <v>157</v>
      </c>
      <c r="C101" t="s">
        <v>1288</v>
      </c>
      <c r="D101" s="9">
        <v>2012</v>
      </c>
      <c r="E101" t="s">
        <v>54</v>
      </c>
      <c r="F101" t="s">
        <v>694</v>
      </c>
      <c r="G101" t="s">
        <v>1193</v>
      </c>
      <c r="H101" t="s">
        <v>1217</v>
      </c>
      <c r="I101" s="9">
        <v>3.57</v>
      </c>
      <c r="J101" s="9">
        <v>3</v>
      </c>
      <c r="K101" s="9">
        <v>4</v>
      </c>
      <c r="L101" s="9">
        <v>4</v>
      </c>
      <c r="M101" s="9">
        <v>4</v>
      </c>
      <c r="N101" s="9">
        <v>3.5</v>
      </c>
      <c r="O101" s="9">
        <v>3.5</v>
      </c>
      <c r="P101" s="9">
        <v>3</v>
      </c>
      <c r="Q101" t="s">
        <v>1218</v>
      </c>
      <c r="R101" s="9">
        <v>800</v>
      </c>
      <c r="S101" t="str">
        <f xml:space="preserve"> HYPERLINK("ReviewHtml/review_Monogatari_Series_-_Second_Season.html", "https://2danicritic.github.io/ReviewHtml/review_Monogatari_Series_-_Second_Season.html")</f>
        <v>https://2danicritic.github.io/ReviewHtml/review_Monogatari_Series_-_Second_Season.html</v>
      </c>
    </row>
    <row r="102" spans="2:19" x14ac:dyDescent="0.35">
      <c r="B102">
        <v>177</v>
      </c>
      <c r="C102" t="s">
        <v>986</v>
      </c>
      <c r="D102" s="9">
        <v>2012</v>
      </c>
      <c r="E102" t="s">
        <v>54</v>
      </c>
      <c r="F102" t="s">
        <v>694</v>
      </c>
      <c r="G102" t="s">
        <v>1193</v>
      </c>
      <c r="H102" t="s">
        <v>218</v>
      </c>
      <c r="I102" s="9">
        <v>4.1399999999999997</v>
      </c>
      <c r="J102" s="9">
        <v>4</v>
      </c>
      <c r="K102" s="9">
        <v>4</v>
      </c>
      <c r="L102" s="9">
        <v>4</v>
      </c>
      <c r="M102" s="9">
        <v>4</v>
      </c>
      <c r="N102" s="9">
        <v>4</v>
      </c>
      <c r="O102" s="9">
        <v>4</v>
      </c>
      <c r="P102" s="9">
        <v>5</v>
      </c>
      <c r="Q102" t="s">
        <v>77</v>
      </c>
      <c r="R102" s="9">
        <v>275</v>
      </c>
      <c r="S102" t="str">
        <f xml:space="preserve"> HYPERLINK("ReviewHtml/review_Nisemonogatari.html", "https://2danicritic.github.io/ReviewHtml/review_Nisemonogatari.html")</f>
        <v>https://2danicritic.github.io/ReviewHtml/review_Nisemonogatari.html</v>
      </c>
    </row>
    <row r="103" spans="2:19" hidden="1" x14ac:dyDescent="0.35">
      <c r="B103">
        <v>269</v>
      </c>
      <c r="C103" t="s">
        <v>1132</v>
      </c>
      <c r="D103" s="9">
        <v>2013</v>
      </c>
      <c r="E103" t="s">
        <v>54</v>
      </c>
      <c r="F103" t="s">
        <v>752</v>
      </c>
      <c r="G103" t="s">
        <v>1192</v>
      </c>
      <c r="H103" t="s">
        <v>848</v>
      </c>
      <c r="I103" s="9">
        <v>4.43</v>
      </c>
      <c r="J103" s="9">
        <v>4.5</v>
      </c>
      <c r="K103" s="9">
        <v>5</v>
      </c>
      <c r="L103" s="9">
        <v>4.5</v>
      </c>
      <c r="M103" s="9">
        <v>4</v>
      </c>
      <c r="N103" s="9">
        <v>4</v>
      </c>
      <c r="O103" s="9">
        <v>4</v>
      </c>
      <c r="P103" s="9">
        <v>5</v>
      </c>
      <c r="Q103" t="s">
        <v>292</v>
      </c>
      <c r="R103" s="9">
        <v>137</v>
      </c>
      <c r="S103" t="str">
        <f xml:space="preserve"> HYPERLINK("ReviewHtml/review_The_Tale_of_Princess_Kaguya.html", "https://2danicritic.github.io/ReviewHtml/review_The_Tale_of_Princess_Kaguya.html")</f>
        <v>https://2danicritic.github.io/ReviewHtml/review_The_Tale_of_Princess_Kaguya.html</v>
      </c>
    </row>
    <row r="104" spans="2:19" hidden="1" x14ac:dyDescent="0.35">
      <c r="B104">
        <v>171</v>
      </c>
      <c r="C104" t="s">
        <v>975</v>
      </c>
      <c r="D104" s="9">
        <v>2016</v>
      </c>
      <c r="E104" t="s">
        <v>1194</v>
      </c>
      <c r="F104" t="s">
        <v>976</v>
      </c>
      <c r="G104" t="s">
        <v>1192</v>
      </c>
      <c r="H104" t="s">
        <v>977</v>
      </c>
      <c r="I104" s="9">
        <v>2.14</v>
      </c>
      <c r="J104" s="9">
        <v>2</v>
      </c>
      <c r="K104" s="9">
        <v>2</v>
      </c>
      <c r="L104" s="9">
        <v>2</v>
      </c>
      <c r="M104" s="9">
        <v>4</v>
      </c>
      <c r="N104" s="9">
        <v>2</v>
      </c>
      <c r="O104" s="9">
        <v>2</v>
      </c>
      <c r="P104" s="9">
        <v>1</v>
      </c>
      <c r="Q104" t="s">
        <v>214</v>
      </c>
      <c r="R104" s="9">
        <v>83</v>
      </c>
      <c r="S104" t="str">
        <f xml:space="preserve"> HYPERLINK("ReviewHtml/review_Nerdland.html", "https://2danicritic.github.io/ReviewHtml/review_Nerdland.html")</f>
        <v>https://2danicritic.github.io/ReviewHtml/review_Nerdland.html</v>
      </c>
    </row>
    <row r="105" spans="2:19" x14ac:dyDescent="0.35">
      <c r="B105">
        <v>212</v>
      </c>
      <c r="C105" t="s">
        <v>1047</v>
      </c>
      <c r="D105" s="9">
        <v>2012</v>
      </c>
      <c r="E105" t="s">
        <v>54</v>
      </c>
      <c r="F105" t="s">
        <v>816</v>
      </c>
      <c r="G105" t="s">
        <v>1193</v>
      </c>
      <c r="H105" t="s">
        <v>1048</v>
      </c>
      <c r="I105" s="9">
        <v>3.43</v>
      </c>
      <c r="J105" s="9">
        <v>3</v>
      </c>
      <c r="K105" s="9">
        <v>3.5</v>
      </c>
      <c r="L105" s="9">
        <v>3.5</v>
      </c>
      <c r="M105" s="9">
        <v>3.5</v>
      </c>
      <c r="N105" s="9">
        <v>3.5</v>
      </c>
      <c r="O105" s="9">
        <v>3.5</v>
      </c>
      <c r="P105" s="9">
        <v>3.5</v>
      </c>
      <c r="Q105" t="s">
        <v>350</v>
      </c>
      <c r="R105" s="9">
        <v>325</v>
      </c>
      <c r="S105" t="str">
        <f xml:space="preserve"> HYPERLINK("ReviewHtml/review_Sankarea_-_Undying_Love.html", "https://2danicritic.github.io/ReviewHtml/review_Sankarea_-_Undying_Love.html")</f>
        <v>https://2danicritic.github.io/ReviewHtml/review_Sankarea_-_Undying_Love.html</v>
      </c>
    </row>
    <row r="106" spans="2:19" hidden="1" x14ac:dyDescent="0.35">
      <c r="B106">
        <v>272</v>
      </c>
      <c r="C106" t="s">
        <v>1137</v>
      </c>
      <c r="D106" s="9">
        <v>2013</v>
      </c>
      <c r="E106" t="s">
        <v>54</v>
      </c>
      <c r="F106" t="s">
        <v>752</v>
      </c>
      <c r="G106" t="s">
        <v>1192</v>
      </c>
      <c r="H106" t="s">
        <v>753</v>
      </c>
      <c r="I106" s="9">
        <v>3.36</v>
      </c>
      <c r="J106" s="9">
        <v>4</v>
      </c>
      <c r="K106" s="9">
        <v>3.5</v>
      </c>
      <c r="L106" s="9">
        <v>3.5</v>
      </c>
      <c r="M106" s="9">
        <v>3.5</v>
      </c>
      <c r="N106" s="9">
        <v>3.5</v>
      </c>
      <c r="O106" s="9">
        <v>2.5</v>
      </c>
      <c r="P106" s="9">
        <v>3</v>
      </c>
      <c r="Q106" t="s">
        <v>295</v>
      </c>
      <c r="R106" s="9">
        <v>126</v>
      </c>
      <c r="S106" t="str">
        <f xml:space="preserve"> HYPERLINK("ReviewHtml/review_The_Wind_Rises.html", "https://2danicritic.github.io/ReviewHtml/review_The_Wind_Rises.html")</f>
        <v>https://2danicritic.github.io/ReviewHtml/review_The_Wind_Rises.html</v>
      </c>
    </row>
    <row r="107" spans="2:19" x14ac:dyDescent="0.35">
      <c r="B107">
        <v>257</v>
      </c>
      <c r="C107" t="s">
        <v>1118</v>
      </c>
      <c r="D107" s="9">
        <v>2012</v>
      </c>
      <c r="E107" t="s">
        <v>54</v>
      </c>
      <c r="F107" t="s">
        <v>675</v>
      </c>
      <c r="G107" t="s">
        <v>1193</v>
      </c>
      <c r="H107" t="s">
        <v>988</v>
      </c>
      <c r="I107" s="9">
        <v>4</v>
      </c>
      <c r="J107" s="9">
        <v>3</v>
      </c>
      <c r="K107" s="9">
        <v>4</v>
      </c>
      <c r="L107" s="9">
        <v>4</v>
      </c>
      <c r="M107" s="9">
        <v>4.5</v>
      </c>
      <c r="N107" s="9">
        <v>4.5</v>
      </c>
      <c r="O107" s="9">
        <v>4</v>
      </c>
      <c r="P107" s="9">
        <v>4</v>
      </c>
      <c r="Q107" t="s">
        <v>354</v>
      </c>
      <c r="R107" s="9">
        <v>600</v>
      </c>
      <c r="S107" t="str">
        <f xml:space="preserve"> HYPERLINK("ReviewHtml/review_The_Pet_Girl_of_Sakurasou.html", "https://2danicritic.github.io/ReviewHtml/review_The_Pet_Girl_of_Sakurasou.html")</f>
        <v>https://2danicritic.github.io/ReviewHtml/review_The_Pet_Girl_of_Sakurasou.html</v>
      </c>
    </row>
    <row r="108" spans="2:19" hidden="1" x14ac:dyDescent="0.35">
      <c r="B108">
        <v>24</v>
      </c>
      <c r="C108" t="s">
        <v>79</v>
      </c>
      <c r="D108" s="9">
        <v>2012</v>
      </c>
      <c r="E108" t="s">
        <v>54</v>
      </c>
      <c r="F108" t="s">
        <v>707</v>
      </c>
      <c r="G108" t="s">
        <v>1192</v>
      </c>
      <c r="H108" t="s">
        <v>708</v>
      </c>
      <c r="I108" s="9">
        <v>4.3600000000000003</v>
      </c>
      <c r="J108" s="9">
        <v>4</v>
      </c>
      <c r="K108" s="9">
        <v>4.5</v>
      </c>
      <c r="L108" s="9">
        <v>4.5</v>
      </c>
      <c r="M108" s="9">
        <v>3.5</v>
      </c>
      <c r="N108" s="9">
        <v>5</v>
      </c>
      <c r="O108" s="9">
        <v>4</v>
      </c>
      <c r="P108" s="9">
        <v>5</v>
      </c>
      <c r="Q108" t="s">
        <v>80</v>
      </c>
      <c r="R108" s="9">
        <v>288</v>
      </c>
      <c r="S108" t="str">
        <f xml:space="preserve"> HYPERLINK("ReviewHtml/review_Berserk_-_The_Golden_Age_Arc_(The_Egg_of_the_King,_The_Battle_for_Doldrey,_The_Advent).html", "https://2danicritic.github.io/ReviewHtml/review_Berserk_-_The_Golden_Age_Arc_(The_Egg_of_the_King,_The_Battle_for_Doldrey,_The_Advent).html")</f>
        <v>https://2danicritic.github.io/ReviewHtml/review_Berserk_-_The_Golden_Age_Arc_(The_Egg_of_the_King,_The_Battle_for_Doldrey,_The_Advent).html</v>
      </c>
    </row>
    <row r="109" spans="2:19" x14ac:dyDescent="0.35">
      <c r="B109">
        <v>55</v>
      </c>
      <c r="C109" t="s">
        <v>769</v>
      </c>
      <c r="D109" s="9">
        <v>2011</v>
      </c>
      <c r="E109" t="s">
        <v>54</v>
      </c>
      <c r="F109" t="s">
        <v>764</v>
      </c>
      <c r="G109" t="s">
        <v>88</v>
      </c>
      <c r="H109" t="s">
        <v>110</v>
      </c>
      <c r="I109" s="9">
        <v>2.57</v>
      </c>
      <c r="J109" s="9">
        <v>3</v>
      </c>
      <c r="K109" s="9">
        <v>3</v>
      </c>
      <c r="L109" s="9">
        <v>2</v>
      </c>
      <c r="M109" s="9">
        <v>2</v>
      </c>
      <c r="N109" s="9">
        <v>3</v>
      </c>
      <c r="O109" s="9">
        <v>2</v>
      </c>
      <c r="P109" s="9">
        <v>3</v>
      </c>
      <c r="Q109" t="s">
        <v>111</v>
      </c>
      <c r="R109" s="9">
        <v>60</v>
      </c>
      <c r="S109" t="str">
        <f xml:space="preserve"> HYPERLINK("ReviewHtml/review_Coicent_&amp;_Five_Numbers.html", "https://2danicritic.github.io/ReviewHtml/review_Coicent_&amp;_Five_Numbers.html")</f>
        <v>https://2danicritic.github.io/ReviewHtml/review_Coicent_&amp;_Five_Numbers.html</v>
      </c>
    </row>
    <row r="110" spans="2:19" x14ac:dyDescent="0.35">
      <c r="B110">
        <v>59</v>
      </c>
      <c r="C110" t="s">
        <v>776</v>
      </c>
      <c r="D110" s="9">
        <v>2011</v>
      </c>
      <c r="E110" t="s">
        <v>54</v>
      </c>
      <c r="F110" t="s">
        <v>777</v>
      </c>
      <c r="G110" t="s">
        <v>1193</v>
      </c>
      <c r="H110" t="s">
        <v>778</v>
      </c>
      <c r="I110" s="9">
        <v>3.14</v>
      </c>
      <c r="J110" s="9">
        <v>2.5</v>
      </c>
      <c r="K110" s="9">
        <v>3.5</v>
      </c>
      <c r="L110" s="9">
        <v>3.5</v>
      </c>
      <c r="M110" s="9">
        <v>2.5</v>
      </c>
      <c r="N110" s="9">
        <v>3</v>
      </c>
      <c r="O110" s="9">
        <v>3</v>
      </c>
      <c r="P110" s="9">
        <v>4</v>
      </c>
      <c r="Q110" t="s">
        <v>114</v>
      </c>
      <c r="R110" s="9">
        <v>325</v>
      </c>
      <c r="S110" t="str">
        <f xml:space="preserve"> HYPERLINK("ReviewHtml/review_Croisee_in_a_Foreign_Labyrinth.html", "https://2danicritic.github.io/ReviewHtml/review_Croisee_in_a_Foreign_Labyrinth.html")</f>
        <v>https://2danicritic.github.io/ReviewHtml/review_Croisee_in_a_Foreign_Labyrinth.html</v>
      </c>
    </row>
    <row r="111" spans="2:19" x14ac:dyDescent="0.35">
      <c r="B111">
        <v>63</v>
      </c>
      <c r="C111" t="s">
        <v>784</v>
      </c>
      <c r="D111" s="9">
        <v>2011</v>
      </c>
      <c r="E111" t="s">
        <v>54</v>
      </c>
      <c r="F111" t="s">
        <v>785</v>
      </c>
      <c r="G111" t="s">
        <v>1193</v>
      </c>
      <c r="H111" t="s">
        <v>786</v>
      </c>
      <c r="I111" s="9">
        <v>3.86</v>
      </c>
      <c r="J111" s="9">
        <v>3.5</v>
      </c>
      <c r="K111" s="9">
        <v>3.5</v>
      </c>
      <c r="L111" s="9">
        <v>4</v>
      </c>
      <c r="M111" s="9">
        <v>4</v>
      </c>
      <c r="N111" s="9">
        <v>3</v>
      </c>
      <c r="O111" s="9">
        <v>4</v>
      </c>
      <c r="P111" s="9">
        <v>5</v>
      </c>
      <c r="Q111" t="s">
        <v>121</v>
      </c>
      <c r="R111" s="9">
        <v>300</v>
      </c>
      <c r="S111" t="str">
        <f xml:space="preserve"> HYPERLINK("ReviewHtml/review_Deadman_Wonderland.html", "https://2danicritic.github.io/ReviewHtml/review_Deadman_Wonderland.html")</f>
        <v>https://2danicritic.github.io/ReviewHtml/review_Deadman_Wonderland.html</v>
      </c>
    </row>
    <row r="112" spans="2:19" x14ac:dyDescent="0.35">
      <c r="B112">
        <v>80</v>
      </c>
      <c r="C112" t="s">
        <v>818</v>
      </c>
      <c r="D112" s="9">
        <v>2011</v>
      </c>
      <c r="E112" t="s">
        <v>54</v>
      </c>
      <c r="F112" t="s">
        <v>819</v>
      </c>
      <c r="G112" t="s">
        <v>1193</v>
      </c>
      <c r="H112" t="s">
        <v>820</v>
      </c>
      <c r="I112" s="9">
        <v>4.93</v>
      </c>
      <c r="J112" s="9">
        <v>5</v>
      </c>
      <c r="K112" s="9">
        <v>5</v>
      </c>
      <c r="L112" s="9">
        <v>5</v>
      </c>
      <c r="M112" s="9">
        <v>4.5</v>
      </c>
      <c r="N112" s="9">
        <v>5</v>
      </c>
      <c r="O112" s="9">
        <v>5</v>
      </c>
      <c r="P112" s="9">
        <v>5</v>
      </c>
      <c r="Q112" t="s">
        <v>135</v>
      </c>
      <c r="R112" s="9">
        <v>620</v>
      </c>
      <c r="S112" t="str">
        <f xml:space="preserve"> HYPERLINK("ReviewHtml/review_Fate_-_Zero.html", "https://2danicritic.github.io/ReviewHtml/review_Fate_-_Zero.html")</f>
        <v>https://2danicritic.github.io/ReviewHtml/review_Fate_-_Zero.html</v>
      </c>
    </row>
    <row r="113" spans="2:19" hidden="1" x14ac:dyDescent="0.35">
      <c r="B113">
        <v>42</v>
      </c>
      <c r="C113" t="s">
        <v>742</v>
      </c>
      <c r="D113" s="9">
        <v>2012</v>
      </c>
      <c r="E113" t="s">
        <v>54</v>
      </c>
      <c r="F113" t="s">
        <v>736</v>
      </c>
      <c r="G113" t="s">
        <v>1192</v>
      </c>
      <c r="H113" t="s">
        <v>743</v>
      </c>
      <c r="I113" s="9">
        <v>2.36</v>
      </c>
      <c r="J113" s="9">
        <v>3.5</v>
      </c>
      <c r="K113" s="9">
        <v>3.5</v>
      </c>
      <c r="L113" s="9">
        <v>2</v>
      </c>
      <c r="M113" s="9">
        <v>1.5</v>
      </c>
      <c r="N113" s="9">
        <v>2</v>
      </c>
      <c r="O113" s="9">
        <v>2</v>
      </c>
      <c r="P113" s="9">
        <v>2</v>
      </c>
      <c r="Q113" t="s">
        <v>98</v>
      </c>
      <c r="R113" s="9">
        <v>110</v>
      </c>
      <c r="S113" t="str">
        <f xml:space="preserve"> HYPERLINK("ReviewHtml/review_Blood-C_-_The_Last_Dark.html", "https://2danicritic.github.io/ReviewHtml/review_Blood-C_-_The_Last_Dark.html")</f>
        <v>https://2danicritic.github.io/ReviewHtml/review_Blood-C_-_The_Last_Dark.html</v>
      </c>
    </row>
    <row r="114" spans="2:19" hidden="1" x14ac:dyDescent="0.35">
      <c r="B114">
        <v>77</v>
      </c>
      <c r="C114" t="s">
        <v>1281</v>
      </c>
      <c r="D114" s="9">
        <v>2012</v>
      </c>
      <c r="E114" t="s">
        <v>54</v>
      </c>
      <c r="F114" t="s">
        <v>1306</v>
      </c>
      <c r="G114" t="s">
        <v>1192</v>
      </c>
      <c r="H114" t="s">
        <v>1208</v>
      </c>
      <c r="I114" s="9">
        <v>3.57</v>
      </c>
      <c r="J114" s="9">
        <v>4.5</v>
      </c>
      <c r="K114" s="9">
        <v>4</v>
      </c>
      <c r="L114" s="9">
        <v>3.5</v>
      </c>
      <c r="M114" s="9">
        <v>3.5</v>
      </c>
      <c r="N114" s="9">
        <v>3</v>
      </c>
      <c r="O114" s="9">
        <v>3</v>
      </c>
      <c r="P114" s="9">
        <v>3.5</v>
      </c>
      <c r="Q114" t="s">
        <v>227</v>
      </c>
      <c r="R114" s="9">
        <v>96</v>
      </c>
      <c r="S114" t="str">
        <f xml:space="preserve"> HYPERLINK("ReviewHtml/review_Evangelion_3.33_-_You_Can_(Not)_Redo.html", "https://2danicritic.github.io/ReviewHtml/review_Evangelion_3.33_-_You_Can_(Not)_Redo.html")</f>
        <v>https://2danicritic.github.io/ReviewHtml/review_Evangelion_3.33_-_You_Can_(Not)_Redo.html</v>
      </c>
    </row>
    <row r="115" spans="2:19" hidden="1" x14ac:dyDescent="0.35">
      <c r="B115">
        <v>181</v>
      </c>
      <c r="C115" t="s">
        <v>992</v>
      </c>
      <c r="D115" s="9">
        <v>2016</v>
      </c>
      <c r="E115" t="s">
        <v>1225</v>
      </c>
      <c r="F115" t="s">
        <v>993</v>
      </c>
      <c r="G115" t="s">
        <v>1192</v>
      </c>
      <c r="H115" t="s">
        <v>994</v>
      </c>
      <c r="I115" s="9">
        <v>2.93</v>
      </c>
      <c r="J115" s="9">
        <v>3</v>
      </c>
      <c r="K115" s="9">
        <v>2.5</v>
      </c>
      <c r="L115" s="9">
        <v>2.5</v>
      </c>
      <c r="M115" s="9">
        <v>1.5</v>
      </c>
      <c r="N115" s="9">
        <v>3.5</v>
      </c>
      <c r="O115" s="9">
        <v>3.5</v>
      </c>
      <c r="P115" s="9">
        <v>4</v>
      </c>
      <c r="Q115" t="s">
        <v>222</v>
      </c>
      <c r="R115" s="9">
        <v>65</v>
      </c>
      <c r="S115" t="str">
        <f xml:space="preserve"> HYPERLINK("ReviewHtml/review_Nova_Seed.html", "https://2danicritic.github.io/ReviewHtml/review_Nova_Seed.html")</f>
        <v>https://2danicritic.github.io/ReviewHtml/review_Nova_Seed.html</v>
      </c>
    </row>
    <row r="116" spans="2:19" hidden="1" x14ac:dyDescent="0.35">
      <c r="B116">
        <v>144</v>
      </c>
      <c r="C116" t="s">
        <v>931</v>
      </c>
      <c r="D116" s="9">
        <v>2012</v>
      </c>
      <c r="E116" t="s">
        <v>54</v>
      </c>
      <c r="F116" t="s">
        <v>694</v>
      </c>
      <c r="G116" t="s">
        <v>1192</v>
      </c>
      <c r="H116" t="s">
        <v>194</v>
      </c>
      <c r="I116" s="9">
        <v>4.21</v>
      </c>
      <c r="J116" s="9">
        <v>4</v>
      </c>
      <c r="K116" s="9">
        <v>4.5</v>
      </c>
      <c r="L116" s="9">
        <v>4.5</v>
      </c>
      <c r="M116" s="9">
        <v>3.5</v>
      </c>
      <c r="N116" s="9">
        <v>4.5</v>
      </c>
      <c r="O116" s="9">
        <v>4</v>
      </c>
      <c r="P116" s="9">
        <v>4.5</v>
      </c>
      <c r="Q116" t="s">
        <v>195</v>
      </c>
      <c r="R116" s="9">
        <v>240</v>
      </c>
      <c r="S116" t="str">
        <f xml:space="preserve"> HYPERLINK("ReviewHtml/review_Madoka_Magica_The_Movie_1_&amp;_2_-_Beginnings,_Eternal.html", "https://2danicritic.github.io/ReviewHtml/review_Madoka_Magica_The_Movie_1_&amp;_2_-_Beginnings,_Eternal.html")</f>
        <v>https://2danicritic.github.io/ReviewHtml/review_Madoka_Magica_The_Movie_1_&amp;_2_-_Beginnings,_Eternal.html</v>
      </c>
    </row>
    <row r="117" spans="2:19" x14ac:dyDescent="0.35">
      <c r="B117">
        <v>98</v>
      </c>
      <c r="C117" t="s">
        <v>851</v>
      </c>
      <c r="D117" s="9">
        <v>2011</v>
      </c>
      <c r="E117" t="s">
        <v>54</v>
      </c>
      <c r="F117" t="s">
        <v>694</v>
      </c>
      <c r="G117" t="s">
        <v>1193</v>
      </c>
      <c r="H117" t="s">
        <v>151</v>
      </c>
      <c r="I117" s="9">
        <v>3.07</v>
      </c>
      <c r="J117" s="9">
        <v>3.5</v>
      </c>
      <c r="K117" s="9">
        <v>3.5</v>
      </c>
      <c r="L117" s="9">
        <v>3</v>
      </c>
      <c r="M117" s="9">
        <v>3</v>
      </c>
      <c r="N117" s="9">
        <v>3</v>
      </c>
      <c r="O117" s="9">
        <v>3.5</v>
      </c>
      <c r="P117" s="9">
        <v>2</v>
      </c>
      <c r="Q117" t="s">
        <v>152</v>
      </c>
      <c r="R117" s="9">
        <v>300</v>
      </c>
      <c r="S117" t="str">
        <f xml:space="preserve"> HYPERLINK("ReviewHtml/review_Ground_Control_to_Psychoelectric_Girl.html", "https://2danicritic.github.io/ReviewHtml/review_Ground_Control_to_Psychoelectric_Girl.html")</f>
        <v>https://2danicritic.github.io/ReviewHtml/review_Ground_Control_to_Psychoelectric_Girl.html</v>
      </c>
    </row>
    <row r="118" spans="2:19" x14ac:dyDescent="0.35">
      <c r="B118">
        <v>99</v>
      </c>
      <c r="C118" t="s">
        <v>852</v>
      </c>
      <c r="D118" s="9">
        <v>2011</v>
      </c>
      <c r="E118" t="s">
        <v>54</v>
      </c>
      <c r="F118" t="s">
        <v>736</v>
      </c>
      <c r="G118" t="s">
        <v>1193</v>
      </c>
      <c r="H118" t="s">
        <v>788</v>
      </c>
      <c r="I118" s="9">
        <v>3.21</v>
      </c>
      <c r="J118" s="9">
        <v>3.5</v>
      </c>
      <c r="K118" s="9">
        <v>3.5</v>
      </c>
      <c r="L118" s="9">
        <v>4</v>
      </c>
      <c r="M118" s="9">
        <v>3.5</v>
      </c>
      <c r="N118" s="9">
        <v>1.5</v>
      </c>
      <c r="O118" s="9">
        <v>2.5</v>
      </c>
      <c r="P118" s="9">
        <v>4</v>
      </c>
      <c r="Q118" t="s">
        <v>153</v>
      </c>
      <c r="R118" s="9">
        <v>550</v>
      </c>
      <c r="S118" t="str">
        <f xml:space="preserve"> HYPERLINK("ReviewHtml/review_Guilty_Crown.html", "https://2danicritic.github.io/ReviewHtml/review_Guilty_Crown.html")</f>
        <v>https://2danicritic.github.io/ReviewHtml/review_Guilty_Crown.html</v>
      </c>
    </row>
    <row r="119" spans="2:19" hidden="1" x14ac:dyDescent="0.35">
      <c r="B119">
        <v>248</v>
      </c>
      <c r="C119" t="s">
        <v>1101</v>
      </c>
      <c r="D119" s="9">
        <v>2016</v>
      </c>
      <c r="E119" t="s">
        <v>1238</v>
      </c>
      <c r="F119" t="s">
        <v>1102</v>
      </c>
      <c r="G119" t="s">
        <v>1192</v>
      </c>
      <c r="H119" t="s">
        <v>275</v>
      </c>
      <c r="I119" s="9">
        <v>3</v>
      </c>
      <c r="J119" s="9">
        <v>3</v>
      </c>
      <c r="K119" s="9">
        <v>2.5</v>
      </c>
      <c r="L119" s="9">
        <v>3</v>
      </c>
      <c r="M119" s="9">
        <v>3</v>
      </c>
      <c r="N119" s="9">
        <v>3.5</v>
      </c>
      <c r="O119" s="9">
        <v>3</v>
      </c>
      <c r="P119" s="9">
        <v>3</v>
      </c>
      <c r="Q119" t="s">
        <v>276</v>
      </c>
      <c r="R119" s="9">
        <v>76</v>
      </c>
      <c r="S119" t="str">
        <f xml:space="preserve"> HYPERLINK("ReviewHtml/review_The_Girl_Without_Hands.html", "https://2danicritic.github.io/ReviewHtml/review_The_Girl_Without_Hands.html")</f>
        <v>https://2danicritic.github.io/ReviewHtml/review_The_Girl_Without_Hands.html</v>
      </c>
    </row>
    <row r="120" spans="2:19" x14ac:dyDescent="0.35">
      <c r="B120">
        <v>104</v>
      </c>
      <c r="C120" t="s">
        <v>859</v>
      </c>
      <c r="D120" s="9">
        <v>2011</v>
      </c>
      <c r="E120" t="s">
        <v>54</v>
      </c>
      <c r="F120" t="s">
        <v>675</v>
      </c>
      <c r="G120" t="s">
        <v>1193</v>
      </c>
      <c r="H120" t="s">
        <v>860</v>
      </c>
      <c r="I120" s="9">
        <v>2.93</v>
      </c>
      <c r="J120" s="9">
        <v>3</v>
      </c>
      <c r="K120" s="9">
        <v>3.5</v>
      </c>
      <c r="L120" s="9">
        <v>3</v>
      </c>
      <c r="M120" s="9">
        <v>3</v>
      </c>
      <c r="N120" s="9">
        <v>2.5</v>
      </c>
      <c r="O120" s="9">
        <v>3</v>
      </c>
      <c r="P120" s="9">
        <v>2.5</v>
      </c>
      <c r="Q120" t="s">
        <v>161</v>
      </c>
      <c r="R120" s="9">
        <v>325</v>
      </c>
      <c r="S120" t="str">
        <f xml:space="preserve"> HYPERLINK("ReviewHtml/review_Heaven's_Memo_Pad.html", "https://2danicritic.github.io/ReviewHtml/review_Heaven's_Memo_Pad.html")</f>
        <v>https://2danicritic.github.io/ReviewHtml/review_Heaven's_Memo_Pad.html</v>
      </c>
    </row>
    <row r="121" spans="2:19" hidden="1" x14ac:dyDescent="0.35">
      <c r="B121">
        <v>263</v>
      </c>
      <c r="C121" t="s">
        <v>1126</v>
      </c>
      <c r="D121" s="9">
        <v>2016</v>
      </c>
      <c r="E121" t="s">
        <v>1191</v>
      </c>
      <c r="F121" t="s">
        <v>1127</v>
      </c>
      <c r="G121" t="s">
        <v>1192</v>
      </c>
      <c r="H121" t="s">
        <v>288</v>
      </c>
      <c r="I121" s="9">
        <v>3.71</v>
      </c>
      <c r="J121" s="9">
        <v>4</v>
      </c>
      <c r="K121" s="9">
        <v>4</v>
      </c>
      <c r="L121" s="9">
        <v>4</v>
      </c>
      <c r="M121" s="9">
        <v>3</v>
      </c>
      <c r="N121" s="9">
        <v>4</v>
      </c>
      <c r="O121" s="9">
        <v>2</v>
      </c>
      <c r="P121" s="9">
        <v>5</v>
      </c>
      <c r="Q121" t="s">
        <v>289</v>
      </c>
      <c r="R121" s="9">
        <v>80</v>
      </c>
      <c r="S121" t="str">
        <f xml:space="preserve"> HYPERLINK("ReviewHtml/review_The_Red_Turtle.html", "https://2danicritic.github.io/ReviewHtml/review_The_Red_Turtle.html")</f>
        <v>https://2danicritic.github.io/ReviewHtml/review_The_Red_Turtle.html</v>
      </c>
    </row>
    <row r="122" spans="2:19" x14ac:dyDescent="0.35">
      <c r="B122">
        <v>148</v>
      </c>
      <c r="C122" t="s">
        <v>938</v>
      </c>
      <c r="D122" s="9">
        <v>2011</v>
      </c>
      <c r="E122" t="s">
        <v>54</v>
      </c>
      <c r="F122" t="s">
        <v>780</v>
      </c>
      <c r="G122" t="s">
        <v>1193</v>
      </c>
      <c r="H122" t="s">
        <v>939</v>
      </c>
      <c r="I122" s="9">
        <v>2.86</v>
      </c>
      <c r="J122" s="9">
        <v>2.5</v>
      </c>
      <c r="K122" s="9">
        <v>2.5</v>
      </c>
      <c r="L122" s="9">
        <v>3</v>
      </c>
      <c r="M122" s="9">
        <v>2.5</v>
      </c>
      <c r="N122" s="9">
        <v>2.5</v>
      </c>
      <c r="O122" s="9">
        <v>3.5</v>
      </c>
      <c r="P122" s="9">
        <v>3.5</v>
      </c>
      <c r="Q122" t="s">
        <v>345</v>
      </c>
      <c r="R122" s="9">
        <v>325</v>
      </c>
      <c r="S122" t="str">
        <f xml:space="preserve"> HYPERLINK("ReviewHtml/review_Mayo_Chiki!.html", "https://2danicritic.github.io/ReviewHtml/review_Mayo_Chiki!.html")</f>
        <v>https://2danicritic.github.io/ReviewHtml/review_Mayo_Chiki!.html</v>
      </c>
    </row>
    <row r="123" spans="2:19" x14ac:dyDescent="0.35">
      <c r="B123">
        <v>172</v>
      </c>
      <c r="C123" t="s">
        <v>978</v>
      </c>
      <c r="D123" s="9">
        <v>2011</v>
      </c>
      <c r="E123" t="s">
        <v>54</v>
      </c>
      <c r="F123" t="s">
        <v>663</v>
      </c>
      <c r="G123" t="s">
        <v>1193</v>
      </c>
      <c r="H123" t="s">
        <v>914</v>
      </c>
      <c r="I123" s="9">
        <v>4.1399999999999997</v>
      </c>
      <c r="J123" s="9">
        <v>4.5</v>
      </c>
      <c r="K123" s="9">
        <v>4</v>
      </c>
      <c r="L123" s="9">
        <v>4.5</v>
      </c>
      <c r="M123" s="9">
        <v>4</v>
      </c>
      <c r="N123" s="9">
        <v>3</v>
      </c>
      <c r="O123" s="9">
        <v>4</v>
      </c>
      <c r="P123" s="9">
        <v>5</v>
      </c>
      <c r="Q123" t="s">
        <v>215</v>
      </c>
      <c r="R123" s="9">
        <v>350</v>
      </c>
      <c r="S123" t="str">
        <f xml:space="preserve"> HYPERLINK("ReviewHtml/review_Nichijou.html", "https://2danicritic.github.io/ReviewHtml/review_Nichijou.html")</f>
        <v>https://2danicritic.github.io/ReviewHtml/review_Nichijou.html</v>
      </c>
    </row>
    <row r="124" spans="2:19" x14ac:dyDescent="0.35">
      <c r="B124">
        <v>195</v>
      </c>
      <c r="C124" t="s">
        <v>1011</v>
      </c>
      <c r="D124" s="9">
        <v>2011</v>
      </c>
      <c r="E124" t="s">
        <v>54</v>
      </c>
      <c r="F124" t="s">
        <v>1012</v>
      </c>
      <c r="G124" t="s">
        <v>1193</v>
      </c>
      <c r="H124" t="s">
        <v>1013</v>
      </c>
      <c r="I124" s="9">
        <v>3.64</v>
      </c>
      <c r="J124" s="9">
        <v>3</v>
      </c>
      <c r="K124" s="9">
        <v>3.5</v>
      </c>
      <c r="L124" s="9">
        <v>4.5</v>
      </c>
      <c r="M124" s="9">
        <v>4</v>
      </c>
      <c r="N124" s="9">
        <v>3</v>
      </c>
      <c r="O124" s="9">
        <v>3.5</v>
      </c>
      <c r="P124" s="9">
        <v>4</v>
      </c>
      <c r="Q124" t="s">
        <v>234</v>
      </c>
      <c r="R124" s="9">
        <v>350</v>
      </c>
      <c r="S124" t="str">
        <f xml:space="preserve"> HYPERLINK("ReviewHtml/review_Persona_4_-_The_Animation.html", "https://2danicritic.github.io/ReviewHtml/review_Persona_4_-_The_Animation.html")</f>
        <v>https://2danicritic.github.io/ReviewHtml/review_Persona_4_-_The_Animation.html</v>
      </c>
    </row>
    <row r="125" spans="2:19" x14ac:dyDescent="0.35">
      <c r="B125">
        <v>224</v>
      </c>
      <c r="C125" t="s">
        <v>1069</v>
      </c>
      <c r="D125" s="9">
        <v>2011</v>
      </c>
      <c r="E125" t="s">
        <v>54</v>
      </c>
      <c r="F125" t="s">
        <v>884</v>
      </c>
      <c r="G125" t="s">
        <v>1193</v>
      </c>
      <c r="H125" t="s">
        <v>256</v>
      </c>
      <c r="I125" s="9">
        <v>3.93</v>
      </c>
      <c r="J125" s="9">
        <v>3</v>
      </c>
      <c r="K125" s="9">
        <v>3.5</v>
      </c>
      <c r="L125" s="9">
        <v>4.5</v>
      </c>
      <c r="M125" s="9">
        <v>5</v>
      </c>
      <c r="N125" s="9">
        <v>3.5</v>
      </c>
      <c r="O125" s="9">
        <v>4</v>
      </c>
      <c r="P125" s="9">
        <v>4</v>
      </c>
      <c r="Q125" t="s">
        <v>257</v>
      </c>
      <c r="R125" s="9">
        <v>625</v>
      </c>
      <c r="S125" t="str">
        <f xml:space="preserve"> HYPERLINK("ReviewHtml/review_Steins;Gate.html", "https://2danicritic.github.io/ReviewHtml/review_Steins;Gate.html")</f>
        <v>https://2danicritic.github.io/ReviewHtml/review_Steins;Gate.html</v>
      </c>
    </row>
    <row r="126" spans="2:19" x14ac:dyDescent="0.35">
      <c r="B126">
        <v>228</v>
      </c>
      <c r="C126" t="s">
        <v>1072</v>
      </c>
      <c r="D126" s="9">
        <v>2011</v>
      </c>
      <c r="E126" t="s">
        <v>54</v>
      </c>
      <c r="F126" t="s">
        <v>699</v>
      </c>
      <c r="G126" t="s">
        <v>1193</v>
      </c>
      <c r="H126" t="s">
        <v>259</v>
      </c>
      <c r="I126" s="9">
        <v>3</v>
      </c>
      <c r="J126" s="9">
        <v>3</v>
      </c>
      <c r="K126" s="9">
        <v>3</v>
      </c>
      <c r="L126" s="9">
        <v>3.5</v>
      </c>
      <c r="M126" s="9">
        <v>3.5</v>
      </c>
      <c r="N126" s="9">
        <v>3</v>
      </c>
      <c r="O126" s="9">
        <v>3</v>
      </c>
      <c r="P126" s="9">
        <v>2</v>
      </c>
      <c r="Q126" t="s">
        <v>260</v>
      </c>
      <c r="R126" s="9">
        <v>540</v>
      </c>
      <c r="S126" t="str">
        <f xml:space="preserve"> HYPERLINK("ReviewHtml/review_Supernatural_-_The_Animation.html", "https://2danicritic.github.io/ReviewHtml/review_Supernatural_-_The_Animation.html")</f>
        <v>https://2danicritic.github.io/ReviewHtml/review_Supernatural_-_The_Animation.html</v>
      </c>
    </row>
    <row r="127" spans="2:19" hidden="1" x14ac:dyDescent="0.35">
      <c r="B127">
        <v>202</v>
      </c>
      <c r="C127" t="s">
        <v>1024</v>
      </c>
      <c r="D127" s="9">
        <v>2012</v>
      </c>
      <c r="E127" t="s">
        <v>54</v>
      </c>
      <c r="F127" t="s">
        <v>764</v>
      </c>
      <c r="G127" t="s">
        <v>1192</v>
      </c>
      <c r="H127" t="s">
        <v>850</v>
      </c>
      <c r="I127" s="9">
        <v>2.93</v>
      </c>
      <c r="J127" s="9">
        <v>4.5</v>
      </c>
      <c r="K127" s="9">
        <v>4.5</v>
      </c>
      <c r="L127" s="9">
        <v>2</v>
      </c>
      <c r="M127" s="9">
        <v>3</v>
      </c>
      <c r="N127" s="9">
        <v>1</v>
      </c>
      <c r="O127" s="9">
        <v>3.5</v>
      </c>
      <c r="P127" s="9">
        <v>2</v>
      </c>
      <c r="Q127" t="s">
        <v>349</v>
      </c>
      <c r="R127" s="9">
        <v>110</v>
      </c>
      <c r="S127" t="str">
        <f xml:space="preserve"> HYPERLINK("ReviewHtml/review_Psychic_School_Wars.html", "https://2danicritic.github.io/ReviewHtml/review_Psychic_School_Wars.html")</f>
        <v>https://2danicritic.github.io/ReviewHtml/review_Psychic_School_Wars.html</v>
      </c>
    </row>
    <row r="128" spans="2:19" x14ac:dyDescent="0.35">
      <c r="B128">
        <v>244</v>
      </c>
      <c r="C128" t="s">
        <v>1095</v>
      </c>
      <c r="D128" s="9">
        <v>2011</v>
      </c>
      <c r="E128" t="s">
        <v>54</v>
      </c>
      <c r="F128" t="s">
        <v>1096</v>
      </c>
      <c r="G128" t="s">
        <v>1193</v>
      </c>
      <c r="H128" t="s">
        <v>1097</v>
      </c>
      <c r="I128" s="9">
        <v>3.64</v>
      </c>
      <c r="J128" s="9">
        <v>3</v>
      </c>
      <c r="K128" s="9">
        <v>3</v>
      </c>
      <c r="L128" s="9">
        <v>3.5</v>
      </c>
      <c r="M128" s="9">
        <v>4</v>
      </c>
      <c r="N128" s="9">
        <v>3.5</v>
      </c>
      <c r="O128" s="9">
        <v>4.5</v>
      </c>
      <c r="P128" s="9">
        <v>4</v>
      </c>
      <c r="Q128" t="s">
        <v>352</v>
      </c>
      <c r="R128" s="9">
        <v>680</v>
      </c>
      <c r="S128" t="str">
        <f xml:space="preserve"> HYPERLINK("ReviewHtml/review_The_Future_Diary.html", "https://2danicritic.github.io/ReviewHtml/review_The_Future_Diary.html")</f>
        <v>https://2danicritic.github.io/ReviewHtml/review_The_Future_Diary.html</v>
      </c>
    </row>
    <row r="129" spans="2:19" x14ac:dyDescent="0.35">
      <c r="B129">
        <v>255</v>
      </c>
      <c r="C129" t="s">
        <v>1116</v>
      </c>
      <c r="D129" s="9">
        <v>2011</v>
      </c>
      <c r="E129" t="s">
        <v>54</v>
      </c>
      <c r="F129" t="s">
        <v>970</v>
      </c>
      <c r="G129" t="s">
        <v>1193</v>
      </c>
      <c r="H129" t="s">
        <v>1026</v>
      </c>
      <c r="I129" s="9">
        <v>3.71</v>
      </c>
      <c r="J129" s="9">
        <v>3.5</v>
      </c>
      <c r="K129" s="9">
        <v>4</v>
      </c>
      <c r="L129" s="9">
        <v>3.5</v>
      </c>
      <c r="M129" s="9">
        <v>3.5</v>
      </c>
      <c r="N129" s="9">
        <v>4</v>
      </c>
      <c r="O129" s="9">
        <v>3.5</v>
      </c>
      <c r="P129" s="9">
        <v>4</v>
      </c>
      <c r="Q129" t="s">
        <v>260</v>
      </c>
      <c r="R129" s="9">
        <v>325</v>
      </c>
      <c r="S129" t="str">
        <f xml:space="preserve"> HYPERLINK("ReviewHtml/review_The_Mystic_Archives_of_Dantalian.html", "https://2danicritic.github.io/ReviewHtml/review_The_Mystic_Archives_of_Dantalian.html")</f>
        <v>https://2danicritic.github.io/ReviewHtml/review_The_Mystic_Archives_of_Dantalian.html</v>
      </c>
    </row>
    <row r="130" spans="2:19" hidden="1" x14ac:dyDescent="0.35">
      <c r="B130">
        <v>252</v>
      </c>
      <c r="C130" t="s">
        <v>1111</v>
      </c>
      <c r="D130" s="9">
        <v>2012</v>
      </c>
      <c r="E130" t="s">
        <v>54</v>
      </c>
      <c r="F130" t="s">
        <v>1112</v>
      </c>
      <c r="G130" t="s">
        <v>1192</v>
      </c>
      <c r="H130" t="s">
        <v>980</v>
      </c>
      <c r="I130" s="9">
        <v>3.29</v>
      </c>
      <c r="J130" s="9">
        <v>3.5</v>
      </c>
      <c r="K130" s="9">
        <v>3.5</v>
      </c>
      <c r="L130" s="9">
        <v>3.5</v>
      </c>
      <c r="M130" s="9">
        <v>2.5</v>
      </c>
      <c r="N130" s="9">
        <v>3</v>
      </c>
      <c r="O130" s="9">
        <v>3</v>
      </c>
      <c r="P130" s="9">
        <v>4</v>
      </c>
      <c r="Q130" t="s">
        <v>278</v>
      </c>
      <c r="R130" s="9">
        <v>105</v>
      </c>
      <c r="S130" t="str">
        <f xml:space="preserve"> HYPERLINK("ReviewHtml/review_The_Life_of_Guskou_Budori.html", "https://2danicritic.github.io/ReviewHtml/review_The_Life_of_Guskou_Budori.html")</f>
        <v>https://2danicritic.github.io/ReviewHtml/review_The_Life_of_Guskou_Budori.html</v>
      </c>
    </row>
    <row r="131" spans="2:19" x14ac:dyDescent="0.35">
      <c r="B131">
        <v>273</v>
      </c>
      <c r="C131" t="s">
        <v>1138</v>
      </c>
      <c r="D131" s="9">
        <v>2011</v>
      </c>
      <c r="E131" t="s">
        <v>54</v>
      </c>
      <c r="F131" t="s">
        <v>657</v>
      </c>
      <c r="G131" t="s">
        <v>88</v>
      </c>
      <c r="H131" t="s">
        <v>1139</v>
      </c>
      <c r="I131" s="9">
        <v>1.86</v>
      </c>
      <c r="J131" s="9">
        <v>1</v>
      </c>
      <c r="K131" s="9">
        <v>2.5</v>
      </c>
      <c r="L131" s="9">
        <v>1</v>
      </c>
      <c r="M131" s="9">
        <v>2</v>
      </c>
      <c r="N131" s="9">
        <v>2.5</v>
      </c>
      <c r="O131" s="9">
        <v>2</v>
      </c>
      <c r="P131" s="9">
        <v>2</v>
      </c>
      <c r="Q131" t="s">
        <v>296</v>
      </c>
      <c r="R131" s="9">
        <v>28</v>
      </c>
      <c r="S131" t="str">
        <f xml:space="preserve"> HYPERLINK("ReviewHtml/review_This_Boy_Can_Fight_Aliens.html", "https://2danicritic.github.io/ReviewHtml/review_This_Boy_Can_Fight_Aliens.html")</f>
        <v>https://2danicritic.github.io/ReviewHtml/review_This_Boy_Can_Fight_Aliens.html</v>
      </c>
    </row>
    <row r="132" spans="2:19" x14ac:dyDescent="0.35">
      <c r="B132">
        <v>12</v>
      </c>
      <c r="C132" t="s">
        <v>678</v>
      </c>
      <c r="D132" s="9">
        <v>2010</v>
      </c>
      <c r="E132" t="s">
        <v>54</v>
      </c>
      <c r="F132" t="s">
        <v>679</v>
      </c>
      <c r="G132" t="s">
        <v>1193</v>
      </c>
      <c r="H132" t="s">
        <v>680</v>
      </c>
      <c r="I132" s="9">
        <v>3.43</v>
      </c>
      <c r="J132" s="9">
        <v>3.5</v>
      </c>
      <c r="K132" s="9">
        <v>3.5</v>
      </c>
      <c r="L132" s="9">
        <v>3.5</v>
      </c>
      <c r="M132" s="9">
        <v>3</v>
      </c>
      <c r="N132" s="9">
        <v>3</v>
      </c>
      <c r="O132" s="9">
        <v>3.5</v>
      </c>
      <c r="P132" s="9">
        <v>4</v>
      </c>
      <c r="Q132" t="s">
        <v>69</v>
      </c>
      <c r="R132" s="9">
        <v>325</v>
      </c>
      <c r="S132" t="str">
        <f xml:space="preserve"> HYPERLINK("ReviewHtml/review_Angel_Beats.html", "https://2danicritic.github.io/ReviewHtml/review_Angel_Beats.html")</f>
        <v>https://2danicritic.github.io/ReviewHtml/review_Angel_Beats.html</v>
      </c>
    </row>
    <row r="133" spans="2:19" hidden="1" x14ac:dyDescent="0.35">
      <c r="B133">
        <v>298</v>
      </c>
      <c r="C133" t="s">
        <v>1179</v>
      </c>
      <c r="D133" s="9">
        <v>2012</v>
      </c>
      <c r="E133" t="s">
        <v>54</v>
      </c>
      <c r="F133" t="s">
        <v>1180</v>
      </c>
      <c r="G133" t="s">
        <v>1192</v>
      </c>
      <c r="H133" t="s">
        <v>950</v>
      </c>
      <c r="I133" s="9">
        <v>4.21</v>
      </c>
      <c r="J133" s="9">
        <v>4</v>
      </c>
      <c r="K133" s="9">
        <v>4.5</v>
      </c>
      <c r="L133" s="9">
        <v>3.5</v>
      </c>
      <c r="M133" s="9">
        <v>4.5</v>
      </c>
      <c r="N133" s="9">
        <v>4.5</v>
      </c>
      <c r="O133" s="9">
        <v>3.5</v>
      </c>
      <c r="P133" s="9">
        <v>5</v>
      </c>
      <c r="Q133" t="s">
        <v>312</v>
      </c>
      <c r="R133" s="9">
        <v>117</v>
      </c>
      <c r="S133" t="str">
        <f xml:space="preserve"> HYPERLINK("ReviewHtml/review_Wolf_Children.html", "https://2danicritic.github.io/ReviewHtml/review_Wolf_Children.html")</f>
        <v>https://2danicritic.github.io/ReviewHtml/review_Wolf_Children.html</v>
      </c>
    </row>
    <row r="134" spans="2:19" hidden="1" x14ac:dyDescent="0.35">
      <c r="B134">
        <v>296</v>
      </c>
      <c r="C134" t="s">
        <v>1173</v>
      </c>
      <c r="D134" s="9">
        <v>2016</v>
      </c>
      <c r="E134" t="s">
        <v>1225</v>
      </c>
      <c r="F134" t="s">
        <v>1174</v>
      </c>
      <c r="G134" t="s">
        <v>1192</v>
      </c>
      <c r="H134" t="s">
        <v>1175</v>
      </c>
      <c r="I134" s="9">
        <v>3.14</v>
      </c>
      <c r="J134" s="9">
        <v>2</v>
      </c>
      <c r="K134" s="9">
        <v>2</v>
      </c>
      <c r="L134" s="9">
        <v>2.5</v>
      </c>
      <c r="M134" s="9">
        <v>4</v>
      </c>
      <c r="N134" s="9">
        <v>4</v>
      </c>
      <c r="O134" s="9">
        <v>3.5</v>
      </c>
      <c r="P134" s="9">
        <v>4</v>
      </c>
      <c r="Q134" t="s">
        <v>114</v>
      </c>
      <c r="R134" s="9">
        <v>89</v>
      </c>
      <c r="S134" t="str">
        <f xml:space="preserve"> HYPERLINK("ReviewHtml/review_Window_Horses_-_The_Poetic_Persian_Epiphany_of_Rosie_Ming.html", "https://2danicritic.github.io/ReviewHtml/review_Window_Horses_-_The_Poetic_Persian_Epiphany_of_Rosie_Ming.html")</f>
        <v>https://2danicritic.github.io/ReviewHtml/review_Window_Horses_-_The_Poetic_Persian_Epiphany_of_Rosie_Ming.html</v>
      </c>
    </row>
    <row r="135" spans="2:19" hidden="1" x14ac:dyDescent="0.35">
      <c r="B135">
        <v>50</v>
      </c>
      <c r="C135" t="s">
        <v>762</v>
      </c>
      <c r="D135" s="9">
        <v>2011</v>
      </c>
      <c r="E135" t="s">
        <v>54</v>
      </c>
      <c r="F135" t="s">
        <v>657</v>
      </c>
      <c r="G135" t="s">
        <v>1192</v>
      </c>
      <c r="H135" t="s">
        <v>658</v>
      </c>
      <c r="I135" s="9">
        <v>3.57</v>
      </c>
      <c r="J135" s="9">
        <v>3.5</v>
      </c>
      <c r="K135" s="9">
        <v>4</v>
      </c>
      <c r="L135" s="9">
        <v>3.5</v>
      </c>
      <c r="M135" s="9">
        <v>3</v>
      </c>
      <c r="N135" s="9">
        <v>3.5</v>
      </c>
      <c r="O135" s="9">
        <v>3.5</v>
      </c>
      <c r="P135" s="9">
        <v>4</v>
      </c>
      <c r="Q135" t="s">
        <v>105</v>
      </c>
      <c r="R135" s="9">
        <v>116</v>
      </c>
      <c r="S135" t="str">
        <f xml:space="preserve"> HYPERLINK("ReviewHtml/review_Children_Who_Chase_Lost_Voices.html", "https://2danicritic.github.io/ReviewHtml/review_Children_Who_Chase_Lost_Voices.html")</f>
        <v>https://2danicritic.github.io/ReviewHtml/review_Children_Who_Chase_Lost_Voices.html</v>
      </c>
    </row>
    <row r="136" spans="2:19" x14ac:dyDescent="0.35">
      <c r="B136">
        <v>34</v>
      </c>
      <c r="C136" t="s">
        <v>726</v>
      </c>
      <c r="D136" s="9">
        <v>2010</v>
      </c>
      <c r="E136" t="s">
        <v>54</v>
      </c>
      <c r="F136" t="s">
        <v>720</v>
      </c>
      <c r="G136" t="s">
        <v>1193</v>
      </c>
      <c r="H136" t="s">
        <v>727</v>
      </c>
      <c r="I136" s="9">
        <v>3.07</v>
      </c>
      <c r="J136" s="9">
        <v>2.5</v>
      </c>
      <c r="K136" s="9">
        <v>3</v>
      </c>
      <c r="L136" s="9">
        <v>3.5</v>
      </c>
      <c r="M136" s="9">
        <v>3.5</v>
      </c>
      <c r="N136" s="9">
        <v>2.5</v>
      </c>
      <c r="O136" s="9">
        <v>3.5</v>
      </c>
      <c r="P136" s="9">
        <v>3</v>
      </c>
      <c r="Q136" t="s">
        <v>90</v>
      </c>
      <c r="R136" s="9">
        <v>450</v>
      </c>
      <c r="S136" t="str">
        <f xml:space="preserve"> HYPERLINK("ReviewHtml/review_Black_Butler_II.html", "https://2danicritic.github.io/ReviewHtml/review_Black_Butler_II.html")</f>
        <v>https://2danicritic.github.io/ReviewHtml/review_Black_Butler_II.html</v>
      </c>
    </row>
    <row r="137" spans="2:19" hidden="1" x14ac:dyDescent="0.35">
      <c r="B137">
        <v>13</v>
      </c>
      <c r="C137" t="s">
        <v>681</v>
      </c>
      <c r="D137" s="9">
        <v>2015</v>
      </c>
      <c r="E137" t="s">
        <v>1191</v>
      </c>
      <c r="F137" t="s">
        <v>682</v>
      </c>
      <c r="G137" t="s">
        <v>1192</v>
      </c>
      <c r="H137" t="s">
        <v>70</v>
      </c>
      <c r="I137" s="9">
        <v>3.5</v>
      </c>
      <c r="J137" s="9">
        <v>3.5</v>
      </c>
      <c r="K137" s="9">
        <v>4</v>
      </c>
      <c r="L137" s="9">
        <v>3</v>
      </c>
      <c r="M137" s="9">
        <v>3</v>
      </c>
      <c r="N137" s="9">
        <v>3.5</v>
      </c>
      <c r="O137" s="9">
        <v>3.5</v>
      </c>
      <c r="P137" s="9">
        <v>4</v>
      </c>
      <c r="Q137" t="s">
        <v>71</v>
      </c>
      <c r="R137" s="9">
        <v>106</v>
      </c>
      <c r="S137" t="str">
        <f xml:space="preserve"> HYPERLINK("ReviewHtml/review_April_and_the_Extraordinary_World.html", "https://2danicritic.github.io/ReviewHtml/review_April_and_the_Extraordinary_World.html")</f>
        <v>https://2danicritic.github.io/ReviewHtml/review_April_and_the_Extraordinary_World.html</v>
      </c>
    </row>
    <row r="138" spans="2:19" hidden="1" x14ac:dyDescent="0.35">
      <c r="B138">
        <v>85</v>
      </c>
      <c r="C138" t="s">
        <v>828</v>
      </c>
      <c r="D138" s="9">
        <v>2011</v>
      </c>
      <c r="E138" t="s">
        <v>54</v>
      </c>
      <c r="F138" t="s">
        <v>752</v>
      </c>
      <c r="G138" t="s">
        <v>1192</v>
      </c>
      <c r="H138" t="s">
        <v>829</v>
      </c>
      <c r="I138" s="9">
        <v>3.43</v>
      </c>
      <c r="J138" s="9">
        <v>3</v>
      </c>
      <c r="K138" s="9">
        <v>3.5</v>
      </c>
      <c r="L138" s="9">
        <v>3.5</v>
      </c>
      <c r="M138" s="9">
        <v>3.5</v>
      </c>
      <c r="N138" s="9">
        <v>3.5</v>
      </c>
      <c r="O138" s="9">
        <v>3</v>
      </c>
      <c r="P138" s="9">
        <v>4</v>
      </c>
      <c r="Q138" t="s">
        <v>140</v>
      </c>
      <c r="R138" s="9">
        <v>92</v>
      </c>
      <c r="S138" t="str">
        <f xml:space="preserve"> HYPERLINK("ReviewHtml/review_From_Up_On_Poppy_Hill.html", "https://2danicritic.github.io/ReviewHtml/review_From_Up_On_Poppy_Hill.html")</f>
        <v>https://2danicritic.github.io/ReviewHtml/review_From_Up_On_Poppy_Hill.html</v>
      </c>
    </row>
    <row r="139" spans="2:19" x14ac:dyDescent="0.35">
      <c r="B139">
        <v>36</v>
      </c>
      <c r="C139" t="s">
        <v>730</v>
      </c>
      <c r="D139" s="9">
        <v>2010</v>
      </c>
      <c r="E139" t="s">
        <v>54</v>
      </c>
      <c r="F139" t="s">
        <v>699</v>
      </c>
      <c r="G139" t="s">
        <v>88</v>
      </c>
      <c r="H139" t="s">
        <v>729</v>
      </c>
      <c r="I139" s="9">
        <v>3.57</v>
      </c>
      <c r="J139" s="9">
        <v>3</v>
      </c>
      <c r="K139" s="9">
        <v>3</v>
      </c>
      <c r="L139" s="9">
        <v>4.5</v>
      </c>
      <c r="M139" s="9">
        <v>4.5</v>
      </c>
      <c r="N139" s="9">
        <v>2.5</v>
      </c>
      <c r="O139" s="9">
        <v>3.5</v>
      </c>
      <c r="P139" s="9">
        <v>4</v>
      </c>
      <c r="Q139" t="s">
        <v>91</v>
      </c>
      <c r="R139" s="9">
        <v>175</v>
      </c>
      <c r="S139" t="str">
        <f xml:space="preserve"> HYPERLINK("ReviewHtml/review_Black_Lagoon_-_Roberta's_Blood_Trail.html", "https://2danicritic.github.io/ReviewHtml/review_Black_Lagoon_-_Roberta's_Blood_Trail.html")</f>
        <v>https://2danicritic.github.io/ReviewHtml/review_Black_Lagoon_-_Roberta's_Blood_Trail.html</v>
      </c>
    </row>
    <row r="140" spans="2:19" hidden="1" x14ac:dyDescent="0.35">
      <c r="B140">
        <v>103</v>
      </c>
      <c r="C140" t="s">
        <v>158</v>
      </c>
      <c r="D140" s="9">
        <v>2011</v>
      </c>
      <c r="E140" t="s">
        <v>54</v>
      </c>
      <c r="F140" t="s">
        <v>755</v>
      </c>
      <c r="G140" t="s">
        <v>1192</v>
      </c>
      <c r="H140" t="s">
        <v>159</v>
      </c>
      <c r="I140" s="9">
        <v>2.21</v>
      </c>
      <c r="J140" s="9">
        <v>2.5</v>
      </c>
      <c r="K140" s="9">
        <v>3.5</v>
      </c>
      <c r="L140" s="9">
        <v>2.5</v>
      </c>
      <c r="M140" s="9">
        <v>2.5</v>
      </c>
      <c r="N140" s="9">
        <v>1.5</v>
      </c>
      <c r="O140" s="9">
        <v>2</v>
      </c>
      <c r="P140" s="9">
        <v>1</v>
      </c>
      <c r="Q140" t="s">
        <v>160</v>
      </c>
      <c r="R140" s="9">
        <v>97</v>
      </c>
      <c r="S140" t="str">
        <f xml:space="preserve"> HYPERLINK("ReviewHtml/review_Heaven's_Lost_Property_the_Movie_-_The_Angeloid_of_Clockwork.html", "https://2danicritic.github.io/ReviewHtml/review_Heaven's_Lost_Property_the_Movie_-_The_Angeloid_of_Clockwork.html")</f>
        <v>https://2danicritic.github.io/ReviewHtml/review_Heaven's_Lost_Property_the_Movie_-_The_Angeloid_of_Clockwork.html</v>
      </c>
    </row>
    <row r="141" spans="2:19" x14ac:dyDescent="0.35">
      <c r="B141">
        <v>47</v>
      </c>
      <c r="C141" t="s">
        <v>754</v>
      </c>
      <c r="D141" s="9">
        <v>2010</v>
      </c>
      <c r="E141" t="s">
        <v>54</v>
      </c>
      <c r="F141" t="s">
        <v>755</v>
      </c>
      <c r="G141" t="s">
        <v>1193</v>
      </c>
      <c r="H141" t="s">
        <v>756</v>
      </c>
      <c r="I141" s="9">
        <v>3.43</v>
      </c>
      <c r="J141" s="9">
        <v>3</v>
      </c>
      <c r="K141" s="9">
        <v>3.5</v>
      </c>
      <c r="L141" s="9">
        <v>3.5</v>
      </c>
      <c r="M141" s="9">
        <v>3.5</v>
      </c>
      <c r="N141" s="9">
        <v>2.5</v>
      </c>
      <c r="O141" s="9">
        <v>4</v>
      </c>
      <c r="P141" s="9">
        <v>4</v>
      </c>
      <c r="Q141" t="s">
        <v>102</v>
      </c>
      <c r="R141" s="9">
        <v>325</v>
      </c>
      <c r="S141" t="str">
        <f xml:space="preserve"> HYPERLINK("ReviewHtml/review_Cat_Planet_Cuties.html", "https://2danicritic.github.io/ReviewHtml/review_Cat_Planet_Cuties.html")</f>
        <v>https://2danicritic.github.io/ReviewHtml/review_Cat_Planet_Cuties.html</v>
      </c>
    </row>
    <row r="142" spans="2:19" hidden="1" x14ac:dyDescent="0.35">
      <c r="B142">
        <v>251</v>
      </c>
      <c r="C142" t="s">
        <v>1108</v>
      </c>
      <c r="D142" s="9">
        <v>2011</v>
      </c>
      <c r="E142" t="s">
        <v>54</v>
      </c>
      <c r="F142" t="s">
        <v>1109</v>
      </c>
      <c r="G142" t="s">
        <v>1192</v>
      </c>
      <c r="H142" t="s">
        <v>1110</v>
      </c>
      <c r="I142" s="9">
        <v>2.21</v>
      </c>
      <c r="J142" s="9">
        <v>3.5</v>
      </c>
      <c r="K142" s="9">
        <v>2</v>
      </c>
      <c r="L142" s="9">
        <v>2</v>
      </c>
      <c r="M142" s="9">
        <v>2</v>
      </c>
      <c r="N142" s="9">
        <v>2</v>
      </c>
      <c r="O142" s="9">
        <v>2</v>
      </c>
      <c r="P142" s="9">
        <v>2</v>
      </c>
      <c r="Q142" t="s">
        <v>211</v>
      </c>
      <c r="R142" s="9">
        <v>98</v>
      </c>
      <c r="S142" t="str">
        <f xml:space="preserve"> HYPERLINK("ReviewHtml/review_The_Legend_of_the_Millennium_Dragon.html", "https://2danicritic.github.io/ReviewHtml/review_The_Legend_of_the_Millennium_Dragon.html")</f>
        <v>https://2danicritic.github.io/ReviewHtml/review_The_Legend_of_the_Millennium_Dragon.html</v>
      </c>
    </row>
    <row r="143" spans="2:19" hidden="1" x14ac:dyDescent="0.35">
      <c r="B143">
        <v>261</v>
      </c>
      <c r="C143" t="s">
        <v>1122</v>
      </c>
      <c r="D143" s="9">
        <v>2011</v>
      </c>
      <c r="E143" t="s">
        <v>54</v>
      </c>
      <c r="F143" t="s">
        <v>699</v>
      </c>
      <c r="G143" t="s">
        <v>1192</v>
      </c>
      <c r="H143" t="s">
        <v>1123</v>
      </c>
      <c r="I143" s="9">
        <v>3.07</v>
      </c>
      <c r="J143" s="9">
        <v>3</v>
      </c>
      <c r="K143" s="9">
        <v>3.5</v>
      </c>
      <c r="L143" s="9">
        <v>3</v>
      </c>
      <c r="M143" s="9">
        <v>3</v>
      </c>
      <c r="N143" s="9">
        <v>3</v>
      </c>
      <c r="O143" s="9">
        <v>3</v>
      </c>
      <c r="P143" s="9">
        <v>3</v>
      </c>
      <c r="Q143" t="s">
        <v>285</v>
      </c>
      <c r="R143" s="9">
        <v>100</v>
      </c>
      <c r="S143" t="str">
        <f xml:space="preserve"> HYPERLINK("ReviewHtml/review_The_Princess_and_the_Pilot.html", "https://2danicritic.github.io/ReviewHtml/review_The_Princess_and_the_Pilot.html")</f>
        <v>https://2danicritic.github.io/ReviewHtml/review_The_Princess_and_the_Pilot.html</v>
      </c>
    </row>
    <row r="144" spans="2:19" hidden="1" x14ac:dyDescent="0.35">
      <c r="B144">
        <v>281</v>
      </c>
      <c r="C144" t="s">
        <v>1148</v>
      </c>
      <c r="D144" s="9">
        <v>2011</v>
      </c>
      <c r="E144" t="s">
        <v>54</v>
      </c>
      <c r="F144" t="s">
        <v>739</v>
      </c>
      <c r="G144" t="s">
        <v>1192</v>
      </c>
      <c r="H144" t="s">
        <v>796</v>
      </c>
      <c r="I144" s="9">
        <v>1.5</v>
      </c>
      <c r="J144" s="9">
        <v>1.5</v>
      </c>
      <c r="K144" s="9">
        <v>2</v>
      </c>
      <c r="L144" s="9">
        <v>1.5</v>
      </c>
      <c r="M144" s="9">
        <v>1.5</v>
      </c>
      <c r="N144" s="9">
        <v>1.5</v>
      </c>
      <c r="O144" s="9">
        <v>1.5</v>
      </c>
      <c r="P144" s="9">
        <v>1</v>
      </c>
      <c r="Q144" t="s">
        <v>303</v>
      </c>
      <c r="R144" s="9">
        <v>300</v>
      </c>
      <c r="S144" t="str">
        <f xml:space="preserve"> HYPERLINK("ReviewHtml/review_Towanoquon.html", "https://2danicritic.github.io/ReviewHtml/review_Towanoquon.html")</f>
        <v>https://2danicritic.github.io/ReviewHtml/review_Towanoquon.html</v>
      </c>
    </row>
    <row r="145" spans="2:19" hidden="1" x14ac:dyDescent="0.35">
      <c r="B145">
        <v>56</v>
      </c>
      <c r="C145" t="s">
        <v>770</v>
      </c>
      <c r="D145" s="9">
        <v>2010</v>
      </c>
      <c r="E145" t="s">
        <v>54</v>
      </c>
      <c r="F145" t="s">
        <v>771</v>
      </c>
      <c r="G145" t="s">
        <v>1192</v>
      </c>
      <c r="H145" t="s">
        <v>772</v>
      </c>
      <c r="I145" s="9">
        <v>3.5</v>
      </c>
      <c r="J145" s="9">
        <v>3.5</v>
      </c>
      <c r="K145" s="9">
        <v>4</v>
      </c>
      <c r="L145" s="9">
        <v>3.5</v>
      </c>
      <c r="M145" s="9">
        <v>2.5</v>
      </c>
      <c r="N145" s="9">
        <v>4.5</v>
      </c>
      <c r="O145" s="9">
        <v>2.5</v>
      </c>
      <c r="P145" s="9">
        <v>4</v>
      </c>
      <c r="Q145" t="s">
        <v>112</v>
      </c>
      <c r="R145" s="9">
        <v>127</v>
      </c>
      <c r="S145" t="str">
        <f xml:space="preserve"> HYPERLINK("ReviewHtml/review_Colorful_-_The_Motion_Picture.html", "https://2danicritic.github.io/ReviewHtml/review_Colorful_-_The_Motion_Picture.html")</f>
        <v>https://2danicritic.github.io/ReviewHtml/review_Colorful_-_The_Motion_Picture.html</v>
      </c>
    </row>
    <row r="146" spans="2:19" x14ac:dyDescent="0.35">
      <c r="B146">
        <v>61</v>
      </c>
      <c r="C146" t="s">
        <v>781</v>
      </c>
      <c r="D146" s="9">
        <v>2010</v>
      </c>
      <c r="E146" t="s">
        <v>54</v>
      </c>
      <c r="F146" t="s">
        <v>694</v>
      </c>
      <c r="G146" t="s">
        <v>1193</v>
      </c>
      <c r="H146" t="s">
        <v>782</v>
      </c>
      <c r="I146" s="9">
        <v>3.14</v>
      </c>
      <c r="J146" s="9">
        <v>3</v>
      </c>
      <c r="K146" s="9">
        <v>3.5</v>
      </c>
      <c r="L146" s="9">
        <v>2</v>
      </c>
      <c r="M146" s="9">
        <v>3</v>
      </c>
      <c r="N146" s="9">
        <v>4</v>
      </c>
      <c r="O146" s="9">
        <v>3.5</v>
      </c>
      <c r="P146" s="9">
        <v>3</v>
      </c>
      <c r="Q146" t="s">
        <v>117</v>
      </c>
      <c r="R146" s="9">
        <v>300</v>
      </c>
      <c r="S146" t="str">
        <f xml:space="preserve"> HYPERLINK("ReviewHtml/review_Dance_in_the_Vampire_Bund.html", "https://2danicritic.github.io/ReviewHtml/review_Dance_in_the_Vampire_Bund.html")</f>
        <v>https://2danicritic.github.io/ReviewHtml/review_Dance_in_the_Vampire_Bund.html</v>
      </c>
    </row>
    <row r="147" spans="2:19" hidden="1" x14ac:dyDescent="0.35">
      <c r="B147">
        <v>62</v>
      </c>
      <c r="C147" t="s">
        <v>783</v>
      </c>
      <c r="D147" s="9">
        <v>2010</v>
      </c>
      <c r="E147" t="s">
        <v>54</v>
      </c>
      <c r="F147" t="s">
        <v>118</v>
      </c>
      <c r="G147" t="s">
        <v>1192</v>
      </c>
      <c r="H147" t="s">
        <v>119</v>
      </c>
      <c r="I147" s="9">
        <v>2.4300000000000002</v>
      </c>
      <c r="J147" s="9">
        <v>2</v>
      </c>
      <c r="K147" s="9">
        <v>3.5</v>
      </c>
      <c r="L147" s="9">
        <v>3</v>
      </c>
      <c r="M147" s="9">
        <v>2.5</v>
      </c>
      <c r="N147" s="9">
        <v>2</v>
      </c>
      <c r="O147" s="9">
        <v>2</v>
      </c>
      <c r="P147" s="9">
        <v>2</v>
      </c>
      <c r="Q147" t="s">
        <v>120</v>
      </c>
      <c r="R147" s="9">
        <v>88</v>
      </c>
      <c r="S147" t="str">
        <f xml:space="preserve"> HYPERLINK("ReviewHtml/review_Dante's_Inferno_-_An_Animated_Epic.html", "https://2danicritic.github.io/ReviewHtml/review_Dante's_Inferno_-_An_Animated_Epic.html")</f>
        <v>https://2danicritic.github.io/ReviewHtml/review_Dante's_Inferno_-_An_Animated_Epic.html</v>
      </c>
    </row>
    <row r="148" spans="2:19" hidden="1" x14ac:dyDescent="0.35">
      <c r="B148">
        <v>132</v>
      </c>
      <c r="C148" t="s">
        <v>910</v>
      </c>
      <c r="D148" s="9">
        <v>2010</v>
      </c>
      <c r="E148" t="s">
        <v>54</v>
      </c>
      <c r="F148" t="s">
        <v>911</v>
      </c>
      <c r="G148" t="s">
        <v>1192</v>
      </c>
      <c r="H148" t="s">
        <v>912</v>
      </c>
      <c r="I148" s="9">
        <v>2.4300000000000002</v>
      </c>
      <c r="J148" s="9">
        <v>2.5</v>
      </c>
      <c r="K148" s="9">
        <v>3</v>
      </c>
      <c r="L148" s="9">
        <v>2.5</v>
      </c>
      <c r="M148" s="9">
        <v>2</v>
      </c>
      <c r="N148" s="9">
        <v>2</v>
      </c>
      <c r="O148" s="9">
        <v>3</v>
      </c>
      <c r="P148" s="9">
        <v>2</v>
      </c>
      <c r="Q148" t="s">
        <v>143</v>
      </c>
      <c r="R148" s="9">
        <v>99</v>
      </c>
      <c r="S148" t="str">
        <f xml:space="preserve"> HYPERLINK("ReviewHtml/review_Loups=Garous.html", "https://2danicritic.github.io/ReviewHtml/review_Loups=Garous.html")</f>
        <v>https://2danicritic.github.io/ReviewHtml/review_Loups=Garous.html</v>
      </c>
    </row>
    <row r="149" spans="2:19" hidden="1" x14ac:dyDescent="0.35">
      <c r="B149">
        <v>238</v>
      </c>
      <c r="C149" t="s">
        <v>1084</v>
      </c>
      <c r="D149" s="9">
        <v>2010</v>
      </c>
      <c r="E149" t="s">
        <v>54</v>
      </c>
      <c r="F149" t="s">
        <v>663</v>
      </c>
      <c r="G149" t="s">
        <v>1192</v>
      </c>
      <c r="H149" t="s">
        <v>267</v>
      </c>
      <c r="I149" s="9">
        <v>3.71</v>
      </c>
      <c r="J149" s="9">
        <v>4</v>
      </c>
      <c r="K149" s="9">
        <v>4</v>
      </c>
      <c r="L149" s="9">
        <v>4</v>
      </c>
      <c r="M149" s="9">
        <v>3.5</v>
      </c>
      <c r="N149" s="9">
        <v>3.5</v>
      </c>
      <c r="O149" s="9">
        <v>3</v>
      </c>
      <c r="P149" s="9">
        <v>4</v>
      </c>
      <c r="Q149" t="s">
        <v>268</v>
      </c>
      <c r="R149" s="9">
        <v>162</v>
      </c>
      <c r="S149" t="str">
        <f xml:space="preserve"> HYPERLINK("ReviewHtml/review_The_Disappearance_of_Haruhi_Suzumiya.html", "https://2danicritic.github.io/ReviewHtml/review_The_Disappearance_of_Haruhi_Suzumiya.html")</f>
        <v>https://2danicritic.github.io/ReviewHtml/review_The_Disappearance_of_Haruhi_Suzumiya.html</v>
      </c>
    </row>
    <row r="150" spans="2:19" hidden="1" x14ac:dyDescent="0.35">
      <c r="B150">
        <v>267</v>
      </c>
      <c r="C150" t="s">
        <v>1130</v>
      </c>
      <c r="D150" s="9">
        <v>2010</v>
      </c>
      <c r="E150" t="s">
        <v>54</v>
      </c>
      <c r="F150" t="s">
        <v>752</v>
      </c>
      <c r="G150" t="s">
        <v>1192</v>
      </c>
      <c r="H150" t="s">
        <v>198</v>
      </c>
      <c r="I150" s="9">
        <v>3.43</v>
      </c>
      <c r="J150" s="9">
        <v>3.5</v>
      </c>
      <c r="K150" s="9">
        <v>4</v>
      </c>
      <c r="L150" s="9">
        <v>4</v>
      </c>
      <c r="M150" s="9">
        <v>3.5</v>
      </c>
      <c r="N150" s="9">
        <v>2.5</v>
      </c>
      <c r="O150" s="9">
        <v>2.5</v>
      </c>
      <c r="P150" s="9">
        <v>4</v>
      </c>
      <c r="Q150" t="s">
        <v>199</v>
      </c>
      <c r="R150" s="9">
        <v>95</v>
      </c>
      <c r="S150" t="str">
        <f xml:space="preserve"> HYPERLINK("ReviewHtml/review_The_Secret_World_of_Arrietty.html", "https://2danicritic.github.io/ReviewHtml/review_The_Secret_World_of_Arrietty.html")</f>
        <v>https://2danicritic.github.io/ReviewHtml/review_The_Secret_World_of_Arrietty.html</v>
      </c>
    </row>
    <row r="151" spans="2:19" x14ac:dyDescent="0.35">
      <c r="B151">
        <v>109</v>
      </c>
      <c r="C151" t="s">
        <v>867</v>
      </c>
      <c r="D151" s="9">
        <v>2010</v>
      </c>
      <c r="E151" t="s">
        <v>54</v>
      </c>
      <c r="F151" t="s">
        <v>699</v>
      </c>
      <c r="G151" t="s">
        <v>1193</v>
      </c>
      <c r="H151" t="s">
        <v>788</v>
      </c>
      <c r="I151" s="9">
        <v>4.07</v>
      </c>
      <c r="J151" s="9">
        <v>3.5</v>
      </c>
      <c r="K151" s="9">
        <v>4.5</v>
      </c>
      <c r="L151" s="9">
        <v>3.5</v>
      </c>
      <c r="M151" s="9">
        <v>4</v>
      </c>
      <c r="N151" s="9">
        <v>3</v>
      </c>
      <c r="O151" s="9">
        <v>5</v>
      </c>
      <c r="P151" s="9">
        <v>5</v>
      </c>
      <c r="Q151" t="s">
        <v>166</v>
      </c>
      <c r="R151" s="9">
        <v>300</v>
      </c>
      <c r="S151" t="str">
        <f xml:space="preserve"> HYPERLINK("ReviewHtml/review_Highschool_of_the_Dead.html", "https://2danicritic.github.io/ReviewHtml/review_Highschool_of_the_Dead.html")</f>
        <v>https://2danicritic.github.io/ReviewHtml/review_Highschool_of_the_Dead.html</v>
      </c>
    </row>
    <row r="152" spans="2:19" hidden="1" x14ac:dyDescent="0.35">
      <c r="B152">
        <v>275</v>
      </c>
      <c r="C152" t="s">
        <v>1141</v>
      </c>
      <c r="D152" s="9">
        <v>2010</v>
      </c>
      <c r="E152" t="s">
        <v>54</v>
      </c>
      <c r="F152" t="s">
        <v>1142</v>
      </c>
      <c r="G152" t="s">
        <v>1192</v>
      </c>
      <c r="H152" t="s">
        <v>1143</v>
      </c>
      <c r="I152" s="9">
        <v>3.5</v>
      </c>
      <c r="J152" s="9">
        <v>4</v>
      </c>
      <c r="K152" s="9">
        <v>3.5</v>
      </c>
      <c r="L152" s="9">
        <v>3.5</v>
      </c>
      <c r="M152" s="9">
        <v>3.5</v>
      </c>
      <c r="N152" s="9">
        <v>3.5</v>
      </c>
      <c r="O152" s="9">
        <v>3</v>
      </c>
      <c r="P152" s="9">
        <v>3.5</v>
      </c>
      <c r="Q152" t="s">
        <v>299</v>
      </c>
      <c r="R152" s="9">
        <v>0</v>
      </c>
      <c r="S152" t="str">
        <f xml:space="preserve"> HYPERLINK("ReviewHtml/review_Time_of_Eve.html", "https://2danicritic.github.io/ReviewHtml/review_Time_of_Eve.html")</f>
        <v>https://2danicritic.github.io/ReviewHtml/review_Time_of_Eve.html</v>
      </c>
    </row>
    <row r="153" spans="2:19" x14ac:dyDescent="0.35">
      <c r="B153">
        <v>187</v>
      </c>
      <c r="C153" t="s">
        <v>1002</v>
      </c>
      <c r="D153" s="9">
        <v>2010</v>
      </c>
      <c r="E153" t="s">
        <v>54</v>
      </c>
      <c r="F153" t="s">
        <v>970</v>
      </c>
      <c r="G153" t="s">
        <v>1193</v>
      </c>
      <c r="H153" t="s">
        <v>900</v>
      </c>
      <c r="I153" s="9">
        <v>3.36</v>
      </c>
      <c r="J153" s="9">
        <v>3</v>
      </c>
      <c r="K153" s="9">
        <v>3</v>
      </c>
      <c r="L153" s="9">
        <v>3.5</v>
      </c>
      <c r="M153" s="9">
        <v>4.5</v>
      </c>
      <c r="N153" s="9">
        <v>2.5</v>
      </c>
      <c r="O153" s="9">
        <v>3.5</v>
      </c>
      <c r="P153" s="9">
        <v>3.5</v>
      </c>
      <c r="Q153" t="s">
        <v>224</v>
      </c>
      <c r="R153" s="9">
        <v>325</v>
      </c>
      <c r="S153" t="str">
        <f xml:space="preserve"> HYPERLINK("ReviewHtml/review_Panty_and_Stocking_with_Garterbelt.html", "https://2danicritic.github.io/ReviewHtml/review_Panty_and_Stocking_with_Garterbelt.html")</f>
        <v>https://2danicritic.github.io/ReviewHtml/review_Panty_and_Stocking_with_Garterbelt.html</v>
      </c>
    </row>
    <row r="154" spans="2:19" x14ac:dyDescent="0.35">
      <c r="B154">
        <v>18</v>
      </c>
      <c r="C154" t="s">
        <v>693</v>
      </c>
      <c r="D154" s="9">
        <v>2009</v>
      </c>
      <c r="E154" t="s">
        <v>54</v>
      </c>
      <c r="F154" t="s">
        <v>694</v>
      </c>
      <c r="G154" t="s">
        <v>1193</v>
      </c>
      <c r="H154" t="s">
        <v>76</v>
      </c>
      <c r="I154" s="9">
        <v>4.29</v>
      </c>
      <c r="J154" s="9">
        <v>4</v>
      </c>
      <c r="K154" s="9">
        <v>4.5</v>
      </c>
      <c r="L154" s="9">
        <v>4.5</v>
      </c>
      <c r="M154" s="9">
        <v>4</v>
      </c>
      <c r="N154" s="9">
        <v>4</v>
      </c>
      <c r="O154" s="9">
        <v>4</v>
      </c>
      <c r="P154" s="9">
        <v>5</v>
      </c>
      <c r="Q154" t="s">
        <v>77</v>
      </c>
      <c r="R154" s="9">
        <v>375</v>
      </c>
      <c r="S154" t="str">
        <f xml:space="preserve"> HYPERLINK("ReviewHtml/review_Bakemonogatari.html", "https://2danicritic.github.io/ReviewHtml/review_Bakemonogatari.html")</f>
        <v>https://2danicritic.github.io/ReviewHtml/review_Bakemonogatari.html</v>
      </c>
    </row>
    <row r="155" spans="2:19" hidden="1" x14ac:dyDescent="0.35">
      <c r="B155">
        <v>28</v>
      </c>
      <c r="C155" t="s">
        <v>714</v>
      </c>
      <c r="D155" s="9">
        <v>2015</v>
      </c>
      <c r="E155" t="s">
        <v>1198</v>
      </c>
      <c r="F155" t="s">
        <v>715</v>
      </c>
      <c r="G155" t="s">
        <v>1192</v>
      </c>
      <c r="H155" t="s">
        <v>84</v>
      </c>
      <c r="I155" s="9">
        <v>2.86</v>
      </c>
      <c r="J155" s="9">
        <v>3</v>
      </c>
      <c r="K155" s="9">
        <v>3.5</v>
      </c>
      <c r="L155" s="9">
        <v>3</v>
      </c>
      <c r="M155" s="9">
        <v>3</v>
      </c>
      <c r="N155" s="9">
        <v>3</v>
      </c>
      <c r="O155" s="9">
        <v>2.5</v>
      </c>
      <c r="P155" s="9">
        <v>2</v>
      </c>
      <c r="Q155" t="s">
        <v>85</v>
      </c>
      <c r="R155" s="9">
        <v>76</v>
      </c>
      <c r="S155" t="str">
        <f xml:space="preserve"> HYPERLINK("ReviewHtml/review_Birdboy_-_The_Forgotten_Children.html", "https://2danicritic.github.io/ReviewHtml/review_Birdboy_-_The_Forgotten_Children.html")</f>
        <v>https://2danicritic.github.io/ReviewHtml/review_Birdboy_-_The_Forgotten_Children.html</v>
      </c>
    </row>
    <row r="156" spans="2:19" hidden="1" x14ac:dyDescent="0.35">
      <c r="B156">
        <v>283</v>
      </c>
      <c r="C156" t="s">
        <v>1151</v>
      </c>
      <c r="D156" s="9">
        <v>2010</v>
      </c>
      <c r="E156" t="s">
        <v>54</v>
      </c>
      <c r="F156" t="s">
        <v>699</v>
      </c>
      <c r="G156" t="s">
        <v>1192</v>
      </c>
      <c r="H156" t="s">
        <v>1150</v>
      </c>
      <c r="I156" s="9">
        <v>3.64</v>
      </c>
      <c r="J156" s="9">
        <v>3.5</v>
      </c>
      <c r="K156" s="9">
        <v>3.5</v>
      </c>
      <c r="L156" s="9">
        <v>3.5</v>
      </c>
      <c r="M156" s="9">
        <v>4</v>
      </c>
      <c r="N156" s="9">
        <v>3.5</v>
      </c>
      <c r="O156" s="9">
        <v>3.5</v>
      </c>
      <c r="P156" s="9">
        <v>4</v>
      </c>
      <c r="Q156" t="s">
        <v>192</v>
      </c>
      <c r="R156" s="9">
        <v>90</v>
      </c>
      <c r="S156" t="str">
        <f xml:space="preserve"> HYPERLINK("ReviewHtml/review_Trigun_-_Badlands_Rumble.html", "https://2danicritic.github.io/ReviewHtml/review_Trigun_-_Badlands_Rumble.html")</f>
        <v>https://2danicritic.github.io/ReviewHtml/review_Trigun_-_Badlands_Rumble.html</v>
      </c>
    </row>
    <row r="157" spans="2:19" hidden="1" x14ac:dyDescent="0.35">
      <c r="B157">
        <v>6</v>
      </c>
      <c r="C157" t="s">
        <v>670</v>
      </c>
      <c r="D157" s="9">
        <v>2009</v>
      </c>
      <c r="E157" t="s">
        <v>54</v>
      </c>
      <c r="F157" t="s">
        <v>669</v>
      </c>
      <c r="G157" t="s">
        <v>1192</v>
      </c>
      <c r="H157" t="s">
        <v>64</v>
      </c>
      <c r="I157" s="9">
        <v>3.93</v>
      </c>
      <c r="J157" s="9">
        <v>4</v>
      </c>
      <c r="K157" s="9">
        <v>4.5</v>
      </c>
      <c r="L157" s="9">
        <v>4.5</v>
      </c>
      <c r="M157" s="9">
        <v>4</v>
      </c>
      <c r="N157" s="9">
        <v>3</v>
      </c>
      <c r="O157" s="9">
        <v>3.5</v>
      </c>
      <c r="P157" s="9">
        <v>4</v>
      </c>
      <c r="Q157" t="s">
        <v>66</v>
      </c>
      <c r="R157" s="9">
        <v>100</v>
      </c>
      <c r="S157" t="str">
        <f xml:space="preserve"> HYPERLINK("ReviewHtml/review_Afro_Samurai_-_Resurrection.html", "https://2danicritic.github.io/ReviewHtml/review_Afro_Samurai_-_Resurrection.html")</f>
        <v>https://2danicritic.github.io/ReviewHtml/review_Afro_Samurai_-_Resurrection.html</v>
      </c>
    </row>
    <row r="158" spans="2:19" x14ac:dyDescent="0.35">
      <c r="B158">
        <v>45</v>
      </c>
      <c r="C158" t="s">
        <v>749</v>
      </c>
      <c r="D158" s="9">
        <v>2009</v>
      </c>
      <c r="E158" t="s">
        <v>54</v>
      </c>
      <c r="F158" t="s">
        <v>679</v>
      </c>
      <c r="G158" t="s">
        <v>1193</v>
      </c>
      <c r="H158" t="s">
        <v>750</v>
      </c>
      <c r="I158" s="9">
        <v>3.14</v>
      </c>
      <c r="J158" s="9">
        <v>3.5</v>
      </c>
      <c r="K158" s="9">
        <v>3.5</v>
      </c>
      <c r="L158" s="9">
        <v>3</v>
      </c>
      <c r="M158" s="9">
        <v>2.5</v>
      </c>
      <c r="N158" s="9">
        <v>2.5</v>
      </c>
      <c r="O158" s="9">
        <v>3</v>
      </c>
      <c r="P158" s="9">
        <v>4</v>
      </c>
      <c r="Q158" t="s">
        <v>100</v>
      </c>
      <c r="R158" s="9">
        <v>325</v>
      </c>
      <c r="S158" t="str">
        <f xml:space="preserve"> HYPERLINK("ReviewHtml/review_Canaan.html", "https://2danicritic.github.io/ReviewHtml/review_Canaan.html")</f>
        <v>https://2danicritic.github.io/ReviewHtml/review_Canaan.html</v>
      </c>
    </row>
    <row r="159" spans="2:19" hidden="1" x14ac:dyDescent="0.35">
      <c r="B159">
        <v>72</v>
      </c>
      <c r="C159" t="s">
        <v>807</v>
      </c>
      <c r="D159" s="9">
        <v>2009</v>
      </c>
      <c r="E159" t="s">
        <v>54</v>
      </c>
      <c r="F159" t="s">
        <v>736</v>
      </c>
      <c r="G159" t="s">
        <v>1192</v>
      </c>
      <c r="H159" t="s">
        <v>806</v>
      </c>
      <c r="I159" s="9">
        <v>3.29</v>
      </c>
      <c r="J159" s="9">
        <v>3.5</v>
      </c>
      <c r="K159" s="9">
        <v>3.5</v>
      </c>
      <c r="L159" s="9">
        <v>4</v>
      </c>
      <c r="M159" s="9">
        <v>3.5</v>
      </c>
      <c r="N159" s="9">
        <v>2.5</v>
      </c>
      <c r="O159" s="9">
        <v>3</v>
      </c>
      <c r="P159" s="9">
        <v>3</v>
      </c>
      <c r="Q159" t="s">
        <v>129</v>
      </c>
      <c r="R159" s="9">
        <v>180</v>
      </c>
      <c r="S159" t="str">
        <f xml:space="preserve"> HYPERLINK("ReviewHtml/review_Eden_of_the_East_-_The_King_of_Eden,_Paradise_Lost.html", "https://2danicritic.github.io/ReviewHtml/review_Eden_of_the_East_-_The_King_of_Eden,_Paradise_Lost.html")</f>
        <v>https://2danicritic.github.io/ReviewHtml/review_Eden_of_the_East_-_The_King_of_Eden,_Paradise_Lost.html</v>
      </c>
    </row>
    <row r="160" spans="2:19" x14ac:dyDescent="0.35">
      <c r="B160">
        <v>71</v>
      </c>
      <c r="C160" t="s">
        <v>805</v>
      </c>
      <c r="D160" s="9">
        <v>2009</v>
      </c>
      <c r="E160" t="s">
        <v>54</v>
      </c>
      <c r="F160" t="s">
        <v>736</v>
      </c>
      <c r="G160" t="s">
        <v>1193</v>
      </c>
      <c r="H160" t="s">
        <v>806</v>
      </c>
      <c r="I160" s="9">
        <v>4.21</v>
      </c>
      <c r="J160" s="9">
        <v>3.5</v>
      </c>
      <c r="K160" s="9">
        <v>4</v>
      </c>
      <c r="L160" s="9">
        <v>4.5</v>
      </c>
      <c r="M160" s="9">
        <v>3.5</v>
      </c>
      <c r="N160" s="9">
        <v>4.5</v>
      </c>
      <c r="O160" s="9">
        <v>4.5</v>
      </c>
      <c r="P160" s="9">
        <v>5</v>
      </c>
      <c r="Q160" t="s">
        <v>129</v>
      </c>
      <c r="R160" s="9">
        <v>275</v>
      </c>
      <c r="S160" t="str">
        <f xml:space="preserve"> HYPERLINK("ReviewHtml/review_Eden_of_the_East.html", "https://2danicritic.github.io/ReviewHtml/review_Eden_of_the_East.html")</f>
        <v>https://2danicritic.github.io/ReviewHtml/review_Eden_of_the_East.html</v>
      </c>
    </row>
    <row r="161" spans="2:19" x14ac:dyDescent="0.35">
      <c r="B161">
        <v>102</v>
      </c>
      <c r="C161" t="s">
        <v>857</v>
      </c>
      <c r="D161" s="9">
        <v>2009</v>
      </c>
      <c r="E161" t="s">
        <v>54</v>
      </c>
      <c r="F161" t="s">
        <v>755</v>
      </c>
      <c r="G161" t="s">
        <v>1193</v>
      </c>
      <c r="H161" t="s">
        <v>858</v>
      </c>
      <c r="I161" s="9">
        <v>2.86</v>
      </c>
      <c r="J161" s="9">
        <v>3</v>
      </c>
      <c r="K161" s="9">
        <v>3.5</v>
      </c>
      <c r="L161" s="9">
        <v>3</v>
      </c>
      <c r="M161" s="9">
        <v>2.5</v>
      </c>
      <c r="N161" s="9">
        <v>2.5</v>
      </c>
      <c r="O161" s="9">
        <v>2.5</v>
      </c>
      <c r="P161" s="9">
        <v>3</v>
      </c>
      <c r="Q161" t="s">
        <v>157</v>
      </c>
      <c r="R161" s="9">
        <v>650</v>
      </c>
      <c r="S161" t="str">
        <f xml:space="preserve"> HYPERLINK("ReviewHtml/review_Heaven's_Lost_Property.html", "https://2danicritic.github.io/ReviewHtml/review_Heaven's_Lost_Property.html")</f>
        <v>https://2danicritic.github.io/ReviewHtml/review_Heaven's_Lost_Property.html</v>
      </c>
    </row>
    <row r="162" spans="2:19" x14ac:dyDescent="0.35">
      <c r="B162">
        <v>107</v>
      </c>
      <c r="C162" t="s">
        <v>862</v>
      </c>
      <c r="D162" s="9">
        <v>2009</v>
      </c>
      <c r="E162" t="s">
        <v>54</v>
      </c>
      <c r="F162" t="s">
        <v>816</v>
      </c>
      <c r="G162" t="s">
        <v>1200</v>
      </c>
      <c r="H162" t="s">
        <v>863</v>
      </c>
      <c r="I162" s="9">
        <v>1.79</v>
      </c>
      <c r="J162" s="9">
        <v>1.5</v>
      </c>
      <c r="K162" s="9">
        <v>2</v>
      </c>
      <c r="L162" s="9">
        <v>2</v>
      </c>
      <c r="M162" s="9">
        <v>3</v>
      </c>
      <c r="N162" s="9">
        <v>1</v>
      </c>
      <c r="O162" s="9">
        <v>2</v>
      </c>
      <c r="P162" s="9">
        <v>1</v>
      </c>
      <c r="Q162" t="s">
        <v>165</v>
      </c>
      <c r="R162" s="9">
        <v>520</v>
      </c>
      <c r="S162" t="str">
        <f xml:space="preserve"> HYPERLINK("ReviewHtml/review_Hetalia_-_Season_1_and_2.html", "https://2danicritic.github.io/ReviewHtml/review_Hetalia_-_Season_1_and_2.html")</f>
        <v>https://2danicritic.github.io/ReviewHtml/review_Hetalia_-_Season_1_and_2.html</v>
      </c>
    </row>
    <row r="163" spans="2:19" hidden="1" x14ac:dyDescent="0.35">
      <c r="B163">
        <v>213</v>
      </c>
      <c r="C163" t="s">
        <v>1049</v>
      </c>
      <c r="D163" s="9">
        <v>2014</v>
      </c>
      <c r="E163" t="s">
        <v>1199</v>
      </c>
      <c r="F163" t="s">
        <v>1050</v>
      </c>
      <c r="G163" t="s">
        <v>1192</v>
      </c>
      <c r="H163" t="s">
        <v>1051</v>
      </c>
      <c r="I163" s="9">
        <v>2.93</v>
      </c>
      <c r="J163" s="9">
        <v>2.5</v>
      </c>
      <c r="K163" s="9">
        <v>3</v>
      </c>
      <c r="L163" s="9">
        <v>2.5</v>
      </c>
      <c r="M163" s="9">
        <v>3</v>
      </c>
      <c r="N163" s="9">
        <v>2.5</v>
      </c>
      <c r="O163" s="9">
        <v>3</v>
      </c>
      <c r="P163" s="9">
        <v>4</v>
      </c>
      <c r="Q163" t="s">
        <v>246</v>
      </c>
      <c r="R163" s="9">
        <v>81</v>
      </c>
      <c r="S163" t="str">
        <f xml:space="preserve"> HYPERLINK("ReviewHtml/review_Satellite_Girl_and_Milk_Cow.html", "https://2danicritic.github.io/ReviewHtml/review_Satellite_Girl_and_Milk_Cow.html")</f>
        <v>https://2danicritic.github.io/ReviewHtml/review_Satellite_Girl_and_Milk_Cow.html</v>
      </c>
    </row>
    <row r="164" spans="2:19" hidden="1" x14ac:dyDescent="0.35">
      <c r="B164">
        <v>219</v>
      </c>
      <c r="C164" t="s">
        <v>1059</v>
      </c>
      <c r="D164" s="9">
        <v>2014</v>
      </c>
      <c r="E164" t="s">
        <v>1232</v>
      </c>
      <c r="F164" t="s">
        <v>1060</v>
      </c>
      <c r="G164" t="s">
        <v>1192</v>
      </c>
      <c r="H164" t="s">
        <v>1061</v>
      </c>
      <c r="I164" s="9">
        <v>3.36</v>
      </c>
      <c r="J164" s="9">
        <v>3.5</v>
      </c>
      <c r="K164" s="9">
        <v>4.5</v>
      </c>
      <c r="L164" s="9">
        <v>4</v>
      </c>
      <c r="M164" s="9">
        <v>3.5</v>
      </c>
      <c r="N164" s="9">
        <v>2.5</v>
      </c>
      <c r="O164" s="9">
        <v>2.5</v>
      </c>
      <c r="P164" s="9">
        <v>3</v>
      </c>
      <c r="Q164" t="s">
        <v>351</v>
      </c>
      <c r="R164" s="9">
        <v>94</v>
      </c>
      <c r="S164" t="str">
        <f xml:space="preserve"> HYPERLINK("ReviewHtml/review_Song_of_the_Sea.html", "https://2danicritic.github.io/ReviewHtml/review_Song_of_the_Sea.html")</f>
        <v>https://2danicritic.github.io/ReviewHtml/review_Song_of_the_Sea.html</v>
      </c>
    </row>
    <row r="165" spans="2:19" hidden="1" x14ac:dyDescent="0.35">
      <c r="B165">
        <v>43</v>
      </c>
      <c r="C165" t="s">
        <v>744</v>
      </c>
      <c r="D165" s="9">
        <v>2013</v>
      </c>
      <c r="E165" t="s">
        <v>1201</v>
      </c>
      <c r="F165" t="s">
        <v>745</v>
      </c>
      <c r="G165" t="s">
        <v>1192</v>
      </c>
      <c r="H165" t="s">
        <v>746</v>
      </c>
      <c r="I165" s="9">
        <v>2.93</v>
      </c>
      <c r="J165" s="9">
        <v>3</v>
      </c>
      <c r="K165" s="9">
        <v>4</v>
      </c>
      <c r="L165" s="9">
        <v>2.5</v>
      </c>
      <c r="M165" s="9">
        <v>2.5</v>
      </c>
      <c r="N165" s="9">
        <v>3.5</v>
      </c>
      <c r="O165" s="9">
        <v>2</v>
      </c>
      <c r="P165" s="9">
        <v>3</v>
      </c>
      <c r="Q165" t="s">
        <v>99</v>
      </c>
      <c r="R165" s="9">
        <v>80</v>
      </c>
      <c r="S165" t="str">
        <f xml:space="preserve"> HYPERLINK("ReviewHtml/review_Boy_and_the_World.html", "https://2danicritic.github.io/ReviewHtml/review_Boy_and_the_World.html")</f>
        <v>https://2danicritic.github.io/ReviewHtml/review_Boy_and_the_World.html</v>
      </c>
    </row>
    <row r="166" spans="2:19" hidden="1" x14ac:dyDescent="0.35">
      <c r="B166">
        <v>76</v>
      </c>
      <c r="C166" t="s">
        <v>1280</v>
      </c>
      <c r="D166" s="9">
        <v>2009</v>
      </c>
      <c r="E166" t="s">
        <v>54</v>
      </c>
      <c r="F166" t="s">
        <v>1306</v>
      </c>
      <c r="G166" t="s">
        <v>1192</v>
      </c>
      <c r="H166" t="s">
        <v>1206</v>
      </c>
      <c r="I166" s="9">
        <v>4.57</v>
      </c>
      <c r="J166" s="9">
        <v>4.5</v>
      </c>
      <c r="K166" s="9">
        <v>4.5</v>
      </c>
      <c r="L166" s="9">
        <v>4.5</v>
      </c>
      <c r="M166" s="9">
        <v>4</v>
      </c>
      <c r="N166" s="9">
        <v>4.5</v>
      </c>
      <c r="O166" s="9">
        <v>5</v>
      </c>
      <c r="P166" s="9">
        <v>5</v>
      </c>
      <c r="Q166" t="s">
        <v>1207</v>
      </c>
      <c r="R166" s="9">
        <v>112</v>
      </c>
      <c r="S166" t="str">
        <f xml:space="preserve"> HYPERLINK("ReviewHtml/review_Evangelion_2.22_-_You_Can_(Not)_Advance.html", "https://2danicritic.github.io/ReviewHtml/review_Evangelion_2.22_-_You_Can_(Not)_Advance.html")</f>
        <v>https://2danicritic.github.io/ReviewHtml/review_Evangelion_2.22_-_You_Can_(Not)_Advance.html</v>
      </c>
    </row>
    <row r="167" spans="2:19" hidden="1" x14ac:dyDescent="0.35">
      <c r="B167">
        <v>206</v>
      </c>
      <c r="C167" t="s">
        <v>1033</v>
      </c>
      <c r="D167" s="9">
        <v>2009</v>
      </c>
      <c r="E167" t="s">
        <v>54</v>
      </c>
      <c r="F167" t="s">
        <v>1034</v>
      </c>
      <c r="G167" t="s">
        <v>1192</v>
      </c>
      <c r="H167" t="s">
        <v>1035</v>
      </c>
      <c r="I167" s="9">
        <v>4.3600000000000003</v>
      </c>
      <c r="J167" s="9">
        <v>4.5</v>
      </c>
      <c r="K167" s="9">
        <v>5</v>
      </c>
      <c r="L167" s="9">
        <v>5</v>
      </c>
      <c r="M167" s="9">
        <v>3.5</v>
      </c>
      <c r="N167" s="9">
        <v>3</v>
      </c>
      <c r="O167" s="9">
        <v>4.5</v>
      </c>
      <c r="P167" s="9">
        <v>5</v>
      </c>
      <c r="Q167" t="s">
        <v>242</v>
      </c>
      <c r="R167" s="9">
        <v>102</v>
      </c>
      <c r="S167" t="str">
        <f xml:space="preserve"> HYPERLINK("ReviewHtml/review_Redline.html", "https://2danicritic.github.io/ReviewHtml/review_Redline.html")</f>
        <v>https://2danicritic.github.io/ReviewHtml/review_Redline.html</v>
      </c>
    </row>
    <row r="168" spans="2:19" x14ac:dyDescent="0.35">
      <c r="B168">
        <v>254</v>
      </c>
      <c r="C168" t="s">
        <v>1114</v>
      </c>
      <c r="D168" s="9">
        <v>2009</v>
      </c>
      <c r="E168" t="s">
        <v>54</v>
      </c>
      <c r="F168" t="s">
        <v>663</v>
      </c>
      <c r="G168" t="s">
        <v>1200</v>
      </c>
      <c r="H168" t="s">
        <v>1115</v>
      </c>
      <c r="I168" s="9">
        <v>2.36</v>
      </c>
      <c r="J168" s="9">
        <v>1.5</v>
      </c>
      <c r="K168" s="9">
        <v>2.5</v>
      </c>
      <c r="L168" s="9">
        <v>2.5</v>
      </c>
      <c r="M168" s="9">
        <v>3</v>
      </c>
      <c r="N168" s="9">
        <v>1.5</v>
      </c>
      <c r="O168" s="9">
        <v>2.5</v>
      </c>
      <c r="P168" s="9">
        <v>3</v>
      </c>
      <c r="Q168" t="s">
        <v>280</v>
      </c>
      <c r="R168" s="9">
        <v>129</v>
      </c>
      <c r="S168" t="str">
        <f xml:space="preserve"> HYPERLINK("ReviewHtml/review_The_Melancholy_of_Haruhi-Chan_Suzumiya.html", "https://2danicritic.github.io/ReviewHtml/review_The_Melancholy_of_Haruhi-Chan_Suzumiya.html")</f>
        <v>https://2danicritic.github.io/ReviewHtml/review_The_Melancholy_of_Haruhi-Chan_Suzumiya.html</v>
      </c>
    </row>
    <row r="169" spans="2:19" hidden="1" x14ac:dyDescent="0.35">
      <c r="B169">
        <v>227</v>
      </c>
      <c r="C169" t="s">
        <v>1071</v>
      </c>
      <c r="D169" s="9">
        <v>2009</v>
      </c>
      <c r="E169" t="s">
        <v>54</v>
      </c>
      <c r="F169" t="s">
        <v>699</v>
      </c>
      <c r="G169" t="s">
        <v>1192</v>
      </c>
      <c r="H169" t="s">
        <v>950</v>
      </c>
      <c r="I169" s="9">
        <v>3.93</v>
      </c>
      <c r="J169" s="9">
        <v>3.5</v>
      </c>
      <c r="K169" s="9">
        <v>4</v>
      </c>
      <c r="L169" s="9">
        <v>3.5</v>
      </c>
      <c r="M169" s="9">
        <v>4</v>
      </c>
      <c r="N169" s="9">
        <v>3.5</v>
      </c>
      <c r="O169" s="9">
        <v>4.5</v>
      </c>
      <c r="P169" s="9">
        <v>4.5</v>
      </c>
      <c r="Q169" t="s">
        <v>258</v>
      </c>
      <c r="R169" s="9">
        <v>114</v>
      </c>
      <c r="S169" t="str">
        <f xml:space="preserve"> HYPERLINK("ReviewHtml/review_Summer_Wars.html", "https://2danicritic.github.io/ReviewHtml/review_Summer_Wars.html")</f>
        <v>https://2danicritic.github.io/ReviewHtml/review_Summer_Wars.html</v>
      </c>
    </row>
    <row r="170" spans="2:19" hidden="1" x14ac:dyDescent="0.35">
      <c r="B170">
        <v>105</v>
      </c>
      <c r="C170" t="s">
        <v>1283</v>
      </c>
      <c r="D170" s="9">
        <v>2008</v>
      </c>
      <c r="E170" t="s">
        <v>54</v>
      </c>
      <c r="F170" t="s">
        <v>699</v>
      </c>
      <c r="G170" t="s">
        <v>1192</v>
      </c>
      <c r="H170" t="s">
        <v>879</v>
      </c>
      <c r="I170" s="9">
        <v>3.5</v>
      </c>
      <c r="J170" s="9">
        <v>3</v>
      </c>
      <c r="K170" s="9">
        <v>4</v>
      </c>
      <c r="L170" s="9">
        <v>3</v>
      </c>
      <c r="M170" s="9">
        <v>3.5</v>
      </c>
      <c r="N170" s="9">
        <v>3</v>
      </c>
      <c r="O170" s="9">
        <v>4</v>
      </c>
      <c r="P170" s="9">
        <v>4</v>
      </c>
      <c r="Q170" t="s">
        <v>1210</v>
      </c>
      <c r="R170" s="9">
        <v>117</v>
      </c>
      <c r="S170" t="str">
        <f xml:space="preserve"> HYPERLINK("ReviewHtml/review_Hells.html", "https://2danicritic.github.io/ReviewHtml/review_Hells.html")</f>
        <v>https://2danicritic.github.io/ReviewHtml/review_Hells.html</v>
      </c>
    </row>
    <row r="171" spans="2:19" x14ac:dyDescent="0.35">
      <c r="B171">
        <v>30</v>
      </c>
      <c r="C171" t="s">
        <v>719</v>
      </c>
      <c r="D171" s="9">
        <v>2008</v>
      </c>
      <c r="E171" t="s">
        <v>54</v>
      </c>
      <c r="F171" t="s">
        <v>720</v>
      </c>
      <c r="G171" t="s">
        <v>1193</v>
      </c>
      <c r="H171" t="s">
        <v>721</v>
      </c>
      <c r="I171" s="9">
        <v>3.5</v>
      </c>
      <c r="J171" s="9">
        <v>3</v>
      </c>
      <c r="K171" s="9">
        <v>3.5</v>
      </c>
      <c r="L171" s="9">
        <v>3.5</v>
      </c>
      <c r="M171" s="9">
        <v>3.5</v>
      </c>
      <c r="N171" s="9">
        <v>3.5</v>
      </c>
      <c r="O171" s="9">
        <v>3.5</v>
      </c>
      <c r="P171" s="9">
        <v>4</v>
      </c>
      <c r="Q171" t="s">
        <v>87</v>
      </c>
      <c r="R171" s="9">
        <v>600</v>
      </c>
      <c r="S171" t="str">
        <f xml:space="preserve"> HYPERLINK("ReviewHtml/review_Black_Butler.html", "https://2danicritic.github.io/ReviewHtml/review_Black_Butler.html")</f>
        <v>https://2danicritic.github.io/ReviewHtml/review_Black_Butler.html</v>
      </c>
    </row>
    <row r="172" spans="2:19" hidden="1" x14ac:dyDescent="0.35">
      <c r="B172">
        <v>198</v>
      </c>
      <c r="C172" t="s">
        <v>1018</v>
      </c>
      <c r="D172" s="9">
        <v>2008</v>
      </c>
      <c r="E172" t="s">
        <v>54</v>
      </c>
      <c r="F172" t="s">
        <v>752</v>
      </c>
      <c r="G172" t="s">
        <v>1192</v>
      </c>
      <c r="H172" t="s">
        <v>753</v>
      </c>
      <c r="I172" s="9">
        <v>3.43</v>
      </c>
      <c r="J172" s="9">
        <v>4</v>
      </c>
      <c r="K172" s="9">
        <v>3.5</v>
      </c>
      <c r="L172" s="9">
        <v>3.5</v>
      </c>
      <c r="M172" s="9">
        <v>3</v>
      </c>
      <c r="N172" s="9">
        <v>2.5</v>
      </c>
      <c r="O172" s="9">
        <v>3.5</v>
      </c>
      <c r="P172" s="9">
        <v>4</v>
      </c>
      <c r="Q172" t="s">
        <v>237</v>
      </c>
      <c r="R172" s="9">
        <v>103</v>
      </c>
      <c r="S172" t="str">
        <f xml:space="preserve"> HYPERLINK("ReviewHtml/review_Ponyo.html", "https://2danicritic.github.io/ReviewHtml/review_Ponyo.html")</f>
        <v>https://2danicritic.github.io/ReviewHtml/review_Ponyo.html</v>
      </c>
    </row>
    <row r="173" spans="2:19" hidden="1" x14ac:dyDescent="0.35">
      <c r="B173">
        <v>268</v>
      </c>
      <c r="C173" t="s">
        <v>1131</v>
      </c>
      <c r="D173" s="9">
        <v>2008</v>
      </c>
      <c r="E173" t="s">
        <v>54</v>
      </c>
      <c r="F173" t="s">
        <v>736</v>
      </c>
      <c r="G173" t="s">
        <v>1192</v>
      </c>
      <c r="H173" t="s">
        <v>841</v>
      </c>
      <c r="I173" s="9">
        <v>3.36</v>
      </c>
      <c r="J173" s="9">
        <v>4</v>
      </c>
      <c r="K173" s="9">
        <v>3</v>
      </c>
      <c r="L173" s="9">
        <v>4</v>
      </c>
      <c r="M173" s="9">
        <v>3.5</v>
      </c>
      <c r="N173" s="9">
        <v>4</v>
      </c>
      <c r="O173" s="9">
        <v>2</v>
      </c>
      <c r="P173" s="9">
        <v>3.5</v>
      </c>
      <c r="Q173" t="s">
        <v>291</v>
      </c>
      <c r="R173" s="9">
        <v>122</v>
      </c>
      <c r="S173" t="str">
        <f xml:space="preserve"> HYPERLINK("ReviewHtml/review_The_Sky_Crawlers.html", "https://2danicritic.github.io/ReviewHtml/review_The_Sky_Crawlers.html")</f>
        <v>https://2danicritic.github.io/ReviewHtml/review_The_Sky_Crawlers.html</v>
      </c>
    </row>
    <row r="174" spans="2:19" hidden="1" x14ac:dyDescent="0.35">
      <c r="B174">
        <v>2</v>
      </c>
      <c r="C174" t="s">
        <v>58</v>
      </c>
      <c r="D174" s="9">
        <v>2012</v>
      </c>
      <c r="E174" t="s">
        <v>59</v>
      </c>
      <c r="F174" t="s">
        <v>661</v>
      </c>
      <c r="G174" t="s">
        <v>1192</v>
      </c>
      <c r="H174" t="s">
        <v>60</v>
      </c>
      <c r="I174" s="9">
        <v>3.21</v>
      </c>
      <c r="J174" s="9">
        <v>3</v>
      </c>
      <c r="K174" s="9">
        <v>3.5</v>
      </c>
      <c r="L174" s="9">
        <v>2.5</v>
      </c>
      <c r="M174" s="9">
        <v>3</v>
      </c>
      <c r="N174" s="9">
        <v>3.5</v>
      </c>
      <c r="O174" s="9">
        <v>3</v>
      </c>
      <c r="P174" s="9">
        <v>4</v>
      </c>
      <c r="Q174" t="s">
        <v>61</v>
      </c>
      <c r="R174" s="9">
        <v>85</v>
      </c>
      <c r="S174" t="str">
        <f xml:space="preserve"> HYPERLINK("ReviewHtml/review_A_Liar's_Autobiography_-_The_Untrue_Story_of_Monty_Python's_Graham_Chapman.html", "https://2danicritic.github.io/ReviewHtml/review_A_Liar's_Autobiography_-_The_Untrue_Story_of_Monty_Python's_Graham_Chapman.html")</f>
        <v>https://2danicritic.github.io/ReviewHtml/review_A_Liar's_Autobiography_-_The_Untrue_Story_of_Monty_Python's_Graham_Chapman.html</v>
      </c>
    </row>
    <row r="175" spans="2:19" x14ac:dyDescent="0.35">
      <c r="B175">
        <v>57</v>
      </c>
      <c r="C175" t="s">
        <v>773</v>
      </c>
      <c r="D175" s="9">
        <v>2008</v>
      </c>
      <c r="E175" t="s">
        <v>54</v>
      </c>
      <c r="F175" t="s">
        <v>774</v>
      </c>
      <c r="G175" t="s">
        <v>1193</v>
      </c>
      <c r="H175" t="s">
        <v>775</v>
      </c>
      <c r="I175" s="9">
        <v>3.29</v>
      </c>
      <c r="J175" s="9">
        <v>3</v>
      </c>
      <c r="K175" s="9">
        <v>3.5</v>
      </c>
      <c r="L175" s="9">
        <v>3</v>
      </c>
      <c r="M175" s="9">
        <v>3</v>
      </c>
      <c r="N175" s="9">
        <v>4</v>
      </c>
      <c r="O175" s="9">
        <v>3.5</v>
      </c>
      <c r="P175" s="9">
        <v>3</v>
      </c>
      <c r="Q175" t="s">
        <v>113</v>
      </c>
      <c r="R175" s="9">
        <v>650</v>
      </c>
      <c r="S175" t="str">
        <f xml:space="preserve"> HYPERLINK("ReviewHtml/review_Corpse_Princess.html", "https://2danicritic.github.io/ReviewHtml/review_Corpse_Princess.html")</f>
        <v>https://2danicritic.github.io/ReviewHtml/review_Corpse_Princess.html</v>
      </c>
    </row>
    <row r="176" spans="2:19" hidden="1" x14ac:dyDescent="0.35">
      <c r="B176">
        <v>0</v>
      </c>
      <c r="C176" t="s">
        <v>656</v>
      </c>
      <c r="D176" s="9">
        <v>2007</v>
      </c>
      <c r="E176" t="s">
        <v>54</v>
      </c>
      <c r="F176" t="s">
        <v>657</v>
      </c>
      <c r="G176" t="s">
        <v>1190</v>
      </c>
      <c r="H176" t="s">
        <v>658</v>
      </c>
      <c r="I176" s="9">
        <v>3.79</v>
      </c>
      <c r="J176" s="9">
        <v>4</v>
      </c>
      <c r="K176" s="9">
        <v>4.5</v>
      </c>
      <c r="L176" s="9">
        <v>4</v>
      </c>
      <c r="M176" s="9">
        <v>4</v>
      </c>
      <c r="N176" s="9">
        <v>3.5</v>
      </c>
      <c r="O176" s="9">
        <v>2.5</v>
      </c>
      <c r="P176" s="9">
        <v>4</v>
      </c>
      <c r="Q176" t="s">
        <v>55</v>
      </c>
      <c r="R176" s="9">
        <v>63</v>
      </c>
      <c r="S176" t="str">
        <f xml:space="preserve"> HYPERLINK("ReviewHtml/review_5_Centimeters_per_Second.html", "https://2danicritic.github.io/ReviewHtml/review_5_Centimeters_per_Second.html")</f>
        <v>https://2danicritic.github.io/ReviewHtml/review_5_Centimeters_per_Second.html</v>
      </c>
    </row>
    <row r="177" spans="2:19" x14ac:dyDescent="0.35">
      <c r="B177">
        <v>120</v>
      </c>
      <c r="C177" t="s">
        <v>889</v>
      </c>
      <c r="D177" s="9">
        <v>2008</v>
      </c>
      <c r="E177" t="s">
        <v>54</v>
      </c>
      <c r="F177" t="s">
        <v>699</v>
      </c>
      <c r="G177" t="s">
        <v>1193</v>
      </c>
      <c r="H177" t="s">
        <v>793</v>
      </c>
      <c r="I177" s="9">
        <v>2.93</v>
      </c>
      <c r="J177" s="9">
        <v>3</v>
      </c>
      <c r="K177" s="9">
        <v>2.5</v>
      </c>
      <c r="L177" s="9">
        <v>2.5</v>
      </c>
      <c r="M177" s="9">
        <v>2</v>
      </c>
      <c r="N177" s="9">
        <v>4</v>
      </c>
      <c r="O177" s="9">
        <v>2.5</v>
      </c>
      <c r="P177" s="9">
        <v>4</v>
      </c>
      <c r="Q177" t="s">
        <v>173</v>
      </c>
      <c r="R177" s="9">
        <v>300</v>
      </c>
      <c r="S177" t="str">
        <f xml:space="preserve"> HYPERLINK("ReviewHtml/review_Kaiba.html", "https://2danicritic.github.io/ReviewHtml/review_Kaiba.html")</f>
        <v>https://2danicritic.github.io/ReviewHtml/review_Kaiba.html</v>
      </c>
    </row>
    <row r="178" spans="2:19" hidden="1" x14ac:dyDescent="0.35">
      <c r="B178">
        <v>75</v>
      </c>
      <c r="C178" t="s">
        <v>1279</v>
      </c>
      <c r="D178" s="9">
        <v>2007</v>
      </c>
      <c r="E178" t="s">
        <v>54</v>
      </c>
      <c r="F178" t="s">
        <v>1306</v>
      </c>
      <c r="G178" t="s">
        <v>1192</v>
      </c>
      <c r="H178" t="s">
        <v>1204</v>
      </c>
      <c r="I178" s="9">
        <v>3.64</v>
      </c>
      <c r="J178" s="9">
        <v>3.5</v>
      </c>
      <c r="K178" s="9">
        <v>3.5</v>
      </c>
      <c r="L178" s="9">
        <v>4</v>
      </c>
      <c r="M178" s="9">
        <v>3.5</v>
      </c>
      <c r="N178" s="9">
        <v>3.5</v>
      </c>
      <c r="O178" s="9">
        <v>3.5</v>
      </c>
      <c r="P178" s="9">
        <v>4</v>
      </c>
      <c r="Q178" t="s">
        <v>1205</v>
      </c>
      <c r="R178" s="9">
        <v>101</v>
      </c>
      <c r="S178" t="str">
        <f xml:space="preserve"> HYPERLINK("ReviewHtml/review_Evangelion_1.11_-_You_Are_(Not)_Alone.html", "https://2danicritic.github.io/ReviewHtml/review_Evangelion_1.11_-_You_Are_(Not)_Alone.html")</f>
        <v>https://2danicritic.github.io/ReviewHtml/review_Evangelion_1.11_-_You_Are_(Not)_Alone.html</v>
      </c>
    </row>
    <row r="179" spans="2:19" x14ac:dyDescent="0.35">
      <c r="B179">
        <v>121</v>
      </c>
      <c r="C179" t="s">
        <v>890</v>
      </c>
      <c r="D179" s="9">
        <v>2008</v>
      </c>
      <c r="E179" t="s">
        <v>54</v>
      </c>
      <c r="F179" t="s">
        <v>720</v>
      </c>
      <c r="G179" t="s">
        <v>1193</v>
      </c>
      <c r="H179" t="s">
        <v>891</v>
      </c>
      <c r="I179" s="9">
        <v>2.29</v>
      </c>
      <c r="J179" s="9">
        <v>3</v>
      </c>
      <c r="K179" s="9">
        <v>2</v>
      </c>
      <c r="L179" s="9">
        <v>2</v>
      </c>
      <c r="M179" s="9">
        <v>2</v>
      </c>
      <c r="N179" s="9">
        <v>2</v>
      </c>
      <c r="O179" s="9">
        <v>3</v>
      </c>
      <c r="P179" s="9">
        <v>2</v>
      </c>
      <c r="Q179" t="s">
        <v>174</v>
      </c>
      <c r="R179" s="9">
        <v>340</v>
      </c>
      <c r="S179" t="str">
        <f xml:space="preserve"> HYPERLINK("ReviewHtml/review_Kannagi_-_Crazy_Shrine_Maidens.html", "https://2danicritic.github.io/ReviewHtml/review_Kannagi_-_Crazy_Shrine_Maidens.html")</f>
        <v>https://2danicritic.github.io/ReviewHtml/review_Kannagi_-_Crazy_Shrine_Maidens.html</v>
      </c>
    </row>
    <row r="180" spans="2:19" x14ac:dyDescent="0.35">
      <c r="B180">
        <v>122</v>
      </c>
      <c r="C180" t="s">
        <v>892</v>
      </c>
      <c r="D180" s="9">
        <v>2008</v>
      </c>
      <c r="E180" t="s">
        <v>54</v>
      </c>
      <c r="F180" t="s">
        <v>893</v>
      </c>
      <c r="G180" t="s">
        <v>1193</v>
      </c>
      <c r="H180" t="s">
        <v>894</v>
      </c>
      <c r="I180" s="9">
        <v>1.29</v>
      </c>
      <c r="J180" s="9">
        <v>1</v>
      </c>
      <c r="K180" s="9">
        <v>1</v>
      </c>
      <c r="L180" s="9">
        <v>2</v>
      </c>
      <c r="M180" s="9">
        <v>1</v>
      </c>
      <c r="N180" s="9">
        <v>1</v>
      </c>
      <c r="O180" s="9">
        <v>2</v>
      </c>
      <c r="P180" s="9">
        <v>1</v>
      </c>
      <c r="Q180" t="s">
        <v>175</v>
      </c>
      <c r="R180" s="9">
        <v>300</v>
      </c>
      <c r="S180" t="str">
        <f xml:space="preserve"> HYPERLINK("ReviewHtml/review_Kanokon_-_The_Girl_Who_Cried_Fox.html", "https://2danicritic.github.io/ReviewHtml/review_Kanokon_-_The_Girl_Who_Cried_Fox.html")</f>
        <v>https://2danicritic.github.io/ReviewHtml/review_Kanokon_-_The_Girl_Who_Cried_Fox.html</v>
      </c>
    </row>
    <row r="181" spans="2:19" x14ac:dyDescent="0.35">
      <c r="B181">
        <v>138</v>
      </c>
      <c r="C181" t="s">
        <v>922</v>
      </c>
      <c r="D181" s="9">
        <v>2008</v>
      </c>
      <c r="E181" t="s">
        <v>54</v>
      </c>
      <c r="F181" t="s">
        <v>920</v>
      </c>
      <c r="G181" t="s">
        <v>88</v>
      </c>
      <c r="H181" t="s">
        <v>923</v>
      </c>
      <c r="I181" s="9">
        <v>2.4300000000000002</v>
      </c>
      <c r="J181" s="9">
        <v>3</v>
      </c>
      <c r="K181" s="9">
        <v>3</v>
      </c>
      <c r="L181" s="9">
        <v>3</v>
      </c>
      <c r="M181" s="9">
        <v>1.5</v>
      </c>
      <c r="N181" s="9">
        <v>2</v>
      </c>
      <c r="O181" s="9">
        <v>1.5</v>
      </c>
      <c r="P181" s="9">
        <v>3</v>
      </c>
      <c r="Q181" t="s">
        <v>190</v>
      </c>
      <c r="R181" s="9">
        <v>80</v>
      </c>
      <c r="S181" t="str">
        <f xml:space="preserve"> HYPERLINK("ReviewHtml/review_Lupin_the_Third_-_Green_VS_Red.html", "https://2danicritic.github.io/ReviewHtml/review_Lupin_the_Third_-_Green_VS_Red.html")</f>
        <v>https://2danicritic.github.io/ReviewHtml/review_Lupin_the_Third_-_Green_VS_Red.html</v>
      </c>
    </row>
    <row r="182" spans="2:19" hidden="1" x14ac:dyDescent="0.35">
      <c r="B182">
        <v>229</v>
      </c>
      <c r="C182" t="s">
        <v>1073</v>
      </c>
      <c r="D182" s="9">
        <v>2007</v>
      </c>
      <c r="E182" t="s">
        <v>54</v>
      </c>
      <c r="F182" t="s">
        <v>739</v>
      </c>
      <c r="G182" t="s">
        <v>1192</v>
      </c>
      <c r="H182" t="s">
        <v>750</v>
      </c>
      <c r="I182" s="9">
        <v>3.64</v>
      </c>
      <c r="J182" s="9">
        <v>4</v>
      </c>
      <c r="K182" s="9">
        <v>3</v>
      </c>
      <c r="L182" s="9">
        <v>4</v>
      </c>
      <c r="M182" s="9">
        <v>3</v>
      </c>
      <c r="N182" s="9">
        <v>3.5</v>
      </c>
      <c r="O182" s="9">
        <v>4</v>
      </c>
      <c r="P182" s="9">
        <v>4</v>
      </c>
      <c r="Q182" t="s">
        <v>94</v>
      </c>
      <c r="R182" s="9">
        <v>102</v>
      </c>
      <c r="S182" t="str">
        <f xml:space="preserve"> HYPERLINK("ReviewHtml/review_Sword_of_the_Stranger.html", "https://2danicritic.github.io/ReviewHtml/review_Sword_of_the_Stranger.html")</f>
        <v>https://2danicritic.github.io/ReviewHtml/review_Sword_of_the_Stranger.html</v>
      </c>
    </row>
    <row r="183" spans="2:19" x14ac:dyDescent="0.35">
      <c r="B183">
        <v>220</v>
      </c>
      <c r="C183" t="s">
        <v>1062</v>
      </c>
      <c r="D183" s="9">
        <v>2008</v>
      </c>
      <c r="E183" t="s">
        <v>54</v>
      </c>
      <c r="F183" t="s">
        <v>739</v>
      </c>
      <c r="G183" t="s">
        <v>1193</v>
      </c>
      <c r="H183" t="s">
        <v>1063</v>
      </c>
      <c r="I183" s="9">
        <v>3.93</v>
      </c>
      <c r="J183" s="9">
        <v>4</v>
      </c>
      <c r="K183" s="9">
        <v>4</v>
      </c>
      <c r="L183" s="9">
        <v>4.5</v>
      </c>
      <c r="M183" s="9">
        <v>3</v>
      </c>
      <c r="N183" s="9">
        <v>3</v>
      </c>
      <c r="O183" s="9">
        <v>4</v>
      </c>
      <c r="P183" s="9">
        <v>5</v>
      </c>
      <c r="Q183" t="s">
        <v>252</v>
      </c>
      <c r="R183" s="9">
        <v>1275</v>
      </c>
      <c r="S183" t="str">
        <f xml:space="preserve"> HYPERLINK("ReviewHtml/review_Soul_Eater.html", "https://2danicritic.github.io/ReviewHtml/review_Soul_Eater.html")</f>
        <v>https://2danicritic.github.io/ReviewHtml/review_Soul_Eater.html</v>
      </c>
    </row>
    <row r="184" spans="2:19" hidden="1" x14ac:dyDescent="0.35">
      <c r="B184">
        <v>73</v>
      </c>
      <c r="C184" t="s">
        <v>808</v>
      </c>
      <c r="D184" s="9">
        <v>2012</v>
      </c>
      <c r="E184" t="s">
        <v>1191</v>
      </c>
      <c r="F184" t="s">
        <v>809</v>
      </c>
      <c r="G184" t="s">
        <v>1192</v>
      </c>
      <c r="H184" t="s">
        <v>130</v>
      </c>
      <c r="I184" s="9">
        <v>3.93</v>
      </c>
      <c r="J184" s="9">
        <v>4</v>
      </c>
      <c r="K184" s="9">
        <v>4</v>
      </c>
      <c r="L184" s="9">
        <v>4</v>
      </c>
      <c r="M184" s="9">
        <v>3.5</v>
      </c>
      <c r="N184" s="9">
        <v>4</v>
      </c>
      <c r="O184" s="9">
        <v>4</v>
      </c>
      <c r="P184" s="9">
        <v>4</v>
      </c>
      <c r="Q184" t="s">
        <v>131</v>
      </c>
      <c r="R184" s="9">
        <v>79</v>
      </c>
      <c r="S184" t="str">
        <f xml:space="preserve"> HYPERLINK("ReviewHtml/review_Ernest_and_Celestine.html", "https://2danicritic.github.io/ReviewHtml/review_Ernest_and_Celestine.html")</f>
        <v>https://2danicritic.github.io/ReviewHtml/review_Ernest_and_Celestine.html</v>
      </c>
    </row>
    <row r="185" spans="2:19" hidden="1" x14ac:dyDescent="0.35">
      <c r="B185">
        <v>245</v>
      </c>
      <c r="C185" t="s">
        <v>1098</v>
      </c>
      <c r="D185" s="9">
        <v>2007</v>
      </c>
      <c r="E185" t="s">
        <v>54</v>
      </c>
      <c r="F185" t="s">
        <v>819</v>
      </c>
      <c r="G185" t="s">
        <v>1192</v>
      </c>
      <c r="H185" t="s">
        <v>272</v>
      </c>
      <c r="I185" s="9">
        <v>4.6399999999999997</v>
      </c>
      <c r="J185" s="9">
        <v>4</v>
      </c>
      <c r="K185" s="9">
        <v>5</v>
      </c>
      <c r="L185" s="9">
        <v>5</v>
      </c>
      <c r="M185" s="9">
        <v>4.5</v>
      </c>
      <c r="N185" s="9">
        <v>4.5</v>
      </c>
      <c r="O185" s="9">
        <v>4.5</v>
      </c>
      <c r="P185" s="9">
        <v>5</v>
      </c>
      <c r="Q185" t="s">
        <v>273</v>
      </c>
      <c r="R185" s="9">
        <v>652</v>
      </c>
      <c r="S185" t="str">
        <f xml:space="preserve"> HYPERLINK("ReviewHtml/review_The_Garden_of_Sinners.html", "https://2danicritic.github.io/ReviewHtml/review_The_Garden_of_Sinners.html")</f>
        <v>https://2danicritic.github.io/ReviewHtml/review_The_Garden_of_Sinners.html</v>
      </c>
    </row>
    <row r="186" spans="2:19" x14ac:dyDescent="0.35">
      <c r="B186">
        <v>222</v>
      </c>
      <c r="C186" t="s">
        <v>1065</v>
      </c>
      <c r="D186" s="9">
        <v>2008</v>
      </c>
      <c r="E186" t="s">
        <v>54</v>
      </c>
      <c r="F186" t="s">
        <v>1066</v>
      </c>
      <c r="G186" t="s">
        <v>1193</v>
      </c>
      <c r="H186" t="s">
        <v>1067</v>
      </c>
      <c r="I186" s="9">
        <v>4</v>
      </c>
      <c r="J186" s="9">
        <v>3</v>
      </c>
      <c r="K186" s="9">
        <v>3.5</v>
      </c>
      <c r="L186" s="9">
        <v>4</v>
      </c>
      <c r="M186" s="9">
        <v>5</v>
      </c>
      <c r="N186" s="9">
        <v>3.5</v>
      </c>
      <c r="O186" s="9">
        <v>4</v>
      </c>
      <c r="P186" s="9">
        <v>5</v>
      </c>
      <c r="Q186" t="s">
        <v>255</v>
      </c>
      <c r="R186" s="9">
        <v>630</v>
      </c>
      <c r="S186" t="str">
        <f xml:space="preserve"> HYPERLINK("ReviewHtml/review_Spice_and_Wolf.html", "https://2danicritic.github.io/ReviewHtml/review_Spice_and_Wolf.html")</f>
        <v>https://2danicritic.github.io/ReviewHtml/review_Spice_and_Wolf.html</v>
      </c>
    </row>
    <row r="187" spans="2:19" hidden="1" x14ac:dyDescent="0.35">
      <c r="B187">
        <v>92</v>
      </c>
      <c r="C187" t="s">
        <v>842</v>
      </c>
      <c r="D187" s="9">
        <v>2006</v>
      </c>
      <c r="E187" t="s">
        <v>54</v>
      </c>
      <c r="F187" t="s">
        <v>736</v>
      </c>
      <c r="G187" t="s">
        <v>1192</v>
      </c>
      <c r="H187" t="s">
        <v>806</v>
      </c>
      <c r="I187" s="9">
        <v>3.64</v>
      </c>
      <c r="J187" s="9">
        <v>4</v>
      </c>
      <c r="K187" s="9">
        <v>3.5</v>
      </c>
      <c r="L187" s="9">
        <v>4.5</v>
      </c>
      <c r="M187" s="9">
        <v>4</v>
      </c>
      <c r="N187" s="9">
        <v>3.5</v>
      </c>
      <c r="O187" s="9">
        <v>3</v>
      </c>
      <c r="P187" s="9">
        <v>3</v>
      </c>
      <c r="Q187" t="s">
        <v>147</v>
      </c>
      <c r="R187" s="9">
        <v>105</v>
      </c>
      <c r="S187" t="str">
        <f xml:space="preserve"> HYPERLINK("ReviewHtml/review_Ghost_in_the_Shell_-_Solid_State_Society.html", "https://2danicritic.github.io/ReviewHtml/review_Ghost_in_the_Shell_-_Solid_State_Society.html")</f>
        <v>https://2danicritic.github.io/ReviewHtml/review_Ghost_in_the_Shell_-_Solid_State_Society.html</v>
      </c>
    </row>
    <row r="188" spans="2:19" x14ac:dyDescent="0.35">
      <c r="B188">
        <v>280</v>
      </c>
      <c r="C188" t="s">
        <v>1146</v>
      </c>
      <c r="D188" s="9">
        <v>2008</v>
      </c>
      <c r="E188" t="s">
        <v>54</v>
      </c>
      <c r="F188" t="s">
        <v>675</v>
      </c>
      <c r="G188" t="s">
        <v>1193</v>
      </c>
      <c r="H188" t="s">
        <v>1147</v>
      </c>
      <c r="I188" s="9">
        <v>3.93</v>
      </c>
      <c r="J188" s="9">
        <v>3.5</v>
      </c>
      <c r="K188" s="9">
        <v>3.5</v>
      </c>
      <c r="L188" s="9">
        <v>4</v>
      </c>
      <c r="M188" s="9">
        <v>4</v>
      </c>
      <c r="N188" s="9">
        <v>4</v>
      </c>
      <c r="O188" s="9">
        <v>4.5</v>
      </c>
      <c r="P188" s="9">
        <v>4</v>
      </c>
      <c r="Q188" t="s">
        <v>174</v>
      </c>
      <c r="R188" s="9">
        <v>625</v>
      </c>
      <c r="S188" t="str">
        <f xml:space="preserve"> HYPERLINK("ReviewHtml/review_Toradora.html", "https://2danicritic.github.io/ReviewHtml/review_Toradora.html")</f>
        <v>https://2danicritic.github.io/ReviewHtml/review_Toradora.html</v>
      </c>
    </row>
    <row r="189" spans="2:19" hidden="1" x14ac:dyDescent="0.35">
      <c r="B189">
        <v>188</v>
      </c>
      <c r="C189" t="s">
        <v>1003</v>
      </c>
      <c r="D189" s="9">
        <v>2006</v>
      </c>
      <c r="E189" t="s">
        <v>54</v>
      </c>
      <c r="F189" t="s">
        <v>699</v>
      </c>
      <c r="G189" t="s">
        <v>1192</v>
      </c>
      <c r="H189" t="s">
        <v>1004</v>
      </c>
      <c r="I189" s="9">
        <v>4.21</v>
      </c>
      <c r="J189" s="9">
        <v>4</v>
      </c>
      <c r="K189" s="9">
        <v>5</v>
      </c>
      <c r="L189" s="9">
        <v>5</v>
      </c>
      <c r="M189" s="9">
        <v>2</v>
      </c>
      <c r="N189" s="9">
        <v>3.5</v>
      </c>
      <c r="O189" s="9">
        <v>5</v>
      </c>
      <c r="P189" s="9">
        <v>5</v>
      </c>
      <c r="Q189" t="s">
        <v>225</v>
      </c>
      <c r="R189" s="9">
        <v>90</v>
      </c>
      <c r="S189" t="str">
        <f xml:space="preserve"> HYPERLINK("ReviewHtml/review_Paprika.html", "https://2danicritic.github.io/ReviewHtml/review_Paprika.html")</f>
        <v>https://2danicritic.github.io/ReviewHtml/review_Paprika.html</v>
      </c>
    </row>
    <row r="190" spans="2:19" x14ac:dyDescent="0.35">
      <c r="B190">
        <v>5</v>
      </c>
      <c r="C190" t="s">
        <v>668</v>
      </c>
      <c r="D190" s="9">
        <v>2007</v>
      </c>
      <c r="E190" t="s">
        <v>54</v>
      </c>
      <c r="F190" t="s">
        <v>669</v>
      </c>
      <c r="G190" t="s">
        <v>1193</v>
      </c>
      <c r="H190" t="s">
        <v>64</v>
      </c>
      <c r="I190" s="9">
        <v>3.93</v>
      </c>
      <c r="J190" s="9">
        <v>3.5</v>
      </c>
      <c r="K190" s="9">
        <v>4.5</v>
      </c>
      <c r="L190" s="9">
        <v>4.5</v>
      </c>
      <c r="M190" s="9">
        <v>4.5</v>
      </c>
      <c r="N190" s="9">
        <v>3</v>
      </c>
      <c r="O190" s="9">
        <v>3.5</v>
      </c>
      <c r="P190" s="9">
        <v>4</v>
      </c>
      <c r="Q190" t="s">
        <v>65</v>
      </c>
      <c r="R190" s="9">
        <v>125</v>
      </c>
      <c r="S190" t="str">
        <f xml:space="preserve"> HYPERLINK("ReviewHtml/review_Afro_Samurai.html", "https://2danicritic.github.io/ReviewHtml/review_Afro_Samurai.html")</f>
        <v>https://2danicritic.github.io/ReviewHtml/review_Afro_Samurai.html</v>
      </c>
    </row>
    <row r="191" spans="2:19" hidden="1" x14ac:dyDescent="0.35">
      <c r="B191">
        <v>230</v>
      </c>
      <c r="C191" t="s">
        <v>1074</v>
      </c>
      <c r="D191" s="9">
        <v>2006</v>
      </c>
      <c r="E191" t="s">
        <v>54</v>
      </c>
      <c r="F191" t="s">
        <v>752</v>
      </c>
      <c r="G191" t="s">
        <v>1192</v>
      </c>
      <c r="H191" t="s">
        <v>829</v>
      </c>
      <c r="I191" s="9">
        <v>3.43</v>
      </c>
      <c r="J191" s="9">
        <v>3.5</v>
      </c>
      <c r="K191" s="9">
        <v>3.5</v>
      </c>
      <c r="L191" s="9">
        <v>3.5</v>
      </c>
      <c r="M191" s="9">
        <v>3.5</v>
      </c>
      <c r="N191" s="9">
        <v>3</v>
      </c>
      <c r="O191" s="9">
        <v>3</v>
      </c>
      <c r="P191" s="9">
        <v>4</v>
      </c>
      <c r="Q191" t="s">
        <v>261</v>
      </c>
      <c r="R191" s="9">
        <v>115</v>
      </c>
      <c r="S191" t="str">
        <f xml:space="preserve"> HYPERLINK("ReviewHtml/review_Tales_From_Earthsea.html", "https://2danicritic.github.io/ReviewHtml/review_Tales_From_Earthsea.html")</f>
        <v>https://2danicritic.github.io/ReviewHtml/review_Tales_From_Earthsea.html</v>
      </c>
    </row>
    <row r="192" spans="2:19" x14ac:dyDescent="0.35">
      <c r="B192">
        <v>17</v>
      </c>
      <c r="C192" t="s">
        <v>690</v>
      </c>
      <c r="D192" s="9">
        <v>2007</v>
      </c>
      <c r="E192" t="s">
        <v>54</v>
      </c>
      <c r="F192" t="s">
        <v>691</v>
      </c>
      <c r="G192" t="s">
        <v>1193</v>
      </c>
      <c r="H192" t="s">
        <v>692</v>
      </c>
      <c r="I192" s="9">
        <v>4.07</v>
      </c>
      <c r="J192" s="9">
        <v>3.5</v>
      </c>
      <c r="K192" s="9">
        <v>3.5</v>
      </c>
      <c r="L192" s="9">
        <v>4.5</v>
      </c>
      <c r="M192" s="9">
        <v>4</v>
      </c>
      <c r="N192" s="9">
        <v>3.5</v>
      </c>
      <c r="O192" s="9">
        <v>4.5</v>
      </c>
      <c r="P192" s="9">
        <v>5</v>
      </c>
      <c r="Q192" t="s">
        <v>75</v>
      </c>
      <c r="R192" s="9">
        <v>400</v>
      </c>
      <c r="S192" t="str">
        <f xml:space="preserve"> HYPERLINK("ReviewHtml/review_Baccano!.html", "https://2danicritic.github.io/ReviewHtml/review_Baccano!.html")</f>
        <v>https://2danicritic.github.io/ReviewHtml/review_Baccano!.html</v>
      </c>
    </row>
    <row r="193" spans="2:19" x14ac:dyDescent="0.35">
      <c r="B193">
        <v>114</v>
      </c>
      <c r="C193" t="s">
        <v>874</v>
      </c>
      <c r="D193" s="9">
        <v>2007</v>
      </c>
      <c r="E193" t="s">
        <v>54</v>
      </c>
      <c r="F193" t="s">
        <v>875</v>
      </c>
      <c r="G193" t="s">
        <v>88</v>
      </c>
      <c r="H193" t="s">
        <v>876</v>
      </c>
      <c r="I193" s="9">
        <v>1.5</v>
      </c>
      <c r="J193" s="9">
        <v>1.5</v>
      </c>
      <c r="K193" s="9">
        <v>2</v>
      </c>
      <c r="L193" s="9">
        <v>1.5</v>
      </c>
      <c r="M193" s="9">
        <v>2</v>
      </c>
      <c r="N193" s="9">
        <v>1</v>
      </c>
      <c r="O193" s="9">
        <v>1.5</v>
      </c>
      <c r="P193" s="9">
        <v>1</v>
      </c>
      <c r="Q193" t="s">
        <v>175</v>
      </c>
      <c r="R193" s="9">
        <v>90</v>
      </c>
      <c r="S193" t="str">
        <f xml:space="preserve"> HYPERLINK("ReviewHtml/review_Indian_Summer.html", "https://2danicritic.github.io/ReviewHtml/review_Indian_Summer.html")</f>
        <v>https://2danicritic.github.io/ReviewHtml/review_Indian_Summer.html</v>
      </c>
    </row>
    <row r="194" spans="2:19" hidden="1" x14ac:dyDescent="0.35">
      <c r="B194">
        <v>247</v>
      </c>
      <c r="C194" t="s">
        <v>1100</v>
      </c>
      <c r="D194" s="9">
        <v>2006</v>
      </c>
      <c r="E194" t="s">
        <v>54</v>
      </c>
      <c r="F194" t="s">
        <v>699</v>
      </c>
      <c r="G194" t="s">
        <v>1192</v>
      </c>
      <c r="H194" t="s">
        <v>950</v>
      </c>
      <c r="I194" s="9">
        <v>4.07</v>
      </c>
      <c r="J194" s="9">
        <v>3.5</v>
      </c>
      <c r="K194" s="9">
        <v>3.5</v>
      </c>
      <c r="L194" s="9">
        <v>4.5</v>
      </c>
      <c r="M194" s="9">
        <v>4</v>
      </c>
      <c r="N194" s="9">
        <v>4</v>
      </c>
      <c r="O194" s="9">
        <v>4</v>
      </c>
      <c r="P194" s="9">
        <v>5</v>
      </c>
      <c r="Q194" t="s">
        <v>274</v>
      </c>
      <c r="R194" s="9">
        <v>98</v>
      </c>
      <c r="S194" t="str">
        <f xml:space="preserve"> HYPERLINK("ReviewHtml/review_The_Girl_Who_Leapt_Through_Time.html", "https://2danicritic.github.io/ReviewHtml/review_The_Girl_Who_Leapt_Through_Time.html")</f>
        <v>https://2danicritic.github.io/ReviewHtml/review_The_Girl_Who_Leapt_Through_Time.html</v>
      </c>
    </row>
    <row r="195" spans="2:19" hidden="1" x14ac:dyDescent="0.35">
      <c r="B195">
        <v>94</v>
      </c>
      <c r="C195" t="s">
        <v>844</v>
      </c>
      <c r="D195" s="9">
        <v>2004</v>
      </c>
      <c r="E195" t="s">
        <v>54</v>
      </c>
      <c r="F195" t="s">
        <v>736</v>
      </c>
      <c r="G195" t="s">
        <v>1192</v>
      </c>
      <c r="H195" t="s">
        <v>841</v>
      </c>
      <c r="I195" s="9">
        <v>3.79</v>
      </c>
      <c r="J195" s="9">
        <v>4.5</v>
      </c>
      <c r="K195" s="9">
        <v>4</v>
      </c>
      <c r="L195" s="9">
        <v>4.5</v>
      </c>
      <c r="M195" s="9">
        <v>3.5</v>
      </c>
      <c r="N195" s="9">
        <v>3.5</v>
      </c>
      <c r="O195" s="9">
        <v>2.5</v>
      </c>
      <c r="P195" s="9">
        <v>4</v>
      </c>
      <c r="Q195" t="s">
        <v>95</v>
      </c>
      <c r="R195" s="9">
        <v>98</v>
      </c>
      <c r="S195" t="str">
        <f xml:space="preserve"> HYPERLINK("ReviewHtml/review_Ghost_in_the_Shell_2_-_Innocence.html", "https://2danicritic.github.io/ReviewHtml/review_Ghost_in_the_Shell_2_-_Innocence.html")</f>
        <v>https://2danicritic.github.io/ReviewHtml/review_Ghost_in_the_Shell_2_-_Innocence.html</v>
      </c>
    </row>
    <row r="196" spans="2:19" hidden="1" x14ac:dyDescent="0.35">
      <c r="B196">
        <v>116</v>
      </c>
      <c r="C196" t="s">
        <v>880</v>
      </c>
      <c r="D196" s="9">
        <v>2012</v>
      </c>
      <c r="E196" t="s">
        <v>1194</v>
      </c>
      <c r="F196" t="s">
        <v>881</v>
      </c>
      <c r="G196" t="s">
        <v>1192</v>
      </c>
      <c r="H196" t="s">
        <v>882</v>
      </c>
      <c r="I196" s="9">
        <v>3.57</v>
      </c>
      <c r="J196" s="9">
        <v>3.5</v>
      </c>
      <c r="K196" s="9">
        <v>3</v>
      </c>
      <c r="L196" s="9">
        <v>2.5</v>
      </c>
      <c r="M196" s="9">
        <v>3</v>
      </c>
      <c r="N196" s="9">
        <v>4.5</v>
      </c>
      <c r="O196" s="9">
        <v>3.5</v>
      </c>
      <c r="P196" s="9">
        <v>5</v>
      </c>
      <c r="Q196" t="s">
        <v>170</v>
      </c>
      <c r="R196" s="9">
        <v>62</v>
      </c>
      <c r="S196" t="str">
        <f xml:space="preserve"> HYPERLINK("ReviewHtml/review_It's_Such_a_Beautiful_Day.html", "https://2danicritic.github.io/ReviewHtml/review_It's_Such_a_Beautiful_Day.html")</f>
        <v>https://2danicritic.github.io/ReviewHtml/review_It's_Such_a_Beautiful_Day.html</v>
      </c>
    </row>
    <row r="197" spans="2:19" hidden="1" x14ac:dyDescent="0.35">
      <c r="B197">
        <v>110</v>
      </c>
      <c r="C197" t="s">
        <v>868</v>
      </c>
      <c r="D197" s="9">
        <v>2004</v>
      </c>
      <c r="E197" t="s">
        <v>54</v>
      </c>
      <c r="F197" t="s">
        <v>752</v>
      </c>
      <c r="G197" t="s">
        <v>1192</v>
      </c>
      <c r="H197" t="s">
        <v>753</v>
      </c>
      <c r="I197" s="9">
        <v>4.1399999999999997</v>
      </c>
      <c r="J197" s="9">
        <v>4</v>
      </c>
      <c r="K197" s="9">
        <v>4.5</v>
      </c>
      <c r="L197" s="9">
        <v>3.5</v>
      </c>
      <c r="M197" s="9">
        <v>4</v>
      </c>
      <c r="N197" s="9">
        <v>4</v>
      </c>
      <c r="O197" s="9">
        <v>4</v>
      </c>
      <c r="P197" s="9">
        <v>5</v>
      </c>
      <c r="Q197" t="s">
        <v>167</v>
      </c>
      <c r="R197" s="9">
        <v>119</v>
      </c>
      <c r="S197" t="str">
        <f xml:space="preserve"> HYPERLINK("ReviewHtml/review_Howl's_Moving_Castle.html", "https://2danicritic.github.io/ReviewHtml/review_Howl's_Moving_Castle.html")</f>
        <v>https://2danicritic.github.io/ReviewHtml/review_Howl's_Moving_Castle.html</v>
      </c>
    </row>
    <row r="198" spans="2:19" x14ac:dyDescent="0.35">
      <c r="B198">
        <v>183</v>
      </c>
      <c r="C198" t="s">
        <v>997</v>
      </c>
      <c r="D198" s="9">
        <v>2007</v>
      </c>
      <c r="E198" t="s">
        <v>54</v>
      </c>
      <c r="F198" t="s">
        <v>699</v>
      </c>
      <c r="G198" t="s">
        <v>1193</v>
      </c>
      <c r="H198" t="s">
        <v>998</v>
      </c>
      <c r="I198" s="9">
        <v>2.29</v>
      </c>
      <c r="J198" s="9">
        <v>2</v>
      </c>
      <c r="K198" s="9">
        <v>2.5</v>
      </c>
      <c r="L198" s="9">
        <v>3.5</v>
      </c>
      <c r="M198" s="9">
        <v>2.5</v>
      </c>
      <c r="N198" s="9">
        <v>1.5</v>
      </c>
      <c r="O198" s="9">
        <v>3</v>
      </c>
      <c r="P198" s="9">
        <v>1</v>
      </c>
      <c r="Q198" t="s">
        <v>223</v>
      </c>
      <c r="R198" s="9">
        <v>650</v>
      </c>
      <c r="S198" t="str">
        <f xml:space="preserve"> HYPERLINK("ReviewHtml/review_Oh!_Edo_Rocket.html", "https://2danicritic.github.io/ReviewHtml/review_Oh!_Edo_Rocket.html")</f>
        <v>https://2danicritic.github.io/ReviewHtml/review_Oh!_Edo_Rocket.html</v>
      </c>
    </row>
    <row r="199" spans="2:19" x14ac:dyDescent="0.35">
      <c r="B199">
        <v>15</v>
      </c>
      <c r="C199" t="s">
        <v>685</v>
      </c>
      <c r="D199" s="9">
        <v>2006</v>
      </c>
      <c r="E199" t="s">
        <v>54</v>
      </c>
      <c r="F199" t="s">
        <v>686</v>
      </c>
      <c r="G199" t="s">
        <v>1193</v>
      </c>
      <c r="H199" t="s">
        <v>687</v>
      </c>
      <c r="I199" s="9">
        <v>2.86</v>
      </c>
      <c r="J199" s="9">
        <v>3.5</v>
      </c>
      <c r="K199" s="9">
        <v>3</v>
      </c>
      <c r="L199" s="9">
        <v>3.5</v>
      </c>
      <c r="M199" s="9">
        <v>2</v>
      </c>
      <c r="N199" s="9">
        <v>2.5</v>
      </c>
      <c r="O199" s="9">
        <v>2.5</v>
      </c>
      <c r="P199" s="9">
        <v>3</v>
      </c>
      <c r="Q199" t="s">
        <v>73</v>
      </c>
      <c r="R199" s="9">
        <v>95</v>
      </c>
      <c r="S199" t="str">
        <f xml:space="preserve"> HYPERLINK("ReviewHtml/review_Ayakashi_-_Samurai_Horror_Tales_-_Goblin_Cat.html", "https://2danicritic.github.io/ReviewHtml/review_Ayakashi_-_Samurai_Horror_Tales_-_Goblin_Cat.html")</f>
        <v>https://2danicritic.github.io/ReviewHtml/review_Ayakashi_-_Samurai_Horror_Tales_-_Goblin_Cat.html</v>
      </c>
    </row>
    <row r="200" spans="2:19" hidden="1" x14ac:dyDescent="0.35">
      <c r="B200">
        <v>153</v>
      </c>
      <c r="C200" t="s">
        <v>947</v>
      </c>
      <c r="D200" s="9">
        <v>2004</v>
      </c>
      <c r="E200" t="s">
        <v>54</v>
      </c>
      <c r="F200" t="s">
        <v>707</v>
      </c>
      <c r="G200" t="s">
        <v>1192</v>
      </c>
      <c r="H200" t="s">
        <v>793</v>
      </c>
      <c r="I200" s="9">
        <v>4.29</v>
      </c>
      <c r="J200" s="9">
        <v>3</v>
      </c>
      <c r="K200" s="9">
        <v>4</v>
      </c>
      <c r="L200" s="9">
        <v>4</v>
      </c>
      <c r="M200" s="9">
        <v>5</v>
      </c>
      <c r="N200" s="9">
        <v>5</v>
      </c>
      <c r="O200" s="9">
        <v>4</v>
      </c>
      <c r="P200" s="9">
        <v>5</v>
      </c>
      <c r="Q200" t="s">
        <v>204</v>
      </c>
      <c r="R200" s="9">
        <v>103</v>
      </c>
      <c r="S200" t="str">
        <f xml:space="preserve"> HYPERLINK("ReviewHtml/review_Mind_Game.html", "https://2danicritic.github.io/ReviewHtml/review_Mind_Game.html")</f>
        <v>https://2danicritic.github.io/ReviewHtml/review_Mind_Game.html</v>
      </c>
    </row>
    <row r="201" spans="2:19" hidden="1" x14ac:dyDescent="0.35">
      <c r="B201">
        <v>258</v>
      </c>
      <c r="C201" t="s">
        <v>1119</v>
      </c>
      <c r="D201" s="9">
        <v>2004</v>
      </c>
      <c r="E201" t="s">
        <v>54</v>
      </c>
      <c r="F201" t="s">
        <v>657</v>
      </c>
      <c r="G201" t="s">
        <v>1192</v>
      </c>
      <c r="H201" t="s">
        <v>658</v>
      </c>
      <c r="I201" s="9">
        <v>3</v>
      </c>
      <c r="J201" s="9">
        <v>2.5</v>
      </c>
      <c r="K201" s="9">
        <v>2.5</v>
      </c>
      <c r="L201" s="9">
        <v>4</v>
      </c>
      <c r="M201" s="9">
        <v>4</v>
      </c>
      <c r="N201" s="9">
        <v>2</v>
      </c>
      <c r="O201" s="9">
        <v>3</v>
      </c>
      <c r="P201" s="9">
        <v>3</v>
      </c>
      <c r="Q201" t="s">
        <v>282</v>
      </c>
      <c r="R201" s="9">
        <v>90</v>
      </c>
      <c r="S201" t="str">
        <f xml:space="preserve"> HYPERLINK("ReviewHtml/review_The_Place_Promised_in_Our_Early_Days.html", "https://2danicritic.github.io/ReviewHtml/review_The_Place_Promised_in_Our_Early_Days.html")</f>
        <v>https://2danicritic.github.io/ReviewHtml/review_The_Place_Promised_in_Our_Early_Days.html</v>
      </c>
    </row>
    <row r="202" spans="2:19" hidden="1" x14ac:dyDescent="0.35">
      <c r="B202">
        <v>232</v>
      </c>
      <c r="C202" t="s">
        <v>1297</v>
      </c>
      <c r="D202" s="9">
        <v>2003</v>
      </c>
      <c r="E202" t="s">
        <v>54</v>
      </c>
      <c r="F202" t="s">
        <v>1234</v>
      </c>
      <c r="G202" t="s">
        <v>1190</v>
      </c>
      <c r="H202" t="s">
        <v>1235</v>
      </c>
      <c r="I202" s="9">
        <v>4.1399999999999997</v>
      </c>
      <c r="J202" s="9">
        <v>4.5</v>
      </c>
      <c r="K202" s="9">
        <v>4.5</v>
      </c>
      <c r="L202" s="9">
        <v>3.5</v>
      </c>
      <c r="M202" s="9">
        <v>3</v>
      </c>
      <c r="N202" s="9">
        <v>4.5</v>
      </c>
      <c r="O202" s="9">
        <v>4</v>
      </c>
      <c r="P202" s="9">
        <v>5</v>
      </c>
      <c r="Q202" t="s">
        <v>1236</v>
      </c>
      <c r="R202" s="9">
        <v>101</v>
      </c>
      <c r="S202" t="str">
        <f xml:space="preserve"> HYPERLINK("ReviewHtml/review_The_Animatrix.html", "https://2danicritic.github.io/ReviewHtml/review_The_Animatrix.html")</f>
        <v>https://2danicritic.github.io/ReviewHtml/review_The_Animatrix.html</v>
      </c>
    </row>
    <row r="203" spans="2:19" hidden="1" x14ac:dyDescent="0.35">
      <c r="B203">
        <v>277</v>
      </c>
      <c r="C203" t="s">
        <v>1144</v>
      </c>
      <c r="D203" s="9">
        <v>2003</v>
      </c>
      <c r="E203" t="s">
        <v>54</v>
      </c>
      <c r="F203" t="s">
        <v>699</v>
      </c>
      <c r="G203" t="s">
        <v>1192</v>
      </c>
      <c r="H203" t="s">
        <v>1004</v>
      </c>
      <c r="I203" s="9">
        <v>3.43</v>
      </c>
      <c r="J203" s="9">
        <v>3</v>
      </c>
      <c r="K203" s="9">
        <v>3.5</v>
      </c>
      <c r="L203" s="9">
        <v>3</v>
      </c>
      <c r="M203" s="9">
        <v>4</v>
      </c>
      <c r="N203" s="9">
        <v>3.5</v>
      </c>
      <c r="O203" s="9">
        <v>3</v>
      </c>
      <c r="P203" s="9">
        <v>4</v>
      </c>
      <c r="Q203" t="s">
        <v>300</v>
      </c>
      <c r="R203" s="9">
        <v>92</v>
      </c>
      <c r="S203" t="str">
        <f xml:space="preserve"> HYPERLINK("ReviewHtml/review_Tokyo_Godfathers.html", "https://2danicritic.github.io/ReviewHtml/review_Tokyo_Godfathers.html")</f>
        <v>https://2danicritic.github.io/ReviewHtml/review_Tokyo_Godfathers.html</v>
      </c>
    </row>
    <row r="204" spans="2:19" x14ac:dyDescent="0.35">
      <c r="B204">
        <v>35</v>
      </c>
      <c r="C204" t="s">
        <v>728</v>
      </c>
      <c r="D204" s="9">
        <v>2006</v>
      </c>
      <c r="E204" t="s">
        <v>54</v>
      </c>
      <c r="F204" t="s">
        <v>699</v>
      </c>
      <c r="G204" t="s">
        <v>1193</v>
      </c>
      <c r="H204" t="s">
        <v>729</v>
      </c>
      <c r="I204" s="9">
        <v>4.29</v>
      </c>
      <c r="J204" s="9">
        <v>3</v>
      </c>
      <c r="K204" s="9">
        <v>3.5</v>
      </c>
      <c r="L204" s="9">
        <v>4.5</v>
      </c>
      <c r="M204" s="9">
        <v>4.5</v>
      </c>
      <c r="N204" s="9">
        <v>5</v>
      </c>
      <c r="O204" s="9">
        <v>4.5</v>
      </c>
      <c r="P204" s="9">
        <v>5</v>
      </c>
      <c r="Q204" t="s">
        <v>91</v>
      </c>
      <c r="R204" s="9">
        <v>600</v>
      </c>
      <c r="S204" t="str">
        <f xml:space="preserve"> HYPERLINK("ReviewHtml/review_Black_Lagoon.html", "https://2danicritic.github.io/ReviewHtml/review_Black_Lagoon.html")</f>
        <v>https://2danicritic.github.io/ReviewHtml/review_Black_Lagoon.html</v>
      </c>
    </row>
    <row r="205" spans="2:19" hidden="1" x14ac:dyDescent="0.35">
      <c r="B205">
        <v>4</v>
      </c>
      <c r="C205" t="s">
        <v>665</v>
      </c>
      <c r="D205" s="9">
        <v>2002</v>
      </c>
      <c r="E205" t="s">
        <v>54</v>
      </c>
      <c r="F205" t="s">
        <v>666</v>
      </c>
      <c r="G205" t="s">
        <v>1192</v>
      </c>
      <c r="H205" t="s">
        <v>667</v>
      </c>
      <c r="I205" s="9">
        <v>3.64</v>
      </c>
      <c r="J205" s="9">
        <v>3.5</v>
      </c>
      <c r="K205" s="9">
        <v>3.5</v>
      </c>
      <c r="L205" s="9">
        <v>3.5</v>
      </c>
      <c r="M205" s="9">
        <v>3</v>
      </c>
      <c r="N205" s="9">
        <v>4</v>
      </c>
      <c r="O205" s="9">
        <v>4</v>
      </c>
      <c r="P205" s="9">
        <v>4</v>
      </c>
      <c r="Q205" t="s">
        <v>63</v>
      </c>
      <c r="R205" s="9">
        <v>136</v>
      </c>
      <c r="S205" t="str">
        <f xml:space="preserve"> HYPERLINK("ReviewHtml/review_A_Tree_of_Palme.html", "https://2danicritic.github.io/ReviewHtml/review_A_Tree_of_Palme.html")</f>
        <v>https://2danicritic.github.io/ReviewHtml/review_A_Tree_of_Palme.html</v>
      </c>
    </row>
    <row r="206" spans="2:19" x14ac:dyDescent="0.35">
      <c r="B206">
        <v>52</v>
      </c>
      <c r="C206" t="s">
        <v>766</v>
      </c>
      <c r="D206" s="9">
        <v>2006</v>
      </c>
      <c r="E206" t="s">
        <v>54</v>
      </c>
      <c r="F206" t="s">
        <v>764</v>
      </c>
      <c r="G206" t="s">
        <v>1193</v>
      </c>
      <c r="H206" t="s">
        <v>767</v>
      </c>
      <c r="I206" s="9">
        <v>4.3600000000000003</v>
      </c>
      <c r="J206" s="9">
        <v>3.5</v>
      </c>
      <c r="K206" s="9">
        <v>4</v>
      </c>
      <c r="L206" s="9">
        <v>4.5</v>
      </c>
      <c r="M206" s="9">
        <v>4.5</v>
      </c>
      <c r="N206" s="9">
        <v>4.5</v>
      </c>
      <c r="O206" s="9">
        <v>4.5</v>
      </c>
      <c r="P206" s="9">
        <v>5</v>
      </c>
      <c r="Q206" t="s">
        <v>107</v>
      </c>
      <c r="R206" s="9">
        <v>1250</v>
      </c>
      <c r="S206" t="str">
        <f xml:space="preserve"> HYPERLINK("ReviewHtml/review_Code_Geass_-_Lelouch_of_the_Rebellion.html", "https://2danicritic.github.io/ReviewHtml/review_Code_Geass_-_Lelouch_of_the_Rebellion.html")</f>
        <v>https://2danicritic.github.io/ReviewHtml/review_Code_Geass_-_Lelouch_of_the_Rebellion.html</v>
      </c>
    </row>
    <row r="207" spans="2:19" x14ac:dyDescent="0.35">
      <c r="B207">
        <v>54</v>
      </c>
      <c r="C207" t="s">
        <v>768</v>
      </c>
      <c r="D207" s="9">
        <v>2006</v>
      </c>
      <c r="E207" t="s">
        <v>54</v>
      </c>
      <c r="F207" t="s">
        <v>657</v>
      </c>
      <c r="G207" t="s">
        <v>88</v>
      </c>
      <c r="H207" t="s">
        <v>108</v>
      </c>
      <c r="I207" s="9">
        <v>2.93</v>
      </c>
      <c r="J207" s="9">
        <v>2.5</v>
      </c>
      <c r="K207" s="9">
        <v>3</v>
      </c>
      <c r="L207" s="9">
        <v>3</v>
      </c>
      <c r="M207" s="9">
        <v>3</v>
      </c>
      <c r="N207" s="9">
        <v>3.5</v>
      </c>
      <c r="O207" s="9">
        <v>2.5</v>
      </c>
      <c r="P207" s="9">
        <v>3</v>
      </c>
      <c r="Q207" t="s">
        <v>109</v>
      </c>
      <c r="R207" s="9">
        <v>57</v>
      </c>
      <c r="S207" t="str">
        <f xml:space="preserve"> HYPERLINK("ReviewHtml/review_Coffee_Samurai_&amp;_Hoshizora_Kiseki.html", "https://2danicritic.github.io/ReviewHtml/review_Coffee_Samurai_&amp;_Hoshizora_Kiseki.html")</f>
        <v>https://2danicritic.github.io/ReviewHtml/review_Coffee_Samurai_&amp;_Hoshizora_Kiseki.html</v>
      </c>
    </row>
    <row r="208" spans="2:19" x14ac:dyDescent="0.35">
      <c r="B208">
        <v>64</v>
      </c>
      <c r="C208" t="s">
        <v>787</v>
      </c>
      <c r="D208" s="9">
        <v>2006</v>
      </c>
      <c r="E208" t="s">
        <v>54</v>
      </c>
      <c r="F208" t="s">
        <v>699</v>
      </c>
      <c r="G208" t="s">
        <v>1193</v>
      </c>
      <c r="H208" t="s">
        <v>788</v>
      </c>
      <c r="I208" s="9">
        <v>4.71</v>
      </c>
      <c r="J208" s="9">
        <v>4</v>
      </c>
      <c r="K208" s="9">
        <v>4.5</v>
      </c>
      <c r="L208" s="9">
        <v>5</v>
      </c>
      <c r="M208" s="9">
        <v>5</v>
      </c>
      <c r="N208" s="9">
        <v>4.5</v>
      </c>
      <c r="O208" s="9">
        <v>5</v>
      </c>
      <c r="P208" s="9">
        <v>5</v>
      </c>
      <c r="Q208" t="s">
        <v>122</v>
      </c>
      <c r="R208" s="9">
        <v>925</v>
      </c>
      <c r="S208" t="str">
        <f xml:space="preserve"> HYPERLINK("ReviewHtml/review_Death_Note.html", "https://2danicritic.github.io/ReviewHtml/review_Death_Note.html")</f>
        <v>https://2danicritic.github.io/ReviewHtml/review_Death_Note.html</v>
      </c>
    </row>
    <row r="209" spans="2:19" hidden="1" x14ac:dyDescent="0.35">
      <c r="B209">
        <v>137</v>
      </c>
      <c r="C209" t="s">
        <v>919</v>
      </c>
      <c r="D209" s="9">
        <v>2002</v>
      </c>
      <c r="E209" t="s">
        <v>54</v>
      </c>
      <c r="F209" t="s">
        <v>920</v>
      </c>
      <c r="G209" t="s">
        <v>1192</v>
      </c>
      <c r="H209" t="s">
        <v>921</v>
      </c>
      <c r="I209" s="9">
        <v>2.79</v>
      </c>
      <c r="J209" s="9">
        <v>2.5</v>
      </c>
      <c r="K209" s="9">
        <v>2.5</v>
      </c>
      <c r="L209" s="9">
        <v>3</v>
      </c>
      <c r="M209" s="9">
        <v>2</v>
      </c>
      <c r="N209" s="9">
        <v>3</v>
      </c>
      <c r="O209" s="9">
        <v>4.5</v>
      </c>
      <c r="P209" s="9">
        <v>2</v>
      </c>
      <c r="Q209" t="s">
        <v>189</v>
      </c>
      <c r="R209" s="9">
        <v>92</v>
      </c>
      <c r="S209" t="str">
        <f xml:space="preserve"> HYPERLINK("ReviewHtml/review_Lupin_the_Third_-_Episode_0_-_First_Contact.html", "https://2danicritic.github.io/ReviewHtml/review_Lupin_the_Third_-_Episode_0_-_First_Contact.html")</f>
        <v>https://2danicritic.github.io/ReviewHtml/review_Lupin_the_Third_-_Episode_0_-_First_Contact.html</v>
      </c>
    </row>
    <row r="210" spans="2:19" hidden="1" x14ac:dyDescent="0.35">
      <c r="B210">
        <v>236</v>
      </c>
      <c r="C210" t="s">
        <v>1082</v>
      </c>
      <c r="D210" s="9">
        <v>2002</v>
      </c>
      <c r="E210" t="s">
        <v>54</v>
      </c>
      <c r="F210" t="s">
        <v>752</v>
      </c>
      <c r="G210" t="s">
        <v>1192</v>
      </c>
      <c r="H210" t="s">
        <v>1083</v>
      </c>
      <c r="I210" s="9">
        <v>3.5</v>
      </c>
      <c r="J210" s="9">
        <v>3.5</v>
      </c>
      <c r="K210" s="9">
        <v>3</v>
      </c>
      <c r="L210" s="9">
        <v>3.5</v>
      </c>
      <c r="M210" s="9">
        <v>3.5</v>
      </c>
      <c r="N210" s="9">
        <v>3</v>
      </c>
      <c r="O210" s="9">
        <v>4</v>
      </c>
      <c r="P210" s="9">
        <v>4</v>
      </c>
      <c r="Q210" t="s">
        <v>199</v>
      </c>
      <c r="R210" s="9">
        <v>75</v>
      </c>
      <c r="S210" t="str">
        <f xml:space="preserve"> HYPERLINK("ReviewHtml/review_The_Cat_Returns.html", "https://2danicritic.github.io/ReviewHtml/review_The_Cat_Returns.html")</f>
        <v>https://2danicritic.github.io/ReviewHtml/review_The_Cat_Returns.html</v>
      </c>
    </row>
    <row r="211" spans="2:19" hidden="1" x14ac:dyDescent="0.35">
      <c r="B211">
        <v>262</v>
      </c>
      <c r="C211" t="s">
        <v>1124</v>
      </c>
      <c r="D211" s="9">
        <v>2011</v>
      </c>
      <c r="E211" t="s">
        <v>1191</v>
      </c>
      <c r="F211" t="s">
        <v>1125</v>
      </c>
      <c r="G211" t="s">
        <v>1192</v>
      </c>
      <c r="H211" t="s">
        <v>286</v>
      </c>
      <c r="I211" s="9">
        <v>3.14</v>
      </c>
      <c r="J211" s="9">
        <v>3</v>
      </c>
      <c r="K211" s="9">
        <v>3.5</v>
      </c>
      <c r="L211" s="9">
        <v>3</v>
      </c>
      <c r="M211" s="9">
        <v>3</v>
      </c>
      <c r="N211" s="9">
        <v>3</v>
      </c>
      <c r="O211" s="9">
        <v>3.5</v>
      </c>
      <c r="P211" s="9">
        <v>3</v>
      </c>
      <c r="Q211" t="s">
        <v>287</v>
      </c>
      <c r="R211" s="9">
        <v>80</v>
      </c>
      <c r="S211" t="str">
        <f xml:space="preserve"> HYPERLINK("ReviewHtml/review_The_Rabbi's_Cat.html", "https://2danicritic.github.io/ReviewHtml/review_The_Rabbi's_Cat.html")</f>
        <v>https://2danicritic.github.io/ReviewHtml/review_The_Rabbi's_Cat.html</v>
      </c>
    </row>
    <row r="212" spans="2:19" hidden="1" x14ac:dyDescent="0.35">
      <c r="B212">
        <v>299</v>
      </c>
      <c r="C212" t="s">
        <v>1181</v>
      </c>
      <c r="D212" s="9">
        <v>2011</v>
      </c>
      <c r="E212" t="s">
        <v>1198</v>
      </c>
      <c r="F212" t="s">
        <v>1182</v>
      </c>
      <c r="G212" t="s">
        <v>1192</v>
      </c>
      <c r="H212" t="s">
        <v>1183</v>
      </c>
      <c r="I212" s="9">
        <v>3.5</v>
      </c>
      <c r="J212" s="9">
        <v>3</v>
      </c>
      <c r="K212" s="9">
        <v>3</v>
      </c>
      <c r="L212" s="9">
        <v>3.5</v>
      </c>
      <c r="M212" s="9">
        <v>4</v>
      </c>
      <c r="N212" s="9">
        <v>4.5</v>
      </c>
      <c r="O212" s="9">
        <v>3.5</v>
      </c>
      <c r="P212" s="9">
        <v>3</v>
      </c>
      <c r="Q212" t="s">
        <v>250</v>
      </c>
      <c r="R212" s="9">
        <v>89</v>
      </c>
      <c r="S212" t="str">
        <f xml:space="preserve"> HYPERLINK("ReviewHtml/review_Wrinkles.html", "https://2danicritic.github.io/ReviewHtml/review_Wrinkles.html")</f>
        <v>https://2danicritic.github.io/ReviewHtml/review_Wrinkles.html</v>
      </c>
    </row>
    <row r="213" spans="2:19" x14ac:dyDescent="0.35">
      <c r="B213">
        <v>79</v>
      </c>
      <c r="C213" t="s">
        <v>815</v>
      </c>
      <c r="D213" s="9">
        <v>2006</v>
      </c>
      <c r="E213" t="s">
        <v>54</v>
      </c>
      <c r="F213" t="s">
        <v>816</v>
      </c>
      <c r="G213" t="s">
        <v>1193</v>
      </c>
      <c r="H213" t="s">
        <v>817</v>
      </c>
      <c r="I213" s="9">
        <v>2.64</v>
      </c>
      <c r="J213" s="9">
        <v>3</v>
      </c>
      <c r="K213" s="9">
        <v>3</v>
      </c>
      <c r="L213" s="9">
        <v>3</v>
      </c>
      <c r="M213" s="9">
        <v>3</v>
      </c>
      <c r="N213" s="9">
        <v>2</v>
      </c>
      <c r="O213" s="9">
        <v>2.5</v>
      </c>
      <c r="P213" s="9">
        <v>2</v>
      </c>
      <c r="Q213" t="s">
        <v>134</v>
      </c>
      <c r="R213" s="9">
        <v>600</v>
      </c>
      <c r="S213" t="str">
        <f xml:space="preserve"> HYPERLINK("ReviewHtml/review_Fate_-_Stay_Night.html", "https://2danicritic.github.io/ReviewHtml/review_Fate_-_Stay_Night.html")</f>
        <v>https://2danicritic.github.io/ReviewHtml/review_Fate_-_Stay_Night.html</v>
      </c>
    </row>
    <row r="214" spans="2:19" hidden="1" x14ac:dyDescent="0.35">
      <c r="B214">
        <v>1</v>
      </c>
      <c r="C214" t="s">
        <v>659</v>
      </c>
      <c r="D214" s="9">
        <v>2010</v>
      </c>
      <c r="E214" t="s">
        <v>1191</v>
      </c>
      <c r="F214" t="s">
        <v>660</v>
      </c>
      <c r="G214" t="s">
        <v>1192</v>
      </c>
      <c r="H214" t="s">
        <v>56</v>
      </c>
      <c r="I214" s="9">
        <v>3.29</v>
      </c>
      <c r="J214" s="9">
        <v>3</v>
      </c>
      <c r="K214" s="9">
        <v>4</v>
      </c>
      <c r="L214" s="9">
        <v>3.5</v>
      </c>
      <c r="M214" s="9">
        <v>3.5</v>
      </c>
      <c r="N214" s="9">
        <v>3</v>
      </c>
      <c r="O214" s="9">
        <v>3</v>
      </c>
      <c r="P214" s="9">
        <v>3</v>
      </c>
      <c r="Q214" t="s">
        <v>57</v>
      </c>
      <c r="R214" s="9">
        <v>65</v>
      </c>
      <c r="S214" t="str">
        <f xml:space="preserve"> HYPERLINK("ReviewHtml/review_A_Cat_in_Paris.html", "https://2danicritic.github.io/ReviewHtml/review_A_Cat_in_Paris.html")</f>
        <v>https://2danicritic.github.io/ReviewHtml/review_A_Cat_in_Paris.html</v>
      </c>
    </row>
    <row r="215" spans="2:19" x14ac:dyDescent="0.35">
      <c r="B215">
        <v>106</v>
      </c>
      <c r="C215" t="s">
        <v>861</v>
      </c>
      <c r="D215" s="9">
        <v>2006</v>
      </c>
      <c r="E215" t="s">
        <v>54</v>
      </c>
      <c r="F215" t="s">
        <v>162</v>
      </c>
      <c r="G215" t="s">
        <v>88</v>
      </c>
      <c r="H215" t="s">
        <v>163</v>
      </c>
      <c r="I215" s="9">
        <v>4.21</v>
      </c>
      <c r="J215" s="9">
        <v>3</v>
      </c>
      <c r="K215" s="9">
        <v>5</v>
      </c>
      <c r="L215" s="9">
        <v>3.5</v>
      </c>
      <c r="M215" s="9">
        <v>5</v>
      </c>
      <c r="N215" s="9">
        <v>3</v>
      </c>
      <c r="O215" s="9">
        <v>5</v>
      </c>
      <c r="P215" s="9">
        <v>5</v>
      </c>
      <c r="Q215" t="s">
        <v>164</v>
      </c>
      <c r="R215" s="9">
        <v>472</v>
      </c>
      <c r="S215" t="str">
        <f xml:space="preserve"> HYPERLINK("ReviewHtml/review_Hellsing_Ultimate.html", "https://2danicritic.github.io/ReviewHtml/review_Hellsing_Ultimate.html")</f>
        <v>https://2danicritic.github.io/ReviewHtml/review_Hellsing_Ultimate.html</v>
      </c>
    </row>
    <row r="216" spans="2:19" hidden="1" x14ac:dyDescent="0.35">
      <c r="B216">
        <v>49</v>
      </c>
      <c r="C216" t="s">
        <v>759</v>
      </c>
      <c r="D216" s="9">
        <v>2010</v>
      </c>
      <c r="E216" t="s">
        <v>1198</v>
      </c>
      <c r="F216" t="s">
        <v>760</v>
      </c>
      <c r="G216" t="s">
        <v>1192</v>
      </c>
      <c r="H216" t="s">
        <v>761</v>
      </c>
      <c r="I216" s="9">
        <v>3.57</v>
      </c>
      <c r="J216" s="9">
        <v>4</v>
      </c>
      <c r="K216" s="9">
        <v>4</v>
      </c>
      <c r="L216" s="9">
        <v>4.5</v>
      </c>
      <c r="M216" s="9">
        <v>3.5</v>
      </c>
      <c r="N216" s="9">
        <v>3</v>
      </c>
      <c r="O216" s="9">
        <v>3</v>
      </c>
      <c r="P216" s="9">
        <v>3</v>
      </c>
      <c r="Q216" t="s">
        <v>104</v>
      </c>
      <c r="R216" s="9">
        <v>97</v>
      </c>
      <c r="S216" t="str">
        <f xml:space="preserve"> HYPERLINK("ReviewHtml/review_Chico_and_Rita.html", "https://2danicritic.github.io/ReviewHtml/review_Chico_and_Rita.html")</f>
        <v>https://2danicritic.github.io/ReviewHtml/review_Chico_and_Rita.html</v>
      </c>
    </row>
    <row r="217" spans="2:19" x14ac:dyDescent="0.35">
      <c r="B217">
        <v>253</v>
      </c>
      <c r="C217" t="s">
        <v>1113</v>
      </c>
      <c r="D217" s="9">
        <v>2006</v>
      </c>
      <c r="E217" t="s">
        <v>54</v>
      </c>
      <c r="F217" t="s">
        <v>663</v>
      </c>
      <c r="G217" t="s">
        <v>1193</v>
      </c>
      <c r="H217" t="s">
        <v>914</v>
      </c>
      <c r="I217" s="9">
        <v>2.93</v>
      </c>
      <c r="J217" s="9">
        <v>3</v>
      </c>
      <c r="K217" s="9">
        <v>3</v>
      </c>
      <c r="L217" s="9">
        <v>3.5</v>
      </c>
      <c r="M217" s="9">
        <v>3.5</v>
      </c>
      <c r="N217" s="9">
        <v>2.5</v>
      </c>
      <c r="O217" s="9">
        <v>2.5</v>
      </c>
      <c r="P217" s="9">
        <v>2.5</v>
      </c>
      <c r="Q217" t="s">
        <v>279</v>
      </c>
      <c r="R217" s="9">
        <v>700</v>
      </c>
      <c r="S217" t="str">
        <f xml:space="preserve"> HYPERLINK("ReviewHtml/review_The_Melancholy_of_Haruhi_Suzumiya.html", "https://2danicritic.github.io/ReviewHtml/review_The_Melancholy_of_Haruhi_Suzumiya.html")</f>
        <v>https://2danicritic.github.io/ReviewHtml/review_The_Melancholy_of_Haruhi_Suzumiya.html</v>
      </c>
    </row>
    <row r="218" spans="2:19" x14ac:dyDescent="0.35">
      <c r="B218">
        <v>292</v>
      </c>
      <c r="C218" t="s">
        <v>1165</v>
      </c>
      <c r="D218" s="9">
        <v>2006</v>
      </c>
      <c r="E218" t="s">
        <v>54</v>
      </c>
      <c r="F218" t="s">
        <v>669</v>
      </c>
      <c r="G218" t="s">
        <v>1193</v>
      </c>
      <c r="H218" t="s">
        <v>1166</v>
      </c>
      <c r="I218" s="9">
        <v>3.43</v>
      </c>
      <c r="J218" s="9">
        <v>3</v>
      </c>
      <c r="K218" s="9">
        <v>3</v>
      </c>
      <c r="L218" s="9">
        <v>3.5</v>
      </c>
      <c r="M218" s="9">
        <v>3</v>
      </c>
      <c r="N218" s="9">
        <v>3.5</v>
      </c>
      <c r="O218" s="9">
        <v>4</v>
      </c>
      <c r="P218" s="9">
        <v>4</v>
      </c>
      <c r="Q218" t="s">
        <v>308</v>
      </c>
      <c r="R218" s="9">
        <v>600</v>
      </c>
      <c r="S218" t="str">
        <f xml:space="preserve"> HYPERLINK("ReviewHtml/review_Welcome_to_the_N.H.K..html", "https://2danicritic.github.io/ReviewHtml/review_Welcome_to_the_N.H.K..html")</f>
        <v>https://2danicritic.github.io/ReviewHtml/review_Welcome_to_the_N.H.K..html</v>
      </c>
    </row>
    <row r="219" spans="2:19" x14ac:dyDescent="0.35">
      <c r="B219">
        <v>300</v>
      </c>
      <c r="C219" t="s">
        <v>1184</v>
      </c>
      <c r="D219" s="9">
        <v>2006</v>
      </c>
      <c r="E219" t="s">
        <v>54</v>
      </c>
      <c r="F219" t="s">
        <v>736</v>
      </c>
      <c r="G219" t="s">
        <v>1193</v>
      </c>
      <c r="H219" t="s">
        <v>1023</v>
      </c>
      <c r="I219" s="9">
        <v>2.36</v>
      </c>
      <c r="J219" s="9">
        <v>3</v>
      </c>
      <c r="K219" s="9">
        <v>3.5</v>
      </c>
      <c r="L219" s="9">
        <v>2.5</v>
      </c>
      <c r="M219" s="9">
        <v>2</v>
      </c>
      <c r="N219" s="9">
        <v>2</v>
      </c>
      <c r="O219" s="9">
        <v>1.5</v>
      </c>
      <c r="P219" s="9">
        <v>2</v>
      </c>
      <c r="Q219" t="s">
        <v>313</v>
      </c>
      <c r="R219" s="9">
        <v>600</v>
      </c>
      <c r="S219" t="str">
        <f xml:space="preserve"> HYPERLINK("ReviewHtml/review_xxxHolic.html", "https://2danicritic.github.io/ReviewHtml/review_xxxHolic.html")</f>
        <v>https://2danicritic.github.io/ReviewHtml/review_xxxHolic.html</v>
      </c>
    </row>
    <row r="220" spans="2:19" hidden="1" x14ac:dyDescent="0.35">
      <c r="B220">
        <v>58</v>
      </c>
      <c r="C220" t="s">
        <v>1278</v>
      </c>
      <c r="D220" s="9">
        <v>2001</v>
      </c>
      <c r="E220" t="s">
        <v>54</v>
      </c>
      <c r="F220" t="s">
        <v>739</v>
      </c>
      <c r="G220" t="s">
        <v>1192</v>
      </c>
      <c r="H220" t="s">
        <v>1318</v>
      </c>
      <c r="I220" s="9">
        <v>3.93</v>
      </c>
      <c r="J220" s="9">
        <v>4</v>
      </c>
      <c r="K220" s="9">
        <v>3.5</v>
      </c>
      <c r="L220" s="9">
        <v>4.5</v>
      </c>
      <c r="M220" s="9">
        <v>4.5</v>
      </c>
      <c r="N220" s="9">
        <v>3.5</v>
      </c>
      <c r="O220" s="9">
        <v>3.5</v>
      </c>
      <c r="P220" s="9">
        <v>4</v>
      </c>
      <c r="Q220" t="s">
        <v>1203</v>
      </c>
      <c r="R220" s="9">
        <v>115</v>
      </c>
      <c r="S220" t="str">
        <f xml:space="preserve"> HYPERLINK("ReviewHtml/review_Cowboy_Bebop_-_The_Movie.html", "https://2danicritic.github.io/ReviewHtml/review_Cowboy_Bebop_-_The_Movie.html")</f>
        <v>https://2danicritic.github.io/ReviewHtml/review_Cowboy_Bebop_-_The_Movie.html</v>
      </c>
    </row>
    <row r="221" spans="2:19" x14ac:dyDescent="0.35">
      <c r="B221">
        <v>159</v>
      </c>
      <c r="C221" t="s">
        <v>955</v>
      </c>
      <c r="D221" s="9">
        <v>2005</v>
      </c>
      <c r="E221" t="s">
        <v>54</v>
      </c>
      <c r="F221" t="s">
        <v>956</v>
      </c>
      <c r="G221" t="s">
        <v>1193</v>
      </c>
      <c r="H221" t="s">
        <v>957</v>
      </c>
      <c r="I221" s="9">
        <v>4.6399999999999997</v>
      </c>
      <c r="J221" s="9">
        <v>4.5</v>
      </c>
      <c r="K221" s="9">
        <v>4.5</v>
      </c>
      <c r="L221" s="9">
        <v>5</v>
      </c>
      <c r="M221" s="9">
        <v>4.5</v>
      </c>
      <c r="N221" s="9">
        <v>5</v>
      </c>
      <c r="O221" s="9">
        <v>4</v>
      </c>
      <c r="P221" s="9">
        <v>5</v>
      </c>
      <c r="Q221" t="s">
        <v>205</v>
      </c>
      <c r="R221" s="9">
        <v>650</v>
      </c>
      <c r="S221" t="str">
        <f xml:space="preserve"> HYPERLINK("ReviewHtml/review_Mushi-Shi.html", "https://2danicritic.github.io/ReviewHtml/review_Mushi-Shi.html")</f>
        <v>https://2danicritic.github.io/ReviewHtml/review_Mushi-Shi.html</v>
      </c>
    </row>
    <row r="222" spans="2:19" hidden="1" x14ac:dyDescent="0.35">
      <c r="B222">
        <v>249</v>
      </c>
      <c r="C222" t="s">
        <v>1103</v>
      </c>
      <c r="D222" s="9">
        <v>2010</v>
      </c>
      <c r="E222" t="s">
        <v>1238</v>
      </c>
      <c r="F222" t="s">
        <v>1104</v>
      </c>
      <c r="G222" t="s">
        <v>1192</v>
      </c>
      <c r="H222" t="s">
        <v>1105</v>
      </c>
      <c r="I222" s="9">
        <v>4.1399999999999997</v>
      </c>
      <c r="J222" s="9">
        <v>5</v>
      </c>
      <c r="K222" s="9">
        <v>4.5</v>
      </c>
      <c r="L222" s="9">
        <v>3.5</v>
      </c>
      <c r="M222" s="9">
        <v>3</v>
      </c>
      <c r="N222" s="9">
        <v>5</v>
      </c>
      <c r="O222" s="9">
        <v>3</v>
      </c>
      <c r="P222" s="9">
        <v>5</v>
      </c>
      <c r="Q222" t="s">
        <v>353</v>
      </c>
      <c r="R222" s="9">
        <v>79</v>
      </c>
      <c r="S222" t="str">
        <f xml:space="preserve"> HYPERLINK("ReviewHtml/review_The_Illusionist.html", "https://2danicritic.github.io/ReviewHtml/review_The_Illusionist.html")</f>
        <v>https://2danicritic.github.io/ReviewHtml/review_The_Illusionist.html</v>
      </c>
    </row>
    <row r="223" spans="2:19" x14ac:dyDescent="0.35">
      <c r="B223">
        <v>87</v>
      </c>
      <c r="C223" t="s">
        <v>832</v>
      </c>
      <c r="D223" s="9">
        <v>2004</v>
      </c>
      <c r="E223" t="s">
        <v>54</v>
      </c>
      <c r="F223" t="s">
        <v>669</v>
      </c>
      <c r="G223" t="s">
        <v>1193</v>
      </c>
      <c r="H223" t="s">
        <v>833</v>
      </c>
      <c r="I223" s="9">
        <v>4.29</v>
      </c>
      <c r="J223" s="9">
        <v>3</v>
      </c>
      <c r="K223" s="9">
        <v>4.5</v>
      </c>
      <c r="L223" s="9">
        <v>5</v>
      </c>
      <c r="M223" s="9">
        <v>4</v>
      </c>
      <c r="N223" s="9">
        <v>4.5</v>
      </c>
      <c r="O223" s="9">
        <v>4</v>
      </c>
      <c r="P223" s="9">
        <v>5</v>
      </c>
      <c r="Q223" t="s">
        <v>142</v>
      </c>
      <c r="R223" s="9">
        <v>600</v>
      </c>
      <c r="S223" t="str">
        <f xml:space="preserve"> HYPERLINK("ReviewHtml/review_Gankutsuou_-_The_Count_of_Monte_Cristo.html", "https://2danicritic.github.io/ReviewHtml/review_Gankutsuou_-_The_Count_of_Monte_Cristo.html")</f>
        <v>https://2danicritic.github.io/ReviewHtml/review_Gankutsuou_-_The_Count_of_Monte_Cristo.html</v>
      </c>
    </row>
    <row r="224" spans="2:19" x14ac:dyDescent="0.35">
      <c r="B224">
        <v>88</v>
      </c>
      <c r="C224" t="s">
        <v>834</v>
      </c>
      <c r="D224" s="9">
        <v>2004</v>
      </c>
      <c r="E224" t="s">
        <v>54</v>
      </c>
      <c r="F224" t="s">
        <v>669</v>
      </c>
      <c r="G224" t="s">
        <v>1193</v>
      </c>
      <c r="H224" t="s">
        <v>835</v>
      </c>
      <c r="I224" s="9">
        <v>3.29</v>
      </c>
      <c r="J224" s="9">
        <v>2.5</v>
      </c>
      <c r="K224" s="9">
        <v>2.5</v>
      </c>
      <c r="L224" s="9">
        <v>3</v>
      </c>
      <c r="M224" s="9">
        <v>2.5</v>
      </c>
      <c r="N224" s="9">
        <v>4</v>
      </c>
      <c r="O224" s="9">
        <v>4.5</v>
      </c>
      <c r="P224" s="9">
        <v>4</v>
      </c>
      <c r="Q224" t="s">
        <v>143</v>
      </c>
      <c r="R224" s="9">
        <v>650</v>
      </c>
      <c r="S224" t="str">
        <f xml:space="preserve"> HYPERLINK("ReviewHtml/review_Gantz.html", "https://2danicritic.github.io/ReviewHtml/review_Gantz.html")</f>
        <v>https://2danicritic.github.io/ReviewHtml/review_Gantz.html</v>
      </c>
    </row>
    <row r="225" spans="2:19" x14ac:dyDescent="0.35">
      <c r="B225">
        <v>150</v>
      </c>
      <c r="C225" t="s">
        <v>942</v>
      </c>
      <c r="D225" s="9">
        <v>2004</v>
      </c>
      <c r="E225" t="s">
        <v>54</v>
      </c>
      <c r="F225" t="s">
        <v>943</v>
      </c>
      <c r="G225" t="s">
        <v>1193</v>
      </c>
      <c r="H225" t="s">
        <v>944</v>
      </c>
      <c r="I225" s="9">
        <v>2.79</v>
      </c>
      <c r="J225" s="9">
        <v>2.5</v>
      </c>
      <c r="K225" s="9">
        <v>2</v>
      </c>
      <c r="L225" s="9">
        <v>3</v>
      </c>
      <c r="M225" s="9">
        <v>2.5</v>
      </c>
      <c r="N225" s="9">
        <v>2.5</v>
      </c>
      <c r="O225" s="9">
        <v>3.5</v>
      </c>
      <c r="P225" s="9">
        <v>3.5</v>
      </c>
      <c r="Q225" t="s">
        <v>200</v>
      </c>
      <c r="R225" s="9">
        <v>325</v>
      </c>
      <c r="S225" t="str">
        <f xml:space="preserve"> HYPERLINK("ReviewHtml/review_Mezzo_DSA.html", "https://2danicritic.github.io/ReviewHtml/review_Mezzo_DSA.html")</f>
        <v>https://2danicritic.github.io/ReviewHtml/review_Mezzo_DSA.html</v>
      </c>
    </row>
    <row r="226" spans="2:19" hidden="1" x14ac:dyDescent="0.35">
      <c r="B226">
        <v>149</v>
      </c>
      <c r="C226" t="s">
        <v>940</v>
      </c>
      <c r="D226" s="9">
        <v>2001</v>
      </c>
      <c r="E226" t="s">
        <v>54</v>
      </c>
      <c r="F226" t="s">
        <v>699</v>
      </c>
      <c r="G226" t="s">
        <v>1192</v>
      </c>
      <c r="H226" t="s">
        <v>941</v>
      </c>
      <c r="I226" s="9">
        <v>4.1399999999999997</v>
      </c>
      <c r="J226" s="9">
        <v>4.5</v>
      </c>
      <c r="K226" s="9">
        <v>4</v>
      </c>
      <c r="L226" s="9">
        <v>4</v>
      </c>
      <c r="M226" s="9">
        <v>3</v>
      </c>
      <c r="N226" s="9">
        <v>4.5</v>
      </c>
      <c r="O226" s="9">
        <v>4</v>
      </c>
      <c r="P226" s="9">
        <v>5</v>
      </c>
      <c r="Q226" t="s">
        <v>346</v>
      </c>
      <c r="R226" s="9">
        <v>113</v>
      </c>
      <c r="S226" t="str">
        <f xml:space="preserve"> HYPERLINK("ReviewHtml/review_Metropolis.html", "https://2danicritic.github.io/ReviewHtml/review_Metropolis.html")</f>
        <v>https://2danicritic.github.io/ReviewHtml/review_Metropolis.html</v>
      </c>
    </row>
    <row r="227" spans="2:19" x14ac:dyDescent="0.35">
      <c r="B227">
        <v>174</v>
      </c>
      <c r="C227" t="s">
        <v>981</v>
      </c>
      <c r="D227" s="9">
        <v>2004</v>
      </c>
      <c r="E227" t="s">
        <v>54</v>
      </c>
      <c r="F227" t="s">
        <v>819</v>
      </c>
      <c r="G227" t="s">
        <v>1193</v>
      </c>
      <c r="H227" t="s">
        <v>982</v>
      </c>
      <c r="I227" s="9">
        <v>1.93</v>
      </c>
      <c r="J227" s="9">
        <v>2</v>
      </c>
      <c r="K227" s="9">
        <v>2</v>
      </c>
      <c r="L227" s="9">
        <v>3</v>
      </c>
      <c r="M227" s="9">
        <v>2</v>
      </c>
      <c r="N227" s="9">
        <v>1.5</v>
      </c>
      <c r="O227" s="9">
        <v>2</v>
      </c>
      <c r="P227" s="9">
        <v>1</v>
      </c>
      <c r="Q227" t="s">
        <v>148</v>
      </c>
      <c r="R227" s="9">
        <v>300</v>
      </c>
      <c r="S227" t="str">
        <f xml:space="preserve"> HYPERLINK("ReviewHtml/review_Ninja_Nonsense.html", "https://2danicritic.github.io/ReviewHtml/review_Ninja_Nonsense.html")</f>
        <v>https://2danicritic.github.io/ReviewHtml/review_Ninja_Nonsense.html</v>
      </c>
    </row>
    <row r="228" spans="2:19" hidden="1" x14ac:dyDescent="0.35">
      <c r="B228">
        <v>223</v>
      </c>
      <c r="C228" t="s">
        <v>1068</v>
      </c>
      <c r="D228" s="9">
        <v>2001</v>
      </c>
      <c r="E228" t="s">
        <v>54</v>
      </c>
      <c r="F228" t="s">
        <v>752</v>
      </c>
      <c r="G228" t="s">
        <v>1192</v>
      </c>
      <c r="H228" t="s">
        <v>753</v>
      </c>
      <c r="I228" s="9">
        <v>4</v>
      </c>
      <c r="J228" s="9">
        <v>4</v>
      </c>
      <c r="K228" s="9">
        <v>4</v>
      </c>
      <c r="L228" s="9">
        <v>4</v>
      </c>
      <c r="M228" s="9">
        <v>3.5</v>
      </c>
      <c r="N228" s="9">
        <v>3.5</v>
      </c>
      <c r="O228" s="9">
        <v>4</v>
      </c>
      <c r="P228" s="9">
        <v>5</v>
      </c>
      <c r="Q228" t="s">
        <v>199</v>
      </c>
      <c r="R228" s="9">
        <v>125</v>
      </c>
      <c r="S228" t="str">
        <f xml:space="preserve"> HYPERLINK("ReviewHtml/review_Spirited_Away.html", "https://2danicritic.github.io/ReviewHtml/review_Spirited_Away.html")</f>
        <v>https://2danicritic.github.io/ReviewHtml/review_Spirited_Away.html</v>
      </c>
    </row>
    <row r="229" spans="2:19" hidden="1" x14ac:dyDescent="0.35">
      <c r="B229">
        <v>39</v>
      </c>
      <c r="C229" t="s">
        <v>735</v>
      </c>
      <c r="D229" s="9">
        <v>2000</v>
      </c>
      <c r="E229" t="s">
        <v>54</v>
      </c>
      <c r="F229" t="s">
        <v>736</v>
      </c>
      <c r="G229" t="s">
        <v>1192</v>
      </c>
      <c r="H229" t="s">
        <v>737</v>
      </c>
      <c r="I229" s="9">
        <v>2.57</v>
      </c>
      <c r="J229" s="9">
        <v>3</v>
      </c>
      <c r="K229" s="9">
        <v>2</v>
      </c>
      <c r="L229" s="9">
        <v>3</v>
      </c>
      <c r="M229" s="9">
        <v>2</v>
      </c>
      <c r="N229" s="9">
        <v>2</v>
      </c>
      <c r="O229" s="9">
        <v>3</v>
      </c>
      <c r="P229" s="9">
        <v>3</v>
      </c>
      <c r="Q229" t="s">
        <v>96</v>
      </c>
      <c r="R229" s="9">
        <v>45</v>
      </c>
      <c r="S229" t="str">
        <f xml:space="preserve"> HYPERLINK("ReviewHtml/review_Blood_-_The_Last_Vampire.html", "https://2danicritic.github.io/ReviewHtml/review_Blood_-_The_Last_Vampire.html")</f>
        <v>https://2danicritic.github.io/ReviewHtml/review_Blood_-_The_Last_Vampire.html</v>
      </c>
    </row>
    <row r="230" spans="2:19" hidden="1" x14ac:dyDescent="0.35">
      <c r="B230">
        <v>289</v>
      </c>
      <c r="C230" t="s">
        <v>1163</v>
      </c>
      <c r="D230" s="9">
        <v>2000</v>
      </c>
      <c r="E230" t="s">
        <v>54</v>
      </c>
      <c r="F230" t="s">
        <v>699</v>
      </c>
      <c r="G230" t="s">
        <v>1192</v>
      </c>
      <c r="H230" t="s">
        <v>984</v>
      </c>
      <c r="I230" s="9">
        <v>3.14</v>
      </c>
      <c r="J230" s="9">
        <v>3.5</v>
      </c>
      <c r="K230" s="9">
        <v>3.5</v>
      </c>
      <c r="L230" s="9">
        <v>3</v>
      </c>
      <c r="M230" s="9">
        <v>2</v>
      </c>
      <c r="N230" s="9">
        <v>3.5</v>
      </c>
      <c r="O230" s="9">
        <v>3</v>
      </c>
      <c r="P230" s="9">
        <v>3.5</v>
      </c>
      <c r="Q230" t="s">
        <v>357</v>
      </c>
      <c r="R230" s="9">
        <v>105</v>
      </c>
      <c r="S230" t="str">
        <f xml:space="preserve"> HYPERLINK("ReviewHtml/review_Vampire_Hunter_D_-_Bloodlust.html", "https://2danicritic.github.io/ReviewHtml/review_Vampire_Hunter_D_-_Bloodlust.html")</f>
        <v>https://2danicritic.github.io/ReviewHtml/review_Vampire_Hunter_D_-_Bloodlust.html</v>
      </c>
    </row>
    <row r="231" spans="2:19" x14ac:dyDescent="0.35">
      <c r="B231">
        <v>189</v>
      </c>
      <c r="C231" t="s">
        <v>1293</v>
      </c>
      <c r="D231" s="9">
        <v>2004</v>
      </c>
      <c r="E231" t="s">
        <v>54</v>
      </c>
      <c r="F231" t="s">
        <v>699</v>
      </c>
      <c r="G231" t="s">
        <v>1193</v>
      </c>
      <c r="H231" t="s">
        <v>1004</v>
      </c>
      <c r="I231" s="9">
        <v>3.71</v>
      </c>
      <c r="J231" s="9">
        <v>3.5</v>
      </c>
      <c r="K231" s="9">
        <v>3.5</v>
      </c>
      <c r="L231" s="9">
        <v>3.5</v>
      </c>
      <c r="M231" s="9">
        <v>3</v>
      </c>
      <c r="N231" s="9">
        <v>4</v>
      </c>
      <c r="O231" s="9">
        <v>4</v>
      </c>
      <c r="P231" s="9">
        <v>4.5</v>
      </c>
      <c r="Q231" t="s">
        <v>1227</v>
      </c>
      <c r="R231" s="9">
        <v>325</v>
      </c>
      <c r="S231" t="str">
        <f xml:space="preserve"> HYPERLINK("ReviewHtml/review_Paranoia_Agent.html", "https://2danicritic.github.io/ReviewHtml/review_Paranoia_Agent.html")</f>
        <v>https://2danicritic.github.io/ReviewHtml/review_Paranoia_Agent.html</v>
      </c>
    </row>
    <row r="232" spans="2:19" hidden="1" x14ac:dyDescent="0.35">
      <c r="B232">
        <v>164</v>
      </c>
      <c r="C232" t="s">
        <v>968</v>
      </c>
      <c r="D232" s="9">
        <v>1999</v>
      </c>
      <c r="E232" t="s">
        <v>54</v>
      </c>
      <c r="F232" t="s">
        <v>752</v>
      </c>
      <c r="G232" t="s">
        <v>1192</v>
      </c>
      <c r="H232" t="s">
        <v>848</v>
      </c>
      <c r="I232" s="9">
        <v>3.21</v>
      </c>
      <c r="J232" s="9">
        <v>3.5</v>
      </c>
      <c r="K232" s="9">
        <v>3.5</v>
      </c>
      <c r="L232" s="9">
        <v>3.5</v>
      </c>
      <c r="M232" s="9">
        <v>3</v>
      </c>
      <c r="N232" s="9">
        <v>1.5</v>
      </c>
      <c r="O232" s="9">
        <v>3.5</v>
      </c>
      <c r="P232" s="9">
        <v>4</v>
      </c>
      <c r="Q232" t="s">
        <v>209</v>
      </c>
      <c r="R232" s="9">
        <v>104</v>
      </c>
      <c r="S232" t="str">
        <f xml:space="preserve"> HYPERLINK("ReviewHtml/review_My_Neighbors_The_Yamadas.html", "https://2danicritic.github.io/ReviewHtml/review_My_Neighbors_The_Yamadas.html")</f>
        <v>https://2danicritic.github.io/ReviewHtml/review_My_Neighbors_The_Yamadas.html</v>
      </c>
    </row>
    <row r="233" spans="2:19" hidden="1" x14ac:dyDescent="0.35">
      <c r="B233">
        <v>169</v>
      </c>
      <c r="C233" t="s">
        <v>1290</v>
      </c>
      <c r="D233" s="9">
        <v>1997</v>
      </c>
      <c r="E233" t="s">
        <v>54</v>
      </c>
      <c r="F233" t="s">
        <v>1220</v>
      </c>
      <c r="G233" t="s">
        <v>1192</v>
      </c>
      <c r="H233" t="s">
        <v>1221</v>
      </c>
      <c r="I233" s="9">
        <v>2.79</v>
      </c>
      <c r="J233" s="9">
        <v>3</v>
      </c>
      <c r="K233" s="9">
        <v>3</v>
      </c>
      <c r="L233" s="9">
        <v>3</v>
      </c>
      <c r="M233" s="9">
        <v>2</v>
      </c>
      <c r="N233" s="9">
        <v>2.5</v>
      </c>
      <c r="O233" s="9">
        <v>3</v>
      </c>
      <c r="P233" s="9">
        <v>3</v>
      </c>
      <c r="Q233" t="s">
        <v>1222</v>
      </c>
      <c r="R233" s="9">
        <v>110</v>
      </c>
      <c r="S233" t="str">
        <f xml:space="preserve"> HYPERLINK("ReviewHtml/review_Neon_Genesis_Evangelion_-_Death_and_Rebirth.html", "https://2danicritic.github.io/ReviewHtml/review_Neon_Genesis_Evangelion_-_Death_and_Rebirth.html")</f>
        <v>https://2danicritic.github.io/ReviewHtml/review_Neon_Genesis_Evangelion_-_Death_and_Rebirth.html</v>
      </c>
    </row>
    <row r="234" spans="2:19" hidden="1" x14ac:dyDescent="0.35">
      <c r="B234">
        <v>265</v>
      </c>
      <c r="C234" t="s">
        <v>1128</v>
      </c>
      <c r="D234" s="9">
        <v>2009</v>
      </c>
      <c r="E234" t="s">
        <v>1232</v>
      </c>
      <c r="F234" t="s">
        <v>1060</v>
      </c>
      <c r="G234" t="s">
        <v>1192</v>
      </c>
      <c r="H234" t="s">
        <v>355</v>
      </c>
      <c r="I234" s="9">
        <v>3.79</v>
      </c>
      <c r="J234" s="9">
        <v>3.5</v>
      </c>
      <c r="K234" s="9">
        <v>5</v>
      </c>
      <c r="L234" s="9">
        <v>3.5</v>
      </c>
      <c r="M234" s="9">
        <v>3.5</v>
      </c>
      <c r="N234" s="9">
        <v>3</v>
      </c>
      <c r="O234" s="9">
        <v>3.5</v>
      </c>
      <c r="P234" s="9">
        <v>4.5</v>
      </c>
      <c r="Q234" t="s">
        <v>351</v>
      </c>
      <c r="R234" s="9">
        <v>75</v>
      </c>
      <c r="S234" t="str">
        <f xml:space="preserve"> HYPERLINK("ReviewHtml/review_The_Secret_of_Kells.html", "https://2danicritic.github.io/ReviewHtml/review_The_Secret_of_Kells.html")</f>
        <v>https://2danicritic.github.io/ReviewHtml/review_The_Secret_of_Kells.html</v>
      </c>
    </row>
    <row r="235" spans="2:19" hidden="1" x14ac:dyDescent="0.35">
      <c r="B235">
        <v>170</v>
      </c>
      <c r="C235" t="s">
        <v>1291</v>
      </c>
      <c r="D235" s="9">
        <v>1997</v>
      </c>
      <c r="E235" t="s">
        <v>54</v>
      </c>
      <c r="F235" t="s">
        <v>1310</v>
      </c>
      <c r="G235" t="s">
        <v>1192</v>
      </c>
      <c r="H235" t="s">
        <v>1223</v>
      </c>
      <c r="I235" s="9">
        <v>3.43</v>
      </c>
      <c r="J235" s="9">
        <v>3</v>
      </c>
      <c r="K235" s="9">
        <v>3.5</v>
      </c>
      <c r="L235" s="9">
        <v>3.5</v>
      </c>
      <c r="M235" s="9">
        <v>2.5</v>
      </c>
      <c r="N235" s="9">
        <v>3.5</v>
      </c>
      <c r="O235" s="9">
        <v>3.5</v>
      </c>
      <c r="P235" s="9">
        <v>4.5</v>
      </c>
      <c r="Q235" t="s">
        <v>1224</v>
      </c>
      <c r="R235" s="9">
        <v>85</v>
      </c>
      <c r="S235" t="str">
        <f xml:space="preserve"> HYPERLINK("ReviewHtml/review_Neon_Genesis_Evangelion_-_The_End_of_Evangelion.html", "https://2danicritic.github.io/ReviewHtml/review_Neon_Genesis_Evangelion_-_The_End_of_Evangelion.html")</f>
        <v>https://2danicritic.github.io/ReviewHtml/review_Neon_Genesis_Evangelion_-_The_End_of_Evangelion.html</v>
      </c>
    </row>
    <row r="236" spans="2:19" hidden="1" x14ac:dyDescent="0.35">
      <c r="B236">
        <v>193</v>
      </c>
      <c r="C236" t="s">
        <v>1009</v>
      </c>
      <c r="D236" s="9">
        <v>2007</v>
      </c>
      <c r="E236" t="s">
        <v>1191</v>
      </c>
      <c r="F236" t="s">
        <v>1010</v>
      </c>
      <c r="G236" t="s">
        <v>1192</v>
      </c>
      <c r="H236" t="s">
        <v>230</v>
      </c>
      <c r="I236" s="9">
        <v>3.21</v>
      </c>
      <c r="J236" s="9">
        <v>3</v>
      </c>
      <c r="K236" s="9">
        <v>3</v>
      </c>
      <c r="L236" s="9">
        <v>3</v>
      </c>
      <c r="M236" s="9">
        <v>3.5</v>
      </c>
      <c r="N236" s="9">
        <v>3.5</v>
      </c>
      <c r="O236" s="9">
        <v>2.5</v>
      </c>
      <c r="P236" s="9">
        <v>4</v>
      </c>
      <c r="Q236" t="s">
        <v>231</v>
      </c>
      <c r="R236" s="9">
        <v>96</v>
      </c>
      <c r="S236" t="str">
        <f xml:space="preserve"> HYPERLINK("ReviewHtml/review_Persepolis.html", "https://2danicritic.github.io/ReviewHtml/review_Persepolis.html")</f>
        <v>https://2danicritic.github.io/ReviewHtml/review_Persepolis.html</v>
      </c>
    </row>
    <row r="237" spans="2:19" hidden="1" x14ac:dyDescent="0.35">
      <c r="B237">
        <v>192</v>
      </c>
      <c r="C237" t="s">
        <v>1008</v>
      </c>
      <c r="D237" s="9">
        <v>1997</v>
      </c>
      <c r="E237" t="s">
        <v>54</v>
      </c>
      <c r="F237" t="s">
        <v>699</v>
      </c>
      <c r="G237" t="s">
        <v>1192</v>
      </c>
      <c r="H237" t="s">
        <v>1004</v>
      </c>
      <c r="I237" s="9">
        <v>3.86</v>
      </c>
      <c r="J237" s="9">
        <v>3</v>
      </c>
      <c r="K237" s="9">
        <v>2.5</v>
      </c>
      <c r="L237" s="9">
        <v>4</v>
      </c>
      <c r="M237" s="9">
        <v>3.5</v>
      </c>
      <c r="N237" s="9">
        <v>5</v>
      </c>
      <c r="O237" s="9">
        <v>4</v>
      </c>
      <c r="P237" s="9">
        <v>5</v>
      </c>
      <c r="Q237" t="s">
        <v>229</v>
      </c>
      <c r="R237" s="9">
        <v>81</v>
      </c>
      <c r="S237" t="str">
        <f xml:space="preserve"> HYPERLINK("ReviewHtml/review_Perfect_Blue.html", "https://2danicritic.github.io/ReviewHtml/review_Perfect_Blue.html")</f>
        <v>https://2danicritic.github.io/ReviewHtml/review_Perfect_Blue.html</v>
      </c>
    </row>
    <row r="238" spans="2:19" hidden="1" x14ac:dyDescent="0.35">
      <c r="B238">
        <v>37</v>
      </c>
      <c r="C238" t="s">
        <v>731</v>
      </c>
      <c r="D238" s="9">
        <v>2004</v>
      </c>
      <c r="E238" t="s">
        <v>1199</v>
      </c>
      <c r="F238" t="s">
        <v>92</v>
      </c>
      <c r="G238" t="s">
        <v>1192</v>
      </c>
      <c r="H238" t="s">
        <v>93</v>
      </c>
      <c r="I238" s="9">
        <v>1.57</v>
      </c>
      <c r="J238" s="9">
        <v>2</v>
      </c>
      <c r="K238" s="9">
        <v>2</v>
      </c>
      <c r="L238" s="9">
        <v>1.5</v>
      </c>
      <c r="M238" s="9">
        <v>1.5</v>
      </c>
      <c r="N238" s="9">
        <v>1.5</v>
      </c>
      <c r="O238" s="9">
        <v>1.5</v>
      </c>
      <c r="P238" s="9">
        <v>1</v>
      </c>
      <c r="Q238" t="s">
        <v>94</v>
      </c>
      <c r="R238" s="9">
        <v>87</v>
      </c>
      <c r="S238" t="str">
        <f xml:space="preserve"> HYPERLINK("ReviewHtml/review_Blade_of_the_Phantom_Master.html", "https://2danicritic.github.io/ReviewHtml/review_Blade_of_the_Phantom_Master.html")</f>
        <v>https://2danicritic.github.io/ReviewHtml/review_Blade_of_the_Phantom_Master.html</v>
      </c>
    </row>
    <row r="239" spans="2:19" hidden="1" x14ac:dyDescent="0.35">
      <c r="B239">
        <v>200</v>
      </c>
      <c r="C239" t="s">
        <v>1020</v>
      </c>
      <c r="D239" s="9">
        <v>1997</v>
      </c>
      <c r="E239" t="s">
        <v>54</v>
      </c>
      <c r="F239" t="s">
        <v>752</v>
      </c>
      <c r="G239" t="s">
        <v>1192</v>
      </c>
      <c r="H239" t="s">
        <v>753</v>
      </c>
      <c r="I239" s="9">
        <v>4.29</v>
      </c>
      <c r="J239" s="9">
        <v>4</v>
      </c>
      <c r="K239" s="9">
        <v>4.5</v>
      </c>
      <c r="L239" s="9">
        <v>3.5</v>
      </c>
      <c r="M239" s="9">
        <v>4</v>
      </c>
      <c r="N239" s="9">
        <v>5</v>
      </c>
      <c r="O239" s="9">
        <v>4</v>
      </c>
      <c r="P239" s="9">
        <v>5</v>
      </c>
      <c r="Q239" t="s">
        <v>238</v>
      </c>
      <c r="R239" s="9">
        <v>134</v>
      </c>
      <c r="S239" t="str">
        <f xml:space="preserve"> HYPERLINK("ReviewHtml/review_Princess_Mononoke.html", "https://2danicritic.github.io/ReviewHtml/review_Princess_Mononoke.html")</f>
        <v>https://2danicritic.github.io/ReviewHtml/review_Princess_Mononoke.html</v>
      </c>
    </row>
    <row r="240" spans="2:19" x14ac:dyDescent="0.35">
      <c r="B240">
        <v>38</v>
      </c>
      <c r="C240" t="s">
        <v>732</v>
      </c>
      <c r="D240" s="9">
        <v>2003</v>
      </c>
      <c r="E240" t="s">
        <v>54</v>
      </c>
      <c r="F240" t="s">
        <v>733</v>
      </c>
      <c r="G240" t="s">
        <v>1200</v>
      </c>
      <c r="H240" t="s">
        <v>734</v>
      </c>
      <c r="I240" s="9">
        <v>2.5</v>
      </c>
      <c r="J240" s="9">
        <v>2</v>
      </c>
      <c r="K240" s="9">
        <v>2.5</v>
      </c>
      <c r="L240" s="9">
        <v>3.5</v>
      </c>
      <c r="M240" s="9">
        <v>2</v>
      </c>
      <c r="N240" s="9">
        <v>1.5</v>
      </c>
      <c r="O240" s="9">
        <v>2</v>
      </c>
      <c r="P240" s="9">
        <v>4</v>
      </c>
      <c r="Q240" t="s">
        <v>95</v>
      </c>
      <c r="R240" s="9">
        <v>42</v>
      </c>
      <c r="S240" t="str">
        <f xml:space="preserve"> HYPERLINK("ReviewHtml/review_Blame!.html", "https://2danicritic.github.io/ReviewHtml/review_Blame!.html")</f>
        <v>https://2danicritic.github.io/ReviewHtml/review_Blame!.html</v>
      </c>
    </row>
    <row r="241" spans="2:19" hidden="1" x14ac:dyDescent="0.35">
      <c r="B241">
        <v>91</v>
      </c>
      <c r="C241" t="s">
        <v>840</v>
      </c>
      <c r="D241" s="9">
        <v>1995</v>
      </c>
      <c r="E241" t="s">
        <v>54</v>
      </c>
      <c r="F241" t="s">
        <v>736</v>
      </c>
      <c r="G241" t="s">
        <v>1192</v>
      </c>
      <c r="H241" t="s">
        <v>841</v>
      </c>
      <c r="I241" s="9">
        <v>3.71</v>
      </c>
      <c r="J241" s="9">
        <v>3.5</v>
      </c>
      <c r="K241" s="9">
        <v>4</v>
      </c>
      <c r="L241" s="9">
        <v>4.5</v>
      </c>
      <c r="M241" s="9">
        <v>2</v>
      </c>
      <c r="N241" s="9">
        <v>4.5</v>
      </c>
      <c r="O241" s="9">
        <v>3</v>
      </c>
      <c r="P241" s="9">
        <v>4.5</v>
      </c>
      <c r="Q241" t="s">
        <v>146</v>
      </c>
      <c r="R241" s="9">
        <v>82</v>
      </c>
      <c r="S241" t="str">
        <f xml:space="preserve"> HYPERLINK("ReviewHtml/review_Ghost_in_the_Shell.html", "https://2danicritic.github.io/ReviewHtml/review_Ghost_in_the_Shell.html")</f>
        <v>https://2danicritic.github.io/ReviewHtml/review_Ghost_in_the_Shell.html</v>
      </c>
    </row>
    <row r="242" spans="2:19" x14ac:dyDescent="0.35">
      <c r="B242">
        <v>126</v>
      </c>
      <c r="C242" t="s">
        <v>901</v>
      </c>
      <c r="D242" s="9">
        <v>2003</v>
      </c>
      <c r="E242" t="s">
        <v>54</v>
      </c>
      <c r="F242" t="s">
        <v>902</v>
      </c>
      <c r="G242" t="s">
        <v>1193</v>
      </c>
      <c r="H242" t="s">
        <v>903</v>
      </c>
      <c r="I242" s="9">
        <v>3.43</v>
      </c>
      <c r="J242" s="9">
        <v>2.5</v>
      </c>
      <c r="K242" s="9">
        <v>2.5</v>
      </c>
      <c r="L242" s="9">
        <v>3.5</v>
      </c>
      <c r="M242" s="9">
        <v>3</v>
      </c>
      <c r="N242" s="9">
        <v>4.5</v>
      </c>
      <c r="O242" s="9">
        <v>4</v>
      </c>
      <c r="P242" s="9">
        <v>4</v>
      </c>
      <c r="Q242" t="s">
        <v>178</v>
      </c>
      <c r="R242" s="9">
        <v>325</v>
      </c>
      <c r="S242" t="str">
        <f xml:space="preserve"> HYPERLINK("ReviewHtml/review_Kino's_Journey.html", "https://2danicritic.github.io/ReviewHtml/review_Kino's_Journey.html")</f>
        <v>https://2danicritic.github.io/ReviewHtml/review_Kino's_Journey.html</v>
      </c>
    </row>
    <row r="243" spans="2:19" x14ac:dyDescent="0.35">
      <c r="B243">
        <v>136</v>
      </c>
      <c r="C243" t="s">
        <v>918</v>
      </c>
      <c r="D243" s="9">
        <v>2003</v>
      </c>
      <c r="E243" t="s">
        <v>54</v>
      </c>
      <c r="F243" t="s">
        <v>675</v>
      </c>
      <c r="G243" t="s">
        <v>1193</v>
      </c>
      <c r="H243" t="s">
        <v>860</v>
      </c>
      <c r="I243" s="9">
        <v>1.93</v>
      </c>
      <c r="J243" s="9">
        <v>1.5</v>
      </c>
      <c r="K243" s="9">
        <v>2</v>
      </c>
      <c r="L243" s="9">
        <v>3</v>
      </c>
      <c r="M243" s="9">
        <v>2</v>
      </c>
      <c r="N243" s="9">
        <v>1.5</v>
      </c>
      <c r="O243" s="9">
        <v>1.5</v>
      </c>
      <c r="P243" s="9">
        <v>2</v>
      </c>
      <c r="Q243" t="s">
        <v>81</v>
      </c>
      <c r="R243" s="9">
        <v>300</v>
      </c>
      <c r="S243" t="str">
        <f xml:space="preserve"> HYPERLINK("ReviewHtml/review_Lunar_Legend_-_Tsukihime.html", "https://2danicritic.github.io/ReviewHtml/review_Lunar_Legend_-_Tsukihime.html")</f>
        <v>https://2danicritic.github.io/ReviewHtml/review_Lunar_Legend_-_Tsukihime.html</v>
      </c>
    </row>
    <row r="244" spans="2:19" hidden="1" x14ac:dyDescent="0.35">
      <c r="B244">
        <v>295</v>
      </c>
      <c r="C244" t="s">
        <v>1171</v>
      </c>
      <c r="D244" s="9">
        <v>1995</v>
      </c>
      <c r="E244" t="s">
        <v>54</v>
      </c>
      <c r="F244" t="s">
        <v>752</v>
      </c>
      <c r="G244" t="s">
        <v>1192</v>
      </c>
      <c r="H244" t="s">
        <v>1172</v>
      </c>
      <c r="I244" s="9">
        <v>4.07</v>
      </c>
      <c r="J244" s="9">
        <v>3.5</v>
      </c>
      <c r="K244" s="9">
        <v>3</v>
      </c>
      <c r="L244" s="9">
        <v>4</v>
      </c>
      <c r="M244" s="9">
        <v>3.5</v>
      </c>
      <c r="N244" s="9">
        <v>5</v>
      </c>
      <c r="O244" s="9">
        <v>4.5</v>
      </c>
      <c r="P244" s="9">
        <v>5</v>
      </c>
      <c r="Q244" t="s">
        <v>311</v>
      </c>
      <c r="R244" s="9">
        <v>111</v>
      </c>
      <c r="S244" t="str">
        <f xml:space="preserve"> HYPERLINK("ReviewHtml/review_Whisper_of_the_Heart.html", "https://2danicritic.github.io/ReviewHtml/review_Whisper_of_the_Heart.html")</f>
        <v>https://2danicritic.github.io/ReviewHtml/review_Whisper_of_the_Heart.html</v>
      </c>
    </row>
    <row r="245" spans="2:19" hidden="1" x14ac:dyDescent="0.35">
      <c r="B245">
        <v>197</v>
      </c>
      <c r="C245" t="s">
        <v>1016</v>
      </c>
      <c r="D245" s="9">
        <v>1994</v>
      </c>
      <c r="E245" t="s">
        <v>54</v>
      </c>
      <c r="F245" t="s">
        <v>1017</v>
      </c>
      <c r="G245" t="s">
        <v>1192</v>
      </c>
      <c r="H245" t="s">
        <v>848</v>
      </c>
      <c r="I245" s="9">
        <v>3.57</v>
      </c>
      <c r="J245" s="9">
        <v>3.5</v>
      </c>
      <c r="K245" s="9">
        <v>3.5</v>
      </c>
      <c r="L245" s="9">
        <v>3</v>
      </c>
      <c r="M245" s="9">
        <v>3.5</v>
      </c>
      <c r="N245" s="9">
        <v>4</v>
      </c>
      <c r="O245" s="9">
        <v>3.5</v>
      </c>
      <c r="P245" s="9">
        <v>4</v>
      </c>
      <c r="Q245" t="s">
        <v>236</v>
      </c>
      <c r="R245" s="9">
        <v>119</v>
      </c>
      <c r="S245" t="str">
        <f xml:space="preserve"> HYPERLINK("ReviewHtml/review_Pom_Poko.html", "https://2danicritic.github.io/ReviewHtml/review_Pom_Poko.html")</f>
        <v>https://2danicritic.github.io/ReviewHtml/review_Pom_Poko.html</v>
      </c>
    </row>
    <row r="246" spans="2:19" hidden="1" x14ac:dyDescent="0.35">
      <c r="B246">
        <v>271</v>
      </c>
      <c r="C246" t="s">
        <v>1135</v>
      </c>
      <c r="D246" s="9">
        <v>2003</v>
      </c>
      <c r="E246" t="s">
        <v>1191</v>
      </c>
      <c r="F246" t="s">
        <v>1136</v>
      </c>
      <c r="G246" t="s">
        <v>1192</v>
      </c>
      <c r="H246" t="s">
        <v>1105</v>
      </c>
      <c r="I246" s="9">
        <v>3.93</v>
      </c>
      <c r="J246" s="9">
        <v>4.5</v>
      </c>
      <c r="K246" s="9">
        <v>5</v>
      </c>
      <c r="L246" s="9">
        <v>4.5</v>
      </c>
      <c r="M246" s="9">
        <v>3</v>
      </c>
      <c r="N246" s="9">
        <v>3.5</v>
      </c>
      <c r="O246" s="9">
        <v>2.5</v>
      </c>
      <c r="P246" s="9">
        <v>4.5</v>
      </c>
      <c r="Q246" t="s">
        <v>356</v>
      </c>
      <c r="R246" s="9">
        <v>78</v>
      </c>
      <c r="S246" t="str">
        <f xml:space="preserve"> HYPERLINK("ReviewHtml/review_The_Triplets_of_Belleville.html", "https://2danicritic.github.io/ReviewHtml/review_The_Triplets_of_Belleville.html")</f>
        <v>https://2danicritic.github.io/ReviewHtml/review_The_Triplets_of_Belleville.html</v>
      </c>
    </row>
    <row r="247" spans="2:19" x14ac:dyDescent="0.35">
      <c r="B247">
        <v>176</v>
      </c>
      <c r="C247" t="s">
        <v>985</v>
      </c>
      <c r="D247" s="9">
        <v>2003</v>
      </c>
      <c r="E247" t="s">
        <v>54</v>
      </c>
      <c r="F247" t="s">
        <v>699</v>
      </c>
      <c r="G247" t="s">
        <v>1193</v>
      </c>
      <c r="H247" t="s">
        <v>758</v>
      </c>
      <c r="I247" s="9">
        <v>2.14</v>
      </c>
      <c r="J247" s="9">
        <v>2</v>
      </c>
      <c r="K247" s="9">
        <v>2</v>
      </c>
      <c r="L247" s="9">
        <v>2.5</v>
      </c>
      <c r="M247" s="9">
        <v>2</v>
      </c>
      <c r="N247" s="9">
        <v>2</v>
      </c>
      <c r="O247" s="9">
        <v>3</v>
      </c>
      <c r="P247" s="9">
        <v>1.5</v>
      </c>
      <c r="Q247" t="s">
        <v>252</v>
      </c>
      <c r="R247" s="9">
        <v>325</v>
      </c>
      <c r="S247" t="str">
        <f xml:space="preserve"> HYPERLINK("ReviewHtml/review_Ninja_Scroll_-_The_Series.html", "https://2danicritic.github.io/ReviewHtml/review_Ninja_Scroll_-_The_Series.html")</f>
        <v>https://2danicritic.github.io/ReviewHtml/review_Ninja_Scroll_-_The_Series.html</v>
      </c>
    </row>
    <row r="248" spans="2:19" hidden="1" x14ac:dyDescent="0.35">
      <c r="B248">
        <v>226</v>
      </c>
      <c r="C248" t="s">
        <v>1070</v>
      </c>
      <c r="D248" s="9">
        <v>1994</v>
      </c>
      <c r="E248" t="s">
        <v>54</v>
      </c>
      <c r="F248" t="s">
        <v>733</v>
      </c>
      <c r="G248" t="s">
        <v>1192</v>
      </c>
      <c r="H248" t="s">
        <v>980</v>
      </c>
      <c r="I248" s="9">
        <v>2.5</v>
      </c>
      <c r="J248" s="9">
        <v>2.5</v>
      </c>
      <c r="K248" s="9">
        <v>2.5</v>
      </c>
      <c r="L248" s="9">
        <v>3.5</v>
      </c>
      <c r="M248" s="9">
        <v>2.5</v>
      </c>
      <c r="N248" s="9">
        <v>1.5</v>
      </c>
      <c r="O248" s="9">
        <v>3</v>
      </c>
      <c r="P248" s="9">
        <v>2</v>
      </c>
      <c r="Q248" t="s">
        <v>94</v>
      </c>
      <c r="R248" s="9">
        <v>102</v>
      </c>
      <c r="S248" t="str">
        <f xml:space="preserve"> HYPERLINK("ReviewHtml/review_Street_Fighter_II_-_The_Animated_Movie.html", "https://2danicritic.github.io/ReviewHtml/review_Street_Fighter_II_-_The_Animated_Movie.html")</f>
        <v>https://2danicritic.github.io/ReviewHtml/review_Street_Fighter_II_-_The_Animated_Movie.html</v>
      </c>
    </row>
    <row r="249" spans="2:19" hidden="1" x14ac:dyDescent="0.35">
      <c r="B249">
        <v>175</v>
      </c>
      <c r="C249" t="s">
        <v>983</v>
      </c>
      <c r="D249" s="9">
        <v>1993</v>
      </c>
      <c r="E249" t="s">
        <v>54</v>
      </c>
      <c r="F249" t="s">
        <v>699</v>
      </c>
      <c r="G249" t="s">
        <v>1192</v>
      </c>
      <c r="H249" t="s">
        <v>984</v>
      </c>
      <c r="I249" s="9">
        <v>3.86</v>
      </c>
      <c r="J249" s="9">
        <v>3</v>
      </c>
      <c r="K249" s="9">
        <v>3.5</v>
      </c>
      <c r="L249" s="9">
        <v>4</v>
      </c>
      <c r="M249" s="9">
        <v>3</v>
      </c>
      <c r="N249" s="9">
        <v>3.5</v>
      </c>
      <c r="O249" s="9">
        <v>5</v>
      </c>
      <c r="P249" s="9">
        <v>5</v>
      </c>
      <c r="Q249" t="s">
        <v>217</v>
      </c>
      <c r="R249" s="9">
        <v>94</v>
      </c>
      <c r="S249" t="str">
        <f xml:space="preserve"> HYPERLINK("ReviewHtml/review_Ninja_Scroll.html", "https://2danicritic.github.io/ReviewHtml/review_Ninja_Scroll.html")</f>
        <v>https://2danicritic.github.io/ReviewHtml/review_Ninja_Scroll.html</v>
      </c>
    </row>
    <row r="250" spans="2:19" hidden="1" x14ac:dyDescent="0.35">
      <c r="B250">
        <v>182</v>
      </c>
      <c r="C250" t="s">
        <v>995</v>
      </c>
      <c r="D250" s="9">
        <v>1993</v>
      </c>
      <c r="E250" t="s">
        <v>54</v>
      </c>
      <c r="F250" t="s">
        <v>752</v>
      </c>
      <c r="G250" t="s">
        <v>1192</v>
      </c>
      <c r="H250" t="s">
        <v>996</v>
      </c>
      <c r="I250" s="9">
        <v>3</v>
      </c>
      <c r="J250" s="9">
        <v>3</v>
      </c>
      <c r="K250" s="9">
        <v>3</v>
      </c>
      <c r="L250" s="9">
        <v>3</v>
      </c>
      <c r="M250" s="9">
        <v>3</v>
      </c>
      <c r="N250" s="9">
        <v>3.5</v>
      </c>
      <c r="O250" s="9">
        <v>2.5</v>
      </c>
      <c r="P250" s="9">
        <v>3</v>
      </c>
      <c r="Q250" t="s">
        <v>104</v>
      </c>
      <c r="R250" s="9">
        <v>73</v>
      </c>
      <c r="S250" t="str">
        <f xml:space="preserve"> HYPERLINK("ReviewHtml/review_Ocean_Waves.html", "https://2danicritic.github.io/ReviewHtml/review_Ocean_Waves.html")</f>
        <v>https://2danicritic.github.io/ReviewHtml/review_Ocean_Waves.html</v>
      </c>
    </row>
    <row r="251" spans="2:19" hidden="1" x14ac:dyDescent="0.35">
      <c r="B251">
        <v>160</v>
      </c>
      <c r="C251" t="s">
        <v>958</v>
      </c>
      <c r="D251" s="9">
        <v>2002</v>
      </c>
      <c r="E251" t="s">
        <v>1199</v>
      </c>
      <c r="F251" t="s">
        <v>959</v>
      </c>
      <c r="G251" t="s">
        <v>1192</v>
      </c>
      <c r="H251" t="s">
        <v>960</v>
      </c>
      <c r="I251" s="9">
        <v>1.43</v>
      </c>
      <c r="J251" s="9">
        <v>1.5</v>
      </c>
      <c r="K251" s="9">
        <v>1.5</v>
      </c>
      <c r="L251" s="9">
        <v>2</v>
      </c>
      <c r="M251" s="9">
        <v>1.5</v>
      </c>
      <c r="N251" s="9">
        <v>1.5</v>
      </c>
      <c r="O251" s="9">
        <v>1</v>
      </c>
      <c r="P251" s="9">
        <v>1</v>
      </c>
      <c r="Q251" t="s">
        <v>206</v>
      </c>
      <c r="R251" s="9">
        <v>80</v>
      </c>
      <c r="S251" t="str">
        <f xml:space="preserve"> HYPERLINK("ReviewHtml/review_My_Beautiful_Girl_Mari.html", "https://2danicritic.github.io/ReviewHtml/review_My_Beautiful_Girl_Mari.html")</f>
        <v>https://2danicritic.github.io/ReviewHtml/review_My_Beautiful_Girl_Mari.html</v>
      </c>
    </row>
    <row r="252" spans="2:19" hidden="1" x14ac:dyDescent="0.35">
      <c r="B252">
        <v>118</v>
      </c>
      <c r="C252" t="s">
        <v>1285</v>
      </c>
      <c r="D252" s="9">
        <v>2000</v>
      </c>
      <c r="E252" t="s">
        <v>1194</v>
      </c>
      <c r="F252" t="s">
        <v>1309</v>
      </c>
      <c r="G252" t="s">
        <v>1192</v>
      </c>
      <c r="H252" t="s">
        <v>1212</v>
      </c>
      <c r="I252" s="9">
        <v>2.64</v>
      </c>
      <c r="J252" s="9">
        <v>2.5</v>
      </c>
      <c r="K252" s="9">
        <v>3</v>
      </c>
      <c r="L252" s="9">
        <v>3</v>
      </c>
      <c r="M252" s="9">
        <v>3</v>
      </c>
      <c r="N252" s="9">
        <v>2.5</v>
      </c>
      <c r="O252" s="9">
        <v>2.5</v>
      </c>
      <c r="P252" s="9">
        <v>2</v>
      </c>
      <c r="Q252" t="s">
        <v>206</v>
      </c>
      <c r="R252" s="9">
        <v>75</v>
      </c>
      <c r="S252" t="str">
        <f xml:space="preserve"> HYPERLINK("ReviewHtml/review_Joseph_-_King_of_Dreams.html", "https://2danicritic.github.io/ReviewHtml/review_Joseph_-_King_of_Dreams.html")</f>
        <v>https://2danicritic.github.io/ReviewHtml/review_Joseph_-_King_of_Dreams.html</v>
      </c>
    </row>
    <row r="253" spans="2:19" hidden="1" x14ac:dyDescent="0.35">
      <c r="B253">
        <v>264</v>
      </c>
      <c r="C253" t="s">
        <v>1300</v>
      </c>
      <c r="D253" s="9">
        <v>2000</v>
      </c>
      <c r="E253" t="s">
        <v>1194</v>
      </c>
      <c r="F253" t="s">
        <v>1314</v>
      </c>
      <c r="G253" t="s">
        <v>1192</v>
      </c>
      <c r="H253" t="s">
        <v>1240</v>
      </c>
      <c r="I253" s="9">
        <v>3.71</v>
      </c>
      <c r="J253" s="9">
        <v>3.5</v>
      </c>
      <c r="K253" s="9">
        <v>4</v>
      </c>
      <c r="L253" s="9">
        <v>3.5</v>
      </c>
      <c r="M253" s="9">
        <v>4</v>
      </c>
      <c r="N253" s="9">
        <v>2.5</v>
      </c>
      <c r="O253" s="9">
        <v>4.5</v>
      </c>
      <c r="P253" s="9">
        <v>4</v>
      </c>
      <c r="Q253" t="s">
        <v>188</v>
      </c>
      <c r="R253" s="9">
        <v>90</v>
      </c>
      <c r="S253" t="str">
        <f xml:space="preserve"> HYPERLINK("ReviewHtml/review_The_Road_to_El_Dorado.html", "https://2danicritic.github.io/ReviewHtml/review_The_Road_to_El_Dorado.html")</f>
        <v>https://2danicritic.github.io/ReviewHtml/review_The_Road_to_El_Dorado.html</v>
      </c>
    </row>
    <row r="254" spans="2:19" hidden="1" x14ac:dyDescent="0.35">
      <c r="B254">
        <v>191</v>
      </c>
      <c r="C254" t="s">
        <v>1007</v>
      </c>
      <c r="D254" s="9">
        <v>1993</v>
      </c>
      <c r="E254" t="s">
        <v>54</v>
      </c>
      <c r="F254" t="s">
        <v>736</v>
      </c>
      <c r="G254" t="s">
        <v>1192</v>
      </c>
      <c r="H254" t="s">
        <v>841</v>
      </c>
      <c r="I254" s="9">
        <v>3.71</v>
      </c>
      <c r="J254" s="9">
        <v>4</v>
      </c>
      <c r="K254" s="9">
        <v>4</v>
      </c>
      <c r="L254" s="9">
        <v>3.5</v>
      </c>
      <c r="M254" s="9">
        <v>3</v>
      </c>
      <c r="N254" s="9">
        <v>3.5</v>
      </c>
      <c r="O254" s="9">
        <v>3</v>
      </c>
      <c r="P254" s="9">
        <v>5</v>
      </c>
      <c r="Q254" t="s">
        <v>228</v>
      </c>
      <c r="R254" s="9">
        <v>113</v>
      </c>
      <c r="S254" t="str">
        <f xml:space="preserve"> HYPERLINK("ReviewHtml/review_Patlabor_2.html", "https://2danicritic.github.io/ReviewHtml/review_Patlabor_2.html")</f>
        <v>https://2danicritic.github.io/ReviewHtml/review_Patlabor_2.html</v>
      </c>
    </row>
    <row r="255" spans="2:19" hidden="1" x14ac:dyDescent="0.35">
      <c r="B255">
        <v>199</v>
      </c>
      <c r="C255" t="s">
        <v>1019</v>
      </c>
      <c r="D255" s="9">
        <v>1992</v>
      </c>
      <c r="E255" t="s">
        <v>54</v>
      </c>
      <c r="F255" t="s">
        <v>752</v>
      </c>
      <c r="G255" t="s">
        <v>1192</v>
      </c>
      <c r="H255" t="s">
        <v>753</v>
      </c>
      <c r="I255" s="9">
        <v>3.57</v>
      </c>
      <c r="J255" s="9">
        <v>3.5</v>
      </c>
      <c r="K255" s="9">
        <v>3.5</v>
      </c>
      <c r="L255" s="9">
        <v>3</v>
      </c>
      <c r="M255" s="9">
        <v>3.5</v>
      </c>
      <c r="N255" s="9">
        <v>3</v>
      </c>
      <c r="O255" s="9">
        <v>4.5</v>
      </c>
      <c r="P255" s="9">
        <v>4</v>
      </c>
      <c r="Q255" t="s">
        <v>191</v>
      </c>
      <c r="R255" s="9">
        <v>94</v>
      </c>
      <c r="S255" t="str">
        <f xml:space="preserve"> HYPERLINK("ReviewHtml/review_Porco_Rosso.html", "https://2danicritic.github.io/ReviewHtml/review_Porco_Rosso.html")</f>
        <v>https://2danicritic.github.io/ReviewHtml/review_Porco_Rosso.html</v>
      </c>
    </row>
    <row r="256" spans="2:19" x14ac:dyDescent="0.35">
      <c r="B256">
        <v>190</v>
      </c>
      <c r="C256" t="s">
        <v>1005</v>
      </c>
      <c r="D256" s="9">
        <v>2003</v>
      </c>
      <c r="E256" t="s">
        <v>54</v>
      </c>
      <c r="F256" t="s">
        <v>1006</v>
      </c>
      <c r="G256" t="s">
        <v>88</v>
      </c>
      <c r="H256" t="s">
        <v>226</v>
      </c>
      <c r="I256" s="9">
        <v>2.36</v>
      </c>
      <c r="J256" s="9">
        <v>2</v>
      </c>
      <c r="K256" s="9">
        <v>2</v>
      </c>
      <c r="L256" s="9">
        <v>2</v>
      </c>
      <c r="M256" s="9">
        <v>1.5</v>
      </c>
      <c r="N256" s="9">
        <v>4</v>
      </c>
      <c r="O256" s="9">
        <v>3</v>
      </c>
      <c r="P256" s="9">
        <v>2</v>
      </c>
      <c r="Q256" t="s">
        <v>227</v>
      </c>
      <c r="R256" s="9">
        <v>90</v>
      </c>
      <c r="S256" t="str">
        <f xml:space="preserve"> HYPERLINK("ReviewHtml/review_Parasite_Dolls.html", "https://2danicritic.github.io/ReviewHtml/review_Parasite_Dolls.html")</f>
        <v>https://2danicritic.github.io/ReviewHtml/review_Parasite_Dolls.html</v>
      </c>
    </row>
    <row r="257" spans="2:19" x14ac:dyDescent="0.35">
      <c r="B257">
        <v>16</v>
      </c>
      <c r="C257" t="s">
        <v>688</v>
      </c>
      <c r="D257" s="9">
        <v>2002</v>
      </c>
      <c r="E257" t="s">
        <v>54</v>
      </c>
      <c r="F257" t="s">
        <v>675</v>
      </c>
      <c r="G257" t="s">
        <v>1193</v>
      </c>
      <c r="H257" t="s">
        <v>689</v>
      </c>
      <c r="I257" s="9">
        <v>2.93</v>
      </c>
      <c r="J257" s="9">
        <v>2</v>
      </c>
      <c r="K257" s="9">
        <v>2</v>
      </c>
      <c r="L257" s="9">
        <v>3.5</v>
      </c>
      <c r="M257" s="9">
        <v>3</v>
      </c>
      <c r="N257" s="9">
        <v>2</v>
      </c>
      <c r="O257" s="9">
        <v>4</v>
      </c>
      <c r="P257" s="9">
        <v>4</v>
      </c>
      <c r="Q257" t="s">
        <v>74</v>
      </c>
      <c r="R257" s="9">
        <v>650</v>
      </c>
      <c r="S257" t="str">
        <f xml:space="preserve"> HYPERLINK("ReviewHtml/review_Azumanga_Daioh.html", "https://2danicritic.github.io/ReviewHtml/review_Azumanga_Daioh.html")</f>
        <v>https://2danicritic.github.io/ReviewHtml/review_Azumanga_Daioh.html</v>
      </c>
    </row>
    <row r="258" spans="2:19" x14ac:dyDescent="0.35">
      <c r="B258">
        <v>93</v>
      </c>
      <c r="C258" t="s">
        <v>843</v>
      </c>
      <c r="D258" s="9">
        <v>2002</v>
      </c>
      <c r="E258" t="s">
        <v>54</v>
      </c>
      <c r="F258" t="s">
        <v>736</v>
      </c>
      <c r="G258" t="s">
        <v>1193</v>
      </c>
      <c r="H258" t="s">
        <v>806</v>
      </c>
      <c r="I258" s="9">
        <v>4.1399999999999997</v>
      </c>
      <c r="J258" s="9">
        <v>3.5</v>
      </c>
      <c r="K258" s="9">
        <v>3.5</v>
      </c>
      <c r="L258" s="9">
        <v>4.5</v>
      </c>
      <c r="M258" s="9">
        <v>4</v>
      </c>
      <c r="N258" s="9">
        <v>4.5</v>
      </c>
      <c r="O258" s="9">
        <v>4</v>
      </c>
      <c r="P258" s="9">
        <v>5</v>
      </c>
      <c r="Q258" t="s">
        <v>145</v>
      </c>
      <c r="R258" s="9">
        <v>1300</v>
      </c>
      <c r="S258" t="str">
        <f xml:space="preserve"> HYPERLINK("ReviewHtml/review_Ghost_in_the_Shell_-_Stand_Alone_Complex.html", "https://2danicritic.github.io/ReviewHtml/review_Ghost_in_the_Shell_-_Stand_Alone_Complex.html")</f>
        <v>https://2danicritic.github.io/ReviewHtml/review_Ghost_in_the_Shell_-_Stand_Alone_Complex.html</v>
      </c>
    </row>
    <row r="259" spans="2:19" hidden="1" x14ac:dyDescent="0.35">
      <c r="B259">
        <v>186</v>
      </c>
      <c r="C259" t="s">
        <v>1001</v>
      </c>
      <c r="D259" s="9">
        <v>1991</v>
      </c>
      <c r="E259" t="s">
        <v>54</v>
      </c>
      <c r="F259" t="s">
        <v>752</v>
      </c>
      <c r="G259" t="s">
        <v>1192</v>
      </c>
      <c r="H259" t="s">
        <v>848</v>
      </c>
      <c r="I259" s="9">
        <v>3.43</v>
      </c>
      <c r="J259" s="9">
        <v>3.5</v>
      </c>
      <c r="K259" s="9">
        <v>3</v>
      </c>
      <c r="L259" s="9">
        <v>3</v>
      </c>
      <c r="M259" s="9">
        <v>3.5</v>
      </c>
      <c r="N259" s="9">
        <v>4</v>
      </c>
      <c r="O259" s="9">
        <v>3</v>
      </c>
      <c r="P259" s="9">
        <v>4</v>
      </c>
      <c r="Q259" t="s">
        <v>114</v>
      </c>
      <c r="R259" s="9">
        <v>118</v>
      </c>
      <c r="S259" t="str">
        <f xml:space="preserve"> HYPERLINK("ReviewHtml/review_Only_Yesterday.html", "https://2danicritic.github.io/ReviewHtml/review_Only_Yesterday.html")</f>
        <v>https://2danicritic.github.io/ReviewHtml/review_Only_Yesterday.html</v>
      </c>
    </row>
    <row r="260" spans="2:19" x14ac:dyDescent="0.35">
      <c r="B260">
        <v>290</v>
      </c>
      <c r="C260" t="s">
        <v>1164</v>
      </c>
      <c r="D260" s="9">
        <v>2002</v>
      </c>
      <c r="E260" t="s">
        <v>54</v>
      </c>
      <c r="F260" t="s">
        <v>657</v>
      </c>
      <c r="G260" t="s">
        <v>88</v>
      </c>
      <c r="H260" t="s">
        <v>658</v>
      </c>
      <c r="I260" s="9">
        <v>3.07</v>
      </c>
      <c r="J260" s="9">
        <v>2.5</v>
      </c>
      <c r="K260" s="9">
        <v>3</v>
      </c>
      <c r="L260" s="9">
        <v>3</v>
      </c>
      <c r="M260" s="9">
        <v>3.5</v>
      </c>
      <c r="N260" s="9">
        <v>3</v>
      </c>
      <c r="O260" s="9">
        <v>2.5</v>
      </c>
      <c r="P260" s="9">
        <v>4</v>
      </c>
      <c r="Q260" t="s">
        <v>307</v>
      </c>
      <c r="R260" s="9">
        <v>25</v>
      </c>
      <c r="S260" t="str">
        <f xml:space="preserve"> HYPERLINK("ReviewHtml/review_Voices_of_a_Distant_Star.html", "https://2danicritic.github.io/ReviewHtml/review_Voices_of_a_Distant_Star.html")</f>
        <v>https://2danicritic.github.io/ReviewHtml/review_Voices_of_a_Distant_Star.html</v>
      </c>
    </row>
    <row r="261" spans="2:19" hidden="1" x14ac:dyDescent="0.35">
      <c r="B261">
        <v>124</v>
      </c>
      <c r="C261" t="s">
        <v>897</v>
      </c>
      <c r="D261" s="9">
        <v>1989</v>
      </c>
      <c r="E261" t="s">
        <v>54</v>
      </c>
      <c r="F261" t="s">
        <v>752</v>
      </c>
      <c r="G261" t="s">
        <v>1192</v>
      </c>
      <c r="H261" t="s">
        <v>753</v>
      </c>
      <c r="I261" s="9">
        <v>3.71</v>
      </c>
      <c r="J261" s="9">
        <v>3.5</v>
      </c>
      <c r="K261" s="9">
        <v>3.5</v>
      </c>
      <c r="L261" s="9">
        <v>3.5</v>
      </c>
      <c r="M261" s="9">
        <v>4</v>
      </c>
      <c r="N261" s="9">
        <v>3.5</v>
      </c>
      <c r="O261" s="9">
        <v>3.5</v>
      </c>
      <c r="P261" s="9">
        <v>4.5</v>
      </c>
      <c r="Q261" t="s">
        <v>177</v>
      </c>
      <c r="R261" s="9">
        <v>102</v>
      </c>
      <c r="S261" t="str">
        <f xml:space="preserve"> HYPERLINK("ReviewHtml/review_Kiki's_Delivery_Service.html", "https://2danicritic.github.io/ReviewHtml/review_Kiki's_Delivery_Service.html")</f>
        <v>https://2danicritic.github.io/ReviewHtml/review_Kiki's_Delivery_Service.html</v>
      </c>
    </row>
    <row r="262" spans="2:19" hidden="1" x14ac:dyDescent="0.35">
      <c r="B262">
        <v>260</v>
      </c>
      <c r="C262" t="s">
        <v>1120</v>
      </c>
      <c r="D262" s="9">
        <v>1998</v>
      </c>
      <c r="E262" t="s">
        <v>1194</v>
      </c>
      <c r="F262" t="s">
        <v>1121</v>
      </c>
      <c r="G262" t="s">
        <v>1192</v>
      </c>
      <c r="H262" t="s">
        <v>283</v>
      </c>
      <c r="I262" s="9">
        <v>4.07</v>
      </c>
      <c r="J262" s="9">
        <v>4</v>
      </c>
      <c r="K262" s="9">
        <v>4.5</v>
      </c>
      <c r="L262" s="9">
        <v>4</v>
      </c>
      <c r="M262" s="9">
        <v>4</v>
      </c>
      <c r="N262" s="9">
        <v>3.5</v>
      </c>
      <c r="O262" s="9">
        <v>4</v>
      </c>
      <c r="P262" s="9">
        <v>4.5</v>
      </c>
      <c r="Q262" t="s">
        <v>284</v>
      </c>
      <c r="R262" s="9">
        <v>98</v>
      </c>
      <c r="S262" t="str">
        <f xml:space="preserve"> HYPERLINK("ReviewHtml/review_The_Prince_of_Egpyt.html", "https://2danicritic.github.io/ReviewHtml/review_The_Prince_of_Egpyt.html")</f>
        <v>https://2danicritic.github.io/ReviewHtml/review_The_Prince_of_Egpyt.html</v>
      </c>
    </row>
    <row r="263" spans="2:19" hidden="1" x14ac:dyDescent="0.35">
      <c r="B263">
        <v>19</v>
      </c>
      <c r="C263" t="s">
        <v>1276</v>
      </c>
      <c r="D263" s="9">
        <v>1995</v>
      </c>
      <c r="E263" t="s">
        <v>1194</v>
      </c>
      <c r="F263" t="s">
        <v>1305</v>
      </c>
      <c r="G263" t="s">
        <v>1192</v>
      </c>
      <c r="H263" t="s">
        <v>1317</v>
      </c>
      <c r="I263" s="9">
        <v>3.57</v>
      </c>
      <c r="J263" s="9">
        <v>4</v>
      </c>
      <c r="K263" s="9">
        <v>3.5</v>
      </c>
      <c r="L263" s="9">
        <v>3</v>
      </c>
      <c r="M263" s="9">
        <v>4</v>
      </c>
      <c r="N263" s="9">
        <v>3.5</v>
      </c>
      <c r="O263" s="9">
        <v>3.5</v>
      </c>
      <c r="P263" s="9">
        <v>3.5</v>
      </c>
      <c r="Q263" t="s">
        <v>1196</v>
      </c>
      <c r="R263" s="9">
        <v>77</v>
      </c>
      <c r="S263" t="str">
        <f xml:space="preserve"> HYPERLINK("ReviewHtml/review_Balto.html", "https://2danicritic.github.io/ReviewHtml/review_Balto.html")</f>
        <v>https://2danicritic.github.io/ReviewHtml/review_Balto.html</v>
      </c>
    </row>
    <row r="264" spans="2:19" hidden="1" x14ac:dyDescent="0.35">
      <c r="B264">
        <v>7</v>
      </c>
      <c r="C264" t="s">
        <v>671</v>
      </c>
      <c r="D264" s="9">
        <v>1988</v>
      </c>
      <c r="E264" t="s">
        <v>54</v>
      </c>
      <c r="F264" t="s">
        <v>672</v>
      </c>
      <c r="G264" t="s">
        <v>1192</v>
      </c>
      <c r="H264" t="s">
        <v>673</v>
      </c>
      <c r="I264" s="9">
        <v>3.14</v>
      </c>
      <c r="J264" s="9">
        <v>4</v>
      </c>
      <c r="K264" s="9">
        <v>3.5</v>
      </c>
      <c r="L264" s="9">
        <v>3.5</v>
      </c>
      <c r="M264" s="9">
        <v>2.5</v>
      </c>
      <c r="N264" s="9">
        <v>2</v>
      </c>
      <c r="O264" s="9">
        <v>2.5</v>
      </c>
      <c r="P264" s="9">
        <v>4</v>
      </c>
      <c r="Q264" t="s">
        <v>67</v>
      </c>
      <c r="R264" s="9">
        <v>124</v>
      </c>
      <c r="S264" t="str">
        <f xml:space="preserve"> HYPERLINK("ReviewHtml/review_Akira.html", "https://2danicritic.github.io/ReviewHtml/review_Akira.html")</f>
        <v>https://2danicritic.github.io/ReviewHtml/review_Akira.html</v>
      </c>
    </row>
    <row r="265" spans="2:19" hidden="1" x14ac:dyDescent="0.35">
      <c r="B265">
        <v>274</v>
      </c>
      <c r="C265" t="s">
        <v>1140</v>
      </c>
      <c r="D265" s="9">
        <v>1994</v>
      </c>
      <c r="E265" t="s">
        <v>1194</v>
      </c>
      <c r="F265" t="s">
        <v>1043</v>
      </c>
      <c r="G265" t="s">
        <v>1192</v>
      </c>
      <c r="H265" t="s">
        <v>297</v>
      </c>
      <c r="I265" s="9">
        <v>3.79</v>
      </c>
      <c r="J265" s="9">
        <v>4</v>
      </c>
      <c r="K265" s="9">
        <v>4</v>
      </c>
      <c r="L265" s="9">
        <v>4</v>
      </c>
      <c r="M265" s="9">
        <v>4</v>
      </c>
      <c r="N265" s="9">
        <v>3.5</v>
      </c>
      <c r="O265" s="9">
        <v>4</v>
      </c>
      <c r="P265" s="9">
        <v>3</v>
      </c>
      <c r="Q265" t="s">
        <v>298</v>
      </c>
      <c r="R265" s="9">
        <v>86</v>
      </c>
      <c r="S265" t="str">
        <f xml:space="preserve"> HYPERLINK("ReviewHtml/review_Thumbelina.html", "https://2danicritic.github.io/ReviewHtml/review_Thumbelina.html")</f>
        <v>https://2danicritic.github.io/ReviewHtml/review_Thumbelina.html</v>
      </c>
    </row>
    <row r="266" spans="2:19" hidden="1" x14ac:dyDescent="0.35">
      <c r="B266">
        <v>270</v>
      </c>
      <c r="C266" t="s">
        <v>1133</v>
      </c>
      <c r="D266" s="9">
        <v>1993</v>
      </c>
      <c r="E266" t="s">
        <v>1194</v>
      </c>
      <c r="F266" t="s">
        <v>293</v>
      </c>
      <c r="G266" t="s">
        <v>1192</v>
      </c>
      <c r="H266" t="s">
        <v>1134</v>
      </c>
      <c r="I266" s="9">
        <v>4</v>
      </c>
      <c r="J266" s="9">
        <v>5</v>
      </c>
      <c r="K266" s="9">
        <v>5</v>
      </c>
      <c r="L266" s="9">
        <v>3</v>
      </c>
      <c r="M266" s="9">
        <v>3.5</v>
      </c>
      <c r="N266" s="9">
        <v>2.5</v>
      </c>
      <c r="O266" s="9">
        <v>4</v>
      </c>
      <c r="P266" s="9">
        <v>5</v>
      </c>
      <c r="Q266" t="s">
        <v>294</v>
      </c>
      <c r="R266" s="9">
        <v>80</v>
      </c>
      <c r="S266" t="str">
        <f xml:space="preserve"> HYPERLINK("ReviewHtml/review_The_Thief_and_the_Cobbler.html", "https://2danicritic.github.io/ReviewHtml/review_The_Thief_and_the_Cobbler.html")</f>
        <v>https://2danicritic.github.io/ReviewHtml/review_The_Thief_and_the_Cobbler.html</v>
      </c>
    </row>
    <row r="267" spans="2:19" hidden="1" x14ac:dyDescent="0.35">
      <c r="B267">
        <v>11</v>
      </c>
      <c r="C267" t="s">
        <v>1275</v>
      </c>
      <c r="D267" s="9">
        <v>1991</v>
      </c>
      <c r="E267" t="s">
        <v>1194</v>
      </c>
      <c r="F267" t="s">
        <v>1305</v>
      </c>
      <c r="G267" t="s">
        <v>1192</v>
      </c>
      <c r="H267" t="s">
        <v>1195</v>
      </c>
      <c r="I267" s="9">
        <v>3.29</v>
      </c>
      <c r="J267" s="9">
        <v>4</v>
      </c>
      <c r="K267" s="9">
        <v>4</v>
      </c>
      <c r="L267" s="9">
        <v>3.5</v>
      </c>
      <c r="M267" s="9">
        <v>4</v>
      </c>
      <c r="N267" s="9">
        <v>2</v>
      </c>
      <c r="O267" s="9">
        <v>3.5</v>
      </c>
      <c r="P267" s="9">
        <v>2</v>
      </c>
      <c r="Q267" t="s">
        <v>263</v>
      </c>
      <c r="R267" s="9">
        <v>74</v>
      </c>
      <c r="S267" t="str">
        <f xml:space="preserve"> HYPERLINK("ReviewHtml/review_An_American_Tail_-_Fievel_Goes_West.html", "https://2danicritic.github.io/ReviewHtml/review_An_American_Tail_-_Fievel_Goes_West.html")</f>
        <v>https://2danicritic.github.io/ReviewHtml/review_An_American_Tail_-_Fievel_Goes_West.html</v>
      </c>
    </row>
    <row r="268" spans="2:19" hidden="1" x14ac:dyDescent="0.35">
      <c r="B268">
        <v>209</v>
      </c>
      <c r="C268" t="s">
        <v>1042</v>
      </c>
      <c r="D268" s="9">
        <v>1991</v>
      </c>
      <c r="E268" t="s">
        <v>1194</v>
      </c>
      <c r="F268" t="s">
        <v>1043</v>
      </c>
      <c r="G268" t="s">
        <v>1192</v>
      </c>
      <c r="H268" t="s">
        <v>1044</v>
      </c>
      <c r="I268" s="9">
        <v>3.14</v>
      </c>
      <c r="J268" s="9">
        <v>3</v>
      </c>
      <c r="K268" s="9">
        <v>3</v>
      </c>
      <c r="L268" s="9">
        <v>4</v>
      </c>
      <c r="M268" s="9">
        <v>4</v>
      </c>
      <c r="N268" s="9">
        <v>2</v>
      </c>
      <c r="O268" s="9">
        <v>3</v>
      </c>
      <c r="P268" s="9">
        <v>3</v>
      </c>
      <c r="Q268" t="s">
        <v>244</v>
      </c>
      <c r="R268" s="9">
        <v>74</v>
      </c>
      <c r="S268" t="str">
        <f xml:space="preserve"> HYPERLINK("ReviewHtml/review_Rock-a-Doodle.html", "https://2danicritic.github.io/ReviewHtml/review_Rock-a-Doodle.html")</f>
        <v>https://2danicritic.github.io/ReviewHtml/review_Rock-a-Doodle.html</v>
      </c>
    </row>
    <row r="269" spans="2:19" hidden="1" x14ac:dyDescent="0.35">
      <c r="B269">
        <v>10</v>
      </c>
      <c r="C269" t="s">
        <v>1274</v>
      </c>
      <c r="D269" s="9">
        <v>1986</v>
      </c>
      <c r="E269" t="s">
        <v>1194</v>
      </c>
      <c r="F269" t="s">
        <v>1304</v>
      </c>
      <c r="G269" t="s">
        <v>1192</v>
      </c>
      <c r="H269" t="s">
        <v>1044</v>
      </c>
      <c r="I269" s="9">
        <v>3.21</v>
      </c>
      <c r="J269" s="9">
        <v>3.5</v>
      </c>
      <c r="K269" s="9">
        <v>3.5</v>
      </c>
      <c r="L269" s="9">
        <v>3</v>
      </c>
      <c r="M269" s="9">
        <v>3</v>
      </c>
      <c r="N269" s="9">
        <v>3.5</v>
      </c>
      <c r="O269" s="9">
        <v>3</v>
      </c>
      <c r="P269" s="9">
        <v>3</v>
      </c>
      <c r="Q269" t="s">
        <v>300</v>
      </c>
      <c r="R269" s="9">
        <v>80</v>
      </c>
      <c r="S269" t="str">
        <f xml:space="preserve"> HYPERLINK("ReviewHtml/review_An_American_Tail.html", "https://2danicritic.github.io/ReviewHtml/review_An_American_Tail.html")</f>
        <v>https://2danicritic.github.io/ReviewHtml/review_An_American_Tail.html</v>
      </c>
    </row>
    <row r="270" spans="2:19" hidden="1" x14ac:dyDescent="0.35">
      <c r="B270">
        <v>96</v>
      </c>
      <c r="C270" t="s">
        <v>847</v>
      </c>
      <c r="D270" s="9">
        <v>1988</v>
      </c>
      <c r="E270" t="s">
        <v>54</v>
      </c>
      <c r="F270" t="s">
        <v>752</v>
      </c>
      <c r="G270" t="s">
        <v>1192</v>
      </c>
      <c r="H270" t="s">
        <v>848</v>
      </c>
      <c r="I270" s="9">
        <v>3.29</v>
      </c>
      <c r="J270" s="9">
        <v>3</v>
      </c>
      <c r="K270" s="9">
        <v>2.5</v>
      </c>
      <c r="L270" s="9">
        <v>4</v>
      </c>
      <c r="M270" s="9">
        <v>4</v>
      </c>
      <c r="N270" s="9">
        <v>4</v>
      </c>
      <c r="O270" s="9">
        <v>1.5</v>
      </c>
      <c r="P270" s="9">
        <v>4</v>
      </c>
      <c r="Q270" t="s">
        <v>149</v>
      </c>
      <c r="R270" s="9">
        <v>89</v>
      </c>
      <c r="S270" t="str">
        <f xml:space="preserve"> HYPERLINK("ReviewHtml/review_Grave_of_the_Fireflies.html", "https://2danicritic.github.io/ReviewHtml/review_Grave_of_the_Fireflies.html")</f>
        <v>https://2danicritic.github.io/ReviewHtml/review_Grave_of_the_Fireflies.html</v>
      </c>
    </row>
    <row r="271" spans="2:19" hidden="1" x14ac:dyDescent="0.35">
      <c r="B271">
        <v>163</v>
      </c>
      <c r="C271" t="s">
        <v>967</v>
      </c>
      <c r="D271" s="9">
        <v>1988</v>
      </c>
      <c r="E271" t="s">
        <v>54</v>
      </c>
      <c r="F271" t="s">
        <v>752</v>
      </c>
      <c r="G271" t="s">
        <v>1192</v>
      </c>
      <c r="H271" t="s">
        <v>753</v>
      </c>
      <c r="I271" s="9">
        <v>3.86</v>
      </c>
      <c r="J271" s="9">
        <v>3.5</v>
      </c>
      <c r="K271" s="9">
        <v>3.5</v>
      </c>
      <c r="L271" s="9">
        <v>4</v>
      </c>
      <c r="M271" s="9">
        <v>3.5</v>
      </c>
      <c r="N271" s="9">
        <v>3.5</v>
      </c>
      <c r="O271" s="9">
        <v>4</v>
      </c>
      <c r="P271" s="9">
        <v>5</v>
      </c>
      <c r="Q271" t="s">
        <v>199</v>
      </c>
      <c r="R271" s="9">
        <v>86</v>
      </c>
      <c r="S271" t="str">
        <f xml:space="preserve"> HYPERLINK("ReviewHtml/review_My_Neighbor_Totoro.html", "https://2danicritic.github.io/ReviewHtml/review_My_Neighbor_Totoro.html")</f>
        <v>https://2danicritic.github.io/ReviewHtml/review_My_Neighbor_Totoro.html</v>
      </c>
    </row>
    <row r="272" spans="2:19" hidden="1" x14ac:dyDescent="0.35">
      <c r="B272">
        <v>141</v>
      </c>
      <c r="C272" t="s">
        <v>925</v>
      </c>
      <c r="D272" s="9">
        <v>1987</v>
      </c>
      <c r="E272" t="s">
        <v>54</v>
      </c>
      <c r="F272" t="s">
        <v>920</v>
      </c>
      <c r="G272" t="s">
        <v>1192</v>
      </c>
      <c r="H272" t="s">
        <v>926</v>
      </c>
      <c r="I272" s="9">
        <v>3</v>
      </c>
      <c r="J272" s="9">
        <v>3.5</v>
      </c>
      <c r="K272" s="9">
        <v>3</v>
      </c>
      <c r="L272" s="9">
        <v>3.5</v>
      </c>
      <c r="M272" s="9">
        <v>2</v>
      </c>
      <c r="N272" s="9">
        <v>2.5</v>
      </c>
      <c r="O272" s="9">
        <v>3.5</v>
      </c>
      <c r="P272" s="9">
        <v>3</v>
      </c>
      <c r="Q272" t="s">
        <v>189</v>
      </c>
      <c r="R272" s="9">
        <v>73</v>
      </c>
      <c r="S272" t="str">
        <f xml:space="preserve"> HYPERLINK("ReviewHtml/review_Lupin_the_Third_-_The_Fuma_Conspiracy.html", "https://2danicritic.github.io/ReviewHtml/review_Lupin_the_Third_-_The_Fuma_Conspiracy.html")</f>
        <v>https://2danicritic.github.io/ReviewHtml/review_Lupin_the_Third_-_The_Fuma_Conspiracy.html</v>
      </c>
    </row>
    <row r="273" spans="2:19" hidden="1" x14ac:dyDescent="0.35">
      <c r="B273">
        <v>294</v>
      </c>
      <c r="C273" t="s">
        <v>1168</v>
      </c>
      <c r="D273" s="9">
        <v>1986</v>
      </c>
      <c r="E273" t="s">
        <v>59</v>
      </c>
      <c r="F273" t="s">
        <v>1169</v>
      </c>
      <c r="G273" t="s">
        <v>1192</v>
      </c>
      <c r="H273" t="s">
        <v>1170</v>
      </c>
      <c r="I273" s="9">
        <v>3.79</v>
      </c>
      <c r="J273" s="9">
        <v>4</v>
      </c>
      <c r="K273" s="9">
        <v>4</v>
      </c>
      <c r="L273" s="9">
        <v>4</v>
      </c>
      <c r="M273" s="9">
        <v>4</v>
      </c>
      <c r="N273" s="9">
        <v>3.5</v>
      </c>
      <c r="O273" s="9">
        <v>3</v>
      </c>
      <c r="P273" s="9">
        <v>4</v>
      </c>
      <c r="Q273" t="s">
        <v>310</v>
      </c>
      <c r="R273" s="9">
        <v>85</v>
      </c>
      <c r="S273" t="str">
        <f xml:space="preserve"> HYPERLINK("ReviewHtml/review_When_The_Wind_Blows.html", "https://2danicritic.github.io/ReviewHtml/review_When_The_Wind_Blows.html")</f>
        <v>https://2danicritic.github.io/ReviewHtml/review_When_The_Wind_Blows.html</v>
      </c>
    </row>
    <row r="274" spans="2:19" hidden="1" x14ac:dyDescent="0.35">
      <c r="B274">
        <v>81</v>
      </c>
      <c r="C274" t="s">
        <v>1282</v>
      </c>
      <c r="D274" s="9">
        <v>1983</v>
      </c>
      <c r="E274" t="s">
        <v>1194</v>
      </c>
      <c r="F274" t="s">
        <v>1307</v>
      </c>
      <c r="G274" t="s">
        <v>1192</v>
      </c>
      <c r="H274" t="s">
        <v>1178</v>
      </c>
      <c r="I274" s="9">
        <v>2.93</v>
      </c>
      <c r="J274" s="9">
        <v>2.5</v>
      </c>
      <c r="K274" s="9">
        <v>2.5</v>
      </c>
      <c r="L274" s="9">
        <v>3</v>
      </c>
      <c r="M274" s="9">
        <v>2.5</v>
      </c>
      <c r="N274" s="9">
        <v>3</v>
      </c>
      <c r="O274" s="9">
        <v>3.5</v>
      </c>
      <c r="P274" s="9">
        <v>3.5</v>
      </c>
      <c r="Q274" t="s">
        <v>1209</v>
      </c>
      <c r="R274" s="9">
        <v>81</v>
      </c>
      <c r="S274" t="str">
        <f xml:space="preserve"> HYPERLINK("ReviewHtml/review_Fire_and_Ice.html", "https://2danicritic.github.io/ReviewHtml/review_Fire_and_Ice.html")</f>
        <v>https://2danicritic.github.io/ReviewHtml/review_Fire_and_Ice.html</v>
      </c>
    </row>
    <row r="275" spans="2:19" hidden="1" x14ac:dyDescent="0.35">
      <c r="B275">
        <v>21</v>
      </c>
      <c r="C275" t="s">
        <v>698</v>
      </c>
      <c r="D275" s="9">
        <v>1986</v>
      </c>
      <c r="E275" t="s">
        <v>54</v>
      </c>
      <c r="F275" t="s">
        <v>699</v>
      </c>
      <c r="G275" t="s">
        <v>1192</v>
      </c>
      <c r="H275" t="s">
        <v>700</v>
      </c>
      <c r="I275" s="9">
        <v>2.29</v>
      </c>
      <c r="J275" s="9">
        <v>2</v>
      </c>
      <c r="K275" s="9">
        <v>2.5</v>
      </c>
      <c r="L275" s="9">
        <v>2</v>
      </c>
      <c r="M275" s="9">
        <v>1</v>
      </c>
      <c r="N275" s="9">
        <v>3</v>
      </c>
      <c r="O275" s="9">
        <v>2.5</v>
      </c>
      <c r="P275" s="9">
        <v>3</v>
      </c>
      <c r="Q275" t="s">
        <v>341</v>
      </c>
      <c r="R275" s="9">
        <v>85</v>
      </c>
      <c r="S275" t="str">
        <f xml:space="preserve"> HYPERLINK("ReviewHtml/review_Barefoot_Gen_2.html", "https://2danicritic.github.io/ReviewHtml/review_Barefoot_Gen_2.html")</f>
        <v>https://2danicritic.github.io/ReviewHtml/review_Barefoot_Gen_2.html</v>
      </c>
    </row>
    <row r="276" spans="2:19" x14ac:dyDescent="0.35">
      <c r="B276">
        <v>8</v>
      </c>
      <c r="C276" t="s">
        <v>674</v>
      </c>
      <c r="D276" s="9">
        <v>2001</v>
      </c>
      <c r="E276" t="s">
        <v>54</v>
      </c>
      <c r="F276" t="s">
        <v>675</v>
      </c>
      <c r="G276" t="s">
        <v>88</v>
      </c>
      <c r="H276" t="s">
        <v>338</v>
      </c>
      <c r="I276" s="9">
        <v>3.79</v>
      </c>
      <c r="J276" s="9">
        <v>4</v>
      </c>
      <c r="K276" s="9">
        <v>4</v>
      </c>
      <c r="L276" s="9">
        <v>2.5</v>
      </c>
      <c r="M276" s="9">
        <v>2.5</v>
      </c>
      <c r="N276" s="9">
        <v>4.5</v>
      </c>
      <c r="O276" s="9">
        <v>4</v>
      </c>
      <c r="P276" s="9">
        <v>5</v>
      </c>
      <c r="Q276" t="s">
        <v>339</v>
      </c>
      <c r="R276" s="9">
        <v>120</v>
      </c>
      <c r="S276" t="str">
        <f xml:space="preserve"> HYPERLINK("ReviewHtml/review_Alien_Nine.html", "https://2danicritic.github.io/ReviewHtml/review_Alien_Nine.html")</f>
        <v>https://2danicritic.github.io/ReviewHtml/review_Alien_Nine.html</v>
      </c>
    </row>
    <row r="277" spans="2:19" hidden="1" x14ac:dyDescent="0.35">
      <c r="B277">
        <v>208</v>
      </c>
      <c r="C277" t="s">
        <v>1039</v>
      </c>
      <c r="D277" s="9">
        <v>1983</v>
      </c>
      <c r="E277" t="s">
        <v>1225</v>
      </c>
      <c r="F277" t="s">
        <v>1040</v>
      </c>
      <c r="G277" t="s">
        <v>1192</v>
      </c>
      <c r="H277" t="s">
        <v>1041</v>
      </c>
      <c r="I277" s="9">
        <v>2.86</v>
      </c>
      <c r="J277" s="9">
        <v>3.5</v>
      </c>
      <c r="K277" s="9">
        <v>3.5</v>
      </c>
      <c r="L277" s="9">
        <v>2.5</v>
      </c>
      <c r="M277" s="9">
        <v>3.5</v>
      </c>
      <c r="N277" s="9">
        <v>2</v>
      </c>
      <c r="O277" s="9">
        <v>2.5</v>
      </c>
      <c r="P277" s="9">
        <v>2.5</v>
      </c>
      <c r="Q277" t="s">
        <v>139</v>
      </c>
      <c r="R277" s="9">
        <v>77</v>
      </c>
      <c r="S277" t="str">
        <f xml:space="preserve"> HYPERLINK("ReviewHtml/review_Rock_and_Rule.html", "https://2danicritic.github.io/ReviewHtml/review_Rock_and_Rule.html")</f>
        <v>https://2danicritic.github.io/ReviewHtml/review_Rock_and_Rule.html</v>
      </c>
    </row>
    <row r="278" spans="2:19" hidden="1" x14ac:dyDescent="0.35">
      <c r="B278">
        <v>46</v>
      </c>
      <c r="C278" t="s">
        <v>751</v>
      </c>
      <c r="D278" s="9">
        <v>1986</v>
      </c>
      <c r="E278" t="s">
        <v>54</v>
      </c>
      <c r="F278" t="s">
        <v>752</v>
      </c>
      <c r="G278" t="s">
        <v>1192</v>
      </c>
      <c r="H278" t="s">
        <v>753</v>
      </c>
      <c r="I278" s="9">
        <v>4</v>
      </c>
      <c r="J278" s="9">
        <v>3.5</v>
      </c>
      <c r="K278" s="9">
        <v>3.5</v>
      </c>
      <c r="L278" s="9">
        <v>4.5</v>
      </c>
      <c r="M278" s="9">
        <v>3.5</v>
      </c>
      <c r="N278" s="9">
        <v>4</v>
      </c>
      <c r="O278" s="9">
        <v>4</v>
      </c>
      <c r="P278" s="9">
        <v>5</v>
      </c>
      <c r="Q278" t="s">
        <v>101</v>
      </c>
      <c r="R278" s="9">
        <v>126</v>
      </c>
      <c r="S278" t="str">
        <f xml:space="preserve"> HYPERLINK("ReviewHtml/review_Castle_in_the_Sky.html", "https://2danicritic.github.io/ReviewHtml/review_Castle_in_the_Sky.html")</f>
        <v>https://2danicritic.github.io/ReviewHtml/review_Castle_in_the_Sky.html</v>
      </c>
    </row>
    <row r="279" spans="2:19" hidden="1" x14ac:dyDescent="0.35">
      <c r="B279">
        <v>243</v>
      </c>
      <c r="C279" t="s">
        <v>1093</v>
      </c>
      <c r="D279" s="9">
        <v>1982</v>
      </c>
      <c r="E279" t="s">
        <v>1194</v>
      </c>
      <c r="F279" t="s">
        <v>1094</v>
      </c>
      <c r="G279" t="s">
        <v>1192</v>
      </c>
      <c r="H279" t="s">
        <v>271</v>
      </c>
      <c r="I279" s="9">
        <v>3.21</v>
      </c>
      <c r="J279" s="9">
        <v>2.5</v>
      </c>
      <c r="K279" s="9">
        <v>3</v>
      </c>
      <c r="L279" s="9">
        <v>3</v>
      </c>
      <c r="M279" s="9">
        <v>3.5</v>
      </c>
      <c r="N279" s="9">
        <v>3</v>
      </c>
      <c r="O279" s="9">
        <v>3.5</v>
      </c>
      <c r="P279" s="9">
        <v>4</v>
      </c>
      <c r="Q279" t="s">
        <v>199</v>
      </c>
      <c r="R279" s="9">
        <v>95</v>
      </c>
      <c r="S279" t="str">
        <f xml:space="preserve"> HYPERLINK("ReviewHtml/review_The_Flight_of_Dragons.html", "https://2danicritic.github.io/ReviewHtml/review_The_Flight_of_Dragons.html")</f>
        <v>https://2danicritic.github.io/ReviewHtml/review_The_Flight_of_Dragons.html</v>
      </c>
    </row>
    <row r="280" spans="2:19" hidden="1" x14ac:dyDescent="0.35">
      <c r="B280">
        <v>173</v>
      </c>
      <c r="C280" t="s">
        <v>979</v>
      </c>
      <c r="D280" s="9">
        <v>1985</v>
      </c>
      <c r="E280" t="s">
        <v>54</v>
      </c>
      <c r="F280" t="s">
        <v>733</v>
      </c>
      <c r="G280" t="s">
        <v>1192</v>
      </c>
      <c r="H280" t="s">
        <v>980</v>
      </c>
      <c r="I280" s="9">
        <v>3.36</v>
      </c>
      <c r="J280" s="9">
        <v>2.5</v>
      </c>
      <c r="K280" s="9">
        <v>4</v>
      </c>
      <c r="L280" s="9">
        <v>4</v>
      </c>
      <c r="M280" s="9">
        <v>2.5</v>
      </c>
      <c r="N280" s="9">
        <v>3.5</v>
      </c>
      <c r="O280" s="9">
        <v>2.5</v>
      </c>
      <c r="P280" s="9">
        <v>4.5</v>
      </c>
      <c r="Q280" t="s">
        <v>216</v>
      </c>
      <c r="R280" s="9">
        <v>105</v>
      </c>
      <c r="S280" t="str">
        <f xml:space="preserve"> HYPERLINK("ReviewHtml/review_Night_on_the_Galactic_Railroad.html", "https://2danicritic.github.io/ReviewHtml/review_Night_on_the_Galactic_Railroad.html")</f>
        <v>https://2danicritic.github.io/ReviewHtml/review_Night_on_the_Galactic_Railroad.html</v>
      </c>
    </row>
    <row r="281" spans="2:19" hidden="1" x14ac:dyDescent="0.35">
      <c r="B281">
        <v>288</v>
      </c>
      <c r="C281" t="s">
        <v>1160</v>
      </c>
      <c r="D281" s="9">
        <v>1985</v>
      </c>
      <c r="E281" t="s">
        <v>54</v>
      </c>
      <c r="F281" t="s">
        <v>1161</v>
      </c>
      <c r="G281" t="s">
        <v>1192</v>
      </c>
      <c r="H281" t="s">
        <v>1162</v>
      </c>
      <c r="I281" s="9">
        <v>2.4300000000000002</v>
      </c>
      <c r="J281" s="9">
        <v>1.5</v>
      </c>
      <c r="K281" s="9">
        <v>2.5</v>
      </c>
      <c r="L281" s="9">
        <v>3</v>
      </c>
      <c r="M281" s="9">
        <v>2</v>
      </c>
      <c r="N281" s="9">
        <v>2.5</v>
      </c>
      <c r="O281" s="9">
        <v>2.5</v>
      </c>
      <c r="P281" s="9">
        <v>3</v>
      </c>
      <c r="Q281" t="s">
        <v>80</v>
      </c>
      <c r="R281" s="9">
        <v>80</v>
      </c>
      <c r="S281" t="str">
        <f xml:space="preserve"> HYPERLINK("ReviewHtml/review_Vampire_Hunter_D.html", "https://2danicritic.github.io/ReviewHtml/review_Vampire_Hunter_D.html")</f>
        <v>https://2danicritic.github.io/ReviewHtml/review_Vampire_Hunter_D.html</v>
      </c>
    </row>
    <row r="282" spans="2:19" x14ac:dyDescent="0.35">
      <c r="B282">
        <v>48</v>
      </c>
      <c r="C282" t="s">
        <v>757</v>
      </c>
      <c r="D282" s="9">
        <v>2001</v>
      </c>
      <c r="E282" t="s">
        <v>54</v>
      </c>
      <c r="F282" t="s">
        <v>675</v>
      </c>
      <c r="G282" t="s">
        <v>88</v>
      </c>
      <c r="H282" t="s">
        <v>758</v>
      </c>
      <c r="I282" s="9">
        <v>3.5</v>
      </c>
      <c r="J282" s="9">
        <v>4</v>
      </c>
      <c r="K282" s="9">
        <v>4</v>
      </c>
      <c r="L282" s="9">
        <v>2</v>
      </c>
      <c r="M282" s="9">
        <v>3</v>
      </c>
      <c r="N282" s="9">
        <v>3</v>
      </c>
      <c r="O282" s="9">
        <v>4</v>
      </c>
      <c r="P282" s="9">
        <v>4.5</v>
      </c>
      <c r="Q282" t="s">
        <v>103</v>
      </c>
      <c r="R282" s="9">
        <v>34</v>
      </c>
      <c r="S282" t="str">
        <f xml:space="preserve"> HYPERLINK("ReviewHtml/review_Cat_Soup.html", "https://2danicritic.github.io/ReviewHtml/review_Cat_Soup.html")</f>
        <v>https://2danicritic.github.io/ReviewHtml/review_Cat_Soup.html</v>
      </c>
    </row>
    <row r="283" spans="2:19" x14ac:dyDescent="0.35">
      <c r="B283">
        <v>83</v>
      </c>
      <c r="C283" t="s">
        <v>822</v>
      </c>
      <c r="D283" s="9">
        <v>2000</v>
      </c>
      <c r="E283" t="s">
        <v>54</v>
      </c>
      <c r="F283" t="s">
        <v>823</v>
      </c>
      <c r="G283" t="s">
        <v>88</v>
      </c>
      <c r="H283" t="s">
        <v>824</v>
      </c>
      <c r="I283" s="9">
        <v>4.57</v>
      </c>
      <c r="J283" s="9">
        <v>4</v>
      </c>
      <c r="K283" s="9">
        <v>4</v>
      </c>
      <c r="L283" s="9">
        <v>5</v>
      </c>
      <c r="M283" s="9">
        <v>4</v>
      </c>
      <c r="N283" s="9">
        <v>5</v>
      </c>
      <c r="O283" s="9">
        <v>5</v>
      </c>
      <c r="P283" s="9">
        <v>5</v>
      </c>
      <c r="Q283" t="s">
        <v>138</v>
      </c>
      <c r="R283" s="9">
        <v>150</v>
      </c>
      <c r="S283" t="str">
        <f xml:space="preserve"> HYPERLINK("ReviewHtml/review_FLCL.html", "https://2danicritic.github.io/ReviewHtml/review_FLCL.html")</f>
        <v>https://2danicritic.github.io/ReviewHtml/review_FLCL.html</v>
      </c>
    </row>
    <row r="284" spans="2:19" hidden="1" x14ac:dyDescent="0.35">
      <c r="B284">
        <v>167</v>
      </c>
      <c r="C284" t="s">
        <v>973</v>
      </c>
      <c r="D284" s="9">
        <v>1984</v>
      </c>
      <c r="E284" t="s">
        <v>54</v>
      </c>
      <c r="F284" t="s">
        <v>752</v>
      </c>
      <c r="G284" t="s">
        <v>1192</v>
      </c>
      <c r="H284" t="s">
        <v>974</v>
      </c>
      <c r="I284" s="9">
        <v>3.57</v>
      </c>
      <c r="J284" s="9">
        <v>3</v>
      </c>
      <c r="K284" s="9">
        <v>3</v>
      </c>
      <c r="L284" s="9">
        <v>4</v>
      </c>
      <c r="M284" s="9">
        <v>3.5</v>
      </c>
      <c r="N284" s="9">
        <v>4</v>
      </c>
      <c r="O284" s="9">
        <v>3</v>
      </c>
      <c r="P284" s="9">
        <v>4.5</v>
      </c>
      <c r="Q284" t="s">
        <v>213</v>
      </c>
      <c r="R284" s="9">
        <v>117</v>
      </c>
      <c r="S284" t="str">
        <f xml:space="preserve"> HYPERLINK("ReviewHtml/review_Nausicaa_of_the_Valley_of_the_Wind.html", "https://2danicritic.github.io/ReviewHtml/review_Nausicaa_of_the_Valley_of_the_Wind.html")</f>
        <v>https://2danicritic.github.io/ReviewHtml/review_Nausicaa_of_the_Valley_of_the_Wind.html</v>
      </c>
    </row>
    <row r="285" spans="2:19" x14ac:dyDescent="0.35">
      <c r="B285">
        <v>151</v>
      </c>
      <c r="C285" t="s">
        <v>945</v>
      </c>
      <c r="D285" s="9">
        <v>2000</v>
      </c>
      <c r="E285" t="s">
        <v>54</v>
      </c>
      <c r="F285" t="s">
        <v>943</v>
      </c>
      <c r="G285" t="s">
        <v>88</v>
      </c>
      <c r="H285" t="s">
        <v>944</v>
      </c>
      <c r="I285" s="9">
        <v>3.14</v>
      </c>
      <c r="J285" s="9">
        <v>3</v>
      </c>
      <c r="K285" s="9">
        <v>2</v>
      </c>
      <c r="L285" s="9">
        <v>3</v>
      </c>
      <c r="M285" s="9">
        <v>2</v>
      </c>
      <c r="N285" s="9">
        <v>3</v>
      </c>
      <c r="O285" s="9">
        <v>5</v>
      </c>
      <c r="P285" s="9">
        <v>4</v>
      </c>
      <c r="Q285" t="s">
        <v>201</v>
      </c>
      <c r="R285" s="9">
        <v>60</v>
      </c>
      <c r="S285" t="str">
        <f xml:space="preserve"> HYPERLINK("ReviewHtml/review_Mezzo_Forte.html", "https://2danicritic.github.io/ReviewHtml/review_Mezzo_Forte.html")</f>
        <v>https://2danicritic.github.io/ReviewHtml/review_Mezzo_Forte.html</v>
      </c>
    </row>
    <row r="286" spans="2:19" hidden="1" x14ac:dyDescent="0.35">
      <c r="B286">
        <v>287</v>
      </c>
      <c r="C286" t="s">
        <v>1159</v>
      </c>
      <c r="D286" s="9">
        <v>1984</v>
      </c>
      <c r="E286" t="s">
        <v>54</v>
      </c>
      <c r="F286" t="s">
        <v>1109</v>
      </c>
      <c r="G286" t="s">
        <v>1192</v>
      </c>
      <c r="H286" t="s">
        <v>841</v>
      </c>
      <c r="I286" s="9">
        <v>2.4300000000000002</v>
      </c>
      <c r="J286" s="9">
        <v>2</v>
      </c>
      <c r="K286" s="9">
        <v>2</v>
      </c>
      <c r="L286" s="9">
        <v>2.5</v>
      </c>
      <c r="M286" s="9">
        <v>2.5</v>
      </c>
      <c r="N286" s="9">
        <v>2.5</v>
      </c>
      <c r="O286" s="9">
        <v>2.5</v>
      </c>
      <c r="P286" s="9">
        <v>3</v>
      </c>
      <c r="Q286" t="s">
        <v>306</v>
      </c>
      <c r="R286" s="9">
        <v>97</v>
      </c>
      <c r="S286" t="str">
        <f xml:space="preserve"> HYPERLINK("ReviewHtml/review_Urusei_Yatsura_-_Beautiful_Dreamer.html", "https://2danicritic.github.io/ReviewHtml/review_Urusei_Yatsura_-_Beautiful_Dreamer.html")</f>
        <v>https://2danicritic.github.io/ReviewHtml/review_Urusei_Yatsura_-_Beautiful_Dreamer.html</v>
      </c>
    </row>
    <row r="287" spans="2:19" x14ac:dyDescent="0.35">
      <c r="B287">
        <v>218</v>
      </c>
      <c r="C287" t="s">
        <v>1056</v>
      </c>
      <c r="D287" s="9">
        <v>2000</v>
      </c>
      <c r="E287" t="s">
        <v>54</v>
      </c>
      <c r="F287" t="s">
        <v>1057</v>
      </c>
      <c r="G287" t="s">
        <v>88</v>
      </c>
      <c r="H287" t="s">
        <v>1058</v>
      </c>
      <c r="I287" s="9">
        <v>1.71</v>
      </c>
      <c r="J287" s="9">
        <v>1.5</v>
      </c>
      <c r="K287" s="9">
        <v>2</v>
      </c>
      <c r="L287" s="9">
        <v>2.5</v>
      </c>
      <c r="M287" s="9">
        <v>1.5</v>
      </c>
      <c r="N287" s="9">
        <v>1.5</v>
      </c>
      <c r="O287" s="9">
        <v>2</v>
      </c>
      <c r="P287" s="9">
        <v>1</v>
      </c>
      <c r="Q287" t="s">
        <v>251</v>
      </c>
      <c r="R287" s="9">
        <v>60</v>
      </c>
      <c r="S287" t="str">
        <f xml:space="preserve"> HYPERLINK("ReviewHtml/review_Sin_-_The_Movie.html", "https://2danicritic.github.io/ReviewHtml/review_Sin_-_The_Movie.html")</f>
        <v>https://2danicritic.github.io/ReviewHtml/review_Sin_-_The_Movie.html</v>
      </c>
    </row>
    <row r="288" spans="2:19" x14ac:dyDescent="0.35">
      <c r="B288">
        <v>214</v>
      </c>
      <c r="C288" t="s">
        <v>1052</v>
      </c>
      <c r="D288" s="9">
        <v>1998</v>
      </c>
      <c r="E288" t="s">
        <v>54</v>
      </c>
      <c r="F288" t="s">
        <v>1053</v>
      </c>
      <c r="G288" t="s">
        <v>1193</v>
      </c>
      <c r="H288" t="s">
        <v>903</v>
      </c>
      <c r="I288" s="9">
        <v>3.71</v>
      </c>
      <c r="J288" s="9">
        <v>2.5</v>
      </c>
      <c r="K288" s="9">
        <v>3</v>
      </c>
      <c r="L288" s="9">
        <v>3.5</v>
      </c>
      <c r="M288" s="9">
        <v>3</v>
      </c>
      <c r="N288" s="9">
        <v>5</v>
      </c>
      <c r="O288" s="9">
        <v>4</v>
      </c>
      <c r="P288" s="9">
        <v>5</v>
      </c>
      <c r="Q288" t="s">
        <v>247</v>
      </c>
      <c r="R288" s="9">
        <v>325</v>
      </c>
      <c r="S288" t="str">
        <f xml:space="preserve"> HYPERLINK("ReviewHtml/review_Serial_Experiments_Lain.html", "https://2danicritic.github.io/ReviewHtml/review_Serial_Experiments_Lain.html")</f>
        <v>https://2danicritic.github.io/ReviewHtml/review_Serial_Experiments_Lain.html</v>
      </c>
    </row>
    <row r="289" spans="2:19" hidden="1" x14ac:dyDescent="0.35">
      <c r="B289">
        <v>20</v>
      </c>
      <c r="C289" t="s">
        <v>695</v>
      </c>
      <c r="D289" s="9">
        <v>1983</v>
      </c>
      <c r="E289" t="s">
        <v>54</v>
      </c>
      <c r="F289" t="s">
        <v>696</v>
      </c>
      <c r="G289" t="s">
        <v>1192</v>
      </c>
      <c r="H289" t="s">
        <v>697</v>
      </c>
      <c r="I289" s="9">
        <v>2.5</v>
      </c>
      <c r="J289" s="9">
        <v>2.5</v>
      </c>
      <c r="K289" s="9">
        <v>2.5</v>
      </c>
      <c r="L289" s="9">
        <v>2.5</v>
      </c>
      <c r="M289" s="9">
        <v>1</v>
      </c>
      <c r="N289" s="9">
        <v>3</v>
      </c>
      <c r="O289" s="9">
        <v>2.5</v>
      </c>
      <c r="P289" s="9">
        <v>3.5</v>
      </c>
      <c r="Q289" t="s">
        <v>340</v>
      </c>
      <c r="R289" s="9">
        <v>85</v>
      </c>
      <c r="S289" t="str">
        <f xml:space="preserve"> HYPERLINK("ReviewHtml/review_Barefoot_Gen.html", "https://2danicritic.github.io/ReviewHtml/review_Barefoot_Gen.html")</f>
        <v>https://2danicritic.github.io/ReviewHtml/review_Barefoot_Gen.html</v>
      </c>
    </row>
    <row r="290" spans="2:19" hidden="1" x14ac:dyDescent="0.35">
      <c r="B290">
        <v>286</v>
      </c>
      <c r="C290" t="s">
        <v>1157</v>
      </c>
      <c r="D290" s="9">
        <v>1983</v>
      </c>
      <c r="E290" t="s">
        <v>54</v>
      </c>
      <c r="F290" t="s">
        <v>1037</v>
      </c>
      <c r="G290" t="s">
        <v>1192</v>
      </c>
      <c r="H290" t="s">
        <v>1158</v>
      </c>
      <c r="I290" s="9">
        <v>1.86</v>
      </c>
      <c r="J290" s="9">
        <v>2</v>
      </c>
      <c r="K290" s="9">
        <v>3</v>
      </c>
      <c r="L290" s="9">
        <v>1.5</v>
      </c>
      <c r="M290" s="9">
        <v>1.5</v>
      </c>
      <c r="N290" s="9">
        <v>1.5</v>
      </c>
      <c r="O290" s="9">
        <v>1.5</v>
      </c>
      <c r="P290" s="9">
        <v>2</v>
      </c>
      <c r="Q290" t="s">
        <v>244</v>
      </c>
      <c r="R290" s="9">
        <v>91</v>
      </c>
      <c r="S290" t="str">
        <f xml:space="preserve"> HYPERLINK("ReviewHtml/review_Unico_in_the_Island_of_Magic.html", "https://2danicritic.github.io/ReviewHtml/review_Unico_in_the_Island_of_Magic.html")</f>
        <v>https://2danicritic.github.io/ReviewHtml/review_Unico_in_the_Island_of_Magic.html</v>
      </c>
    </row>
    <row r="291" spans="2:19" hidden="1" x14ac:dyDescent="0.35">
      <c r="B291">
        <v>242</v>
      </c>
      <c r="C291" t="s">
        <v>1092</v>
      </c>
      <c r="D291" s="9">
        <v>1981</v>
      </c>
      <c r="E291" t="s">
        <v>54</v>
      </c>
      <c r="F291" t="s">
        <v>1037</v>
      </c>
      <c r="G291" t="s">
        <v>1192</v>
      </c>
      <c r="H291" t="s">
        <v>700</v>
      </c>
      <c r="I291" s="9">
        <v>2.21</v>
      </c>
      <c r="J291" s="9">
        <v>2</v>
      </c>
      <c r="K291" s="9">
        <v>2.5</v>
      </c>
      <c r="L291" s="9">
        <v>3.5</v>
      </c>
      <c r="M291" s="9">
        <v>1.5</v>
      </c>
      <c r="N291" s="9">
        <v>2</v>
      </c>
      <c r="O291" s="9">
        <v>2</v>
      </c>
      <c r="P291" s="9">
        <v>2</v>
      </c>
      <c r="Q291" t="s">
        <v>244</v>
      </c>
      <c r="R291" s="9">
        <v>90</v>
      </c>
      <c r="S291" t="str">
        <f xml:space="preserve"> HYPERLINK("ReviewHtml/review_The_Fantastic_Adventures_of_Unico.html", "https://2danicritic.github.io/ReviewHtml/review_The_Fantastic_Adventures_of_Unico.html")</f>
        <v>https://2danicritic.github.io/ReviewHtml/review_The_Fantastic_Adventures_of_Unico.html</v>
      </c>
    </row>
    <row r="292" spans="2:19" hidden="1" x14ac:dyDescent="0.35">
      <c r="B292">
        <v>278</v>
      </c>
      <c r="C292" t="s">
        <v>1145</v>
      </c>
      <c r="D292" s="9">
        <v>1980</v>
      </c>
      <c r="E292" t="s">
        <v>54</v>
      </c>
      <c r="F292" t="s">
        <v>672</v>
      </c>
      <c r="G292" t="s">
        <v>1192</v>
      </c>
      <c r="H292" t="s">
        <v>301</v>
      </c>
      <c r="I292" s="9">
        <v>3.14</v>
      </c>
      <c r="J292" s="9">
        <v>2.5</v>
      </c>
      <c r="K292" s="9">
        <v>2.5</v>
      </c>
      <c r="L292" s="9">
        <v>3.5</v>
      </c>
      <c r="M292" s="9">
        <v>2</v>
      </c>
      <c r="N292" s="9">
        <v>4</v>
      </c>
      <c r="O292" s="9">
        <v>3.5</v>
      </c>
      <c r="P292" s="9">
        <v>4</v>
      </c>
      <c r="Q292" t="s">
        <v>302</v>
      </c>
      <c r="R292" s="9">
        <v>150</v>
      </c>
      <c r="S292" t="str">
        <f xml:space="preserve"> HYPERLINK("ReviewHtml/review_Tomorrow's_Joe.html", "https://2danicritic.github.io/ReviewHtml/review_Tomorrow's_Joe.html")</f>
        <v>https://2danicritic.github.io/ReviewHtml/review_Tomorrow's_Joe.html</v>
      </c>
    </row>
    <row r="293" spans="2:19" x14ac:dyDescent="0.35">
      <c r="B293">
        <v>282</v>
      </c>
      <c r="C293" t="s">
        <v>1149</v>
      </c>
      <c r="D293" s="9">
        <v>1998</v>
      </c>
      <c r="E293" t="s">
        <v>54</v>
      </c>
      <c r="F293" t="s">
        <v>699</v>
      </c>
      <c r="G293" t="s">
        <v>1193</v>
      </c>
      <c r="H293" t="s">
        <v>1150</v>
      </c>
      <c r="I293" s="9">
        <v>2.79</v>
      </c>
      <c r="J293" s="9">
        <v>2</v>
      </c>
      <c r="K293" s="9">
        <v>3</v>
      </c>
      <c r="L293" s="9">
        <v>3.5</v>
      </c>
      <c r="M293" s="9">
        <v>3.5</v>
      </c>
      <c r="N293" s="9">
        <v>2</v>
      </c>
      <c r="O293" s="9">
        <v>2.5</v>
      </c>
      <c r="P293" s="9">
        <v>3</v>
      </c>
      <c r="Q293" t="s">
        <v>304</v>
      </c>
      <c r="R293" s="9">
        <v>650</v>
      </c>
      <c r="S293" t="str">
        <f xml:space="preserve"> HYPERLINK("ReviewHtml/review_Trigun.html", "https://2danicritic.github.io/ReviewHtml/review_Trigun.html")</f>
        <v>https://2danicritic.github.io/ReviewHtml/review_Trigun.html</v>
      </c>
    </row>
    <row r="294" spans="2:19" hidden="1" x14ac:dyDescent="0.35">
      <c r="B294">
        <v>250</v>
      </c>
      <c r="C294" t="s">
        <v>1106</v>
      </c>
      <c r="D294" s="9">
        <v>1982</v>
      </c>
      <c r="E294" t="s">
        <v>1194</v>
      </c>
      <c r="F294" t="s">
        <v>1107</v>
      </c>
      <c r="G294" t="s">
        <v>1192</v>
      </c>
      <c r="H294" t="s">
        <v>277</v>
      </c>
      <c r="I294" s="9">
        <v>3.64</v>
      </c>
      <c r="J294" s="9">
        <v>3</v>
      </c>
      <c r="K294" s="9">
        <v>4</v>
      </c>
      <c r="L294" s="9">
        <v>3.5</v>
      </c>
      <c r="M294" s="9">
        <v>3.5</v>
      </c>
      <c r="N294" s="9">
        <v>3.5</v>
      </c>
      <c r="O294" s="9">
        <v>3</v>
      </c>
      <c r="P294" s="9">
        <v>5</v>
      </c>
      <c r="Q294" t="s">
        <v>83</v>
      </c>
      <c r="R294" s="9">
        <v>84</v>
      </c>
      <c r="S294" t="str">
        <f xml:space="preserve"> HYPERLINK("ReviewHtml/review_The_Last_Unicorn.html", "https://2danicritic.github.io/ReviewHtml/review_The_Last_Unicorn.html")</f>
        <v>https://2danicritic.github.io/ReviewHtml/review_The_Last_Unicorn.html</v>
      </c>
    </row>
    <row r="295" spans="2:19" x14ac:dyDescent="0.35">
      <c r="B295">
        <v>168</v>
      </c>
      <c r="C295" t="s">
        <v>1289</v>
      </c>
      <c r="D295" s="9">
        <v>1995</v>
      </c>
      <c r="E295" t="s">
        <v>54</v>
      </c>
      <c r="F295" t="s">
        <v>970</v>
      </c>
      <c r="G295" t="s">
        <v>1193</v>
      </c>
      <c r="H295" t="s">
        <v>1319</v>
      </c>
      <c r="I295" s="9">
        <v>3.36</v>
      </c>
      <c r="J295" s="9">
        <v>2.5</v>
      </c>
      <c r="K295" s="9">
        <v>3.5</v>
      </c>
      <c r="L295" s="9">
        <v>4</v>
      </c>
      <c r="M295" s="9">
        <v>2</v>
      </c>
      <c r="N295" s="9">
        <v>3.5</v>
      </c>
      <c r="O295" s="9">
        <v>3.5</v>
      </c>
      <c r="P295" s="9">
        <v>4.5</v>
      </c>
      <c r="Q295" t="s">
        <v>1219</v>
      </c>
      <c r="R295" s="9">
        <v>650</v>
      </c>
      <c r="S295" t="str">
        <f xml:space="preserve"> HYPERLINK("ReviewHtml/review_Neon_Genesis_Evangelion.html", "https://2danicritic.github.io/ReviewHtml/review_Neon_Genesis_Evangelion.html")</f>
        <v>https://2danicritic.github.io/ReviewHtml/review_Neon_Genesis_Evangelion.html</v>
      </c>
    </row>
    <row r="296" spans="2:19" hidden="1" x14ac:dyDescent="0.35">
      <c r="B296">
        <v>140</v>
      </c>
      <c r="C296" t="s">
        <v>924</v>
      </c>
      <c r="D296" s="9">
        <v>1979</v>
      </c>
      <c r="E296" t="s">
        <v>54</v>
      </c>
      <c r="F296" t="s">
        <v>920</v>
      </c>
      <c r="G296" t="s">
        <v>1192</v>
      </c>
      <c r="H296" t="s">
        <v>753</v>
      </c>
      <c r="I296" s="9">
        <v>4</v>
      </c>
      <c r="J296" s="9">
        <v>3.5</v>
      </c>
      <c r="K296" s="9">
        <v>3.5</v>
      </c>
      <c r="L296" s="9">
        <v>3.5</v>
      </c>
      <c r="M296" s="9">
        <v>3.5</v>
      </c>
      <c r="N296" s="9">
        <v>4.5</v>
      </c>
      <c r="O296" s="9">
        <v>4.5</v>
      </c>
      <c r="P296" s="9">
        <v>5</v>
      </c>
      <c r="Q296" t="s">
        <v>191</v>
      </c>
      <c r="R296" s="9">
        <v>100</v>
      </c>
      <c r="S296" t="str">
        <f xml:space="preserve"> HYPERLINK("ReviewHtml/review_Lupin_the_Third_-_The_Castle_of_Cagliostro.html", "https://2danicritic.github.io/ReviewHtml/review_Lupin_the_Third_-_The_Castle_of_Cagliostro.html")</f>
        <v>https://2danicritic.github.io/ReviewHtml/review_Lupin_the_Third_-_The_Castle_of_Cagliostro.html</v>
      </c>
    </row>
    <row r="297" spans="2:19" hidden="1" x14ac:dyDescent="0.35">
      <c r="B297">
        <v>259</v>
      </c>
      <c r="C297" t="s">
        <v>1299</v>
      </c>
      <c r="D297" s="9">
        <v>1982</v>
      </c>
      <c r="E297" t="s">
        <v>59</v>
      </c>
      <c r="F297" t="s">
        <v>1313</v>
      </c>
      <c r="G297" t="s">
        <v>1192</v>
      </c>
      <c r="H297" t="s">
        <v>1324</v>
      </c>
      <c r="I297" s="9">
        <v>3.93</v>
      </c>
      <c r="J297" s="9">
        <v>3.5</v>
      </c>
      <c r="K297" s="9">
        <v>3</v>
      </c>
      <c r="L297" s="9">
        <v>3</v>
      </c>
      <c r="M297" s="9">
        <v>4.5</v>
      </c>
      <c r="N297" s="9">
        <v>5</v>
      </c>
      <c r="O297" s="9">
        <v>4</v>
      </c>
      <c r="P297" s="9">
        <v>4.5</v>
      </c>
      <c r="Q297" t="s">
        <v>1239</v>
      </c>
      <c r="R297" s="9">
        <v>103</v>
      </c>
      <c r="S297" t="str">
        <f xml:space="preserve"> HYPERLINK("ReviewHtml/review_The_Plague_Dogs.html", "https://2danicritic.github.io/ReviewHtml/review_The_Plague_Dogs.html")</f>
        <v>https://2danicritic.github.io/ReviewHtml/review_The_Plague_Dogs.html</v>
      </c>
    </row>
    <row r="298" spans="2:19" hidden="1" x14ac:dyDescent="0.35">
      <c r="B298">
        <v>142</v>
      </c>
      <c r="C298" t="s">
        <v>927</v>
      </c>
      <c r="D298" s="9">
        <v>1978</v>
      </c>
      <c r="E298" t="s">
        <v>54</v>
      </c>
      <c r="F298" t="s">
        <v>672</v>
      </c>
      <c r="G298" t="s">
        <v>1192</v>
      </c>
      <c r="H298" t="s">
        <v>928</v>
      </c>
      <c r="I298" s="9">
        <v>3.36</v>
      </c>
      <c r="J298" s="9">
        <v>2.5</v>
      </c>
      <c r="K298" s="9">
        <v>2.5</v>
      </c>
      <c r="L298" s="9">
        <v>3.5</v>
      </c>
      <c r="M298" s="9">
        <v>3.5</v>
      </c>
      <c r="N298" s="9">
        <v>3.5</v>
      </c>
      <c r="O298" s="9">
        <v>4</v>
      </c>
      <c r="P298" s="9">
        <v>4</v>
      </c>
      <c r="Q298" t="s">
        <v>192</v>
      </c>
      <c r="R298" s="9">
        <v>102</v>
      </c>
      <c r="S298" t="str">
        <f xml:space="preserve"> HYPERLINK("ReviewHtml/review_Lupin_the_Third_-_The_Mystery_of_Mamo.html", "https://2danicritic.github.io/ReviewHtml/review_Lupin_the_Third_-_The_Mystery_of_Mamo.html")</f>
        <v>https://2danicritic.github.io/ReviewHtml/review_Lupin_the_Third_-_The_Mystery_of_Mamo.html</v>
      </c>
    </row>
    <row r="299" spans="2:19" hidden="1" x14ac:dyDescent="0.35">
      <c r="B299">
        <v>266</v>
      </c>
      <c r="C299" t="s">
        <v>1129</v>
      </c>
      <c r="D299" s="9">
        <v>1982</v>
      </c>
      <c r="E299" t="s">
        <v>1194</v>
      </c>
      <c r="F299" t="s">
        <v>1043</v>
      </c>
      <c r="G299" t="s">
        <v>1192</v>
      </c>
      <c r="H299" t="s">
        <v>1044</v>
      </c>
      <c r="I299" s="9">
        <v>4.3600000000000003</v>
      </c>
      <c r="J299" s="9">
        <v>4.5</v>
      </c>
      <c r="K299" s="9">
        <v>4</v>
      </c>
      <c r="L299" s="9">
        <v>4.5</v>
      </c>
      <c r="M299" s="9">
        <v>4.5</v>
      </c>
      <c r="N299" s="9">
        <v>4.5</v>
      </c>
      <c r="O299" s="9">
        <v>4.5</v>
      </c>
      <c r="P299" s="9">
        <v>4</v>
      </c>
      <c r="Q299" t="s">
        <v>290</v>
      </c>
      <c r="R299" s="9">
        <v>82</v>
      </c>
      <c r="S299" t="str">
        <f xml:space="preserve"> HYPERLINK("ReviewHtml/review_The_Secret_of_Nimh.html", "https://2danicritic.github.io/ReviewHtml/review_The_Secret_of_Nimh.html")</f>
        <v>https://2danicritic.github.io/ReviewHtml/review_The_Secret_of_Nimh.html</v>
      </c>
    </row>
    <row r="300" spans="2:19" hidden="1" x14ac:dyDescent="0.35">
      <c r="B300">
        <v>291</v>
      </c>
      <c r="C300" t="s">
        <v>1303</v>
      </c>
      <c r="D300" s="9">
        <v>1978</v>
      </c>
      <c r="E300" t="s">
        <v>59</v>
      </c>
      <c r="F300" t="s">
        <v>1313</v>
      </c>
      <c r="G300" t="s">
        <v>1192</v>
      </c>
      <c r="H300" t="s">
        <v>1324</v>
      </c>
      <c r="I300" s="9">
        <v>4.21</v>
      </c>
      <c r="J300" s="9">
        <v>3.5</v>
      </c>
      <c r="K300" s="9">
        <v>3.5</v>
      </c>
      <c r="L300" s="9">
        <v>4</v>
      </c>
      <c r="M300" s="9">
        <v>4.5</v>
      </c>
      <c r="N300" s="9">
        <v>5</v>
      </c>
      <c r="O300" s="9">
        <v>4</v>
      </c>
      <c r="P300" s="9">
        <v>5</v>
      </c>
      <c r="Q300" t="s">
        <v>1243</v>
      </c>
      <c r="R300" s="9">
        <v>91</v>
      </c>
      <c r="S300" t="str">
        <f xml:space="preserve"> HYPERLINK("ReviewHtml/review_Watership_Down.html", "https://2danicritic.github.io/ReviewHtml/review_Watership_Down.html")</f>
        <v>https://2danicritic.github.io/ReviewHtml/review_Watership_Down.html</v>
      </c>
    </row>
    <row r="301" spans="2:19" hidden="1" x14ac:dyDescent="0.35">
      <c r="B301">
        <v>207</v>
      </c>
      <c r="C301" t="s">
        <v>1036</v>
      </c>
      <c r="D301" s="9">
        <v>1978</v>
      </c>
      <c r="E301" t="s">
        <v>54</v>
      </c>
      <c r="F301" t="s">
        <v>1037</v>
      </c>
      <c r="G301" t="s">
        <v>1192</v>
      </c>
      <c r="H301" t="s">
        <v>1038</v>
      </c>
      <c r="I301" s="9">
        <v>3.57</v>
      </c>
      <c r="J301" s="9">
        <v>4</v>
      </c>
      <c r="K301" s="9">
        <v>3</v>
      </c>
      <c r="L301" s="9">
        <v>3.5</v>
      </c>
      <c r="M301" s="9">
        <v>3.5</v>
      </c>
      <c r="N301" s="9">
        <v>4</v>
      </c>
      <c r="O301" s="9">
        <v>3</v>
      </c>
      <c r="P301" s="9">
        <v>4</v>
      </c>
      <c r="Q301" t="s">
        <v>243</v>
      </c>
      <c r="R301" s="9">
        <v>47</v>
      </c>
      <c r="S301" t="str">
        <f xml:space="preserve"> HYPERLINK("ReviewHtml/review_Ringing_Bell.html", "https://2danicritic.github.io/ReviewHtml/review_Ringing_Bell.html")</f>
        <v>https://2danicritic.github.io/ReviewHtml/review_Ringing_Bell.html</v>
      </c>
    </row>
    <row r="302" spans="2:19" hidden="1" x14ac:dyDescent="0.35">
      <c r="B302">
        <v>297</v>
      </c>
      <c r="C302" t="s">
        <v>1176</v>
      </c>
      <c r="D302" s="9">
        <v>1977</v>
      </c>
      <c r="E302" t="s">
        <v>1194</v>
      </c>
      <c r="F302" t="s">
        <v>1177</v>
      </c>
      <c r="G302" t="s">
        <v>1192</v>
      </c>
      <c r="H302" t="s">
        <v>1178</v>
      </c>
      <c r="I302" s="9">
        <v>1.79</v>
      </c>
      <c r="J302" s="9">
        <v>1.5</v>
      </c>
      <c r="K302" s="9">
        <v>2.5</v>
      </c>
      <c r="L302" s="9">
        <v>2.5</v>
      </c>
      <c r="M302" s="9">
        <v>2.5</v>
      </c>
      <c r="N302" s="9">
        <v>1</v>
      </c>
      <c r="O302" s="9">
        <v>1.5</v>
      </c>
      <c r="P302" s="9">
        <v>1</v>
      </c>
      <c r="Q302" t="s">
        <v>269</v>
      </c>
      <c r="R302" s="9">
        <v>80</v>
      </c>
      <c r="S302" t="str">
        <f xml:space="preserve"> HYPERLINK("ReviewHtml/review_Wizards.html", "https://2danicritic.github.io/ReviewHtml/review_Wizards.html")</f>
        <v>https://2danicritic.github.io/ReviewHtml/review_Wizards.html</v>
      </c>
    </row>
    <row r="303" spans="2:19" x14ac:dyDescent="0.35">
      <c r="B303">
        <v>165</v>
      </c>
      <c r="C303" t="s">
        <v>969</v>
      </c>
      <c r="D303" s="9">
        <v>1990</v>
      </c>
      <c r="E303" t="s">
        <v>54</v>
      </c>
      <c r="F303" t="s">
        <v>970</v>
      </c>
      <c r="G303" t="s">
        <v>1193</v>
      </c>
      <c r="H303" t="s">
        <v>210</v>
      </c>
      <c r="I303" s="9">
        <v>2.64</v>
      </c>
      <c r="J303" s="9">
        <v>2</v>
      </c>
      <c r="K303" s="9">
        <v>3</v>
      </c>
      <c r="L303" s="9">
        <v>3</v>
      </c>
      <c r="M303" s="9">
        <v>2.5</v>
      </c>
      <c r="N303" s="9">
        <v>2.5</v>
      </c>
      <c r="O303" s="9">
        <v>2.5</v>
      </c>
      <c r="P303" s="9">
        <v>3</v>
      </c>
      <c r="Q303" t="s">
        <v>211</v>
      </c>
      <c r="R303" s="9">
        <v>975</v>
      </c>
      <c r="S303" t="str">
        <f xml:space="preserve"> HYPERLINK("ReviewHtml/review_Nadia_-_The_Secret_of_Blue_Water.html", "https://2danicritic.github.io/ReviewHtml/review_Nadia_-_The_Secret_of_Blue_Water.html")</f>
        <v>https://2danicritic.github.io/ReviewHtml/review_Nadia_-_The_Secret_of_Blue_Water.html</v>
      </c>
    </row>
    <row r="304" spans="2:19" hidden="1" x14ac:dyDescent="0.35">
      <c r="B304">
        <v>301</v>
      </c>
      <c r="C304" t="s">
        <v>1185</v>
      </c>
      <c r="D304" s="9">
        <v>1968</v>
      </c>
      <c r="E304" t="s">
        <v>59</v>
      </c>
      <c r="F304" t="s">
        <v>1186</v>
      </c>
      <c r="G304" t="s">
        <v>1192</v>
      </c>
      <c r="H304" t="s">
        <v>1187</v>
      </c>
      <c r="I304" s="9">
        <v>3.79</v>
      </c>
      <c r="J304" s="9">
        <v>2</v>
      </c>
      <c r="K304" s="9">
        <v>4</v>
      </c>
      <c r="L304" s="9">
        <v>4</v>
      </c>
      <c r="M304" s="9">
        <v>4</v>
      </c>
      <c r="N304" s="9">
        <v>3.5</v>
      </c>
      <c r="O304" s="9">
        <v>4</v>
      </c>
      <c r="P304" s="9">
        <v>5</v>
      </c>
      <c r="Q304" t="s">
        <v>314</v>
      </c>
      <c r="R304" s="9">
        <v>87</v>
      </c>
      <c r="S304" t="str">
        <f xml:space="preserve"> HYPERLINK("ReviewHtml/review_Yellow_Submarine.html", "https://2danicritic.github.io/ReviewHtml/review_Yellow_Submarine.html")</f>
        <v>https://2danicritic.github.io/ReviewHtml/review_Yellow_Submarine.html</v>
      </c>
    </row>
    <row r="305" spans="2:19" hidden="1" x14ac:dyDescent="0.35">
      <c r="B305">
        <v>23</v>
      </c>
      <c r="C305" t="s">
        <v>704</v>
      </c>
      <c r="D305" s="9">
        <v>1973</v>
      </c>
      <c r="E305" t="s">
        <v>54</v>
      </c>
      <c r="F305" t="s">
        <v>705</v>
      </c>
      <c r="G305" t="s">
        <v>1192</v>
      </c>
      <c r="H305" t="s">
        <v>706</v>
      </c>
      <c r="I305" s="9">
        <v>2.86</v>
      </c>
      <c r="J305" s="9">
        <v>1.5</v>
      </c>
      <c r="K305" s="9">
        <v>3</v>
      </c>
      <c r="L305" s="9">
        <v>3.5</v>
      </c>
      <c r="M305" s="9">
        <v>4</v>
      </c>
      <c r="N305" s="9">
        <v>3.5</v>
      </c>
      <c r="O305" s="9">
        <v>2.5</v>
      </c>
      <c r="P305" s="9">
        <v>2</v>
      </c>
      <c r="Q305" t="s">
        <v>78</v>
      </c>
      <c r="R305" s="9">
        <v>86</v>
      </c>
      <c r="S305" t="str">
        <f xml:space="preserve"> HYPERLINK("ReviewHtml/review_Belladonna_of_Sadness.html", "https://2danicritic.github.io/ReviewHtml/review_Belladonna_of_Sadness.html")</f>
        <v>https://2danicritic.github.io/ReviewHtml/review_Belladonna_of_Sadness.html</v>
      </c>
    </row>
    <row r="306" spans="2:19" x14ac:dyDescent="0.35">
      <c r="B306">
        <v>67</v>
      </c>
      <c r="C306" t="s">
        <v>794</v>
      </c>
      <c r="D306" s="9">
        <v>1987</v>
      </c>
      <c r="E306" t="s">
        <v>54</v>
      </c>
      <c r="F306" t="s">
        <v>795</v>
      </c>
      <c r="G306" t="s">
        <v>88</v>
      </c>
      <c r="H306" t="s">
        <v>796</v>
      </c>
      <c r="I306" s="9">
        <v>2.14</v>
      </c>
      <c r="J306" s="9">
        <v>2</v>
      </c>
      <c r="K306" s="9">
        <v>2.5</v>
      </c>
      <c r="L306" s="9">
        <v>2</v>
      </c>
      <c r="M306" s="9">
        <v>1.5</v>
      </c>
      <c r="N306" s="9">
        <v>1.5</v>
      </c>
      <c r="O306" s="9">
        <v>3</v>
      </c>
      <c r="P306" s="9">
        <v>2.5</v>
      </c>
      <c r="Q306" t="s">
        <v>125</v>
      </c>
      <c r="R306" s="9">
        <v>110</v>
      </c>
      <c r="S306" t="str">
        <f xml:space="preserve"> HYPERLINK("ReviewHtml/review_Devilman_-_The_Birth,_Demon_Bird_Sirene.html", "https://2danicritic.github.io/ReviewHtml/review_Devilman_-_The_Birth,_Demon_Bird_Sirene.html")</f>
        <v>https://2danicritic.github.io/ReviewHtml/review_Devilman_-_The_Birth,_Demon_Bird_Sirene.html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BC5F5-7C5F-42E1-9BD2-0823207F94AA}">
  <dimension ref="B1:BD133"/>
  <sheetViews>
    <sheetView workbookViewId="0">
      <selection activeCell="A9" sqref="A9"/>
    </sheetView>
  </sheetViews>
  <sheetFormatPr defaultRowHeight="14.5" x14ac:dyDescent="0.35"/>
  <cols>
    <col min="1" max="1" width="8.7265625" style="5"/>
    <col min="2" max="2" width="40.6328125" style="5" customWidth="1"/>
    <col min="3" max="3" width="6.6328125" style="10" customWidth="1"/>
    <col min="4" max="4" width="15.6328125" style="5" customWidth="1"/>
    <col min="5" max="5" width="20.6328125" style="5" customWidth="1"/>
    <col min="6" max="6" width="8.6328125" style="12" customWidth="1"/>
    <col min="7" max="7" width="40.6328125" style="5" customWidth="1"/>
    <col min="8" max="15" width="6.6328125" style="10" customWidth="1"/>
    <col min="16" max="16" width="60.6328125" style="5" customWidth="1"/>
    <col min="17" max="17" width="6.6328125" style="10" customWidth="1"/>
    <col min="18" max="18" width="100.6328125" style="5" customWidth="1"/>
    <col min="19" max="20" width="8.7265625" style="5"/>
    <col min="21" max="21" width="60.6328125" style="5" customWidth="1"/>
    <col min="22" max="22" width="6.6328125" style="10" customWidth="1"/>
    <col min="23" max="23" width="8.6328125" style="5" customWidth="1"/>
    <col min="24" max="24" width="30.6328125" style="5" customWidth="1"/>
    <col min="25" max="25" width="8.6328125" style="5" customWidth="1"/>
    <col min="26" max="26" width="30.6328125" style="5" customWidth="1"/>
    <col min="27" max="34" width="6.6328125" style="10" customWidth="1"/>
    <col min="35" max="35" width="60.6328125" style="5" customWidth="1"/>
    <col min="36" max="36" width="6.6328125" style="10" customWidth="1"/>
    <col min="37" max="37" width="100.6328125" style="5" customWidth="1"/>
    <col min="38" max="39" width="8.7265625" style="5"/>
    <col min="40" max="40" width="50.6328125" style="5" customWidth="1"/>
    <col min="41" max="41" width="6.6328125" style="10" customWidth="1"/>
    <col min="42" max="42" width="10.6328125" style="5" customWidth="1"/>
    <col min="43" max="43" width="30.6328125" style="5" customWidth="1"/>
    <col min="44" max="44" width="6.6328125" style="5" customWidth="1"/>
    <col min="45" max="45" width="30.6328125" style="5" customWidth="1"/>
    <col min="46" max="53" width="6.6328125" style="10" customWidth="1"/>
    <col min="54" max="54" width="60.6328125" style="5" customWidth="1"/>
    <col min="55" max="55" width="6.6328125" style="10" customWidth="1"/>
    <col min="56" max="56" width="60.6328125" style="5" customWidth="1"/>
    <col min="57" max="16384" width="8.7265625" style="5"/>
  </cols>
  <sheetData>
    <row r="1" spans="2:56" x14ac:dyDescent="0.35">
      <c r="B1" s="5" t="s">
        <v>320</v>
      </c>
      <c r="U1" s="5" t="s">
        <v>320</v>
      </c>
    </row>
    <row r="2" spans="2:56" x14ac:dyDescent="0.35">
      <c r="B2" s="7" t="s">
        <v>319</v>
      </c>
      <c r="U2" s="7" t="s">
        <v>318</v>
      </c>
      <c r="AN2" s="7" t="s">
        <v>317</v>
      </c>
    </row>
    <row r="3" spans="2:56" x14ac:dyDescent="0.35">
      <c r="B3" s="18" t="s">
        <v>652</v>
      </c>
      <c r="C3" s="9" t="s">
        <v>332</v>
      </c>
      <c r="D3" t="s">
        <v>653</v>
      </c>
      <c r="E3" t="s">
        <v>654</v>
      </c>
      <c r="F3" t="s">
        <v>655</v>
      </c>
      <c r="G3" t="s">
        <v>43</v>
      </c>
      <c r="H3" s="9" t="s">
        <v>44</v>
      </c>
      <c r="I3" s="9" t="s">
        <v>45</v>
      </c>
      <c r="J3" s="9" t="s">
        <v>46</v>
      </c>
      <c r="K3" s="9" t="s">
        <v>47</v>
      </c>
      <c r="L3" s="9" t="s">
        <v>48</v>
      </c>
      <c r="M3" s="9" t="s">
        <v>49</v>
      </c>
      <c r="N3" s="9" t="s">
        <v>50</v>
      </c>
      <c r="O3" s="9" t="s">
        <v>51</v>
      </c>
      <c r="P3" t="s">
        <v>52</v>
      </c>
      <c r="Q3" s="9" t="s">
        <v>316</v>
      </c>
      <c r="R3" t="s">
        <v>53</v>
      </c>
      <c r="U3" s="18" t="s">
        <v>652</v>
      </c>
      <c r="V3" s="9" t="s">
        <v>332</v>
      </c>
      <c r="W3" t="s">
        <v>653</v>
      </c>
      <c r="X3" t="s">
        <v>654</v>
      </c>
      <c r="Y3" t="s">
        <v>655</v>
      </c>
      <c r="Z3" t="s">
        <v>43</v>
      </c>
      <c r="AA3" s="9" t="s">
        <v>44</v>
      </c>
      <c r="AB3" s="9" t="s">
        <v>45</v>
      </c>
      <c r="AC3" s="9" t="s">
        <v>46</v>
      </c>
      <c r="AD3" s="9" t="s">
        <v>47</v>
      </c>
      <c r="AE3" s="9" t="s">
        <v>48</v>
      </c>
      <c r="AF3" s="9" t="s">
        <v>49</v>
      </c>
      <c r="AG3" s="9" t="s">
        <v>50</v>
      </c>
      <c r="AH3" s="9" t="s">
        <v>51</v>
      </c>
      <c r="AI3" t="s">
        <v>52</v>
      </c>
      <c r="AJ3" s="9" t="s">
        <v>316</v>
      </c>
      <c r="AK3" t="s">
        <v>53</v>
      </c>
      <c r="AN3" s="18" t="s">
        <v>652</v>
      </c>
      <c r="AO3" s="9" t="s">
        <v>332</v>
      </c>
      <c r="AP3" t="s">
        <v>653</v>
      </c>
      <c r="AQ3" t="s">
        <v>654</v>
      </c>
      <c r="AR3" t="s">
        <v>655</v>
      </c>
      <c r="AS3" t="s">
        <v>43</v>
      </c>
      <c r="AT3" s="9" t="s">
        <v>44</v>
      </c>
      <c r="AU3" s="9" t="s">
        <v>45</v>
      </c>
      <c r="AV3" s="9" t="s">
        <v>46</v>
      </c>
      <c r="AW3" s="9" t="s">
        <v>47</v>
      </c>
      <c r="AX3" s="9" t="s">
        <v>48</v>
      </c>
      <c r="AY3" s="9" t="s">
        <v>49</v>
      </c>
      <c r="AZ3" s="9" t="s">
        <v>50</v>
      </c>
      <c r="BA3" s="9" t="s">
        <v>51</v>
      </c>
      <c r="BB3" t="s">
        <v>52</v>
      </c>
      <c r="BC3" s="9" t="s">
        <v>316</v>
      </c>
      <c r="BD3" t="s">
        <v>53</v>
      </c>
    </row>
    <row r="4" spans="2:56" x14ac:dyDescent="0.35">
      <c r="B4" t="s">
        <v>1294</v>
      </c>
      <c r="C4" s="9">
        <v>2018</v>
      </c>
      <c r="D4" t="s">
        <v>1228</v>
      </c>
      <c r="E4" t="s">
        <v>1311</v>
      </c>
      <c r="F4" t="s">
        <v>1192</v>
      </c>
      <c r="G4" t="s">
        <v>1321</v>
      </c>
      <c r="H4" s="9">
        <v>3.86</v>
      </c>
      <c r="I4" s="9">
        <v>3.5</v>
      </c>
      <c r="J4" s="9">
        <v>4</v>
      </c>
      <c r="K4" s="9">
        <v>4</v>
      </c>
      <c r="L4" s="9">
        <v>4</v>
      </c>
      <c r="M4" s="9">
        <v>3.5</v>
      </c>
      <c r="N4" s="9">
        <v>4</v>
      </c>
      <c r="O4" s="9">
        <v>4</v>
      </c>
      <c r="P4" t="s">
        <v>1229</v>
      </c>
      <c r="Q4" s="9">
        <v>96</v>
      </c>
      <c r="R4" t="s">
        <v>1244</v>
      </c>
      <c r="U4" t="s">
        <v>701</v>
      </c>
      <c r="V4" s="9">
        <v>2018</v>
      </c>
      <c r="W4" t="s">
        <v>54</v>
      </c>
      <c r="X4" t="s">
        <v>702</v>
      </c>
      <c r="Y4" t="s">
        <v>1192</v>
      </c>
      <c r="Z4" t="s">
        <v>703</v>
      </c>
      <c r="AA4" s="9">
        <v>3.57</v>
      </c>
      <c r="AB4" s="9">
        <v>4</v>
      </c>
      <c r="AC4" s="9">
        <v>4</v>
      </c>
      <c r="AD4" s="9">
        <v>4</v>
      </c>
      <c r="AE4" s="9">
        <v>3.5</v>
      </c>
      <c r="AF4" s="9">
        <v>2</v>
      </c>
      <c r="AG4" s="9">
        <v>4</v>
      </c>
      <c r="AH4" s="9">
        <v>3.5</v>
      </c>
      <c r="AI4" t="s">
        <v>342</v>
      </c>
      <c r="AJ4" s="9">
        <v>85</v>
      </c>
      <c r="AK4" t="s">
        <v>412</v>
      </c>
      <c r="AN4" t="s">
        <v>791</v>
      </c>
      <c r="AO4" s="9">
        <v>2018</v>
      </c>
      <c r="AP4" t="s">
        <v>54</v>
      </c>
      <c r="AQ4" t="s">
        <v>792</v>
      </c>
      <c r="AR4" t="s">
        <v>1200</v>
      </c>
      <c r="AS4" t="s">
        <v>793</v>
      </c>
      <c r="AT4" s="9">
        <v>3.29</v>
      </c>
      <c r="AU4" s="9">
        <v>2.5</v>
      </c>
      <c r="AV4" s="9">
        <v>3</v>
      </c>
      <c r="AW4" s="9">
        <v>3.5</v>
      </c>
      <c r="AX4" s="9">
        <v>3</v>
      </c>
      <c r="AY4" s="9">
        <v>3.5</v>
      </c>
      <c r="AZ4" s="9">
        <v>3.5</v>
      </c>
      <c r="BA4" s="9">
        <v>4</v>
      </c>
      <c r="BB4" t="s">
        <v>124</v>
      </c>
      <c r="BC4" s="9">
        <v>250</v>
      </c>
      <c r="BD4" t="s">
        <v>507</v>
      </c>
    </row>
    <row r="5" spans="2:56" x14ac:dyDescent="0.35">
      <c r="B5" t="s">
        <v>1075</v>
      </c>
      <c r="C5" s="9">
        <v>2018</v>
      </c>
      <c r="D5" t="s">
        <v>1194</v>
      </c>
      <c r="E5" t="s">
        <v>1076</v>
      </c>
      <c r="F5" t="s">
        <v>1192</v>
      </c>
      <c r="G5" t="s">
        <v>262</v>
      </c>
      <c r="H5" s="9">
        <v>2.71</v>
      </c>
      <c r="I5" s="9">
        <v>2.5</v>
      </c>
      <c r="J5" s="9">
        <v>2.5</v>
      </c>
      <c r="K5" s="9">
        <v>2.5</v>
      </c>
      <c r="L5" s="9">
        <v>4</v>
      </c>
      <c r="M5" s="9">
        <v>2</v>
      </c>
      <c r="N5" s="9">
        <v>3.5</v>
      </c>
      <c r="O5" s="9">
        <v>2</v>
      </c>
      <c r="P5" t="s">
        <v>263</v>
      </c>
      <c r="Q5" s="9">
        <v>88</v>
      </c>
      <c r="R5" t="s">
        <v>358</v>
      </c>
      <c r="U5" t="s">
        <v>1284</v>
      </c>
      <c r="V5" s="9">
        <v>2018</v>
      </c>
      <c r="W5" t="s">
        <v>54</v>
      </c>
      <c r="X5" t="s">
        <v>1308</v>
      </c>
      <c r="Y5" t="s">
        <v>1192</v>
      </c>
      <c r="Z5" t="s">
        <v>1211</v>
      </c>
      <c r="AA5" s="9">
        <v>3.5</v>
      </c>
      <c r="AB5" s="9">
        <v>3.5</v>
      </c>
      <c r="AC5" s="9">
        <v>3</v>
      </c>
      <c r="AD5" s="9">
        <v>3.5</v>
      </c>
      <c r="AE5" s="9">
        <v>3.5</v>
      </c>
      <c r="AF5" s="9">
        <v>3.5</v>
      </c>
      <c r="AG5" s="9">
        <v>4</v>
      </c>
      <c r="AH5" s="9">
        <v>3.5</v>
      </c>
      <c r="AI5" t="s">
        <v>104</v>
      </c>
      <c r="AJ5" s="9">
        <v>108</v>
      </c>
      <c r="AK5" t="s">
        <v>1254</v>
      </c>
      <c r="AN5" t="s">
        <v>741</v>
      </c>
      <c r="AO5" s="9">
        <v>2017</v>
      </c>
      <c r="AP5" t="s">
        <v>54</v>
      </c>
      <c r="AQ5" t="s">
        <v>739</v>
      </c>
      <c r="AR5" t="s">
        <v>1193</v>
      </c>
      <c r="AS5" t="s">
        <v>115</v>
      </c>
      <c r="AT5" s="9">
        <v>4.29</v>
      </c>
      <c r="AU5" s="9">
        <v>4</v>
      </c>
      <c r="AV5" s="9">
        <v>4</v>
      </c>
      <c r="AW5" s="9">
        <v>4.5</v>
      </c>
      <c r="AX5" s="9">
        <v>4</v>
      </c>
      <c r="AY5" s="9">
        <v>4</v>
      </c>
      <c r="AZ5" s="9">
        <v>4.5</v>
      </c>
      <c r="BA5" s="9">
        <v>5</v>
      </c>
      <c r="BB5" t="s">
        <v>344</v>
      </c>
      <c r="BC5" s="9">
        <v>300</v>
      </c>
      <c r="BD5" t="s">
        <v>508</v>
      </c>
    </row>
    <row r="6" spans="2:56" x14ac:dyDescent="0.35">
      <c r="B6" t="s">
        <v>1301</v>
      </c>
      <c r="C6" s="9">
        <v>2018</v>
      </c>
      <c r="D6" t="s">
        <v>1201</v>
      </c>
      <c r="E6" t="s">
        <v>1315</v>
      </c>
      <c r="F6" t="s">
        <v>1192</v>
      </c>
      <c r="G6" t="s">
        <v>1241</v>
      </c>
      <c r="H6" s="9">
        <v>3.43</v>
      </c>
      <c r="I6" s="9">
        <v>3</v>
      </c>
      <c r="J6" s="9">
        <v>3.5</v>
      </c>
      <c r="K6" s="9">
        <v>3.5</v>
      </c>
      <c r="L6" s="9">
        <v>3.5</v>
      </c>
      <c r="M6" s="9">
        <v>3.5</v>
      </c>
      <c r="N6" s="9">
        <v>3.5</v>
      </c>
      <c r="O6" s="9">
        <v>3.5</v>
      </c>
      <c r="P6" t="s">
        <v>1242</v>
      </c>
      <c r="Q6" s="9">
        <v>73</v>
      </c>
      <c r="R6" t="s">
        <v>1245</v>
      </c>
      <c r="U6" t="s">
        <v>907</v>
      </c>
      <c r="V6" s="9">
        <v>2018</v>
      </c>
      <c r="W6" t="s">
        <v>54</v>
      </c>
      <c r="X6" t="s">
        <v>663</v>
      </c>
      <c r="Y6" t="s">
        <v>1192</v>
      </c>
      <c r="Z6" t="s">
        <v>664</v>
      </c>
      <c r="AA6" s="9">
        <v>3.64</v>
      </c>
      <c r="AB6" s="9">
        <v>3.5</v>
      </c>
      <c r="AC6" s="9">
        <v>4</v>
      </c>
      <c r="AD6" s="9">
        <v>4</v>
      </c>
      <c r="AE6" s="9">
        <v>4</v>
      </c>
      <c r="AF6" s="9">
        <v>3.5</v>
      </c>
      <c r="AG6" s="9">
        <v>3</v>
      </c>
      <c r="AH6" s="9">
        <v>3.5</v>
      </c>
      <c r="AI6" t="s">
        <v>140</v>
      </c>
      <c r="AJ6" s="9">
        <v>90</v>
      </c>
      <c r="AK6" t="s">
        <v>438</v>
      </c>
      <c r="AN6" t="s">
        <v>951</v>
      </c>
      <c r="AO6" s="9">
        <v>2017</v>
      </c>
      <c r="AP6" t="s">
        <v>54</v>
      </c>
      <c r="AQ6" t="s">
        <v>663</v>
      </c>
      <c r="AR6" t="s">
        <v>1193</v>
      </c>
      <c r="AS6" t="s">
        <v>677</v>
      </c>
      <c r="AT6" s="9">
        <v>3.86</v>
      </c>
      <c r="AU6" s="9">
        <v>4</v>
      </c>
      <c r="AV6" s="9">
        <v>4</v>
      </c>
      <c r="AW6" s="9">
        <v>4</v>
      </c>
      <c r="AX6" s="9">
        <v>3</v>
      </c>
      <c r="AY6" s="9">
        <v>3</v>
      </c>
      <c r="AZ6" s="9">
        <v>4.5</v>
      </c>
      <c r="BA6" s="9">
        <v>4.5</v>
      </c>
      <c r="BB6" t="s">
        <v>348</v>
      </c>
      <c r="BC6" s="9">
        <v>350</v>
      </c>
      <c r="BD6" t="s">
        <v>509</v>
      </c>
    </row>
    <row r="7" spans="2:56" x14ac:dyDescent="0.35">
      <c r="B7" t="s">
        <v>854</v>
      </c>
      <c r="C7" s="9">
        <v>2017</v>
      </c>
      <c r="D7" t="s">
        <v>1197</v>
      </c>
      <c r="E7" t="s">
        <v>855</v>
      </c>
      <c r="F7" t="s">
        <v>1192</v>
      </c>
      <c r="G7" t="s">
        <v>856</v>
      </c>
      <c r="H7" s="9">
        <v>3.57</v>
      </c>
      <c r="I7" s="9">
        <v>1</v>
      </c>
      <c r="J7" s="9">
        <v>4</v>
      </c>
      <c r="K7" s="9">
        <v>4</v>
      </c>
      <c r="L7" s="9">
        <v>4</v>
      </c>
      <c r="M7" s="9">
        <v>4</v>
      </c>
      <c r="N7" s="9">
        <v>4</v>
      </c>
      <c r="O7" s="9">
        <v>4</v>
      </c>
      <c r="P7" t="s">
        <v>156</v>
      </c>
      <c r="Q7" s="9">
        <v>75</v>
      </c>
      <c r="R7" t="s">
        <v>359</v>
      </c>
      <c r="U7" t="s">
        <v>934</v>
      </c>
      <c r="V7" s="9">
        <v>2018</v>
      </c>
      <c r="W7" t="s">
        <v>54</v>
      </c>
      <c r="X7" t="s">
        <v>679</v>
      </c>
      <c r="Y7" t="s">
        <v>1192</v>
      </c>
      <c r="Z7" t="s">
        <v>935</v>
      </c>
      <c r="AA7" s="9">
        <v>4</v>
      </c>
      <c r="AB7" s="9">
        <v>3.5</v>
      </c>
      <c r="AC7" s="9">
        <v>4</v>
      </c>
      <c r="AD7" s="9">
        <v>4.5</v>
      </c>
      <c r="AE7" s="9">
        <v>3.5</v>
      </c>
      <c r="AF7" s="9">
        <v>4</v>
      </c>
      <c r="AG7" s="9">
        <v>4</v>
      </c>
      <c r="AH7" s="9">
        <v>4.5</v>
      </c>
      <c r="AI7" t="s">
        <v>197</v>
      </c>
      <c r="AJ7" s="9">
        <v>115</v>
      </c>
      <c r="AK7" t="s">
        <v>447</v>
      </c>
      <c r="AN7" t="s">
        <v>1087</v>
      </c>
      <c r="AO7" s="9">
        <v>2017</v>
      </c>
      <c r="AP7" t="s">
        <v>54</v>
      </c>
      <c r="AQ7" t="s">
        <v>1088</v>
      </c>
      <c r="AR7" t="s">
        <v>88</v>
      </c>
      <c r="AS7" t="s">
        <v>824</v>
      </c>
      <c r="AT7" s="9">
        <v>2.93</v>
      </c>
      <c r="AU7" s="9">
        <v>3.5</v>
      </c>
      <c r="AV7" s="9">
        <v>3.5</v>
      </c>
      <c r="AW7" s="9">
        <v>2</v>
      </c>
      <c r="AX7" s="9">
        <v>2</v>
      </c>
      <c r="AY7" s="9">
        <v>2.5</v>
      </c>
      <c r="AZ7" s="9">
        <v>3</v>
      </c>
      <c r="BA7" s="9">
        <v>4</v>
      </c>
      <c r="BB7" t="s">
        <v>269</v>
      </c>
      <c r="BC7" s="9">
        <v>90</v>
      </c>
      <c r="BD7" t="s">
        <v>510</v>
      </c>
    </row>
    <row r="8" spans="2:56" x14ac:dyDescent="0.35">
      <c r="B8" t="s">
        <v>869</v>
      </c>
      <c r="C8" s="9">
        <v>2017</v>
      </c>
      <c r="D8" t="s">
        <v>1199</v>
      </c>
      <c r="E8" t="s">
        <v>870</v>
      </c>
      <c r="F8" t="s">
        <v>1192</v>
      </c>
      <c r="G8" t="s">
        <v>871</v>
      </c>
      <c r="H8" s="9">
        <v>3.43</v>
      </c>
      <c r="I8" s="9">
        <v>3</v>
      </c>
      <c r="J8" s="9">
        <v>3</v>
      </c>
      <c r="K8" s="9">
        <v>3</v>
      </c>
      <c r="L8" s="9">
        <v>4</v>
      </c>
      <c r="M8" s="9">
        <v>4</v>
      </c>
      <c r="N8" s="9">
        <v>4</v>
      </c>
      <c r="O8" s="9">
        <v>3</v>
      </c>
      <c r="P8" t="s">
        <v>168</v>
      </c>
      <c r="Q8" s="9">
        <v>85</v>
      </c>
      <c r="R8" t="s">
        <v>360</v>
      </c>
      <c r="U8" t="s">
        <v>948</v>
      </c>
      <c r="V8" s="9">
        <v>2018</v>
      </c>
      <c r="W8" t="s">
        <v>54</v>
      </c>
      <c r="X8" t="s">
        <v>949</v>
      </c>
      <c r="Y8" t="s">
        <v>1192</v>
      </c>
      <c r="Z8" t="s">
        <v>950</v>
      </c>
      <c r="AA8" s="9">
        <v>3.79</v>
      </c>
      <c r="AB8" s="9">
        <v>4</v>
      </c>
      <c r="AC8" s="9">
        <v>3.5</v>
      </c>
      <c r="AD8" s="9">
        <v>4</v>
      </c>
      <c r="AE8" s="9">
        <v>4</v>
      </c>
      <c r="AF8" s="9">
        <v>2.5</v>
      </c>
      <c r="AG8" s="9">
        <v>4.5</v>
      </c>
      <c r="AH8" s="9">
        <v>4</v>
      </c>
      <c r="AI8" t="s">
        <v>347</v>
      </c>
      <c r="AJ8" s="9">
        <v>98</v>
      </c>
      <c r="AK8" t="s">
        <v>451</v>
      </c>
      <c r="AN8" t="s">
        <v>779</v>
      </c>
      <c r="AO8" s="9">
        <v>2016</v>
      </c>
      <c r="AP8" t="s">
        <v>54</v>
      </c>
      <c r="AQ8" t="s">
        <v>780</v>
      </c>
      <c r="AR8" t="s">
        <v>1193</v>
      </c>
      <c r="AS8" t="s">
        <v>115</v>
      </c>
      <c r="AT8" s="9">
        <v>2.57</v>
      </c>
      <c r="AU8" s="9">
        <v>2.5</v>
      </c>
      <c r="AV8" s="9">
        <v>3</v>
      </c>
      <c r="AW8" s="9">
        <v>2.5</v>
      </c>
      <c r="AX8" s="9">
        <v>2</v>
      </c>
      <c r="AY8" s="9">
        <v>2</v>
      </c>
      <c r="AZ8" s="9">
        <v>3</v>
      </c>
      <c r="BA8" s="9">
        <v>3</v>
      </c>
      <c r="BB8" t="s">
        <v>116</v>
      </c>
      <c r="BC8" s="9">
        <v>300</v>
      </c>
      <c r="BD8" t="s">
        <v>511</v>
      </c>
    </row>
    <row r="9" spans="2:56" x14ac:dyDescent="0.35">
      <c r="B9" t="s">
        <v>915</v>
      </c>
      <c r="C9" s="9">
        <v>2017</v>
      </c>
      <c r="D9" t="s">
        <v>1213</v>
      </c>
      <c r="E9" t="s">
        <v>916</v>
      </c>
      <c r="F9" t="s">
        <v>1192</v>
      </c>
      <c r="G9" t="s">
        <v>186</v>
      </c>
      <c r="H9" s="9">
        <v>4.07</v>
      </c>
      <c r="I9" s="9">
        <v>4</v>
      </c>
      <c r="J9" s="9">
        <v>4.5</v>
      </c>
      <c r="K9" s="9">
        <v>4</v>
      </c>
      <c r="L9" s="9">
        <v>4.5</v>
      </c>
      <c r="M9" s="9">
        <v>3.5</v>
      </c>
      <c r="N9" s="9">
        <v>3</v>
      </c>
      <c r="O9" s="9">
        <v>5</v>
      </c>
      <c r="P9" t="s">
        <v>187</v>
      </c>
      <c r="Q9" s="9">
        <v>95</v>
      </c>
      <c r="R9" t="s">
        <v>361</v>
      </c>
      <c r="U9" t="s">
        <v>1287</v>
      </c>
      <c r="V9" s="9">
        <v>2018</v>
      </c>
      <c r="W9" t="s">
        <v>54</v>
      </c>
      <c r="X9" t="s">
        <v>937</v>
      </c>
      <c r="Y9" t="s">
        <v>1190</v>
      </c>
      <c r="Z9" t="s">
        <v>1215</v>
      </c>
      <c r="AA9" s="9">
        <v>3.93</v>
      </c>
      <c r="AB9" s="9">
        <v>4.5</v>
      </c>
      <c r="AC9" s="9">
        <v>4</v>
      </c>
      <c r="AD9" s="9">
        <v>3.5</v>
      </c>
      <c r="AE9" s="9">
        <v>3</v>
      </c>
      <c r="AF9" s="9">
        <v>4</v>
      </c>
      <c r="AG9" s="9">
        <v>4</v>
      </c>
      <c r="AH9" s="9">
        <v>4.5</v>
      </c>
      <c r="AI9" t="s">
        <v>1216</v>
      </c>
      <c r="AJ9" s="9">
        <v>53</v>
      </c>
      <c r="AK9" t="s">
        <v>1255</v>
      </c>
      <c r="AN9" t="s">
        <v>799</v>
      </c>
      <c r="AO9" s="9">
        <v>2016</v>
      </c>
      <c r="AP9" t="s">
        <v>54</v>
      </c>
      <c r="AQ9" t="s">
        <v>800</v>
      </c>
      <c r="AR9" t="s">
        <v>1193</v>
      </c>
      <c r="AS9" t="s">
        <v>801</v>
      </c>
      <c r="AT9" s="9">
        <v>3.71</v>
      </c>
      <c r="AU9" s="9">
        <v>3</v>
      </c>
      <c r="AV9" s="9">
        <v>4</v>
      </c>
      <c r="AW9" s="9">
        <v>3.5</v>
      </c>
      <c r="AX9" s="9">
        <v>4</v>
      </c>
      <c r="AY9" s="9">
        <v>3</v>
      </c>
      <c r="AZ9" s="9">
        <v>4.5</v>
      </c>
      <c r="BA9" s="9">
        <v>4</v>
      </c>
      <c r="BB9" t="s">
        <v>127</v>
      </c>
      <c r="BC9" s="9">
        <v>300</v>
      </c>
      <c r="BD9" t="s">
        <v>512</v>
      </c>
    </row>
    <row r="10" spans="2:56" x14ac:dyDescent="0.35">
      <c r="B10" t="s">
        <v>946</v>
      </c>
      <c r="C10" s="9">
        <v>2017</v>
      </c>
      <c r="D10" t="s">
        <v>1191</v>
      </c>
      <c r="E10" t="s">
        <v>707</v>
      </c>
      <c r="F10" t="s">
        <v>1192</v>
      </c>
      <c r="G10" t="s">
        <v>202</v>
      </c>
      <c r="H10" s="9">
        <v>3.43</v>
      </c>
      <c r="I10" s="9">
        <v>3.5</v>
      </c>
      <c r="J10" s="9">
        <v>3.5</v>
      </c>
      <c r="K10" s="9">
        <v>3.5</v>
      </c>
      <c r="L10" s="9">
        <v>3.5</v>
      </c>
      <c r="M10" s="9">
        <v>3.5</v>
      </c>
      <c r="N10" s="9">
        <v>3.5</v>
      </c>
      <c r="O10" s="9">
        <v>3</v>
      </c>
      <c r="P10" t="s">
        <v>203</v>
      </c>
      <c r="Q10" s="9">
        <v>90</v>
      </c>
      <c r="R10" t="s">
        <v>362</v>
      </c>
      <c r="U10" t="s">
        <v>725</v>
      </c>
      <c r="V10" s="9">
        <v>2017</v>
      </c>
      <c r="W10" t="s">
        <v>54</v>
      </c>
      <c r="X10" t="s">
        <v>720</v>
      </c>
      <c r="Y10" t="s">
        <v>1192</v>
      </c>
      <c r="Z10" t="s">
        <v>723</v>
      </c>
      <c r="AA10" s="9">
        <v>3.5</v>
      </c>
      <c r="AB10" s="9">
        <v>3.5</v>
      </c>
      <c r="AC10" s="9">
        <v>3.5</v>
      </c>
      <c r="AD10" s="9">
        <v>3.5</v>
      </c>
      <c r="AE10" s="9">
        <v>3.5</v>
      </c>
      <c r="AF10" s="9">
        <v>2.5</v>
      </c>
      <c r="AG10" s="9">
        <v>4.5</v>
      </c>
      <c r="AH10" s="9">
        <v>3.5</v>
      </c>
      <c r="AI10" t="s">
        <v>343</v>
      </c>
      <c r="AJ10" s="9">
        <v>100</v>
      </c>
      <c r="AK10" t="s">
        <v>416</v>
      </c>
      <c r="AN10" t="s">
        <v>825</v>
      </c>
      <c r="AO10" s="9">
        <v>2016</v>
      </c>
      <c r="AP10" t="s">
        <v>54</v>
      </c>
      <c r="AQ10" t="s">
        <v>826</v>
      </c>
      <c r="AR10" t="s">
        <v>1193</v>
      </c>
      <c r="AS10" t="s">
        <v>827</v>
      </c>
      <c r="AT10" s="9">
        <v>3.71</v>
      </c>
      <c r="AU10" s="9">
        <v>4</v>
      </c>
      <c r="AV10" s="9">
        <v>4</v>
      </c>
      <c r="AW10" s="9">
        <v>3.5</v>
      </c>
      <c r="AX10" s="9">
        <v>3</v>
      </c>
      <c r="AY10" s="9">
        <v>3.5</v>
      </c>
      <c r="AZ10" s="9">
        <v>4</v>
      </c>
      <c r="BA10" s="9">
        <v>4</v>
      </c>
      <c r="BB10" t="s">
        <v>139</v>
      </c>
      <c r="BC10" s="9">
        <v>325</v>
      </c>
      <c r="BD10" t="s">
        <v>513</v>
      </c>
    </row>
    <row r="11" spans="2:56" x14ac:dyDescent="0.35">
      <c r="B11" t="s">
        <v>961</v>
      </c>
      <c r="C11" s="9">
        <v>2017</v>
      </c>
      <c r="D11" t="s">
        <v>1199</v>
      </c>
      <c r="E11" t="s">
        <v>962</v>
      </c>
      <c r="F11" t="s">
        <v>1192</v>
      </c>
      <c r="G11" t="s">
        <v>963</v>
      </c>
      <c r="H11" s="9">
        <v>2.5</v>
      </c>
      <c r="I11" s="9">
        <v>3</v>
      </c>
      <c r="J11" s="9">
        <v>2</v>
      </c>
      <c r="K11" s="9">
        <v>3</v>
      </c>
      <c r="L11" s="9">
        <v>3</v>
      </c>
      <c r="M11" s="9">
        <v>3</v>
      </c>
      <c r="N11" s="9">
        <v>2</v>
      </c>
      <c r="O11" s="9">
        <v>1.5</v>
      </c>
      <c r="P11" t="s">
        <v>207</v>
      </c>
      <c r="Q11" s="9">
        <v>80</v>
      </c>
      <c r="R11" t="s">
        <v>363</v>
      </c>
      <c r="U11" t="s">
        <v>1277</v>
      </c>
      <c r="V11" s="9">
        <v>2017</v>
      </c>
      <c r="W11" t="s">
        <v>54</v>
      </c>
      <c r="X11" t="s">
        <v>764</v>
      </c>
      <c r="Y11" t="s">
        <v>1192</v>
      </c>
      <c r="Z11" t="s">
        <v>767</v>
      </c>
      <c r="AA11" s="9">
        <v>3.64</v>
      </c>
      <c r="AB11" s="9">
        <v>3.5</v>
      </c>
      <c r="AC11" s="9">
        <v>3.5</v>
      </c>
      <c r="AD11" s="9">
        <v>3.5</v>
      </c>
      <c r="AE11" s="9">
        <v>3.5</v>
      </c>
      <c r="AF11" s="9">
        <v>4</v>
      </c>
      <c r="AG11" s="9">
        <v>4</v>
      </c>
      <c r="AH11" s="9">
        <v>3.5</v>
      </c>
      <c r="AI11" t="s">
        <v>1202</v>
      </c>
      <c r="AJ11" s="9">
        <v>406</v>
      </c>
      <c r="AK11" t="s">
        <v>1256</v>
      </c>
      <c r="AN11" t="s">
        <v>849</v>
      </c>
      <c r="AO11" s="9">
        <v>2016</v>
      </c>
      <c r="AP11" t="s">
        <v>54</v>
      </c>
      <c r="AQ11" t="s">
        <v>720</v>
      </c>
      <c r="AR11" t="s">
        <v>1193</v>
      </c>
      <c r="AS11" t="s">
        <v>850</v>
      </c>
      <c r="AT11" s="9">
        <v>3.64</v>
      </c>
      <c r="AU11" s="9">
        <v>3.5</v>
      </c>
      <c r="AV11" s="9">
        <v>4.5</v>
      </c>
      <c r="AW11" s="9">
        <v>3.5</v>
      </c>
      <c r="AX11" s="9">
        <v>3.5</v>
      </c>
      <c r="AY11" s="9">
        <v>3</v>
      </c>
      <c r="AZ11" s="9">
        <v>3.5</v>
      </c>
      <c r="BA11" s="9">
        <v>4</v>
      </c>
      <c r="BB11" t="s">
        <v>150</v>
      </c>
      <c r="BC11" s="9">
        <v>300</v>
      </c>
      <c r="BD11" t="s">
        <v>514</v>
      </c>
    </row>
    <row r="12" spans="2:56" x14ac:dyDescent="0.35">
      <c r="B12" t="s">
        <v>1077</v>
      </c>
      <c r="C12" s="9">
        <v>2017</v>
      </c>
      <c r="D12" t="s">
        <v>1191</v>
      </c>
      <c r="E12" t="s">
        <v>1078</v>
      </c>
      <c r="F12" t="s">
        <v>1190</v>
      </c>
      <c r="G12" t="s">
        <v>264</v>
      </c>
      <c r="H12" s="9">
        <v>3.29</v>
      </c>
      <c r="I12" s="9">
        <v>3</v>
      </c>
      <c r="J12" s="9">
        <v>3.5</v>
      </c>
      <c r="K12" s="9">
        <v>3</v>
      </c>
      <c r="L12" s="9">
        <v>2.5</v>
      </c>
      <c r="M12" s="9">
        <v>2.5</v>
      </c>
      <c r="N12" s="9">
        <v>4.5</v>
      </c>
      <c r="O12" s="9">
        <v>4</v>
      </c>
      <c r="P12" t="s">
        <v>188</v>
      </c>
      <c r="Q12" s="9">
        <v>79</v>
      </c>
      <c r="R12" t="s">
        <v>364</v>
      </c>
      <c r="U12" t="s">
        <v>813</v>
      </c>
      <c r="V12" s="9">
        <v>2017</v>
      </c>
      <c r="W12" t="s">
        <v>54</v>
      </c>
      <c r="X12" t="s">
        <v>720</v>
      </c>
      <c r="Y12" t="s">
        <v>1192</v>
      </c>
      <c r="Z12" t="s">
        <v>814</v>
      </c>
      <c r="AA12" s="9">
        <v>2.71</v>
      </c>
      <c r="AB12" s="9">
        <v>2.5</v>
      </c>
      <c r="AC12" s="9">
        <v>2.5</v>
      </c>
      <c r="AD12" s="9">
        <v>3</v>
      </c>
      <c r="AE12" s="9">
        <v>2.5</v>
      </c>
      <c r="AF12" s="9">
        <v>2</v>
      </c>
      <c r="AG12" s="9">
        <v>3.5</v>
      </c>
      <c r="AH12" s="9">
        <v>3</v>
      </c>
      <c r="AI12" t="s">
        <v>133</v>
      </c>
      <c r="AJ12" s="9">
        <v>85</v>
      </c>
      <c r="AK12" t="s">
        <v>424</v>
      </c>
      <c r="AN12" t="s">
        <v>895</v>
      </c>
      <c r="AO12" s="9">
        <v>2016</v>
      </c>
      <c r="AP12" t="s">
        <v>54</v>
      </c>
      <c r="AQ12" t="s">
        <v>893</v>
      </c>
      <c r="AR12" t="s">
        <v>1193</v>
      </c>
      <c r="AS12" t="s">
        <v>896</v>
      </c>
      <c r="AT12" s="9">
        <v>3.43</v>
      </c>
      <c r="AU12" s="9">
        <v>3.5</v>
      </c>
      <c r="AV12" s="9">
        <v>3.5</v>
      </c>
      <c r="AW12" s="9">
        <v>3.5</v>
      </c>
      <c r="AX12" s="9">
        <v>3</v>
      </c>
      <c r="AY12" s="9">
        <v>2</v>
      </c>
      <c r="AZ12" s="9">
        <v>4.5</v>
      </c>
      <c r="BA12" s="9">
        <v>4</v>
      </c>
      <c r="BB12" t="s">
        <v>176</v>
      </c>
      <c r="BC12" s="9">
        <v>300</v>
      </c>
      <c r="BD12" t="s">
        <v>515</v>
      </c>
    </row>
    <row r="13" spans="2:56" x14ac:dyDescent="0.35">
      <c r="B13" t="s">
        <v>1080</v>
      </c>
      <c r="C13" s="9">
        <v>2017</v>
      </c>
      <c r="D13" t="s">
        <v>1232</v>
      </c>
      <c r="E13" t="s">
        <v>1060</v>
      </c>
      <c r="F13" t="s">
        <v>1192</v>
      </c>
      <c r="G13" t="s">
        <v>1081</v>
      </c>
      <c r="H13" s="9">
        <v>4.8600000000000003</v>
      </c>
      <c r="I13" s="9">
        <v>5</v>
      </c>
      <c r="J13" s="9">
        <v>5</v>
      </c>
      <c r="K13" s="9">
        <v>4</v>
      </c>
      <c r="L13" s="9">
        <v>5</v>
      </c>
      <c r="M13" s="9">
        <v>5</v>
      </c>
      <c r="N13" s="9">
        <v>5</v>
      </c>
      <c r="O13" s="9">
        <v>5</v>
      </c>
      <c r="P13" t="s">
        <v>266</v>
      </c>
      <c r="Q13" s="9">
        <v>94</v>
      </c>
      <c r="R13" t="s">
        <v>365</v>
      </c>
      <c r="U13" t="s">
        <v>821</v>
      </c>
      <c r="V13" s="9">
        <v>2017</v>
      </c>
      <c r="W13" t="s">
        <v>54</v>
      </c>
      <c r="X13" t="s">
        <v>694</v>
      </c>
      <c r="Y13" t="s">
        <v>1192</v>
      </c>
      <c r="Z13" t="s">
        <v>136</v>
      </c>
      <c r="AA13" s="9">
        <v>2.5</v>
      </c>
      <c r="AB13" s="9">
        <v>3</v>
      </c>
      <c r="AC13" s="9">
        <v>3</v>
      </c>
      <c r="AD13" s="9">
        <v>3.5</v>
      </c>
      <c r="AE13" s="9">
        <v>2.5</v>
      </c>
      <c r="AF13" s="9">
        <v>1.5</v>
      </c>
      <c r="AG13" s="9">
        <v>2.5</v>
      </c>
      <c r="AH13" s="9">
        <v>1.5</v>
      </c>
      <c r="AI13" t="s">
        <v>137</v>
      </c>
      <c r="AJ13" s="9">
        <v>90</v>
      </c>
      <c r="AK13" t="s">
        <v>425</v>
      </c>
      <c r="AN13" t="s">
        <v>1189</v>
      </c>
      <c r="AO13" s="9">
        <v>2016</v>
      </c>
      <c r="AP13" t="s">
        <v>54</v>
      </c>
      <c r="AQ13" t="s">
        <v>873</v>
      </c>
      <c r="AR13" t="s">
        <v>1193</v>
      </c>
      <c r="AS13" t="s">
        <v>930</v>
      </c>
      <c r="AT13" s="9">
        <v>3.86</v>
      </c>
      <c r="AU13" s="9">
        <v>3.5</v>
      </c>
      <c r="AV13" s="9">
        <v>4</v>
      </c>
      <c r="AW13" s="9">
        <v>4</v>
      </c>
      <c r="AX13" s="9">
        <v>3.5</v>
      </c>
      <c r="AY13" s="9">
        <v>3.5</v>
      </c>
      <c r="AZ13" s="9">
        <v>4</v>
      </c>
      <c r="BA13" s="9">
        <v>4.5</v>
      </c>
      <c r="BB13" t="s">
        <v>315</v>
      </c>
      <c r="BC13" s="9">
        <v>300</v>
      </c>
      <c r="BD13" t="s">
        <v>516</v>
      </c>
    </row>
    <row r="14" spans="2:56" x14ac:dyDescent="0.35">
      <c r="B14" t="s">
        <v>712</v>
      </c>
      <c r="C14" s="9">
        <v>2016</v>
      </c>
      <c r="D14" t="s">
        <v>1197</v>
      </c>
      <c r="E14" t="s">
        <v>713</v>
      </c>
      <c r="F14" t="s">
        <v>1192</v>
      </c>
      <c r="G14" t="s">
        <v>82</v>
      </c>
      <c r="H14" s="9">
        <v>3.57</v>
      </c>
      <c r="I14" s="9">
        <v>3</v>
      </c>
      <c r="J14" s="9">
        <v>4</v>
      </c>
      <c r="K14" s="9">
        <v>3</v>
      </c>
      <c r="L14" s="9">
        <v>3</v>
      </c>
      <c r="M14" s="9">
        <v>4</v>
      </c>
      <c r="N14" s="9">
        <v>3.5</v>
      </c>
      <c r="O14" s="9">
        <v>4.5</v>
      </c>
      <c r="P14" t="s">
        <v>83</v>
      </c>
      <c r="Q14" s="9">
        <v>105</v>
      </c>
      <c r="R14" t="s">
        <v>366</v>
      </c>
      <c r="U14" t="s">
        <v>917</v>
      </c>
      <c r="V14" s="9">
        <v>2017</v>
      </c>
      <c r="W14" t="s">
        <v>54</v>
      </c>
      <c r="X14" t="s">
        <v>792</v>
      </c>
      <c r="Y14" t="s">
        <v>1192</v>
      </c>
      <c r="Z14" t="s">
        <v>793</v>
      </c>
      <c r="AA14" s="9">
        <v>4.29</v>
      </c>
      <c r="AB14" s="9">
        <v>4</v>
      </c>
      <c r="AC14" s="9">
        <v>4</v>
      </c>
      <c r="AD14" s="9">
        <v>5</v>
      </c>
      <c r="AE14" s="9">
        <v>3.5</v>
      </c>
      <c r="AF14" s="9">
        <v>4</v>
      </c>
      <c r="AG14" s="9">
        <v>4.5</v>
      </c>
      <c r="AH14" s="9">
        <v>5</v>
      </c>
      <c r="AI14" t="s">
        <v>188</v>
      </c>
      <c r="AJ14" s="9">
        <v>112</v>
      </c>
      <c r="AK14" t="s">
        <v>440</v>
      </c>
      <c r="AN14" t="s">
        <v>738</v>
      </c>
      <c r="AO14" s="9">
        <v>2015</v>
      </c>
      <c r="AP14" t="s">
        <v>54</v>
      </c>
      <c r="AQ14" t="s">
        <v>739</v>
      </c>
      <c r="AR14" t="s">
        <v>1193</v>
      </c>
      <c r="AS14" t="s">
        <v>740</v>
      </c>
      <c r="AT14" s="9">
        <v>4.1399999999999997</v>
      </c>
      <c r="AU14" s="9">
        <v>3.5</v>
      </c>
      <c r="AV14" s="9">
        <v>4</v>
      </c>
      <c r="AW14" s="9">
        <v>4</v>
      </c>
      <c r="AX14" s="9">
        <v>4</v>
      </c>
      <c r="AY14" s="9">
        <v>4</v>
      </c>
      <c r="AZ14" s="9">
        <v>4.5</v>
      </c>
      <c r="BA14" s="9">
        <v>5</v>
      </c>
      <c r="BB14" t="s">
        <v>97</v>
      </c>
      <c r="BC14" s="9">
        <v>325</v>
      </c>
      <c r="BD14" t="s">
        <v>517</v>
      </c>
    </row>
    <row r="15" spans="2:56" x14ac:dyDescent="0.35">
      <c r="B15" t="s">
        <v>810</v>
      </c>
      <c r="C15" s="9">
        <v>2016</v>
      </c>
      <c r="D15" t="s">
        <v>59</v>
      </c>
      <c r="E15" t="s">
        <v>811</v>
      </c>
      <c r="F15" t="s">
        <v>1192</v>
      </c>
      <c r="G15" t="s">
        <v>812</v>
      </c>
      <c r="H15" s="9">
        <v>3.43</v>
      </c>
      <c r="I15" s="9">
        <v>4</v>
      </c>
      <c r="J15" s="9">
        <v>4</v>
      </c>
      <c r="K15" s="9">
        <v>3.5</v>
      </c>
      <c r="L15" s="9">
        <v>3.5</v>
      </c>
      <c r="M15" s="9">
        <v>2</v>
      </c>
      <c r="N15" s="9">
        <v>3</v>
      </c>
      <c r="O15" s="9">
        <v>4</v>
      </c>
      <c r="P15" t="s">
        <v>132</v>
      </c>
      <c r="Q15" s="9">
        <v>86</v>
      </c>
      <c r="R15" t="s">
        <v>367</v>
      </c>
      <c r="U15" t="s">
        <v>936</v>
      </c>
      <c r="V15" s="9">
        <v>2017</v>
      </c>
      <c r="W15" t="s">
        <v>54</v>
      </c>
      <c r="X15" t="s">
        <v>937</v>
      </c>
      <c r="Y15" t="s">
        <v>1192</v>
      </c>
      <c r="Z15" t="s">
        <v>198</v>
      </c>
      <c r="AA15" s="9">
        <v>2.93</v>
      </c>
      <c r="AB15" s="9">
        <v>3.5</v>
      </c>
      <c r="AC15" s="9">
        <v>3.5</v>
      </c>
      <c r="AD15" s="9">
        <v>4</v>
      </c>
      <c r="AE15" s="9">
        <v>2.5</v>
      </c>
      <c r="AF15" s="9">
        <v>2</v>
      </c>
      <c r="AG15" s="9">
        <v>2.5</v>
      </c>
      <c r="AH15" s="9">
        <v>2.5</v>
      </c>
      <c r="AI15" t="s">
        <v>199</v>
      </c>
      <c r="AJ15" s="9">
        <v>103</v>
      </c>
      <c r="AK15" t="s">
        <v>448</v>
      </c>
      <c r="AN15" t="s">
        <v>763</v>
      </c>
      <c r="AO15" s="9">
        <v>2015</v>
      </c>
      <c r="AP15" t="s">
        <v>54</v>
      </c>
      <c r="AQ15" t="s">
        <v>764</v>
      </c>
      <c r="AR15" t="s">
        <v>88</v>
      </c>
      <c r="AS15" t="s">
        <v>765</v>
      </c>
      <c r="AT15" s="9">
        <v>3.86</v>
      </c>
      <c r="AU15" s="9">
        <v>4</v>
      </c>
      <c r="AV15" s="9">
        <v>4</v>
      </c>
      <c r="AW15" s="9">
        <v>4</v>
      </c>
      <c r="AX15" s="9">
        <v>4</v>
      </c>
      <c r="AY15" s="9">
        <v>3.5</v>
      </c>
      <c r="AZ15" s="9">
        <v>3.5</v>
      </c>
      <c r="BA15" s="9">
        <v>4</v>
      </c>
      <c r="BB15" t="s">
        <v>106</v>
      </c>
      <c r="BC15" s="9">
        <v>290</v>
      </c>
      <c r="BD15" t="s">
        <v>518</v>
      </c>
    </row>
    <row r="16" spans="2:56" x14ac:dyDescent="0.35">
      <c r="B16" t="s">
        <v>908</v>
      </c>
      <c r="C16" s="9">
        <v>2016</v>
      </c>
      <c r="D16" t="s">
        <v>1191</v>
      </c>
      <c r="E16" t="s">
        <v>909</v>
      </c>
      <c r="F16" t="s">
        <v>1192</v>
      </c>
      <c r="G16" t="s">
        <v>183</v>
      </c>
      <c r="H16" s="9">
        <v>3.14</v>
      </c>
      <c r="I16" s="9">
        <v>3</v>
      </c>
      <c r="J16" s="9">
        <v>3.5</v>
      </c>
      <c r="K16" s="9">
        <v>4</v>
      </c>
      <c r="L16" s="9">
        <v>2.5</v>
      </c>
      <c r="M16" s="9">
        <v>3.5</v>
      </c>
      <c r="N16" s="9">
        <v>2.5</v>
      </c>
      <c r="O16" s="9">
        <v>3</v>
      </c>
      <c r="P16" t="s">
        <v>184</v>
      </c>
      <c r="Q16" s="9">
        <v>75</v>
      </c>
      <c r="R16" t="s">
        <v>368</v>
      </c>
      <c r="U16" t="s">
        <v>971</v>
      </c>
      <c r="V16" s="9">
        <v>2017</v>
      </c>
      <c r="W16" t="s">
        <v>54</v>
      </c>
      <c r="X16" t="s">
        <v>972</v>
      </c>
      <c r="Y16" t="s">
        <v>1192</v>
      </c>
      <c r="Z16" t="s">
        <v>806</v>
      </c>
      <c r="AA16" s="9">
        <v>2.93</v>
      </c>
      <c r="AB16" s="9">
        <v>3</v>
      </c>
      <c r="AC16" s="9">
        <v>3.5</v>
      </c>
      <c r="AD16" s="9">
        <v>3.5</v>
      </c>
      <c r="AE16" s="9">
        <v>2.5</v>
      </c>
      <c r="AF16" s="9">
        <v>2</v>
      </c>
      <c r="AG16" s="9">
        <v>3</v>
      </c>
      <c r="AH16" s="9">
        <v>3</v>
      </c>
      <c r="AI16" t="s">
        <v>212</v>
      </c>
      <c r="AJ16" s="9">
        <v>111</v>
      </c>
      <c r="AK16" t="s">
        <v>454</v>
      </c>
      <c r="AN16" t="s">
        <v>789</v>
      </c>
      <c r="AO16" s="9">
        <v>2015</v>
      </c>
      <c r="AP16" t="s">
        <v>54</v>
      </c>
      <c r="AQ16" t="s">
        <v>699</v>
      </c>
      <c r="AR16" t="s">
        <v>1193</v>
      </c>
      <c r="AS16" t="s">
        <v>790</v>
      </c>
      <c r="AT16" s="9">
        <v>3.64</v>
      </c>
      <c r="AU16" s="9">
        <v>3.5</v>
      </c>
      <c r="AV16" s="9">
        <v>4</v>
      </c>
      <c r="AW16" s="9">
        <v>3.5</v>
      </c>
      <c r="AX16" s="9">
        <v>3.5</v>
      </c>
      <c r="AY16" s="9">
        <v>3.5</v>
      </c>
      <c r="AZ16" s="9">
        <v>3.5</v>
      </c>
      <c r="BA16" s="9">
        <v>4</v>
      </c>
      <c r="BB16" t="s">
        <v>123</v>
      </c>
      <c r="BC16" s="9">
        <v>300</v>
      </c>
      <c r="BD16" t="s">
        <v>519</v>
      </c>
    </row>
    <row r="17" spans="2:56" x14ac:dyDescent="0.35">
      <c r="B17" t="s">
        <v>964</v>
      </c>
      <c r="C17" s="9">
        <v>2016</v>
      </c>
      <c r="D17" t="s">
        <v>1194</v>
      </c>
      <c r="E17" t="s">
        <v>965</v>
      </c>
      <c r="F17" t="s">
        <v>1192</v>
      </c>
      <c r="G17" t="s">
        <v>966</v>
      </c>
      <c r="H17" s="9">
        <v>1.79</v>
      </c>
      <c r="I17" s="9">
        <v>1.5</v>
      </c>
      <c r="J17" s="9">
        <v>2</v>
      </c>
      <c r="K17" s="9">
        <v>2</v>
      </c>
      <c r="L17" s="9">
        <v>2</v>
      </c>
      <c r="M17" s="9">
        <v>2</v>
      </c>
      <c r="N17" s="9">
        <v>2</v>
      </c>
      <c r="O17" s="9">
        <v>1</v>
      </c>
      <c r="P17" t="s">
        <v>208</v>
      </c>
      <c r="Q17" s="9">
        <v>75</v>
      </c>
      <c r="R17" t="s">
        <v>369</v>
      </c>
      <c r="U17" t="s">
        <v>989</v>
      </c>
      <c r="V17" s="9">
        <v>2017</v>
      </c>
      <c r="W17" t="s">
        <v>54</v>
      </c>
      <c r="X17" t="s">
        <v>699</v>
      </c>
      <c r="Y17" t="s">
        <v>1192</v>
      </c>
      <c r="Z17" t="s">
        <v>988</v>
      </c>
      <c r="AA17" s="9">
        <v>4</v>
      </c>
      <c r="AB17" s="9">
        <v>4</v>
      </c>
      <c r="AC17" s="9">
        <v>4</v>
      </c>
      <c r="AD17" s="9">
        <v>4</v>
      </c>
      <c r="AE17" s="9">
        <v>4</v>
      </c>
      <c r="AF17" s="9">
        <v>4</v>
      </c>
      <c r="AG17" s="9">
        <v>4</v>
      </c>
      <c r="AH17" s="9">
        <v>4</v>
      </c>
      <c r="AI17" t="s">
        <v>220</v>
      </c>
      <c r="AJ17" s="9">
        <v>106</v>
      </c>
      <c r="AK17" t="s">
        <v>458</v>
      </c>
      <c r="AN17" t="s">
        <v>830</v>
      </c>
      <c r="AO17" s="9">
        <v>2015</v>
      </c>
      <c r="AP17" t="s">
        <v>54</v>
      </c>
      <c r="AQ17" t="s">
        <v>785</v>
      </c>
      <c r="AR17" t="s">
        <v>1193</v>
      </c>
      <c r="AS17" t="s">
        <v>831</v>
      </c>
      <c r="AT17" s="9">
        <v>3.5</v>
      </c>
      <c r="AU17" s="9">
        <v>3</v>
      </c>
      <c r="AV17" s="9">
        <v>3.5</v>
      </c>
      <c r="AW17" s="9">
        <v>4</v>
      </c>
      <c r="AX17" s="9">
        <v>3.5</v>
      </c>
      <c r="AY17" s="9">
        <v>3</v>
      </c>
      <c r="AZ17" s="9">
        <v>3.5</v>
      </c>
      <c r="BA17" s="9">
        <v>4</v>
      </c>
      <c r="BB17" t="s">
        <v>141</v>
      </c>
      <c r="BC17" s="9">
        <v>300</v>
      </c>
      <c r="BD17" t="s">
        <v>520</v>
      </c>
    </row>
    <row r="18" spans="2:56" x14ac:dyDescent="0.35">
      <c r="B18" t="s">
        <v>975</v>
      </c>
      <c r="C18" s="9">
        <v>2016</v>
      </c>
      <c r="D18" t="s">
        <v>1194</v>
      </c>
      <c r="E18" t="s">
        <v>976</v>
      </c>
      <c r="F18" t="s">
        <v>1192</v>
      </c>
      <c r="G18" t="s">
        <v>977</v>
      </c>
      <c r="H18" s="9">
        <v>2.14</v>
      </c>
      <c r="I18" s="9">
        <v>2</v>
      </c>
      <c r="J18" s="9">
        <v>2</v>
      </c>
      <c r="K18" s="9">
        <v>2</v>
      </c>
      <c r="L18" s="9">
        <v>4</v>
      </c>
      <c r="M18" s="9">
        <v>2</v>
      </c>
      <c r="N18" s="9">
        <v>2</v>
      </c>
      <c r="O18" s="9">
        <v>1</v>
      </c>
      <c r="P18" t="s">
        <v>214</v>
      </c>
      <c r="Q18" s="9">
        <v>83</v>
      </c>
      <c r="R18" t="s">
        <v>370</v>
      </c>
      <c r="U18" t="s">
        <v>1117</v>
      </c>
      <c r="V18" s="9">
        <v>2017</v>
      </c>
      <c r="W18" t="s">
        <v>54</v>
      </c>
      <c r="X18" t="s">
        <v>792</v>
      </c>
      <c r="Y18" t="s">
        <v>1192</v>
      </c>
      <c r="Z18" t="s">
        <v>793</v>
      </c>
      <c r="AA18" s="9">
        <v>4.71</v>
      </c>
      <c r="AB18" s="9">
        <v>4</v>
      </c>
      <c r="AC18" s="9">
        <v>5</v>
      </c>
      <c r="AD18" s="9">
        <v>5</v>
      </c>
      <c r="AE18" s="9">
        <v>5</v>
      </c>
      <c r="AF18" s="9">
        <v>4</v>
      </c>
      <c r="AG18" s="9">
        <v>5</v>
      </c>
      <c r="AH18" s="9">
        <v>5</v>
      </c>
      <c r="AI18" t="s">
        <v>281</v>
      </c>
      <c r="AJ18" s="9">
        <v>93</v>
      </c>
      <c r="AK18" t="s">
        <v>487</v>
      </c>
      <c r="AN18" t="s">
        <v>877</v>
      </c>
      <c r="AO18" s="9">
        <v>2015</v>
      </c>
      <c r="AP18" t="s">
        <v>54</v>
      </c>
      <c r="AQ18" t="s">
        <v>878</v>
      </c>
      <c r="AR18" t="s">
        <v>1193</v>
      </c>
      <c r="AS18" t="s">
        <v>879</v>
      </c>
      <c r="AT18" s="9">
        <v>3.5</v>
      </c>
      <c r="AU18" s="9">
        <v>3.5</v>
      </c>
      <c r="AV18" s="9">
        <v>3.5</v>
      </c>
      <c r="AW18" s="9">
        <v>3.5</v>
      </c>
      <c r="AX18" s="9">
        <v>3.5</v>
      </c>
      <c r="AY18" s="9">
        <v>3</v>
      </c>
      <c r="AZ18" s="9">
        <v>3.5</v>
      </c>
      <c r="BA18" s="9">
        <v>4</v>
      </c>
      <c r="BB18" t="s">
        <v>133</v>
      </c>
      <c r="BC18" s="9">
        <v>325</v>
      </c>
      <c r="BD18" t="s">
        <v>521</v>
      </c>
    </row>
    <row r="19" spans="2:56" x14ac:dyDescent="0.35">
      <c r="B19" t="s">
        <v>992</v>
      </c>
      <c r="C19" s="9">
        <v>2016</v>
      </c>
      <c r="D19" t="s">
        <v>1225</v>
      </c>
      <c r="E19" t="s">
        <v>993</v>
      </c>
      <c r="F19" t="s">
        <v>1192</v>
      </c>
      <c r="G19" t="s">
        <v>994</v>
      </c>
      <c r="H19" s="9">
        <v>2.93</v>
      </c>
      <c r="I19" s="9">
        <v>3</v>
      </c>
      <c r="J19" s="9">
        <v>2.5</v>
      </c>
      <c r="K19" s="9">
        <v>2.5</v>
      </c>
      <c r="L19" s="9">
        <v>1.5</v>
      </c>
      <c r="M19" s="9">
        <v>3.5</v>
      </c>
      <c r="N19" s="9">
        <v>3.5</v>
      </c>
      <c r="O19" s="9">
        <v>4</v>
      </c>
      <c r="P19" t="s">
        <v>222</v>
      </c>
      <c r="Q19" s="9">
        <v>65</v>
      </c>
      <c r="R19" t="s">
        <v>371</v>
      </c>
      <c r="U19" t="s">
        <v>662</v>
      </c>
      <c r="V19" s="9">
        <v>2016</v>
      </c>
      <c r="W19" t="s">
        <v>54</v>
      </c>
      <c r="X19" t="s">
        <v>663</v>
      </c>
      <c r="Y19" t="s">
        <v>1192</v>
      </c>
      <c r="Z19" t="s">
        <v>664</v>
      </c>
      <c r="AA19" s="9">
        <v>4.5</v>
      </c>
      <c r="AB19" s="9">
        <v>4</v>
      </c>
      <c r="AC19" s="9">
        <v>4</v>
      </c>
      <c r="AD19" s="9">
        <v>5</v>
      </c>
      <c r="AE19" s="9">
        <v>5</v>
      </c>
      <c r="AF19" s="9">
        <v>4.5</v>
      </c>
      <c r="AG19" s="9">
        <v>4</v>
      </c>
      <c r="AH19" s="9">
        <v>5</v>
      </c>
      <c r="AI19" t="s">
        <v>62</v>
      </c>
      <c r="AJ19" s="9">
        <v>130</v>
      </c>
      <c r="AK19" t="s">
        <v>405</v>
      </c>
      <c r="AN19" t="s">
        <v>952</v>
      </c>
      <c r="AO19" s="9">
        <v>2015</v>
      </c>
      <c r="AP19" t="s">
        <v>54</v>
      </c>
      <c r="AQ19" t="s">
        <v>953</v>
      </c>
      <c r="AR19" t="s">
        <v>1193</v>
      </c>
      <c r="AS19" t="s">
        <v>954</v>
      </c>
      <c r="AT19" s="9">
        <v>3.93</v>
      </c>
      <c r="AU19" s="9">
        <v>2.5</v>
      </c>
      <c r="AV19" s="9">
        <v>3</v>
      </c>
      <c r="AW19" s="9">
        <v>4</v>
      </c>
      <c r="AX19" s="9">
        <v>4</v>
      </c>
      <c r="AY19" s="9">
        <v>4</v>
      </c>
      <c r="AZ19" s="9">
        <v>5</v>
      </c>
      <c r="BA19" s="9">
        <v>5</v>
      </c>
      <c r="BB19" t="s">
        <v>175</v>
      </c>
      <c r="BC19" s="9">
        <v>300</v>
      </c>
      <c r="BD19" t="s">
        <v>522</v>
      </c>
    </row>
    <row r="20" spans="2:56" x14ac:dyDescent="0.35">
      <c r="B20" t="s">
        <v>1101</v>
      </c>
      <c r="C20" s="9">
        <v>2016</v>
      </c>
      <c r="D20" t="s">
        <v>1238</v>
      </c>
      <c r="E20" t="s">
        <v>1102</v>
      </c>
      <c r="F20" t="s">
        <v>1192</v>
      </c>
      <c r="G20" t="s">
        <v>275</v>
      </c>
      <c r="H20" s="9">
        <v>3</v>
      </c>
      <c r="I20" s="9">
        <v>3</v>
      </c>
      <c r="J20" s="9">
        <v>2.5</v>
      </c>
      <c r="K20" s="9">
        <v>3</v>
      </c>
      <c r="L20" s="9">
        <v>3</v>
      </c>
      <c r="M20" s="9">
        <v>3.5</v>
      </c>
      <c r="N20" s="9">
        <v>3</v>
      </c>
      <c r="O20" s="9">
        <v>3</v>
      </c>
      <c r="P20" t="s">
        <v>276</v>
      </c>
      <c r="Q20" s="9">
        <v>76</v>
      </c>
      <c r="R20" t="s">
        <v>372</v>
      </c>
      <c r="U20" t="s">
        <v>838</v>
      </c>
      <c r="V20" s="9">
        <v>2016</v>
      </c>
      <c r="W20" t="s">
        <v>54</v>
      </c>
      <c r="X20" t="s">
        <v>839</v>
      </c>
      <c r="Y20" t="s">
        <v>1192</v>
      </c>
      <c r="Z20" t="s">
        <v>831</v>
      </c>
      <c r="AA20" s="9">
        <v>3.57</v>
      </c>
      <c r="AB20" s="9">
        <v>3.5</v>
      </c>
      <c r="AC20" s="9">
        <v>4</v>
      </c>
      <c r="AD20" s="9">
        <v>3.5</v>
      </c>
      <c r="AE20" s="9">
        <v>3</v>
      </c>
      <c r="AF20" s="9">
        <v>4</v>
      </c>
      <c r="AG20" s="9">
        <v>3</v>
      </c>
      <c r="AH20" s="9">
        <v>4</v>
      </c>
      <c r="AI20" t="s">
        <v>145</v>
      </c>
      <c r="AJ20" s="9">
        <v>115</v>
      </c>
      <c r="AK20" t="s">
        <v>427</v>
      </c>
      <c r="AN20" t="s">
        <v>999</v>
      </c>
      <c r="AO20" s="9">
        <v>2015</v>
      </c>
      <c r="AP20" t="s">
        <v>54</v>
      </c>
      <c r="AQ20" t="s">
        <v>699</v>
      </c>
      <c r="AR20" t="s">
        <v>1193</v>
      </c>
      <c r="AS20" t="s">
        <v>1000</v>
      </c>
      <c r="AT20" s="9">
        <v>3.21</v>
      </c>
      <c r="AU20" s="9">
        <v>3.5</v>
      </c>
      <c r="AV20" s="9">
        <v>3</v>
      </c>
      <c r="AW20" s="9">
        <v>3.5</v>
      </c>
      <c r="AX20" s="9">
        <v>2.5</v>
      </c>
      <c r="AY20" s="9">
        <v>3</v>
      </c>
      <c r="AZ20" s="9">
        <v>3.5</v>
      </c>
      <c r="BA20" s="9">
        <v>3.5</v>
      </c>
      <c r="BB20" t="s">
        <v>127</v>
      </c>
      <c r="BC20" s="9">
        <v>450</v>
      </c>
      <c r="BD20" t="s">
        <v>523</v>
      </c>
    </row>
    <row r="21" spans="2:56" x14ac:dyDescent="0.35">
      <c r="B21" t="s">
        <v>1126</v>
      </c>
      <c r="C21" s="9">
        <v>2016</v>
      </c>
      <c r="D21" t="s">
        <v>1191</v>
      </c>
      <c r="E21" t="s">
        <v>1127</v>
      </c>
      <c r="F21" t="s">
        <v>1192</v>
      </c>
      <c r="G21" t="s">
        <v>288</v>
      </c>
      <c r="H21" s="9">
        <v>3.71</v>
      </c>
      <c r="I21" s="9">
        <v>4</v>
      </c>
      <c r="J21" s="9">
        <v>4</v>
      </c>
      <c r="K21" s="9">
        <v>4</v>
      </c>
      <c r="L21" s="9">
        <v>3</v>
      </c>
      <c r="M21" s="9">
        <v>4</v>
      </c>
      <c r="N21" s="9">
        <v>2</v>
      </c>
      <c r="O21" s="9">
        <v>5</v>
      </c>
      <c r="P21" t="s">
        <v>289</v>
      </c>
      <c r="Q21" s="9">
        <v>80</v>
      </c>
      <c r="R21" t="s">
        <v>373</v>
      </c>
      <c r="U21" t="s">
        <v>872</v>
      </c>
      <c r="V21" s="9">
        <v>2016</v>
      </c>
      <c r="W21" t="s">
        <v>54</v>
      </c>
      <c r="X21" t="s">
        <v>873</v>
      </c>
      <c r="Y21" t="s">
        <v>1192</v>
      </c>
      <c r="Z21" t="s">
        <v>729</v>
      </c>
      <c r="AA21" s="9">
        <v>3.71</v>
      </c>
      <c r="AB21" s="9">
        <v>3</v>
      </c>
      <c r="AC21" s="9">
        <v>4</v>
      </c>
      <c r="AD21" s="9">
        <v>4</v>
      </c>
      <c r="AE21" s="9">
        <v>2.5</v>
      </c>
      <c r="AF21" s="9">
        <v>4</v>
      </c>
      <c r="AG21" s="9">
        <v>3.5</v>
      </c>
      <c r="AH21" s="9">
        <v>5</v>
      </c>
      <c r="AI21" t="s">
        <v>169</v>
      </c>
      <c r="AJ21" s="9">
        <v>129</v>
      </c>
      <c r="AK21" t="s">
        <v>435</v>
      </c>
      <c r="AN21" t="s">
        <v>1021</v>
      </c>
      <c r="AO21" s="9">
        <v>2015</v>
      </c>
      <c r="AP21" t="s">
        <v>54</v>
      </c>
      <c r="AQ21" t="s">
        <v>1022</v>
      </c>
      <c r="AR21" t="s">
        <v>1193</v>
      </c>
      <c r="AS21" t="s">
        <v>1023</v>
      </c>
      <c r="AT21" s="9">
        <v>3.21</v>
      </c>
      <c r="AU21" s="9">
        <v>3</v>
      </c>
      <c r="AV21" s="9">
        <v>3</v>
      </c>
      <c r="AW21" s="9">
        <v>3</v>
      </c>
      <c r="AX21" s="9">
        <v>3</v>
      </c>
      <c r="AY21" s="9">
        <v>3</v>
      </c>
      <c r="AZ21" s="9">
        <v>3.5</v>
      </c>
      <c r="BA21" s="9">
        <v>4</v>
      </c>
      <c r="BB21" t="s">
        <v>239</v>
      </c>
      <c r="BC21" s="9">
        <v>300</v>
      </c>
      <c r="BD21" t="s">
        <v>524</v>
      </c>
    </row>
    <row r="22" spans="2:56" x14ac:dyDescent="0.35">
      <c r="B22" t="s">
        <v>1173</v>
      </c>
      <c r="C22" s="9">
        <v>2016</v>
      </c>
      <c r="D22" t="s">
        <v>1225</v>
      </c>
      <c r="E22" t="s">
        <v>1174</v>
      </c>
      <c r="F22" t="s">
        <v>1192</v>
      </c>
      <c r="G22" t="s">
        <v>1175</v>
      </c>
      <c r="H22" s="9">
        <v>3.14</v>
      </c>
      <c r="I22" s="9">
        <v>2</v>
      </c>
      <c r="J22" s="9">
        <v>2</v>
      </c>
      <c r="K22" s="9">
        <v>2.5</v>
      </c>
      <c r="L22" s="9">
        <v>4</v>
      </c>
      <c r="M22" s="9">
        <v>4</v>
      </c>
      <c r="N22" s="9">
        <v>3.5</v>
      </c>
      <c r="O22" s="9">
        <v>4</v>
      </c>
      <c r="P22" t="s">
        <v>114</v>
      </c>
      <c r="Q22" s="9">
        <v>89</v>
      </c>
      <c r="R22" t="s">
        <v>374</v>
      </c>
      <c r="U22" t="s">
        <v>904</v>
      </c>
      <c r="V22" s="9">
        <v>2016</v>
      </c>
      <c r="W22" t="s">
        <v>54</v>
      </c>
      <c r="X22" t="s">
        <v>694</v>
      </c>
      <c r="Y22" t="s">
        <v>1192</v>
      </c>
      <c r="Z22" t="s">
        <v>76</v>
      </c>
      <c r="AA22" s="9">
        <v>4.57</v>
      </c>
      <c r="AB22" s="9">
        <v>5</v>
      </c>
      <c r="AC22" s="9">
        <v>4.5</v>
      </c>
      <c r="AD22" s="9">
        <v>4.5</v>
      </c>
      <c r="AE22" s="9">
        <v>4</v>
      </c>
      <c r="AF22" s="9">
        <v>4</v>
      </c>
      <c r="AG22" s="9">
        <v>5</v>
      </c>
      <c r="AH22" s="9">
        <v>5</v>
      </c>
      <c r="AI22" t="s">
        <v>179</v>
      </c>
      <c r="AJ22" s="9">
        <v>216</v>
      </c>
      <c r="AK22" t="s">
        <v>437</v>
      </c>
      <c r="AN22" t="s">
        <v>1025</v>
      </c>
      <c r="AO22" s="9">
        <v>2015</v>
      </c>
      <c r="AP22" t="s">
        <v>54</v>
      </c>
      <c r="AQ22" t="s">
        <v>873</v>
      </c>
      <c r="AR22" t="s">
        <v>1193</v>
      </c>
      <c r="AS22" t="s">
        <v>1026</v>
      </c>
      <c r="AT22" s="9">
        <v>3.07</v>
      </c>
      <c r="AU22" s="9">
        <v>3</v>
      </c>
      <c r="AV22" s="9">
        <v>3</v>
      </c>
      <c r="AW22" s="9">
        <v>3</v>
      </c>
      <c r="AX22" s="9">
        <v>3.5</v>
      </c>
      <c r="AY22" s="9">
        <v>2.5</v>
      </c>
      <c r="AZ22" s="9">
        <v>3.5</v>
      </c>
      <c r="BA22" s="9">
        <v>3</v>
      </c>
      <c r="BB22" t="s">
        <v>240</v>
      </c>
      <c r="BC22" s="9">
        <v>300</v>
      </c>
      <c r="BD22" t="s">
        <v>525</v>
      </c>
    </row>
    <row r="23" spans="2:56" x14ac:dyDescent="0.35">
      <c r="B23" t="s">
        <v>681</v>
      </c>
      <c r="C23" s="9">
        <v>2015</v>
      </c>
      <c r="D23" t="s">
        <v>1191</v>
      </c>
      <c r="E23" t="s">
        <v>682</v>
      </c>
      <c r="F23" t="s">
        <v>1192</v>
      </c>
      <c r="G23" t="s">
        <v>70</v>
      </c>
      <c r="H23" s="9">
        <v>3.5</v>
      </c>
      <c r="I23" s="9">
        <v>3.5</v>
      </c>
      <c r="J23" s="9">
        <v>4</v>
      </c>
      <c r="K23" s="9">
        <v>3</v>
      </c>
      <c r="L23" s="9">
        <v>3</v>
      </c>
      <c r="M23" s="9">
        <v>3.5</v>
      </c>
      <c r="N23" s="9">
        <v>3.5</v>
      </c>
      <c r="O23" s="9">
        <v>4</v>
      </c>
      <c r="P23" t="s">
        <v>71</v>
      </c>
      <c r="Q23" s="9">
        <v>106</v>
      </c>
      <c r="R23" t="s">
        <v>375</v>
      </c>
      <c r="U23" t="s">
        <v>1292</v>
      </c>
      <c r="V23" s="9">
        <v>2016</v>
      </c>
      <c r="W23" t="s">
        <v>54</v>
      </c>
      <c r="X23" t="s">
        <v>686</v>
      </c>
      <c r="Y23" t="s">
        <v>1192</v>
      </c>
      <c r="Z23" t="s">
        <v>1320</v>
      </c>
      <c r="AA23" s="9">
        <v>3.21</v>
      </c>
      <c r="AB23" s="9">
        <v>3.5</v>
      </c>
      <c r="AC23" s="9">
        <v>3</v>
      </c>
      <c r="AD23" s="9">
        <v>3.5</v>
      </c>
      <c r="AE23" s="9">
        <v>3.5</v>
      </c>
      <c r="AF23" s="9">
        <v>2.5</v>
      </c>
      <c r="AG23" s="9">
        <v>4</v>
      </c>
      <c r="AH23" s="9">
        <v>2.5</v>
      </c>
      <c r="AI23" t="s">
        <v>1226</v>
      </c>
      <c r="AJ23" s="9">
        <v>120</v>
      </c>
      <c r="AK23" t="s">
        <v>1257</v>
      </c>
      <c r="AN23" t="s">
        <v>1045</v>
      </c>
      <c r="AO23" s="9">
        <v>2015</v>
      </c>
      <c r="AP23" t="s">
        <v>54</v>
      </c>
      <c r="AQ23" t="s">
        <v>1031</v>
      </c>
      <c r="AR23" t="s">
        <v>1193</v>
      </c>
      <c r="AS23" t="s">
        <v>1046</v>
      </c>
      <c r="AT23" s="9">
        <v>3.5</v>
      </c>
      <c r="AU23" s="9">
        <v>3</v>
      </c>
      <c r="AV23" s="9">
        <v>3.5</v>
      </c>
      <c r="AW23" s="9">
        <v>3.5</v>
      </c>
      <c r="AX23" s="9">
        <v>3.5</v>
      </c>
      <c r="AY23" s="9">
        <v>3.5</v>
      </c>
      <c r="AZ23" s="9">
        <v>3.5</v>
      </c>
      <c r="BA23" s="9">
        <v>4</v>
      </c>
      <c r="BB23" t="s">
        <v>245</v>
      </c>
      <c r="BC23" s="9">
        <v>300</v>
      </c>
      <c r="BD23" t="s">
        <v>526</v>
      </c>
    </row>
    <row r="24" spans="2:56" x14ac:dyDescent="0.35">
      <c r="B24" t="s">
        <v>714</v>
      </c>
      <c r="C24" s="9">
        <v>2015</v>
      </c>
      <c r="D24" t="s">
        <v>1198</v>
      </c>
      <c r="E24" t="s">
        <v>715</v>
      </c>
      <c r="F24" t="s">
        <v>1192</v>
      </c>
      <c r="G24" t="s">
        <v>84</v>
      </c>
      <c r="H24" s="9">
        <v>2.86</v>
      </c>
      <c r="I24" s="9">
        <v>3</v>
      </c>
      <c r="J24" s="9">
        <v>3.5</v>
      </c>
      <c r="K24" s="9">
        <v>3</v>
      </c>
      <c r="L24" s="9">
        <v>3</v>
      </c>
      <c r="M24" s="9">
        <v>3</v>
      </c>
      <c r="N24" s="9">
        <v>2.5</v>
      </c>
      <c r="O24" s="9">
        <v>2</v>
      </c>
      <c r="P24" t="s">
        <v>85</v>
      </c>
      <c r="Q24" s="9">
        <v>76</v>
      </c>
      <c r="R24" t="s">
        <v>376</v>
      </c>
      <c r="U24" t="s">
        <v>1188</v>
      </c>
      <c r="V24" s="9">
        <v>2016</v>
      </c>
      <c r="W24" t="s">
        <v>54</v>
      </c>
      <c r="X24" t="s">
        <v>657</v>
      </c>
      <c r="Y24" t="s">
        <v>1192</v>
      </c>
      <c r="Z24" t="s">
        <v>658</v>
      </c>
      <c r="AA24" s="9">
        <v>4.29</v>
      </c>
      <c r="AB24" s="9">
        <v>4.5</v>
      </c>
      <c r="AC24" s="9">
        <v>4.5</v>
      </c>
      <c r="AD24" s="9">
        <v>4</v>
      </c>
      <c r="AE24" s="9">
        <v>4</v>
      </c>
      <c r="AF24" s="9">
        <v>4</v>
      </c>
      <c r="AG24" s="9">
        <v>4</v>
      </c>
      <c r="AH24" s="9">
        <v>5</v>
      </c>
      <c r="AI24" t="s">
        <v>284</v>
      </c>
      <c r="AJ24" s="9">
        <v>107</v>
      </c>
      <c r="AK24" t="s">
        <v>506</v>
      </c>
      <c r="AN24" t="s">
        <v>248</v>
      </c>
      <c r="AO24" s="9">
        <v>2015</v>
      </c>
      <c r="AP24" t="s">
        <v>54</v>
      </c>
      <c r="AQ24" t="s">
        <v>675</v>
      </c>
      <c r="AR24" t="s">
        <v>1193</v>
      </c>
      <c r="AS24" t="s">
        <v>1054</v>
      </c>
      <c r="AT24" s="9">
        <v>2.57</v>
      </c>
      <c r="AU24" s="9">
        <v>2.5</v>
      </c>
      <c r="AV24" s="9">
        <v>3</v>
      </c>
      <c r="AW24" s="9">
        <v>3</v>
      </c>
      <c r="AX24" s="9">
        <v>2.5</v>
      </c>
      <c r="AY24" s="9">
        <v>2.5</v>
      </c>
      <c r="AZ24" s="9">
        <v>2.5</v>
      </c>
      <c r="BA24" s="9">
        <v>2</v>
      </c>
      <c r="BB24" t="s">
        <v>249</v>
      </c>
      <c r="BC24" s="9">
        <v>300</v>
      </c>
      <c r="BD24" t="s">
        <v>527</v>
      </c>
    </row>
    <row r="25" spans="2:56" x14ac:dyDescent="0.35">
      <c r="B25" t="s">
        <v>1049</v>
      </c>
      <c r="C25" s="9">
        <v>2014</v>
      </c>
      <c r="D25" t="s">
        <v>1199</v>
      </c>
      <c r="E25" t="s">
        <v>1050</v>
      </c>
      <c r="F25" t="s">
        <v>1192</v>
      </c>
      <c r="G25" t="s">
        <v>1051</v>
      </c>
      <c r="H25" s="9">
        <v>2.93</v>
      </c>
      <c r="I25" s="9">
        <v>2.5</v>
      </c>
      <c r="J25" s="9">
        <v>3</v>
      </c>
      <c r="K25" s="9">
        <v>2.5</v>
      </c>
      <c r="L25" s="9">
        <v>3</v>
      </c>
      <c r="M25" s="9">
        <v>2.5</v>
      </c>
      <c r="N25" s="9">
        <v>3</v>
      </c>
      <c r="O25" s="9">
        <v>4</v>
      </c>
      <c r="P25" t="s">
        <v>246</v>
      </c>
      <c r="Q25" s="9">
        <v>81</v>
      </c>
      <c r="R25" t="s">
        <v>377</v>
      </c>
      <c r="U25" t="s">
        <v>711</v>
      </c>
      <c r="V25" s="9">
        <v>2015</v>
      </c>
      <c r="W25" t="s">
        <v>54</v>
      </c>
      <c r="X25" t="s">
        <v>663</v>
      </c>
      <c r="Y25" t="s">
        <v>1192</v>
      </c>
      <c r="Z25" t="s">
        <v>710</v>
      </c>
      <c r="AA25" s="9">
        <v>3.29</v>
      </c>
      <c r="AB25" s="9">
        <v>4</v>
      </c>
      <c r="AC25" s="9">
        <v>3.5</v>
      </c>
      <c r="AD25" s="9">
        <v>3</v>
      </c>
      <c r="AE25" s="9">
        <v>3</v>
      </c>
      <c r="AF25" s="9">
        <v>3</v>
      </c>
      <c r="AG25" s="9">
        <v>3.5</v>
      </c>
      <c r="AH25" s="9">
        <v>3</v>
      </c>
      <c r="AI25" t="s">
        <v>81</v>
      </c>
      <c r="AJ25" s="9">
        <v>172</v>
      </c>
      <c r="AK25" t="s">
        <v>415</v>
      </c>
      <c r="AN25" t="s">
        <v>1085</v>
      </c>
      <c r="AO25" s="9">
        <v>2015</v>
      </c>
      <c r="AP25" t="s">
        <v>54</v>
      </c>
      <c r="AQ25" t="s">
        <v>777</v>
      </c>
      <c r="AR25" t="s">
        <v>1193</v>
      </c>
      <c r="AS25" t="s">
        <v>1086</v>
      </c>
      <c r="AT25" s="9">
        <v>3</v>
      </c>
      <c r="AU25" s="9">
        <v>3</v>
      </c>
      <c r="AV25" s="9">
        <v>3</v>
      </c>
      <c r="AW25" s="9">
        <v>3</v>
      </c>
      <c r="AX25" s="9">
        <v>3.5</v>
      </c>
      <c r="AY25" s="9">
        <v>2.5</v>
      </c>
      <c r="AZ25" s="9">
        <v>3</v>
      </c>
      <c r="BA25" s="9">
        <v>3</v>
      </c>
      <c r="BB25" t="s">
        <v>104</v>
      </c>
      <c r="BC25" s="9">
        <v>425</v>
      </c>
      <c r="BD25" t="s">
        <v>528</v>
      </c>
    </row>
    <row r="26" spans="2:56" x14ac:dyDescent="0.35">
      <c r="B26" t="s">
        <v>1059</v>
      </c>
      <c r="C26" s="9">
        <v>2014</v>
      </c>
      <c r="D26" t="s">
        <v>1232</v>
      </c>
      <c r="E26" t="s">
        <v>1060</v>
      </c>
      <c r="F26" t="s">
        <v>1192</v>
      </c>
      <c r="G26" t="s">
        <v>1061</v>
      </c>
      <c r="H26" s="9">
        <v>3.36</v>
      </c>
      <c r="I26" s="9">
        <v>3.5</v>
      </c>
      <c r="J26" s="9">
        <v>4.5</v>
      </c>
      <c r="K26" s="9">
        <v>4</v>
      </c>
      <c r="L26" s="9">
        <v>3.5</v>
      </c>
      <c r="M26" s="9">
        <v>2.5</v>
      </c>
      <c r="N26" s="9">
        <v>2.5</v>
      </c>
      <c r="O26" s="9">
        <v>3</v>
      </c>
      <c r="P26" t="s">
        <v>351</v>
      </c>
      <c r="Q26" s="9">
        <v>94</v>
      </c>
      <c r="R26" t="s">
        <v>378</v>
      </c>
      <c r="U26" t="s">
        <v>853</v>
      </c>
      <c r="V26" s="9">
        <v>2015</v>
      </c>
      <c r="W26" t="s">
        <v>54</v>
      </c>
      <c r="X26" t="s">
        <v>707</v>
      </c>
      <c r="Y26" t="s">
        <v>1192</v>
      </c>
      <c r="Z26" t="s">
        <v>154</v>
      </c>
      <c r="AA26" s="9">
        <v>4.1399999999999997</v>
      </c>
      <c r="AB26" s="9">
        <v>4</v>
      </c>
      <c r="AC26" s="9">
        <v>4.5</v>
      </c>
      <c r="AD26" s="9">
        <v>4</v>
      </c>
      <c r="AE26" s="9">
        <v>4</v>
      </c>
      <c r="AF26" s="9">
        <v>4.5</v>
      </c>
      <c r="AG26" s="9">
        <v>3.5</v>
      </c>
      <c r="AH26" s="9">
        <v>4.5</v>
      </c>
      <c r="AI26" t="s">
        <v>155</v>
      </c>
      <c r="AJ26" s="9">
        <v>119</v>
      </c>
      <c r="AK26" t="s">
        <v>432</v>
      </c>
      <c r="AN26" t="s">
        <v>1154</v>
      </c>
      <c r="AO26" s="9">
        <v>2015</v>
      </c>
      <c r="AP26" t="s">
        <v>54</v>
      </c>
      <c r="AQ26" t="s">
        <v>1155</v>
      </c>
      <c r="AR26" t="s">
        <v>88</v>
      </c>
      <c r="AS26" t="s">
        <v>1156</v>
      </c>
      <c r="AT26" s="9">
        <v>3.36</v>
      </c>
      <c r="AU26" s="9">
        <v>3.5</v>
      </c>
      <c r="AV26" s="9">
        <v>3.5</v>
      </c>
      <c r="AW26" s="9">
        <v>4</v>
      </c>
      <c r="AX26" s="9">
        <v>3</v>
      </c>
      <c r="AY26" s="9">
        <v>3</v>
      </c>
      <c r="AZ26" s="9">
        <v>3</v>
      </c>
      <c r="BA26" s="9">
        <v>3.5</v>
      </c>
      <c r="BB26" t="s">
        <v>305</v>
      </c>
      <c r="BC26" s="9">
        <v>27</v>
      </c>
      <c r="BD26" t="s">
        <v>529</v>
      </c>
    </row>
    <row r="27" spans="2:56" x14ac:dyDescent="0.35">
      <c r="B27" t="s">
        <v>744</v>
      </c>
      <c r="C27" s="9">
        <v>2013</v>
      </c>
      <c r="D27" t="s">
        <v>1201</v>
      </c>
      <c r="E27" t="s">
        <v>745</v>
      </c>
      <c r="F27" t="s">
        <v>1192</v>
      </c>
      <c r="G27" t="s">
        <v>746</v>
      </c>
      <c r="H27" s="9">
        <v>2.93</v>
      </c>
      <c r="I27" s="9">
        <v>3</v>
      </c>
      <c r="J27" s="9">
        <v>4</v>
      </c>
      <c r="K27" s="9">
        <v>2.5</v>
      </c>
      <c r="L27" s="9">
        <v>2.5</v>
      </c>
      <c r="M27" s="9">
        <v>3.5</v>
      </c>
      <c r="N27" s="9">
        <v>2</v>
      </c>
      <c r="O27" s="9">
        <v>3</v>
      </c>
      <c r="P27" t="s">
        <v>99</v>
      </c>
      <c r="Q27" s="9">
        <v>80</v>
      </c>
      <c r="R27" t="s">
        <v>379</v>
      </c>
      <c r="U27" t="s">
        <v>1079</v>
      </c>
      <c r="V27" s="9">
        <v>2015</v>
      </c>
      <c r="W27" t="s">
        <v>54</v>
      </c>
      <c r="X27" t="s">
        <v>949</v>
      </c>
      <c r="Y27" t="s">
        <v>1192</v>
      </c>
      <c r="Z27" t="s">
        <v>950</v>
      </c>
      <c r="AA27" s="9">
        <v>3.93</v>
      </c>
      <c r="AB27" s="9">
        <v>4</v>
      </c>
      <c r="AC27" s="9">
        <v>4</v>
      </c>
      <c r="AD27" s="9">
        <v>4</v>
      </c>
      <c r="AE27" s="9">
        <v>4</v>
      </c>
      <c r="AF27" s="9">
        <v>3.5</v>
      </c>
      <c r="AG27" s="9">
        <v>4</v>
      </c>
      <c r="AH27" s="9">
        <v>4</v>
      </c>
      <c r="AI27" t="s">
        <v>265</v>
      </c>
      <c r="AJ27" s="9">
        <v>120</v>
      </c>
      <c r="AK27" t="s">
        <v>477</v>
      </c>
      <c r="AN27" t="s">
        <v>676</v>
      </c>
      <c r="AO27" s="9">
        <v>2014</v>
      </c>
      <c r="AP27" t="s">
        <v>54</v>
      </c>
      <c r="AQ27" t="s">
        <v>663</v>
      </c>
      <c r="AR27" t="s">
        <v>1193</v>
      </c>
      <c r="AS27" t="s">
        <v>677</v>
      </c>
      <c r="AT27" s="9">
        <v>3.14</v>
      </c>
      <c r="AU27" s="9">
        <v>3</v>
      </c>
      <c r="AV27" s="9">
        <v>3.5</v>
      </c>
      <c r="AW27" s="9">
        <v>3.5</v>
      </c>
      <c r="AX27" s="9">
        <v>3</v>
      </c>
      <c r="AY27" s="9">
        <v>2.5</v>
      </c>
      <c r="AZ27" s="9">
        <v>3.5</v>
      </c>
      <c r="BA27" s="9">
        <v>3</v>
      </c>
      <c r="BB27" t="s">
        <v>68</v>
      </c>
      <c r="BC27" s="9">
        <v>350</v>
      </c>
      <c r="BD27" t="s">
        <v>530</v>
      </c>
    </row>
    <row r="28" spans="2:56" x14ac:dyDescent="0.35">
      <c r="B28" t="s">
        <v>58</v>
      </c>
      <c r="C28" s="9">
        <v>2012</v>
      </c>
      <c r="D28" t="s">
        <v>59</v>
      </c>
      <c r="E28" t="s">
        <v>661</v>
      </c>
      <c r="F28" t="s">
        <v>1192</v>
      </c>
      <c r="G28" t="s">
        <v>60</v>
      </c>
      <c r="H28" s="9">
        <v>3.21</v>
      </c>
      <c r="I28" s="9">
        <v>3</v>
      </c>
      <c r="J28" s="9">
        <v>3.5</v>
      </c>
      <c r="K28" s="9">
        <v>2.5</v>
      </c>
      <c r="L28" s="9">
        <v>3</v>
      </c>
      <c r="M28" s="9">
        <v>3.5</v>
      </c>
      <c r="N28" s="9">
        <v>3</v>
      </c>
      <c r="O28" s="9">
        <v>4</v>
      </c>
      <c r="P28" t="s">
        <v>61</v>
      </c>
      <c r="Q28" s="9">
        <v>85</v>
      </c>
      <c r="R28" t="s">
        <v>380</v>
      </c>
      <c r="U28" t="s">
        <v>1089</v>
      </c>
      <c r="V28" s="9">
        <v>2015</v>
      </c>
      <c r="W28" t="s">
        <v>54</v>
      </c>
      <c r="X28" t="s">
        <v>1090</v>
      </c>
      <c r="Y28" t="s">
        <v>1192</v>
      </c>
      <c r="Z28" t="s">
        <v>1091</v>
      </c>
      <c r="AA28" s="9">
        <v>3.79</v>
      </c>
      <c r="AB28" s="9">
        <v>4</v>
      </c>
      <c r="AC28" s="9">
        <v>4</v>
      </c>
      <c r="AD28" s="9">
        <v>3.5</v>
      </c>
      <c r="AE28" s="9">
        <v>3.5</v>
      </c>
      <c r="AF28" s="9">
        <v>3.5</v>
      </c>
      <c r="AG28" s="9">
        <v>4</v>
      </c>
      <c r="AH28" s="9">
        <v>4</v>
      </c>
      <c r="AI28" t="s">
        <v>270</v>
      </c>
      <c r="AJ28" s="9">
        <v>120</v>
      </c>
      <c r="AK28" t="s">
        <v>480</v>
      </c>
      <c r="AN28" t="s">
        <v>716</v>
      </c>
      <c r="AO28" s="9">
        <v>2014</v>
      </c>
      <c r="AP28" t="s">
        <v>54</v>
      </c>
      <c r="AQ28" t="s">
        <v>717</v>
      </c>
      <c r="AR28" t="s">
        <v>1193</v>
      </c>
      <c r="AS28" t="s">
        <v>718</v>
      </c>
      <c r="AT28" s="9">
        <v>2.71</v>
      </c>
      <c r="AU28" s="9">
        <v>2.5</v>
      </c>
      <c r="AV28" s="9">
        <v>3</v>
      </c>
      <c r="AW28" s="9">
        <v>3</v>
      </c>
      <c r="AX28" s="9">
        <v>4</v>
      </c>
      <c r="AY28" s="9">
        <v>1.5</v>
      </c>
      <c r="AZ28" s="9">
        <v>3</v>
      </c>
      <c r="BA28" s="9">
        <v>2</v>
      </c>
      <c r="BB28" t="s">
        <v>86</v>
      </c>
      <c r="BC28" s="9">
        <v>325</v>
      </c>
      <c r="BD28" t="s">
        <v>531</v>
      </c>
    </row>
    <row r="29" spans="2:56" x14ac:dyDescent="0.35">
      <c r="B29" t="s">
        <v>808</v>
      </c>
      <c r="C29" s="9">
        <v>2012</v>
      </c>
      <c r="D29" t="s">
        <v>1191</v>
      </c>
      <c r="E29" t="s">
        <v>809</v>
      </c>
      <c r="F29" t="s">
        <v>1192</v>
      </c>
      <c r="G29" t="s">
        <v>130</v>
      </c>
      <c r="H29" s="9">
        <v>3.93</v>
      </c>
      <c r="I29" s="9">
        <v>4</v>
      </c>
      <c r="J29" s="9">
        <v>4</v>
      </c>
      <c r="K29" s="9">
        <v>4</v>
      </c>
      <c r="L29" s="9">
        <v>3.5</v>
      </c>
      <c r="M29" s="9">
        <v>4</v>
      </c>
      <c r="N29" s="9">
        <v>4</v>
      </c>
      <c r="O29" s="9">
        <v>4</v>
      </c>
      <c r="P29" t="s">
        <v>131</v>
      </c>
      <c r="Q29" s="9">
        <v>79</v>
      </c>
      <c r="R29" t="s">
        <v>381</v>
      </c>
      <c r="U29" t="s">
        <v>1286</v>
      </c>
      <c r="V29" s="9">
        <v>2014</v>
      </c>
      <c r="W29" t="s">
        <v>54</v>
      </c>
      <c r="X29" t="s">
        <v>920</v>
      </c>
      <c r="Y29" t="s">
        <v>1192</v>
      </c>
      <c r="Z29" t="s">
        <v>1035</v>
      </c>
      <c r="AA29" s="9">
        <v>4.07</v>
      </c>
      <c r="AB29" s="9">
        <v>4</v>
      </c>
      <c r="AC29" s="9">
        <v>4.5</v>
      </c>
      <c r="AD29" s="9">
        <v>4</v>
      </c>
      <c r="AE29" s="9">
        <v>3.5</v>
      </c>
      <c r="AF29" s="9">
        <v>3</v>
      </c>
      <c r="AG29" s="9">
        <v>4.5</v>
      </c>
      <c r="AH29" s="9">
        <v>5</v>
      </c>
      <c r="AI29" t="s">
        <v>1214</v>
      </c>
      <c r="AJ29" s="9">
        <v>51</v>
      </c>
      <c r="AK29" t="s">
        <v>1258</v>
      </c>
      <c r="AN29" t="s">
        <v>722</v>
      </c>
      <c r="AO29" s="9">
        <v>2014</v>
      </c>
      <c r="AP29" t="s">
        <v>54</v>
      </c>
      <c r="AQ29" t="s">
        <v>720</v>
      </c>
      <c r="AR29" t="s">
        <v>1193</v>
      </c>
      <c r="AS29" t="s">
        <v>723</v>
      </c>
      <c r="AT29" s="9">
        <v>3.5</v>
      </c>
      <c r="AU29" s="9">
        <v>3.5</v>
      </c>
      <c r="AV29" s="9">
        <v>3.5</v>
      </c>
      <c r="AW29" s="9">
        <v>3.5</v>
      </c>
      <c r="AX29" s="9">
        <v>3.5</v>
      </c>
      <c r="AY29" s="9">
        <v>3</v>
      </c>
      <c r="AZ29" s="9">
        <v>3.5</v>
      </c>
      <c r="BA29" s="9">
        <v>4</v>
      </c>
      <c r="BB29" t="s">
        <v>87</v>
      </c>
      <c r="BC29" s="9">
        <v>250</v>
      </c>
      <c r="BD29" t="s">
        <v>532</v>
      </c>
    </row>
    <row r="30" spans="2:56" x14ac:dyDescent="0.35">
      <c r="B30" t="s">
        <v>880</v>
      </c>
      <c r="C30" s="9">
        <v>2012</v>
      </c>
      <c r="D30" t="s">
        <v>1194</v>
      </c>
      <c r="E30" t="s">
        <v>881</v>
      </c>
      <c r="F30" t="s">
        <v>1192</v>
      </c>
      <c r="G30" t="s">
        <v>882</v>
      </c>
      <c r="H30" s="9">
        <v>3.57</v>
      </c>
      <c r="I30" s="9">
        <v>3.5</v>
      </c>
      <c r="J30" s="9">
        <v>3</v>
      </c>
      <c r="K30" s="9">
        <v>2.5</v>
      </c>
      <c r="L30" s="9">
        <v>3</v>
      </c>
      <c r="M30" s="9">
        <v>4.5</v>
      </c>
      <c r="N30" s="9">
        <v>3.5</v>
      </c>
      <c r="O30" s="9">
        <v>5</v>
      </c>
      <c r="P30" t="s">
        <v>170</v>
      </c>
      <c r="Q30" s="9">
        <v>62</v>
      </c>
      <c r="R30" t="s">
        <v>382</v>
      </c>
      <c r="U30" t="s">
        <v>1167</v>
      </c>
      <c r="V30" s="9">
        <v>2014</v>
      </c>
      <c r="W30" t="s">
        <v>54</v>
      </c>
      <c r="X30" t="s">
        <v>752</v>
      </c>
      <c r="Y30" t="s">
        <v>1192</v>
      </c>
      <c r="Z30" t="s">
        <v>198</v>
      </c>
      <c r="AA30" s="9">
        <v>3.64</v>
      </c>
      <c r="AB30" s="9">
        <v>4</v>
      </c>
      <c r="AC30" s="9">
        <v>3.5</v>
      </c>
      <c r="AD30" s="9">
        <v>3.5</v>
      </c>
      <c r="AE30" s="9">
        <v>4</v>
      </c>
      <c r="AF30" s="9">
        <v>3.5</v>
      </c>
      <c r="AG30" s="9">
        <v>3</v>
      </c>
      <c r="AH30" s="9">
        <v>4</v>
      </c>
      <c r="AI30" t="s">
        <v>309</v>
      </c>
      <c r="AJ30" s="9">
        <v>103</v>
      </c>
      <c r="AK30" t="s">
        <v>503</v>
      </c>
      <c r="AN30" t="s">
        <v>724</v>
      </c>
      <c r="AO30" s="9">
        <v>2014</v>
      </c>
      <c r="AP30" t="s">
        <v>54</v>
      </c>
      <c r="AQ30" t="s">
        <v>720</v>
      </c>
      <c r="AR30" t="s">
        <v>88</v>
      </c>
      <c r="AS30" t="s">
        <v>723</v>
      </c>
      <c r="AT30" s="9">
        <v>3.71</v>
      </c>
      <c r="AU30" s="9">
        <v>3.5</v>
      </c>
      <c r="AV30" s="9">
        <v>3.5</v>
      </c>
      <c r="AW30" s="9">
        <v>3.5</v>
      </c>
      <c r="AX30" s="9">
        <v>3.5</v>
      </c>
      <c r="AY30" s="9">
        <v>4</v>
      </c>
      <c r="AZ30" s="9">
        <v>4</v>
      </c>
      <c r="BA30" s="9">
        <v>4</v>
      </c>
      <c r="BB30" t="s">
        <v>89</v>
      </c>
      <c r="BC30" s="9">
        <v>120</v>
      </c>
      <c r="BD30" t="s">
        <v>533</v>
      </c>
    </row>
    <row r="31" spans="2:56" x14ac:dyDescent="0.35">
      <c r="B31" t="s">
        <v>1124</v>
      </c>
      <c r="C31" s="9">
        <v>2011</v>
      </c>
      <c r="D31" t="s">
        <v>1191</v>
      </c>
      <c r="E31" t="s">
        <v>1125</v>
      </c>
      <c r="F31" t="s">
        <v>1192</v>
      </c>
      <c r="G31" t="s">
        <v>286</v>
      </c>
      <c r="H31" s="9">
        <v>3.14</v>
      </c>
      <c r="I31" s="9">
        <v>3</v>
      </c>
      <c r="J31" s="9">
        <v>3.5</v>
      </c>
      <c r="K31" s="9">
        <v>3</v>
      </c>
      <c r="L31" s="9">
        <v>3</v>
      </c>
      <c r="M31" s="9">
        <v>3</v>
      </c>
      <c r="N31" s="9">
        <v>3.5</v>
      </c>
      <c r="O31" s="9">
        <v>3</v>
      </c>
      <c r="P31" t="s">
        <v>287</v>
      </c>
      <c r="Q31" s="9">
        <v>80</v>
      </c>
      <c r="R31" t="s">
        <v>383</v>
      </c>
      <c r="U31" t="s">
        <v>683</v>
      </c>
      <c r="V31" s="9">
        <v>2013</v>
      </c>
      <c r="W31" t="s">
        <v>54</v>
      </c>
      <c r="X31" t="s">
        <v>684</v>
      </c>
      <c r="Y31" t="s">
        <v>1192</v>
      </c>
      <c r="Z31" t="s">
        <v>680</v>
      </c>
      <c r="AA31" s="9">
        <v>3.14</v>
      </c>
      <c r="AB31" s="9">
        <v>3</v>
      </c>
      <c r="AC31" s="9">
        <v>3</v>
      </c>
      <c r="AD31" s="9">
        <v>4</v>
      </c>
      <c r="AE31" s="9">
        <v>2.5</v>
      </c>
      <c r="AF31" s="9">
        <v>3.5</v>
      </c>
      <c r="AG31" s="9">
        <v>3</v>
      </c>
      <c r="AH31" s="9">
        <v>3</v>
      </c>
      <c r="AI31" t="s">
        <v>72</v>
      </c>
      <c r="AJ31" s="9">
        <v>83</v>
      </c>
      <c r="AK31" t="s">
        <v>409</v>
      </c>
      <c r="AN31" t="s">
        <v>987</v>
      </c>
      <c r="AO31" s="9">
        <v>2014</v>
      </c>
      <c r="AP31" t="s">
        <v>54</v>
      </c>
      <c r="AQ31" t="s">
        <v>699</v>
      </c>
      <c r="AR31" t="s">
        <v>1193</v>
      </c>
      <c r="AS31" t="s">
        <v>988</v>
      </c>
      <c r="AT31" s="9">
        <v>3.71</v>
      </c>
      <c r="AU31" s="9">
        <v>3.5</v>
      </c>
      <c r="AV31" s="9">
        <v>3.5</v>
      </c>
      <c r="AW31" s="9">
        <v>4</v>
      </c>
      <c r="AX31" s="9">
        <v>4</v>
      </c>
      <c r="AY31" s="9">
        <v>3</v>
      </c>
      <c r="AZ31" s="9">
        <v>4</v>
      </c>
      <c r="BA31" s="9">
        <v>4</v>
      </c>
      <c r="BB31" t="s">
        <v>219</v>
      </c>
      <c r="BC31" s="9">
        <v>300</v>
      </c>
      <c r="BD31" t="s">
        <v>534</v>
      </c>
    </row>
    <row r="32" spans="2:56" x14ac:dyDescent="0.35">
      <c r="B32" t="s">
        <v>1181</v>
      </c>
      <c r="C32" s="9">
        <v>2011</v>
      </c>
      <c r="D32" t="s">
        <v>1198</v>
      </c>
      <c r="E32" t="s">
        <v>1182</v>
      </c>
      <c r="F32" t="s">
        <v>1192</v>
      </c>
      <c r="G32" t="s">
        <v>1183</v>
      </c>
      <c r="H32" s="9">
        <v>3.5</v>
      </c>
      <c r="I32" s="9">
        <v>3</v>
      </c>
      <c r="J32" s="9">
        <v>3</v>
      </c>
      <c r="K32" s="9">
        <v>3.5</v>
      </c>
      <c r="L32" s="9">
        <v>4</v>
      </c>
      <c r="M32" s="9">
        <v>4.5</v>
      </c>
      <c r="N32" s="9">
        <v>3.5</v>
      </c>
      <c r="O32" s="9">
        <v>3</v>
      </c>
      <c r="P32" t="s">
        <v>250</v>
      </c>
      <c r="Q32" s="9">
        <v>89</v>
      </c>
      <c r="R32" t="s">
        <v>384</v>
      </c>
      <c r="U32" t="s">
        <v>932</v>
      </c>
      <c r="V32" s="9">
        <v>2013</v>
      </c>
      <c r="W32" t="s">
        <v>54</v>
      </c>
      <c r="X32" t="s">
        <v>694</v>
      </c>
      <c r="Y32" t="s">
        <v>1192</v>
      </c>
      <c r="Z32" t="s">
        <v>933</v>
      </c>
      <c r="AA32" s="9">
        <v>4.29</v>
      </c>
      <c r="AB32" s="9">
        <v>4</v>
      </c>
      <c r="AC32" s="9">
        <v>4.5</v>
      </c>
      <c r="AD32" s="9">
        <v>4.5</v>
      </c>
      <c r="AE32" s="9">
        <v>3</v>
      </c>
      <c r="AF32" s="9">
        <v>4.5</v>
      </c>
      <c r="AG32" s="9">
        <v>4.5</v>
      </c>
      <c r="AH32" s="9">
        <v>5</v>
      </c>
      <c r="AI32" t="s">
        <v>196</v>
      </c>
      <c r="AJ32" s="9">
        <v>116</v>
      </c>
      <c r="AK32" t="s">
        <v>446</v>
      </c>
      <c r="AN32" t="s">
        <v>990</v>
      </c>
      <c r="AO32" s="9">
        <v>2014</v>
      </c>
      <c r="AP32" t="s">
        <v>54</v>
      </c>
      <c r="AQ32" t="s">
        <v>739</v>
      </c>
      <c r="AR32" t="s">
        <v>1193</v>
      </c>
      <c r="AS32" t="s">
        <v>991</v>
      </c>
      <c r="AT32" s="9">
        <v>3.5</v>
      </c>
      <c r="AU32" s="9">
        <v>3</v>
      </c>
      <c r="AV32" s="9">
        <v>3.5</v>
      </c>
      <c r="AW32" s="9">
        <v>4</v>
      </c>
      <c r="AX32" s="9">
        <v>3</v>
      </c>
      <c r="AY32" s="9">
        <v>3.5</v>
      </c>
      <c r="AZ32" s="9">
        <v>4</v>
      </c>
      <c r="BA32" s="9">
        <v>3.5</v>
      </c>
      <c r="BB32" t="s">
        <v>221</v>
      </c>
      <c r="BC32" s="9">
        <v>625</v>
      </c>
      <c r="BD32" t="s">
        <v>535</v>
      </c>
    </row>
    <row r="33" spans="2:56" x14ac:dyDescent="0.35">
      <c r="B33" t="s">
        <v>659</v>
      </c>
      <c r="C33" s="9">
        <v>2010</v>
      </c>
      <c r="D33" t="s">
        <v>1191</v>
      </c>
      <c r="E33" t="s">
        <v>660</v>
      </c>
      <c r="F33" t="s">
        <v>1192</v>
      </c>
      <c r="G33" t="s">
        <v>56</v>
      </c>
      <c r="H33" s="9">
        <v>3.29</v>
      </c>
      <c r="I33" s="9">
        <v>3</v>
      </c>
      <c r="J33" s="9">
        <v>4</v>
      </c>
      <c r="K33" s="9">
        <v>3.5</v>
      </c>
      <c r="L33" s="9">
        <v>3.5</v>
      </c>
      <c r="M33" s="9">
        <v>3</v>
      </c>
      <c r="N33" s="9">
        <v>3</v>
      </c>
      <c r="O33" s="9">
        <v>3</v>
      </c>
      <c r="P33" t="s">
        <v>57</v>
      </c>
      <c r="Q33" s="9">
        <v>65</v>
      </c>
      <c r="R33" t="s">
        <v>385</v>
      </c>
      <c r="U33" t="s">
        <v>232</v>
      </c>
      <c r="V33" s="9">
        <v>2013</v>
      </c>
      <c r="W33" t="s">
        <v>54</v>
      </c>
      <c r="X33" t="s">
        <v>720</v>
      </c>
      <c r="Y33" t="s">
        <v>1192</v>
      </c>
      <c r="Z33" t="s">
        <v>233</v>
      </c>
      <c r="AA33" s="9">
        <v>2</v>
      </c>
      <c r="AB33" s="9">
        <v>2</v>
      </c>
      <c r="AC33" s="9">
        <v>3</v>
      </c>
      <c r="AD33" s="9">
        <v>5</v>
      </c>
      <c r="AE33" s="9">
        <v>1</v>
      </c>
      <c r="AF33" s="9">
        <v>1</v>
      </c>
      <c r="AG33" s="9">
        <v>1</v>
      </c>
      <c r="AH33" s="9">
        <v>1</v>
      </c>
      <c r="AI33" t="s">
        <v>150</v>
      </c>
      <c r="AJ33" s="9">
        <v>376</v>
      </c>
      <c r="AK33" t="s">
        <v>464</v>
      </c>
      <c r="AN33" t="s">
        <v>1014</v>
      </c>
      <c r="AO33" s="9">
        <v>2014</v>
      </c>
      <c r="AP33" t="s">
        <v>54</v>
      </c>
      <c r="AQ33" t="s">
        <v>1015</v>
      </c>
      <c r="AR33" t="s">
        <v>1193</v>
      </c>
      <c r="AS33" t="s">
        <v>793</v>
      </c>
      <c r="AT33" s="9">
        <v>4.21</v>
      </c>
      <c r="AU33" s="9">
        <v>4</v>
      </c>
      <c r="AV33" s="9">
        <v>4</v>
      </c>
      <c r="AW33" s="9">
        <v>4</v>
      </c>
      <c r="AX33" s="9">
        <v>4.5</v>
      </c>
      <c r="AY33" s="9">
        <v>4.5</v>
      </c>
      <c r="AZ33" s="9">
        <v>3.5</v>
      </c>
      <c r="BA33" s="9">
        <v>5</v>
      </c>
      <c r="BB33" t="s">
        <v>235</v>
      </c>
      <c r="BC33" s="9">
        <v>275</v>
      </c>
      <c r="BD33" t="s">
        <v>536</v>
      </c>
    </row>
    <row r="34" spans="2:56" x14ac:dyDescent="0.35">
      <c r="B34" t="s">
        <v>759</v>
      </c>
      <c r="C34" s="9">
        <v>2010</v>
      </c>
      <c r="D34" t="s">
        <v>1198</v>
      </c>
      <c r="E34" t="s">
        <v>760</v>
      </c>
      <c r="F34" t="s">
        <v>1192</v>
      </c>
      <c r="G34" t="s">
        <v>761</v>
      </c>
      <c r="H34" s="9">
        <v>3.57</v>
      </c>
      <c r="I34" s="9">
        <v>4</v>
      </c>
      <c r="J34" s="9">
        <v>4</v>
      </c>
      <c r="K34" s="9">
        <v>4.5</v>
      </c>
      <c r="L34" s="9">
        <v>3.5</v>
      </c>
      <c r="M34" s="9">
        <v>3</v>
      </c>
      <c r="N34" s="9">
        <v>3</v>
      </c>
      <c r="O34" s="9">
        <v>3</v>
      </c>
      <c r="P34" t="s">
        <v>104</v>
      </c>
      <c r="Q34" s="9">
        <v>97</v>
      </c>
      <c r="R34" t="s">
        <v>386</v>
      </c>
      <c r="U34" t="s">
        <v>1295</v>
      </c>
      <c r="V34" s="9">
        <v>2013</v>
      </c>
      <c r="W34" t="s">
        <v>54</v>
      </c>
      <c r="X34" t="s">
        <v>764</v>
      </c>
      <c r="Y34" t="s">
        <v>1190</v>
      </c>
      <c r="Z34" t="s">
        <v>1230</v>
      </c>
      <c r="AA34" s="9">
        <v>3.29</v>
      </c>
      <c r="AB34" s="9">
        <v>3</v>
      </c>
      <c r="AC34" s="9">
        <v>4</v>
      </c>
      <c r="AD34" s="9">
        <v>3.5</v>
      </c>
      <c r="AE34" s="9">
        <v>3</v>
      </c>
      <c r="AF34" s="9">
        <v>3.5</v>
      </c>
      <c r="AG34" s="9">
        <v>3</v>
      </c>
      <c r="AH34" s="9">
        <v>3</v>
      </c>
      <c r="AI34" t="s">
        <v>1231</v>
      </c>
      <c r="AJ34" s="9">
        <v>68</v>
      </c>
      <c r="AK34" t="s">
        <v>1259</v>
      </c>
      <c r="AN34" t="s">
        <v>1027</v>
      </c>
      <c r="AO34" s="9">
        <v>2014</v>
      </c>
      <c r="AP34" t="s">
        <v>54</v>
      </c>
      <c r="AQ34" t="s">
        <v>1028</v>
      </c>
      <c r="AR34" t="s">
        <v>1193</v>
      </c>
      <c r="AS34" t="s">
        <v>1029</v>
      </c>
      <c r="AT34" s="9">
        <v>4</v>
      </c>
      <c r="AU34" s="9">
        <v>4</v>
      </c>
      <c r="AV34" s="9">
        <v>4</v>
      </c>
      <c r="AW34" s="9">
        <v>3.5</v>
      </c>
      <c r="AX34" s="9">
        <v>4</v>
      </c>
      <c r="AY34" s="9">
        <v>3.5</v>
      </c>
      <c r="AZ34" s="9">
        <v>4</v>
      </c>
      <c r="BA34" s="9">
        <v>5</v>
      </c>
      <c r="BB34" t="s">
        <v>134</v>
      </c>
      <c r="BC34" s="9">
        <v>300</v>
      </c>
      <c r="BD34" t="s">
        <v>537</v>
      </c>
    </row>
    <row r="35" spans="2:56" x14ac:dyDescent="0.35">
      <c r="B35" t="s">
        <v>1103</v>
      </c>
      <c r="C35" s="9">
        <v>2010</v>
      </c>
      <c r="D35" t="s">
        <v>1238</v>
      </c>
      <c r="E35" t="s">
        <v>1104</v>
      </c>
      <c r="F35" t="s">
        <v>1192</v>
      </c>
      <c r="G35" t="s">
        <v>1105</v>
      </c>
      <c r="H35" s="9">
        <v>4.1399999999999997</v>
      </c>
      <c r="I35" s="9">
        <v>5</v>
      </c>
      <c r="J35" s="9">
        <v>4.5</v>
      </c>
      <c r="K35" s="9">
        <v>3.5</v>
      </c>
      <c r="L35" s="9">
        <v>3</v>
      </c>
      <c r="M35" s="9">
        <v>5</v>
      </c>
      <c r="N35" s="9">
        <v>3</v>
      </c>
      <c r="O35" s="9">
        <v>5</v>
      </c>
      <c r="P35" t="s">
        <v>353</v>
      </c>
      <c r="Q35" s="9">
        <v>79</v>
      </c>
      <c r="R35" t="s">
        <v>387</v>
      </c>
      <c r="U35" t="s">
        <v>1296</v>
      </c>
      <c r="V35" s="9">
        <v>2013</v>
      </c>
      <c r="W35" t="s">
        <v>54</v>
      </c>
      <c r="X35" t="s">
        <v>884</v>
      </c>
      <c r="Y35" t="s">
        <v>1192</v>
      </c>
      <c r="Z35" t="s">
        <v>1322</v>
      </c>
      <c r="AA35" s="9">
        <v>3.64</v>
      </c>
      <c r="AB35" s="9">
        <v>3</v>
      </c>
      <c r="AC35" s="9">
        <v>3.5</v>
      </c>
      <c r="AD35" s="9">
        <v>4</v>
      </c>
      <c r="AE35" s="9">
        <v>4.5</v>
      </c>
      <c r="AF35" s="9">
        <v>3.5</v>
      </c>
      <c r="AG35" s="9">
        <v>3.5</v>
      </c>
      <c r="AH35" s="9">
        <v>3.5</v>
      </c>
      <c r="AI35" t="s">
        <v>1233</v>
      </c>
      <c r="AJ35" s="9">
        <v>90</v>
      </c>
      <c r="AK35" t="s">
        <v>1260</v>
      </c>
      <c r="AN35" t="s">
        <v>1030</v>
      </c>
      <c r="AO35" s="9">
        <v>2014</v>
      </c>
      <c r="AP35" t="s">
        <v>54</v>
      </c>
      <c r="AQ35" t="s">
        <v>1031</v>
      </c>
      <c r="AR35" t="s">
        <v>1193</v>
      </c>
      <c r="AS35" t="s">
        <v>1032</v>
      </c>
      <c r="AT35" s="9">
        <v>3</v>
      </c>
      <c r="AU35" s="9">
        <v>3</v>
      </c>
      <c r="AV35" s="9">
        <v>3</v>
      </c>
      <c r="AW35" s="9">
        <v>3.5</v>
      </c>
      <c r="AX35" s="9">
        <v>3</v>
      </c>
      <c r="AY35" s="9">
        <v>2.5</v>
      </c>
      <c r="AZ35" s="9">
        <v>3</v>
      </c>
      <c r="BA35" s="9">
        <v>3</v>
      </c>
      <c r="BB35" t="s">
        <v>241</v>
      </c>
      <c r="BC35" s="9">
        <v>300</v>
      </c>
      <c r="BD35" t="s">
        <v>538</v>
      </c>
    </row>
    <row r="36" spans="2:56" x14ac:dyDescent="0.35">
      <c r="B36" t="s">
        <v>1128</v>
      </c>
      <c r="C36" s="9">
        <v>2009</v>
      </c>
      <c r="D36" t="s">
        <v>1232</v>
      </c>
      <c r="E36" t="s">
        <v>1060</v>
      </c>
      <c r="F36" t="s">
        <v>1192</v>
      </c>
      <c r="G36" t="s">
        <v>355</v>
      </c>
      <c r="H36" s="9">
        <v>3.79</v>
      </c>
      <c r="I36" s="9">
        <v>3.5</v>
      </c>
      <c r="J36" s="9">
        <v>5</v>
      </c>
      <c r="K36" s="9">
        <v>3.5</v>
      </c>
      <c r="L36" s="9">
        <v>3.5</v>
      </c>
      <c r="M36" s="9">
        <v>3</v>
      </c>
      <c r="N36" s="9">
        <v>3.5</v>
      </c>
      <c r="O36" s="9">
        <v>4.5</v>
      </c>
      <c r="P36" t="s">
        <v>351</v>
      </c>
      <c r="Q36" s="9">
        <v>75</v>
      </c>
      <c r="R36" t="s">
        <v>388</v>
      </c>
      <c r="U36" t="s">
        <v>1099</v>
      </c>
      <c r="V36" s="9">
        <v>2013</v>
      </c>
      <c r="W36" t="s">
        <v>54</v>
      </c>
      <c r="X36" t="s">
        <v>657</v>
      </c>
      <c r="Y36" t="s">
        <v>1192</v>
      </c>
      <c r="Z36" t="s">
        <v>658</v>
      </c>
      <c r="AA36" s="9">
        <v>4.1399999999999997</v>
      </c>
      <c r="AB36" s="9">
        <v>4.5</v>
      </c>
      <c r="AC36" s="9">
        <v>4.5</v>
      </c>
      <c r="AD36" s="9">
        <v>3.5</v>
      </c>
      <c r="AE36" s="9">
        <v>3.5</v>
      </c>
      <c r="AF36" s="9">
        <v>4.5</v>
      </c>
      <c r="AG36" s="9">
        <v>3.5</v>
      </c>
      <c r="AH36" s="9">
        <v>5</v>
      </c>
      <c r="AI36" t="s">
        <v>104</v>
      </c>
      <c r="AJ36" s="9">
        <v>46</v>
      </c>
      <c r="AK36" t="s">
        <v>483</v>
      </c>
      <c r="AN36" t="s">
        <v>1055</v>
      </c>
      <c r="AO36" s="9">
        <v>2014</v>
      </c>
      <c r="AP36" t="s">
        <v>54</v>
      </c>
      <c r="AQ36" t="s">
        <v>679</v>
      </c>
      <c r="AR36" t="s">
        <v>1193</v>
      </c>
      <c r="AS36" t="s">
        <v>1023</v>
      </c>
      <c r="AT36" s="9">
        <v>3.36</v>
      </c>
      <c r="AU36" s="9">
        <v>3</v>
      </c>
      <c r="AV36" s="9">
        <v>3</v>
      </c>
      <c r="AW36" s="9">
        <v>3</v>
      </c>
      <c r="AX36" s="9">
        <v>3.5</v>
      </c>
      <c r="AY36" s="9">
        <v>3.5</v>
      </c>
      <c r="AZ36" s="9">
        <v>3.5</v>
      </c>
      <c r="BA36" s="9">
        <v>4</v>
      </c>
      <c r="BB36" t="s">
        <v>250</v>
      </c>
      <c r="BC36" s="9">
        <v>600</v>
      </c>
      <c r="BD36" t="s">
        <v>539</v>
      </c>
    </row>
    <row r="37" spans="2:56" x14ac:dyDescent="0.35">
      <c r="B37" t="s">
        <v>1009</v>
      </c>
      <c r="C37" s="9">
        <v>2007</v>
      </c>
      <c r="D37" t="s">
        <v>1191</v>
      </c>
      <c r="E37" t="s">
        <v>1010</v>
      </c>
      <c r="F37" t="s">
        <v>1192</v>
      </c>
      <c r="G37" t="s">
        <v>230</v>
      </c>
      <c r="H37" s="9">
        <v>3.21</v>
      </c>
      <c r="I37" s="9">
        <v>3</v>
      </c>
      <c r="J37" s="9">
        <v>3</v>
      </c>
      <c r="K37" s="9">
        <v>3</v>
      </c>
      <c r="L37" s="9">
        <v>3.5</v>
      </c>
      <c r="M37" s="9">
        <v>3.5</v>
      </c>
      <c r="N37" s="9">
        <v>2.5</v>
      </c>
      <c r="O37" s="9">
        <v>4</v>
      </c>
      <c r="P37" t="s">
        <v>231</v>
      </c>
      <c r="Q37" s="9">
        <v>96</v>
      </c>
      <c r="R37" t="s">
        <v>389</v>
      </c>
      <c r="U37" t="s">
        <v>1132</v>
      </c>
      <c r="V37" s="9">
        <v>2013</v>
      </c>
      <c r="W37" t="s">
        <v>54</v>
      </c>
      <c r="X37" t="s">
        <v>752</v>
      </c>
      <c r="Y37" t="s">
        <v>1192</v>
      </c>
      <c r="Z37" t="s">
        <v>848</v>
      </c>
      <c r="AA37" s="9">
        <v>4.43</v>
      </c>
      <c r="AB37" s="9">
        <v>4.5</v>
      </c>
      <c r="AC37" s="9">
        <v>5</v>
      </c>
      <c r="AD37" s="9">
        <v>4.5</v>
      </c>
      <c r="AE37" s="9">
        <v>4</v>
      </c>
      <c r="AF37" s="9">
        <v>4</v>
      </c>
      <c r="AG37" s="9">
        <v>4</v>
      </c>
      <c r="AH37" s="9">
        <v>5</v>
      </c>
      <c r="AI37" t="s">
        <v>292</v>
      </c>
      <c r="AJ37" s="9">
        <v>137</v>
      </c>
      <c r="AK37" t="s">
        <v>492</v>
      </c>
      <c r="AN37" t="s">
        <v>1064</v>
      </c>
      <c r="AO37" s="9">
        <v>2014</v>
      </c>
      <c r="AP37" t="s">
        <v>54</v>
      </c>
      <c r="AQ37" t="s">
        <v>739</v>
      </c>
      <c r="AR37" t="s">
        <v>1193</v>
      </c>
      <c r="AS37" t="s">
        <v>253</v>
      </c>
      <c r="AT37" s="9">
        <v>3.93</v>
      </c>
      <c r="AU37" s="9">
        <v>4.5</v>
      </c>
      <c r="AV37" s="9">
        <v>3.5</v>
      </c>
      <c r="AW37" s="9">
        <v>3.5</v>
      </c>
      <c r="AX37" s="9">
        <v>3.5</v>
      </c>
      <c r="AY37" s="9">
        <v>3.5</v>
      </c>
      <c r="AZ37" s="9">
        <v>4.5</v>
      </c>
      <c r="BA37" s="9">
        <v>4.5</v>
      </c>
      <c r="BB37" t="s">
        <v>254</v>
      </c>
      <c r="BC37" s="9">
        <v>650</v>
      </c>
      <c r="BD37" t="s">
        <v>540</v>
      </c>
    </row>
    <row r="38" spans="2:56" x14ac:dyDescent="0.35">
      <c r="B38" t="s">
        <v>731</v>
      </c>
      <c r="C38" s="9">
        <v>2004</v>
      </c>
      <c r="D38" t="s">
        <v>1199</v>
      </c>
      <c r="E38" t="s">
        <v>92</v>
      </c>
      <c r="F38" t="s">
        <v>1192</v>
      </c>
      <c r="G38" t="s">
        <v>93</v>
      </c>
      <c r="H38" s="9">
        <v>1.57</v>
      </c>
      <c r="I38" s="9">
        <v>2</v>
      </c>
      <c r="J38" s="9">
        <v>2</v>
      </c>
      <c r="K38" s="9">
        <v>1.5</v>
      </c>
      <c r="L38" s="9">
        <v>1.5</v>
      </c>
      <c r="M38" s="9">
        <v>1.5</v>
      </c>
      <c r="N38" s="9">
        <v>1.5</v>
      </c>
      <c r="O38" s="9">
        <v>1</v>
      </c>
      <c r="P38" t="s">
        <v>94</v>
      </c>
      <c r="Q38" s="9">
        <v>87</v>
      </c>
      <c r="R38" t="s">
        <v>390</v>
      </c>
      <c r="U38" t="s">
        <v>1137</v>
      </c>
      <c r="V38" s="9">
        <v>2013</v>
      </c>
      <c r="W38" t="s">
        <v>54</v>
      </c>
      <c r="X38" t="s">
        <v>752</v>
      </c>
      <c r="Y38" t="s">
        <v>1192</v>
      </c>
      <c r="Z38" t="s">
        <v>753</v>
      </c>
      <c r="AA38" s="9">
        <v>3.36</v>
      </c>
      <c r="AB38" s="9">
        <v>4</v>
      </c>
      <c r="AC38" s="9">
        <v>3.5</v>
      </c>
      <c r="AD38" s="9">
        <v>3.5</v>
      </c>
      <c r="AE38" s="9">
        <v>3.5</v>
      </c>
      <c r="AF38" s="9">
        <v>3.5</v>
      </c>
      <c r="AG38" s="9">
        <v>2.5</v>
      </c>
      <c r="AH38" s="9">
        <v>3</v>
      </c>
      <c r="AI38" t="s">
        <v>295</v>
      </c>
      <c r="AJ38" s="9">
        <v>126</v>
      </c>
      <c r="AK38" t="s">
        <v>493</v>
      </c>
      <c r="AN38" t="s">
        <v>1298</v>
      </c>
      <c r="AO38" s="9">
        <v>2014</v>
      </c>
      <c r="AP38" t="s">
        <v>54</v>
      </c>
      <c r="AQ38" t="s">
        <v>1312</v>
      </c>
      <c r="AR38" t="s">
        <v>1193</v>
      </c>
      <c r="AS38" t="s">
        <v>1323</v>
      </c>
      <c r="AT38" s="9">
        <v>2.36</v>
      </c>
      <c r="AU38" s="9">
        <v>2.5</v>
      </c>
      <c r="AV38" s="9">
        <v>2.5</v>
      </c>
      <c r="AW38" s="9">
        <v>3</v>
      </c>
      <c r="AX38" s="9">
        <v>3.5</v>
      </c>
      <c r="AY38" s="9">
        <v>1.5</v>
      </c>
      <c r="AZ38" s="9">
        <v>2</v>
      </c>
      <c r="BA38" s="9">
        <v>1.5</v>
      </c>
      <c r="BB38" t="s">
        <v>1237</v>
      </c>
      <c r="BC38" s="9">
        <v>205</v>
      </c>
      <c r="BD38" t="s">
        <v>1269</v>
      </c>
    </row>
    <row r="39" spans="2:56" x14ac:dyDescent="0.35">
      <c r="B39" t="s">
        <v>1135</v>
      </c>
      <c r="C39" s="9">
        <v>2003</v>
      </c>
      <c r="D39" t="s">
        <v>1191</v>
      </c>
      <c r="E39" t="s">
        <v>1136</v>
      </c>
      <c r="F39" t="s">
        <v>1192</v>
      </c>
      <c r="G39" t="s">
        <v>1105</v>
      </c>
      <c r="H39" s="9">
        <v>3.93</v>
      </c>
      <c r="I39" s="9">
        <v>4.5</v>
      </c>
      <c r="J39" s="9">
        <v>5</v>
      </c>
      <c r="K39" s="9">
        <v>4.5</v>
      </c>
      <c r="L39" s="9">
        <v>3</v>
      </c>
      <c r="M39" s="9">
        <v>3.5</v>
      </c>
      <c r="N39" s="9">
        <v>2.5</v>
      </c>
      <c r="O39" s="9">
        <v>4.5</v>
      </c>
      <c r="P39" t="s">
        <v>356</v>
      </c>
      <c r="Q39" s="9">
        <v>78</v>
      </c>
      <c r="R39" t="s">
        <v>391</v>
      </c>
      <c r="U39" t="s">
        <v>79</v>
      </c>
      <c r="V39" s="9">
        <v>2012</v>
      </c>
      <c r="W39" t="s">
        <v>54</v>
      </c>
      <c r="X39" t="s">
        <v>707</v>
      </c>
      <c r="Y39" t="s">
        <v>1192</v>
      </c>
      <c r="Z39" t="s">
        <v>708</v>
      </c>
      <c r="AA39" s="9">
        <v>4.3600000000000003</v>
      </c>
      <c r="AB39" s="9">
        <v>4</v>
      </c>
      <c r="AC39" s="9">
        <v>4.5</v>
      </c>
      <c r="AD39" s="9">
        <v>4.5</v>
      </c>
      <c r="AE39" s="9">
        <v>3.5</v>
      </c>
      <c r="AF39" s="9">
        <v>5</v>
      </c>
      <c r="AG39" s="9">
        <v>4</v>
      </c>
      <c r="AH39" s="9">
        <v>5</v>
      </c>
      <c r="AI39" t="s">
        <v>80</v>
      </c>
      <c r="AJ39" s="9">
        <v>288</v>
      </c>
      <c r="AK39" t="s">
        <v>414</v>
      </c>
      <c r="AN39" t="s">
        <v>1302</v>
      </c>
      <c r="AO39" s="9">
        <v>2014</v>
      </c>
      <c r="AP39" t="s">
        <v>54</v>
      </c>
      <c r="AQ39" t="s">
        <v>1316</v>
      </c>
      <c r="AR39" t="s">
        <v>1193</v>
      </c>
      <c r="AS39" t="s">
        <v>1325</v>
      </c>
      <c r="AT39" s="9">
        <v>2.86</v>
      </c>
      <c r="AU39" s="9">
        <v>2</v>
      </c>
      <c r="AV39" s="9">
        <v>2</v>
      </c>
      <c r="AW39" s="9">
        <v>3.5</v>
      </c>
      <c r="AX39" s="9">
        <v>3.5</v>
      </c>
      <c r="AY39" s="9">
        <v>2</v>
      </c>
      <c r="AZ39" s="9">
        <v>4</v>
      </c>
      <c r="BA39" s="9">
        <v>3</v>
      </c>
      <c r="BB39" t="s">
        <v>148</v>
      </c>
      <c r="BC39" s="9">
        <v>168</v>
      </c>
      <c r="BD39" t="s">
        <v>1270</v>
      </c>
    </row>
    <row r="40" spans="2:56" x14ac:dyDescent="0.35">
      <c r="B40" t="s">
        <v>958</v>
      </c>
      <c r="C40" s="9">
        <v>2002</v>
      </c>
      <c r="D40" t="s">
        <v>1199</v>
      </c>
      <c r="E40" t="s">
        <v>959</v>
      </c>
      <c r="F40" t="s">
        <v>1192</v>
      </c>
      <c r="G40" t="s">
        <v>960</v>
      </c>
      <c r="H40" s="9">
        <v>1.43</v>
      </c>
      <c r="I40" s="9">
        <v>1.5</v>
      </c>
      <c r="J40" s="9">
        <v>1.5</v>
      </c>
      <c r="K40" s="9">
        <v>2</v>
      </c>
      <c r="L40" s="9">
        <v>1.5</v>
      </c>
      <c r="M40" s="9">
        <v>1.5</v>
      </c>
      <c r="N40" s="9">
        <v>1</v>
      </c>
      <c r="O40" s="9">
        <v>1</v>
      </c>
      <c r="P40" t="s">
        <v>206</v>
      </c>
      <c r="Q40" s="9">
        <v>80</v>
      </c>
      <c r="R40" t="s">
        <v>392</v>
      </c>
      <c r="U40" t="s">
        <v>742</v>
      </c>
      <c r="V40" s="9">
        <v>2012</v>
      </c>
      <c r="W40" t="s">
        <v>54</v>
      </c>
      <c r="X40" t="s">
        <v>736</v>
      </c>
      <c r="Y40" t="s">
        <v>1192</v>
      </c>
      <c r="Z40" t="s">
        <v>743</v>
      </c>
      <c r="AA40" s="9">
        <v>2.36</v>
      </c>
      <c r="AB40" s="9">
        <v>3.5</v>
      </c>
      <c r="AC40" s="9">
        <v>3.5</v>
      </c>
      <c r="AD40" s="9">
        <v>2</v>
      </c>
      <c r="AE40" s="9">
        <v>1.5</v>
      </c>
      <c r="AF40" s="9">
        <v>2</v>
      </c>
      <c r="AG40" s="9">
        <v>2</v>
      </c>
      <c r="AH40" s="9">
        <v>2</v>
      </c>
      <c r="AI40" t="s">
        <v>98</v>
      </c>
      <c r="AJ40" s="9">
        <v>110</v>
      </c>
      <c r="AK40" t="s">
        <v>418</v>
      </c>
      <c r="AN40" t="s">
        <v>1152</v>
      </c>
      <c r="AO40" s="9">
        <v>2014</v>
      </c>
      <c r="AP40" t="s">
        <v>54</v>
      </c>
      <c r="AQ40" t="s">
        <v>1153</v>
      </c>
      <c r="AR40" t="s">
        <v>1193</v>
      </c>
      <c r="AS40" t="s">
        <v>689</v>
      </c>
      <c r="AT40" s="9">
        <v>2.57</v>
      </c>
      <c r="AU40" s="9">
        <v>2.5</v>
      </c>
      <c r="AV40" s="9">
        <v>3</v>
      </c>
      <c r="AW40" s="9">
        <v>2.5</v>
      </c>
      <c r="AX40" s="9">
        <v>2.5</v>
      </c>
      <c r="AY40" s="9">
        <v>2</v>
      </c>
      <c r="AZ40" s="9">
        <v>3</v>
      </c>
      <c r="BA40" s="9">
        <v>2.5</v>
      </c>
      <c r="BB40" t="s">
        <v>160</v>
      </c>
      <c r="BC40" s="9">
        <v>300</v>
      </c>
      <c r="BD40" t="s">
        <v>541</v>
      </c>
    </row>
    <row r="41" spans="2:56" x14ac:dyDescent="0.35">
      <c r="B41" t="s">
        <v>1285</v>
      </c>
      <c r="C41" s="9">
        <v>2000</v>
      </c>
      <c r="D41" t="s">
        <v>1194</v>
      </c>
      <c r="E41" t="s">
        <v>1309</v>
      </c>
      <c r="F41" t="s">
        <v>1192</v>
      </c>
      <c r="G41" t="s">
        <v>1212</v>
      </c>
      <c r="H41" s="9">
        <v>2.64</v>
      </c>
      <c r="I41" s="9">
        <v>2.5</v>
      </c>
      <c r="J41" s="9">
        <v>3</v>
      </c>
      <c r="K41" s="9">
        <v>3</v>
      </c>
      <c r="L41" s="9">
        <v>3</v>
      </c>
      <c r="M41" s="9">
        <v>2.5</v>
      </c>
      <c r="N41" s="9">
        <v>2.5</v>
      </c>
      <c r="O41" s="9">
        <v>2</v>
      </c>
      <c r="P41" t="s">
        <v>206</v>
      </c>
      <c r="Q41" s="9">
        <v>75</v>
      </c>
      <c r="R41" t="s">
        <v>1246</v>
      </c>
      <c r="U41" t="s">
        <v>1281</v>
      </c>
      <c r="V41" s="9">
        <v>2012</v>
      </c>
      <c r="W41" t="s">
        <v>54</v>
      </c>
      <c r="X41" t="s">
        <v>1306</v>
      </c>
      <c r="Y41" t="s">
        <v>1192</v>
      </c>
      <c r="Z41" t="s">
        <v>1208</v>
      </c>
      <c r="AA41" s="9">
        <v>3.57</v>
      </c>
      <c r="AB41" s="9">
        <v>4.5</v>
      </c>
      <c r="AC41" s="9">
        <v>4</v>
      </c>
      <c r="AD41" s="9">
        <v>3.5</v>
      </c>
      <c r="AE41" s="9">
        <v>3.5</v>
      </c>
      <c r="AF41" s="9">
        <v>3</v>
      </c>
      <c r="AG41" s="9">
        <v>3</v>
      </c>
      <c r="AH41" s="9">
        <v>3.5</v>
      </c>
      <c r="AI41" t="s">
        <v>227</v>
      </c>
      <c r="AJ41" s="9">
        <v>96</v>
      </c>
      <c r="AK41" t="s">
        <v>1261</v>
      </c>
      <c r="AN41" t="s">
        <v>709</v>
      </c>
      <c r="AO41" s="9">
        <v>2013</v>
      </c>
      <c r="AP41" t="s">
        <v>54</v>
      </c>
      <c r="AQ41" t="s">
        <v>663</v>
      </c>
      <c r="AR41" t="s">
        <v>1193</v>
      </c>
      <c r="AS41" t="s">
        <v>710</v>
      </c>
      <c r="AT41" s="9">
        <v>3.5</v>
      </c>
      <c r="AU41" s="9">
        <v>4</v>
      </c>
      <c r="AV41" s="9">
        <v>4</v>
      </c>
      <c r="AW41" s="9">
        <v>3.5</v>
      </c>
      <c r="AX41" s="9">
        <v>3</v>
      </c>
      <c r="AY41" s="9">
        <v>4</v>
      </c>
      <c r="AZ41" s="9">
        <v>3</v>
      </c>
      <c r="BA41" s="9">
        <v>3</v>
      </c>
      <c r="BB41" t="s">
        <v>81</v>
      </c>
      <c r="BC41" s="9">
        <v>325</v>
      </c>
      <c r="BD41" t="s">
        <v>542</v>
      </c>
    </row>
    <row r="42" spans="2:56" x14ac:dyDescent="0.35">
      <c r="B42" t="s">
        <v>1300</v>
      </c>
      <c r="C42" s="9">
        <v>2000</v>
      </c>
      <c r="D42" t="s">
        <v>1194</v>
      </c>
      <c r="E42" t="s">
        <v>1314</v>
      </c>
      <c r="F42" t="s">
        <v>1192</v>
      </c>
      <c r="G42" t="s">
        <v>1240</v>
      </c>
      <c r="H42" s="9">
        <v>3.71</v>
      </c>
      <c r="I42" s="9">
        <v>3.5</v>
      </c>
      <c r="J42" s="9">
        <v>4</v>
      </c>
      <c r="K42" s="9">
        <v>3.5</v>
      </c>
      <c r="L42" s="9">
        <v>4</v>
      </c>
      <c r="M42" s="9">
        <v>2.5</v>
      </c>
      <c r="N42" s="9">
        <v>4.5</v>
      </c>
      <c r="O42" s="9">
        <v>4</v>
      </c>
      <c r="P42" t="s">
        <v>188</v>
      </c>
      <c r="Q42" s="9">
        <v>90</v>
      </c>
      <c r="R42" t="s">
        <v>1247</v>
      </c>
      <c r="U42" t="s">
        <v>931</v>
      </c>
      <c r="V42" s="9">
        <v>2012</v>
      </c>
      <c r="W42" t="s">
        <v>54</v>
      </c>
      <c r="X42" t="s">
        <v>694</v>
      </c>
      <c r="Y42" t="s">
        <v>1192</v>
      </c>
      <c r="Z42" t="s">
        <v>194</v>
      </c>
      <c r="AA42" s="9">
        <v>4.21</v>
      </c>
      <c r="AB42" s="9">
        <v>4</v>
      </c>
      <c r="AC42" s="9">
        <v>4.5</v>
      </c>
      <c r="AD42" s="9">
        <v>4.5</v>
      </c>
      <c r="AE42" s="9">
        <v>3.5</v>
      </c>
      <c r="AF42" s="9">
        <v>4.5</v>
      </c>
      <c r="AG42" s="9">
        <v>4</v>
      </c>
      <c r="AH42" s="9">
        <v>4.5</v>
      </c>
      <c r="AI42" t="s">
        <v>195</v>
      </c>
      <c r="AJ42" s="9">
        <v>240</v>
      </c>
      <c r="AK42" t="s">
        <v>445</v>
      </c>
      <c r="AN42" t="s">
        <v>797</v>
      </c>
      <c r="AO42" s="9">
        <v>2013</v>
      </c>
      <c r="AP42" t="s">
        <v>54</v>
      </c>
      <c r="AQ42" t="s">
        <v>669</v>
      </c>
      <c r="AR42" t="s">
        <v>1193</v>
      </c>
      <c r="AS42" t="s">
        <v>798</v>
      </c>
      <c r="AT42" s="9">
        <v>2.29</v>
      </c>
      <c r="AU42" s="9">
        <v>2.5</v>
      </c>
      <c r="AV42" s="9">
        <v>2.5</v>
      </c>
      <c r="AW42" s="9">
        <v>2.5</v>
      </c>
      <c r="AX42" s="9">
        <v>2.5</v>
      </c>
      <c r="AY42" s="9">
        <v>2.5</v>
      </c>
      <c r="AZ42" s="9">
        <v>2.5</v>
      </c>
      <c r="BA42" s="9">
        <v>1</v>
      </c>
      <c r="BB42" t="s">
        <v>126</v>
      </c>
      <c r="BC42" s="9">
        <v>300</v>
      </c>
      <c r="BD42" t="s">
        <v>543</v>
      </c>
    </row>
    <row r="43" spans="2:56" x14ac:dyDescent="0.35">
      <c r="B43" t="s">
        <v>1120</v>
      </c>
      <c r="C43" s="9">
        <v>1998</v>
      </c>
      <c r="D43" t="s">
        <v>1194</v>
      </c>
      <c r="E43" t="s">
        <v>1121</v>
      </c>
      <c r="F43" t="s">
        <v>1192</v>
      </c>
      <c r="G43" t="s">
        <v>283</v>
      </c>
      <c r="H43" s="9">
        <v>4.07</v>
      </c>
      <c r="I43" s="9">
        <v>4</v>
      </c>
      <c r="J43" s="9">
        <v>4.5</v>
      </c>
      <c r="K43" s="9">
        <v>4</v>
      </c>
      <c r="L43" s="9">
        <v>4</v>
      </c>
      <c r="M43" s="9">
        <v>3.5</v>
      </c>
      <c r="N43" s="9">
        <v>4</v>
      </c>
      <c r="O43" s="9">
        <v>4.5</v>
      </c>
      <c r="P43" t="s">
        <v>284</v>
      </c>
      <c r="Q43" s="9">
        <v>98</v>
      </c>
      <c r="R43" t="s">
        <v>393</v>
      </c>
      <c r="U43" t="s">
        <v>1024</v>
      </c>
      <c r="V43" s="9">
        <v>2012</v>
      </c>
      <c r="W43" t="s">
        <v>54</v>
      </c>
      <c r="X43" t="s">
        <v>764</v>
      </c>
      <c r="Y43" t="s">
        <v>1192</v>
      </c>
      <c r="Z43" t="s">
        <v>850</v>
      </c>
      <c r="AA43" s="9">
        <v>2.93</v>
      </c>
      <c r="AB43" s="9">
        <v>4.5</v>
      </c>
      <c r="AC43" s="9">
        <v>4.5</v>
      </c>
      <c r="AD43" s="9">
        <v>2</v>
      </c>
      <c r="AE43" s="9">
        <v>3</v>
      </c>
      <c r="AF43" s="9">
        <v>1</v>
      </c>
      <c r="AG43" s="9">
        <v>3.5</v>
      </c>
      <c r="AH43" s="9">
        <v>2</v>
      </c>
      <c r="AI43" t="s">
        <v>349</v>
      </c>
      <c r="AJ43" s="9">
        <v>110</v>
      </c>
      <c r="AK43" t="s">
        <v>469</v>
      </c>
      <c r="AN43" t="s">
        <v>836</v>
      </c>
      <c r="AO43" s="9">
        <v>2013</v>
      </c>
      <c r="AP43" t="s">
        <v>54</v>
      </c>
      <c r="AQ43" t="s">
        <v>736</v>
      </c>
      <c r="AR43" t="s">
        <v>1193</v>
      </c>
      <c r="AS43" t="s">
        <v>837</v>
      </c>
      <c r="AT43" s="9">
        <v>3.14</v>
      </c>
      <c r="AU43" s="9">
        <v>3.5</v>
      </c>
      <c r="AV43" s="9">
        <v>3.5</v>
      </c>
      <c r="AW43" s="9">
        <v>2.5</v>
      </c>
      <c r="AX43" s="9">
        <v>3</v>
      </c>
      <c r="AY43" s="9">
        <v>3.5</v>
      </c>
      <c r="AZ43" s="9">
        <v>3</v>
      </c>
      <c r="BA43" s="9">
        <v>3</v>
      </c>
      <c r="BB43" t="s">
        <v>144</v>
      </c>
      <c r="BC43" s="9">
        <v>365</v>
      </c>
      <c r="BD43" t="s">
        <v>544</v>
      </c>
    </row>
    <row r="44" spans="2:56" x14ac:dyDescent="0.35">
      <c r="B44" t="s">
        <v>1276</v>
      </c>
      <c r="C44" s="9">
        <v>1995</v>
      </c>
      <c r="D44" t="s">
        <v>1194</v>
      </c>
      <c r="E44" t="s">
        <v>1305</v>
      </c>
      <c r="F44" t="s">
        <v>1192</v>
      </c>
      <c r="G44" t="s">
        <v>1317</v>
      </c>
      <c r="H44" s="9">
        <v>3.57</v>
      </c>
      <c r="I44" s="9">
        <v>4</v>
      </c>
      <c r="J44" s="9">
        <v>3.5</v>
      </c>
      <c r="K44" s="9">
        <v>3</v>
      </c>
      <c r="L44" s="9">
        <v>4</v>
      </c>
      <c r="M44" s="9">
        <v>3.5</v>
      </c>
      <c r="N44" s="9">
        <v>3.5</v>
      </c>
      <c r="O44" s="9">
        <v>3.5</v>
      </c>
      <c r="P44" t="s">
        <v>1196</v>
      </c>
      <c r="Q44" s="9">
        <v>77</v>
      </c>
      <c r="R44" t="s">
        <v>1248</v>
      </c>
      <c r="U44" t="s">
        <v>1111</v>
      </c>
      <c r="V44" s="9">
        <v>2012</v>
      </c>
      <c r="W44" t="s">
        <v>54</v>
      </c>
      <c r="X44" t="s">
        <v>1112</v>
      </c>
      <c r="Y44" t="s">
        <v>1192</v>
      </c>
      <c r="Z44" t="s">
        <v>980</v>
      </c>
      <c r="AA44" s="9">
        <v>3.29</v>
      </c>
      <c r="AB44" s="9">
        <v>3.5</v>
      </c>
      <c r="AC44" s="9">
        <v>3.5</v>
      </c>
      <c r="AD44" s="9">
        <v>3.5</v>
      </c>
      <c r="AE44" s="9">
        <v>2.5</v>
      </c>
      <c r="AF44" s="9">
        <v>3</v>
      </c>
      <c r="AG44" s="9">
        <v>3</v>
      </c>
      <c r="AH44" s="9">
        <v>4</v>
      </c>
      <c r="AI44" t="s">
        <v>278</v>
      </c>
      <c r="AJ44" s="9">
        <v>105</v>
      </c>
      <c r="AK44" t="s">
        <v>486</v>
      </c>
      <c r="AN44" t="s">
        <v>898</v>
      </c>
      <c r="AO44" s="9">
        <v>2013</v>
      </c>
      <c r="AP44" t="s">
        <v>54</v>
      </c>
      <c r="AQ44" t="s">
        <v>899</v>
      </c>
      <c r="AR44" t="s">
        <v>1193</v>
      </c>
      <c r="AS44" t="s">
        <v>900</v>
      </c>
      <c r="AT44" s="9">
        <v>4.1399999999999997</v>
      </c>
      <c r="AU44" s="9">
        <v>3.5</v>
      </c>
      <c r="AV44" s="9">
        <v>4.5</v>
      </c>
      <c r="AW44" s="9">
        <v>4</v>
      </c>
      <c r="AX44" s="9">
        <v>4</v>
      </c>
      <c r="AY44" s="9">
        <v>3.5</v>
      </c>
      <c r="AZ44" s="9">
        <v>5</v>
      </c>
      <c r="BA44" s="9">
        <v>4.5</v>
      </c>
      <c r="BB44" t="s">
        <v>192</v>
      </c>
      <c r="BC44" s="9">
        <v>625</v>
      </c>
      <c r="BD44" t="s">
        <v>545</v>
      </c>
    </row>
    <row r="45" spans="2:56" x14ac:dyDescent="0.35">
      <c r="B45" t="s">
        <v>1140</v>
      </c>
      <c r="C45" s="9">
        <v>1994</v>
      </c>
      <c r="D45" t="s">
        <v>1194</v>
      </c>
      <c r="E45" t="s">
        <v>1043</v>
      </c>
      <c r="F45" t="s">
        <v>1192</v>
      </c>
      <c r="G45" t="s">
        <v>297</v>
      </c>
      <c r="H45" s="9">
        <v>3.79</v>
      </c>
      <c r="I45" s="9">
        <v>4</v>
      </c>
      <c r="J45" s="9">
        <v>4</v>
      </c>
      <c r="K45" s="9">
        <v>4</v>
      </c>
      <c r="L45" s="9">
        <v>4</v>
      </c>
      <c r="M45" s="9">
        <v>3.5</v>
      </c>
      <c r="N45" s="9">
        <v>4</v>
      </c>
      <c r="O45" s="9">
        <v>3</v>
      </c>
      <c r="P45" t="s">
        <v>298</v>
      </c>
      <c r="Q45" s="9">
        <v>86</v>
      </c>
      <c r="R45" t="s">
        <v>394</v>
      </c>
      <c r="U45" t="s">
        <v>1179</v>
      </c>
      <c r="V45" s="9">
        <v>2012</v>
      </c>
      <c r="W45" t="s">
        <v>54</v>
      </c>
      <c r="X45" t="s">
        <v>1180</v>
      </c>
      <c r="Y45" t="s">
        <v>1192</v>
      </c>
      <c r="Z45" t="s">
        <v>950</v>
      </c>
      <c r="AA45" s="9">
        <v>4.21</v>
      </c>
      <c r="AB45" s="9">
        <v>4</v>
      </c>
      <c r="AC45" s="9">
        <v>4.5</v>
      </c>
      <c r="AD45" s="9">
        <v>3.5</v>
      </c>
      <c r="AE45" s="9">
        <v>4.5</v>
      </c>
      <c r="AF45" s="9">
        <v>4.5</v>
      </c>
      <c r="AG45" s="9">
        <v>3.5</v>
      </c>
      <c r="AH45" s="9">
        <v>5</v>
      </c>
      <c r="AI45" t="s">
        <v>312</v>
      </c>
      <c r="AJ45" s="9">
        <v>117</v>
      </c>
      <c r="AK45" t="s">
        <v>505</v>
      </c>
      <c r="AN45" t="s">
        <v>906</v>
      </c>
      <c r="AO45" s="9">
        <v>2013</v>
      </c>
      <c r="AP45" t="s">
        <v>54</v>
      </c>
      <c r="AQ45" t="s">
        <v>686</v>
      </c>
      <c r="AR45" t="s">
        <v>1193</v>
      </c>
      <c r="AS45" t="s">
        <v>740</v>
      </c>
      <c r="AT45" s="9">
        <v>4.71</v>
      </c>
      <c r="AU45" s="9">
        <v>4.5</v>
      </c>
      <c r="AV45" s="9">
        <v>5</v>
      </c>
      <c r="AW45" s="9">
        <v>4</v>
      </c>
      <c r="AX45" s="9">
        <v>5</v>
      </c>
      <c r="AY45" s="9">
        <v>4.5</v>
      </c>
      <c r="AZ45" s="9">
        <v>5</v>
      </c>
      <c r="BA45" s="9">
        <v>5</v>
      </c>
      <c r="BB45" t="s">
        <v>182</v>
      </c>
      <c r="BC45" s="9">
        <v>325</v>
      </c>
      <c r="BD45" t="s">
        <v>546</v>
      </c>
    </row>
    <row r="46" spans="2:56" x14ac:dyDescent="0.35">
      <c r="B46" t="s">
        <v>1133</v>
      </c>
      <c r="C46" s="9">
        <v>1993</v>
      </c>
      <c r="D46" t="s">
        <v>1194</v>
      </c>
      <c r="E46" t="s">
        <v>293</v>
      </c>
      <c r="F46" t="s">
        <v>1192</v>
      </c>
      <c r="G46" t="s">
        <v>1134</v>
      </c>
      <c r="H46" s="9">
        <v>4</v>
      </c>
      <c r="I46" s="9">
        <v>5</v>
      </c>
      <c r="J46" s="9">
        <v>5</v>
      </c>
      <c r="K46" s="9">
        <v>3</v>
      </c>
      <c r="L46" s="9">
        <v>3.5</v>
      </c>
      <c r="M46" s="9">
        <v>2.5</v>
      </c>
      <c r="N46" s="9">
        <v>4</v>
      </c>
      <c r="O46" s="9">
        <v>5</v>
      </c>
      <c r="P46" t="s">
        <v>294</v>
      </c>
      <c r="Q46" s="9">
        <v>80</v>
      </c>
      <c r="R46" t="s">
        <v>395</v>
      </c>
      <c r="U46" t="s">
        <v>762</v>
      </c>
      <c r="V46" s="9">
        <v>2011</v>
      </c>
      <c r="W46" t="s">
        <v>54</v>
      </c>
      <c r="X46" t="s">
        <v>657</v>
      </c>
      <c r="Y46" t="s">
        <v>1192</v>
      </c>
      <c r="Z46" t="s">
        <v>658</v>
      </c>
      <c r="AA46" s="9">
        <v>3.57</v>
      </c>
      <c r="AB46" s="9">
        <v>3.5</v>
      </c>
      <c r="AC46" s="9">
        <v>4</v>
      </c>
      <c r="AD46" s="9">
        <v>3.5</v>
      </c>
      <c r="AE46" s="9">
        <v>3</v>
      </c>
      <c r="AF46" s="9">
        <v>3.5</v>
      </c>
      <c r="AG46" s="9">
        <v>3.5</v>
      </c>
      <c r="AH46" s="9">
        <v>4</v>
      </c>
      <c r="AI46" t="s">
        <v>105</v>
      </c>
      <c r="AJ46" s="9">
        <v>116</v>
      </c>
      <c r="AK46" t="s">
        <v>420</v>
      </c>
      <c r="AN46" t="s">
        <v>747</v>
      </c>
      <c r="AO46" s="9">
        <v>2012</v>
      </c>
      <c r="AP46" t="s">
        <v>54</v>
      </c>
      <c r="AQ46" t="s">
        <v>699</v>
      </c>
      <c r="AR46" t="s">
        <v>1193</v>
      </c>
      <c r="AS46" t="s">
        <v>748</v>
      </c>
      <c r="AT46" s="9">
        <v>3.43</v>
      </c>
      <c r="AU46" s="9">
        <v>3.5</v>
      </c>
      <c r="AV46" s="9">
        <v>3.5</v>
      </c>
      <c r="AW46" s="9">
        <v>3.5</v>
      </c>
      <c r="AX46" s="9">
        <v>3</v>
      </c>
      <c r="AY46" s="9">
        <v>3</v>
      </c>
      <c r="AZ46" s="9">
        <v>3.5</v>
      </c>
      <c r="BA46" s="9">
        <v>4</v>
      </c>
      <c r="BB46" t="s">
        <v>96</v>
      </c>
      <c r="BC46" s="9">
        <v>300</v>
      </c>
      <c r="BD46" t="s">
        <v>547</v>
      </c>
    </row>
    <row r="47" spans="2:56" x14ac:dyDescent="0.35">
      <c r="B47" t="s">
        <v>1275</v>
      </c>
      <c r="C47" s="9">
        <v>1991</v>
      </c>
      <c r="D47" t="s">
        <v>1194</v>
      </c>
      <c r="E47" t="s">
        <v>1305</v>
      </c>
      <c r="F47" t="s">
        <v>1192</v>
      </c>
      <c r="G47" t="s">
        <v>1195</v>
      </c>
      <c r="H47" s="9">
        <v>3.29</v>
      </c>
      <c r="I47" s="9">
        <v>4</v>
      </c>
      <c r="J47" s="9">
        <v>4</v>
      </c>
      <c r="K47" s="9">
        <v>3.5</v>
      </c>
      <c r="L47" s="9">
        <v>4</v>
      </c>
      <c r="M47" s="9">
        <v>2</v>
      </c>
      <c r="N47" s="9">
        <v>3.5</v>
      </c>
      <c r="O47" s="9">
        <v>2</v>
      </c>
      <c r="P47" t="s">
        <v>263</v>
      </c>
      <c r="Q47" s="9">
        <v>74</v>
      </c>
      <c r="R47" t="s">
        <v>1249</v>
      </c>
      <c r="U47" t="s">
        <v>828</v>
      </c>
      <c r="V47" s="9">
        <v>2011</v>
      </c>
      <c r="W47" t="s">
        <v>54</v>
      </c>
      <c r="X47" t="s">
        <v>752</v>
      </c>
      <c r="Y47" t="s">
        <v>1192</v>
      </c>
      <c r="Z47" t="s">
        <v>829</v>
      </c>
      <c r="AA47" s="9">
        <v>3.43</v>
      </c>
      <c r="AB47" s="9">
        <v>3</v>
      </c>
      <c r="AC47" s="9">
        <v>3.5</v>
      </c>
      <c r="AD47" s="9">
        <v>3.5</v>
      </c>
      <c r="AE47" s="9">
        <v>3.5</v>
      </c>
      <c r="AF47" s="9">
        <v>3.5</v>
      </c>
      <c r="AG47" s="9">
        <v>3</v>
      </c>
      <c r="AH47" s="9">
        <v>4</v>
      </c>
      <c r="AI47" t="s">
        <v>140</v>
      </c>
      <c r="AJ47" s="9">
        <v>92</v>
      </c>
      <c r="AK47" t="s">
        <v>426</v>
      </c>
      <c r="AN47" t="s">
        <v>802</v>
      </c>
      <c r="AO47" s="9">
        <v>2012</v>
      </c>
      <c r="AP47" t="s">
        <v>54</v>
      </c>
      <c r="AQ47" t="s">
        <v>803</v>
      </c>
      <c r="AR47" t="s">
        <v>1193</v>
      </c>
      <c r="AS47" t="s">
        <v>804</v>
      </c>
      <c r="AT47" s="9">
        <v>3.57</v>
      </c>
      <c r="AU47" s="9">
        <v>3</v>
      </c>
      <c r="AV47" s="9">
        <v>3.5</v>
      </c>
      <c r="AW47" s="9">
        <v>4</v>
      </c>
      <c r="AX47" s="9">
        <v>3</v>
      </c>
      <c r="AY47" s="9">
        <v>3.5</v>
      </c>
      <c r="AZ47" s="9">
        <v>4</v>
      </c>
      <c r="BA47" s="9">
        <v>4</v>
      </c>
      <c r="BB47" t="s">
        <v>128</v>
      </c>
      <c r="BC47" s="9">
        <v>325</v>
      </c>
      <c r="BD47" t="s">
        <v>548</v>
      </c>
    </row>
    <row r="48" spans="2:56" x14ac:dyDescent="0.35">
      <c r="B48" t="s">
        <v>1042</v>
      </c>
      <c r="C48" s="9">
        <v>1991</v>
      </c>
      <c r="D48" t="s">
        <v>1194</v>
      </c>
      <c r="E48" t="s">
        <v>1043</v>
      </c>
      <c r="F48" t="s">
        <v>1192</v>
      </c>
      <c r="G48" t="s">
        <v>1044</v>
      </c>
      <c r="H48" s="9">
        <v>3.14</v>
      </c>
      <c r="I48" s="9">
        <v>3</v>
      </c>
      <c r="J48" s="9">
        <v>3</v>
      </c>
      <c r="K48" s="9">
        <v>4</v>
      </c>
      <c r="L48" s="9">
        <v>4</v>
      </c>
      <c r="M48" s="9">
        <v>2</v>
      </c>
      <c r="N48" s="9">
        <v>3</v>
      </c>
      <c r="O48" s="9">
        <v>3</v>
      </c>
      <c r="P48" t="s">
        <v>244</v>
      </c>
      <c r="Q48" s="9">
        <v>74</v>
      </c>
      <c r="R48" t="s">
        <v>396</v>
      </c>
      <c r="U48" t="s">
        <v>158</v>
      </c>
      <c r="V48" s="9">
        <v>2011</v>
      </c>
      <c r="W48" t="s">
        <v>54</v>
      </c>
      <c r="X48" t="s">
        <v>755</v>
      </c>
      <c r="Y48" t="s">
        <v>1192</v>
      </c>
      <c r="Z48" t="s">
        <v>159</v>
      </c>
      <c r="AA48" s="9">
        <v>2.21</v>
      </c>
      <c r="AB48" s="9">
        <v>2.5</v>
      </c>
      <c r="AC48" s="9">
        <v>3.5</v>
      </c>
      <c r="AD48" s="9">
        <v>2.5</v>
      </c>
      <c r="AE48" s="9">
        <v>2.5</v>
      </c>
      <c r="AF48" s="9">
        <v>1.5</v>
      </c>
      <c r="AG48" s="9">
        <v>2</v>
      </c>
      <c r="AH48" s="9">
        <v>1</v>
      </c>
      <c r="AI48" t="s">
        <v>160</v>
      </c>
      <c r="AJ48" s="9">
        <v>97</v>
      </c>
      <c r="AK48" t="s">
        <v>433</v>
      </c>
      <c r="AN48" t="s">
        <v>845</v>
      </c>
      <c r="AO48" s="9">
        <v>2012</v>
      </c>
      <c r="AP48" t="s">
        <v>54</v>
      </c>
      <c r="AQ48" t="s">
        <v>764</v>
      </c>
      <c r="AR48" t="s">
        <v>1193</v>
      </c>
      <c r="AS48" t="s">
        <v>846</v>
      </c>
      <c r="AT48" s="9">
        <v>2.14</v>
      </c>
      <c r="AU48" s="9">
        <v>1.5</v>
      </c>
      <c r="AV48" s="9">
        <v>2</v>
      </c>
      <c r="AW48" s="9">
        <v>2</v>
      </c>
      <c r="AX48" s="9">
        <v>4</v>
      </c>
      <c r="AY48" s="9">
        <v>1.5</v>
      </c>
      <c r="AZ48" s="9">
        <v>3</v>
      </c>
      <c r="BA48" s="9">
        <v>1</v>
      </c>
      <c r="BB48" t="s">
        <v>148</v>
      </c>
      <c r="BC48" s="9">
        <v>325</v>
      </c>
      <c r="BD48" t="s">
        <v>549</v>
      </c>
    </row>
    <row r="49" spans="2:56" x14ac:dyDescent="0.35">
      <c r="B49" t="s">
        <v>1274</v>
      </c>
      <c r="C49" s="9">
        <v>1986</v>
      </c>
      <c r="D49" t="s">
        <v>1194</v>
      </c>
      <c r="E49" t="s">
        <v>1304</v>
      </c>
      <c r="F49" t="s">
        <v>1192</v>
      </c>
      <c r="G49" t="s">
        <v>1044</v>
      </c>
      <c r="H49" s="9">
        <v>3.21</v>
      </c>
      <c r="I49" s="9">
        <v>3.5</v>
      </c>
      <c r="J49" s="9">
        <v>3.5</v>
      </c>
      <c r="K49" s="9">
        <v>3</v>
      </c>
      <c r="L49" s="9">
        <v>3</v>
      </c>
      <c r="M49" s="9">
        <v>3.5</v>
      </c>
      <c r="N49" s="9">
        <v>3</v>
      </c>
      <c r="O49" s="9">
        <v>3</v>
      </c>
      <c r="P49" t="s">
        <v>300</v>
      </c>
      <c r="Q49" s="9">
        <v>80</v>
      </c>
      <c r="R49" t="s">
        <v>1250</v>
      </c>
      <c r="U49" t="s">
        <v>1108</v>
      </c>
      <c r="V49" s="9">
        <v>2011</v>
      </c>
      <c r="W49" t="s">
        <v>54</v>
      </c>
      <c r="X49" t="s">
        <v>1109</v>
      </c>
      <c r="Y49" t="s">
        <v>1192</v>
      </c>
      <c r="Z49" t="s">
        <v>1110</v>
      </c>
      <c r="AA49" s="9">
        <v>2.21</v>
      </c>
      <c r="AB49" s="9">
        <v>3.5</v>
      </c>
      <c r="AC49" s="9">
        <v>2</v>
      </c>
      <c r="AD49" s="9">
        <v>2</v>
      </c>
      <c r="AE49" s="9">
        <v>2</v>
      </c>
      <c r="AF49" s="9">
        <v>2</v>
      </c>
      <c r="AG49" s="9">
        <v>2</v>
      </c>
      <c r="AH49" s="9">
        <v>2</v>
      </c>
      <c r="AI49" t="s">
        <v>211</v>
      </c>
      <c r="AJ49" s="9">
        <v>98</v>
      </c>
      <c r="AK49" t="s">
        <v>485</v>
      </c>
      <c r="AN49" t="s">
        <v>864</v>
      </c>
      <c r="AO49" s="9">
        <v>2012</v>
      </c>
      <c r="AP49" t="s">
        <v>54</v>
      </c>
      <c r="AQ49" t="s">
        <v>865</v>
      </c>
      <c r="AR49" t="s">
        <v>1193</v>
      </c>
      <c r="AS49" t="s">
        <v>866</v>
      </c>
      <c r="AT49" s="9">
        <v>3.43</v>
      </c>
      <c r="AU49" s="9">
        <v>2.5</v>
      </c>
      <c r="AV49" s="9">
        <v>3.5</v>
      </c>
      <c r="AW49" s="9">
        <v>3.5</v>
      </c>
      <c r="AX49" s="9">
        <v>3.5</v>
      </c>
      <c r="AY49" s="9">
        <v>2.5</v>
      </c>
      <c r="AZ49" s="9">
        <v>4.5</v>
      </c>
      <c r="BA49" s="9">
        <v>4</v>
      </c>
      <c r="BB49" t="s">
        <v>160</v>
      </c>
      <c r="BC49" s="9">
        <v>900</v>
      </c>
      <c r="BD49" t="s">
        <v>550</v>
      </c>
    </row>
    <row r="50" spans="2:56" x14ac:dyDescent="0.35">
      <c r="B50" s="20" t="s">
        <v>1168</v>
      </c>
      <c r="C50" s="19">
        <v>1986</v>
      </c>
      <c r="D50" s="20" t="s">
        <v>59</v>
      </c>
      <c r="E50" s="20" t="s">
        <v>1169</v>
      </c>
      <c r="F50" s="21" t="s">
        <v>1192</v>
      </c>
      <c r="G50" s="20" t="s">
        <v>1170</v>
      </c>
      <c r="H50" s="19">
        <v>3.79</v>
      </c>
      <c r="I50" s="19">
        <v>4</v>
      </c>
      <c r="J50" s="19">
        <v>4</v>
      </c>
      <c r="K50" s="19">
        <v>4</v>
      </c>
      <c r="L50" s="19">
        <v>4</v>
      </c>
      <c r="M50" s="19">
        <v>3.5</v>
      </c>
      <c r="N50" s="19">
        <v>3</v>
      </c>
      <c r="O50" s="19">
        <v>4</v>
      </c>
      <c r="P50" s="20" t="s">
        <v>310</v>
      </c>
      <c r="Q50" s="19">
        <v>85</v>
      </c>
      <c r="R50" s="20" t="s">
        <v>397</v>
      </c>
      <c r="U50" t="s">
        <v>1122</v>
      </c>
      <c r="V50" s="9">
        <v>2011</v>
      </c>
      <c r="W50" t="s">
        <v>54</v>
      </c>
      <c r="X50" t="s">
        <v>699</v>
      </c>
      <c r="Y50" t="s">
        <v>1192</v>
      </c>
      <c r="Z50" t="s">
        <v>1123</v>
      </c>
      <c r="AA50" s="9">
        <v>3.07</v>
      </c>
      <c r="AB50" s="9">
        <v>3</v>
      </c>
      <c r="AC50" s="9">
        <v>3.5</v>
      </c>
      <c r="AD50" s="9">
        <v>3</v>
      </c>
      <c r="AE50" s="9">
        <v>3</v>
      </c>
      <c r="AF50" s="9">
        <v>3</v>
      </c>
      <c r="AG50" s="9">
        <v>3</v>
      </c>
      <c r="AH50" s="9">
        <v>3</v>
      </c>
      <c r="AI50" t="s">
        <v>285</v>
      </c>
      <c r="AJ50" s="9">
        <v>100</v>
      </c>
      <c r="AK50" t="s">
        <v>489</v>
      </c>
      <c r="AN50" t="s">
        <v>883</v>
      </c>
      <c r="AO50" s="9">
        <v>2012</v>
      </c>
      <c r="AP50" t="s">
        <v>54</v>
      </c>
      <c r="AQ50" t="s">
        <v>884</v>
      </c>
      <c r="AR50" t="s">
        <v>1193</v>
      </c>
      <c r="AS50" t="s">
        <v>885</v>
      </c>
      <c r="AT50" s="9">
        <v>3.71</v>
      </c>
      <c r="AU50" s="9">
        <v>3.5</v>
      </c>
      <c r="AV50" s="9">
        <v>3</v>
      </c>
      <c r="AW50" s="9">
        <v>5</v>
      </c>
      <c r="AX50" s="9">
        <v>3</v>
      </c>
      <c r="AY50" s="9">
        <v>3.5</v>
      </c>
      <c r="AZ50" s="9">
        <v>4</v>
      </c>
      <c r="BA50" s="9">
        <v>4</v>
      </c>
      <c r="BB50" t="s">
        <v>171</v>
      </c>
      <c r="BC50" s="9">
        <v>600</v>
      </c>
      <c r="BD50" t="s">
        <v>551</v>
      </c>
    </row>
    <row r="51" spans="2:56" x14ac:dyDescent="0.35">
      <c r="B51" s="6" t="s">
        <v>1282</v>
      </c>
      <c r="C51" s="11">
        <v>1983</v>
      </c>
      <c r="D51" s="6" t="s">
        <v>1194</v>
      </c>
      <c r="E51" s="6" t="s">
        <v>1307</v>
      </c>
      <c r="F51" s="22" t="s">
        <v>1192</v>
      </c>
      <c r="G51" s="6" t="s">
        <v>1178</v>
      </c>
      <c r="H51" s="11">
        <v>2.93</v>
      </c>
      <c r="I51" s="11">
        <v>2.5</v>
      </c>
      <c r="J51" s="11">
        <v>2.5</v>
      </c>
      <c r="K51" s="11">
        <v>3</v>
      </c>
      <c r="L51" s="11">
        <v>2.5</v>
      </c>
      <c r="M51" s="11">
        <v>3</v>
      </c>
      <c r="N51" s="11">
        <v>3.5</v>
      </c>
      <c r="O51" s="11">
        <v>3.5</v>
      </c>
      <c r="P51" s="6" t="s">
        <v>1209</v>
      </c>
      <c r="Q51" s="11">
        <v>81</v>
      </c>
      <c r="R51" s="6" t="s">
        <v>1251</v>
      </c>
      <c r="U51" t="s">
        <v>1148</v>
      </c>
      <c r="V51" s="9">
        <v>2011</v>
      </c>
      <c r="W51" t="s">
        <v>54</v>
      </c>
      <c r="X51" t="s">
        <v>739</v>
      </c>
      <c r="Y51" t="s">
        <v>1192</v>
      </c>
      <c r="Z51" t="s">
        <v>796</v>
      </c>
      <c r="AA51" s="9">
        <v>1.5</v>
      </c>
      <c r="AB51" s="9">
        <v>1.5</v>
      </c>
      <c r="AC51" s="9">
        <v>2</v>
      </c>
      <c r="AD51" s="9">
        <v>1.5</v>
      </c>
      <c r="AE51" s="9">
        <v>1.5</v>
      </c>
      <c r="AF51" s="9">
        <v>1.5</v>
      </c>
      <c r="AG51" s="9">
        <v>1.5</v>
      </c>
      <c r="AH51" s="9">
        <v>1</v>
      </c>
      <c r="AI51" t="s">
        <v>303</v>
      </c>
      <c r="AJ51" s="9">
        <v>300</v>
      </c>
      <c r="AK51" t="s">
        <v>497</v>
      </c>
      <c r="AN51" t="s">
        <v>886</v>
      </c>
      <c r="AO51" s="9">
        <v>2012</v>
      </c>
      <c r="AP51" t="s">
        <v>54</v>
      </c>
      <c r="AQ51" t="s">
        <v>887</v>
      </c>
      <c r="AR51" t="s">
        <v>1193</v>
      </c>
      <c r="AS51" t="s">
        <v>888</v>
      </c>
      <c r="AT51" s="9">
        <v>3.71</v>
      </c>
      <c r="AU51" s="9">
        <v>4</v>
      </c>
      <c r="AV51" s="9">
        <v>4.5</v>
      </c>
      <c r="AW51" s="9">
        <v>4</v>
      </c>
      <c r="AX51" s="9">
        <v>3</v>
      </c>
      <c r="AY51" s="9">
        <v>3</v>
      </c>
      <c r="AZ51" s="9">
        <v>3.5</v>
      </c>
      <c r="BA51" s="9">
        <v>4</v>
      </c>
      <c r="BB51" t="s">
        <v>172</v>
      </c>
      <c r="BC51" s="9">
        <v>325</v>
      </c>
      <c r="BD51" t="s">
        <v>552</v>
      </c>
    </row>
    <row r="52" spans="2:56" x14ac:dyDescent="0.35">
      <c r="B52" s="6" t="s">
        <v>1039</v>
      </c>
      <c r="C52" s="11">
        <v>1983</v>
      </c>
      <c r="D52" s="6" t="s">
        <v>1225</v>
      </c>
      <c r="E52" s="6" t="s">
        <v>1040</v>
      </c>
      <c r="F52" s="22" t="s">
        <v>1192</v>
      </c>
      <c r="G52" s="6" t="s">
        <v>1041</v>
      </c>
      <c r="H52" s="11">
        <v>2.86</v>
      </c>
      <c r="I52" s="11">
        <v>3.5</v>
      </c>
      <c r="J52" s="11">
        <v>3.5</v>
      </c>
      <c r="K52" s="11">
        <v>2.5</v>
      </c>
      <c r="L52" s="11">
        <v>3.5</v>
      </c>
      <c r="M52" s="11">
        <v>2</v>
      </c>
      <c r="N52" s="11">
        <v>2.5</v>
      </c>
      <c r="O52" s="11">
        <v>2.5</v>
      </c>
      <c r="P52" s="6" t="s">
        <v>139</v>
      </c>
      <c r="Q52" s="11">
        <v>77</v>
      </c>
      <c r="R52" s="6" t="s">
        <v>398</v>
      </c>
      <c r="U52" t="s">
        <v>770</v>
      </c>
      <c r="V52" s="9">
        <v>2010</v>
      </c>
      <c r="W52" t="s">
        <v>54</v>
      </c>
      <c r="X52" t="s">
        <v>771</v>
      </c>
      <c r="Y52" t="s">
        <v>1192</v>
      </c>
      <c r="Z52" t="s">
        <v>772</v>
      </c>
      <c r="AA52" s="9">
        <v>3.5</v>
      </c>
      <c r="AB52" s="9">
        <v>3.5</v>
      </c>
      <c r="AC52" s="9">
        <v>4</v>
      </c>
      <c r="AD52" s="9">
        <v>3.5</v>
      </c>
      <c r="AE52" s="9">
        <v>2.5</v>
      </c>
      <c r="AF52" s="9">
        <v>4.5</v>
      </c>
      <c r="AG52" s="9">
        <v>2.5</v>
      </c>
      <c r="AH52" s="9">
        <v>4</v>
      </c>
      <c r="AI52" t="s">
        <v>112</v>
      </c>
      <c r="AJ52" s="9">
        <v>127</v>
      </c>
      <c r="AK52" t="s">
        <v>421</v>
      </c>
      <c r="AN52" t="s">
        <v>905</v>
      </c>
      <c r="AO52" s="9">
        <v>2012</v>
      </c>
      <c r="AP52" t="s">
        <v>54</v>
      </c>
      <c r="AQ52" t="s">
        <v>803</v>
      </c>
      <c r="AR52" t="s">
        <v>1193</v>
      </c>
      <c r="AS52" t="s">
        <v>180</v>
      </c>
      <c r="AT52" s="9">
        <v>3.29</v>
      </c>
      <c r="AU52" s="9">
        <v>2.5</v>
      </c>
      <c r="AV52" s="9">
        <v>3</v>
      </c>
      <c r="AW52" s="9">
        <v>3</v>
      </c>
      <c r="AX52" s="9">
        <v>3</v>
      </c>
      <c r="AY52" s="9">
        <v>4</v>
      </c>
      <c r="AZ52" s="9">
        <v>3.5</v>
      </c>
      <c r="BA52" s="9">
        <v>4</v>
      </c>
      <c r="BB52" t="s">
        <v>181</v>
      </c>
      <c r="BC52" s="9">
        <v>425</v>
      </c>
      <c r="BD52" t="s">
        <v>553</v>
      </c>
    </row>
    <row r="53" spans="2:56" x14ac:dyDescent="0.35">
      <c r="B53" s="6" t="s">
        <v>1093</v>
      </c>
      <c r="C53" s="11">
        <v>1982</v>
      </c>
      <c r="D53" s="6" t="s">
        <v>1194</v>
      </c>
      <c r="E53" s="6" t="s">
        <v>1094</v>
      </c>
      <c r="F53" s="22" t="s">
        <v>1192</v>
      </c>
      <c r="G53" s="6" t="s">
        <v>271</v>
      </c>
      <c r="H53" s="11">
        <v>3.21</v>
      </c>
      <c r="I53" s="11">
        <v>2.5</v>
      </c>
      <c r="J53" s="11">
        <v>3</v>
      </c>
      <c r="K53" s="11">
        <v>3</v>
      </c>
      <c r="L53" s="11">
        <v>3.5</v>
      </c>
      <c r="M53" s="11">
        <v>3</v>
      </c>
      <c r="N53" s="11">
        <v>3.5</v>
      </c>
      <c r="O53" s="11">
        <v>4</v>
      </c>
      <c r="P53" s="6" t="s">
        <v>199</v>
      </c>
      <c r="Q53" s="11">
        <v>95</v>
      </c>
      <c r="R53" s="6" t="s">
        <v>399</v>
      </c>
      <c r="U53" t="s">
        <v>783</v>
      </c>
      <c r="V53" s="9">
        <v>2010</v>
      </c>
      <c r="W53" t="s">
        <v>54</v>
      </c>
      <c r="X53" t="s">
        <v>118</v>
      </c>
      <c r="Y53" t="s">
        <v>1192</v>
      </c>
      <c r="Z53" t="s">
        <v>119</v>
      </c>
      <c r="AA53" s="9">
        <v>2.4300000000000002</v>
      </c>
      <c r="AB53" s="9">
        <v>2</v>
      </c>
      <c r="AC53" s="9">
        <v>3.5</v>
      </c>
      <c r="AD53" s="9">
        <v>3</v>
      </c>
      <c r="AE53" s="9">
        <v>2.5</v>
      </c>
      <c r="AF53" s="9">
        <v>2</v>
      </c>
      <c r="AG53" s="9">
        <v>2</v>
      </c>
      <c r="AH53" s="9">
        <v>2</v>
      </c>
      <c r="AI53" t="s">
        <v>120</v>
      </c>
      <c r="AJ53" s="9">
        <v>88</v>
      </c>
      <c r="AK53" t="s">
        <v>422</v>
      </c>
      <c r="AN53" t="s">
        <v>913</v>
      </c>
      <c r="AO53" s="9">
        <v>2012</v>
      </c>
      <c r="AP53" t="s">
        <v>54</v>
      </c>
      <c r="AQ53" t="s">
        <v>663</v>
      </c>
      <c r="AR53" t="s">
        <v>1193</v>
      </c>
      <c r="AS53" t="s">
        <v>914</v>
      </c>
      <c r="AT53" s="9">
        <v>2.71</v>
      </c>
      <c r="AU53" s="9">
        <v>4</v>
      </c>
      <c r="AV53" s="9">
        <v>3</v>
      </c>
      <c r="AW53" s="9">
        <v>3</v>
      </c>
      <c r="AX53" s="9">
        <v>2.5</v>
      </c>
      <c r="AY53" s="9">
        <v>2.5</v>
      </c>
      <c r="AZ53" s="9">
        <v>2</v>
      </c>
      <c r="BA53" s="9">
        <v>2</v>
      </c>
      <c r="BB53" t="s">
        <v>185</v>
      </c>
      <c r="BC53" s="9">
        <v>325</v>
      </c>
      <c r="BD53" t="s">
        <v>554</v>
      </c>
    </row>
    <row r="54" spans="2:56" x14ac:dyDescent="0.35">
      <c r="B54" s="6" t="s">
        <v>1106</v>
      </c>
      <c r="C54" s="11">
        <v>1982</v>
      </c>
      <c r="D54" s="6" t="s">
        <v>1194</v>
      </c>
      <c r="E54" s="6" t="s">
        <v>1107</v>
      </c>
      <c r="F54" s="22" t="s">
        <v>1192</v>
      </c>
      <c r="G54" s="6" t="s">
        <v>277</v>
      </c>
      <c r="H54" s="11">
        <v>3.64</v>
      </c>
      <c r="I54" s="11">
        <v>3</v>
      </c>
      <c r="J54" s="11">
        <v>4</v>
      </c>
      <c r="K54" s="11">
        <v>3.5</v>
      </c>
      <c r="L54" s="11">
        <v>3.5</v>
      </c>
      <c r="M54" s="11">
        <v>3.5</v>
      </c>
      <c r="N54" s="11">
        <v>3</v>
      </c>
      <c r="O54" s="11">
        <v>5</v>
      </c>
      <c r="P54" s="6" t="s">
        <v>83</v>
      </c>
      <c r="Q54" s="11">
        <v>84</v>
      </c>
      <c r="R54" s="6" t="s">
        <v>400</v>
      </c>
      <c r="U54" t="s">
        <v>910</v>
      </c>
      <c r="V54" s="9">
        <v>2010</v>
      </c>
      <c r="W54" t="s">
        <v>54</v>
      </c>
      <c r="X54" t="s">
        <v>911</v>
      </c>
      <c r="Y54" t="s">
        <v>1192</v>
      </c>
      <c r="Z54" t="s">
        <v>912</v>
      </c>
      <c r="AA54" s="9">
        <v>2.4300000000000002</v>
      </c>
      <c r="AB54" s="9">
        <v>2.5</v>
      </c>
      <c r="AC54" s="9">
        <v>3</v>
      </c>
      <c r="AD54" s="9">
        <v>2.5</v>
      </c>
      <c r="AE54" s="9">
        <v>2</v>
      </c>
      <c r="AF54" s="9">
        <v>2</v>
      </c>
      <c r="AG54" s="9">
        <v>3</v>
      </c>
      <c r="AH54" s="9">
        <v>2</v>
      </c>
      <c r="AI54" t="s">
        <v>143</v>
      </c>
      <c r="AJ54" s="9">
        <v>99</v>
      </c>
      <c r="AK54" t="s">
        <v>439</v>
      </c>
      <c r="AN54" t="s">
        <v>929</v>
      </c>
      <c r="AO54" s="9">
        <v>2012</v>
      </c>
      <c r="AP54" t="s">
        <v>54</v>
      </c>
      <c r="AQ54" t="s">
        <v>920</v>
      </c>
      <c r="AR54" t="s">
        <v>1193</v>
      </c>
      <c r="AS54" t="s">
        <v>930</v>
      </c>
      <c r="AT54" s="9">
        <v>3.93</v>
      </c>
      <c r="AU54" s="9">
        <v>3</v>
      </c>
      <c r="AV54" s="9">
        <v>5</v>
      </c>
      <c r="AW54" s="9">
        <v>4.5</v>
      </c>
      <c r="AX54" s="9">
        <v>3</v>
      </c>
      <c r="AY54" s="9">
        <v>3.5</v>
      </c>
      <c r="AZ54" s="9">
        <v>3.5</v>
      </c>
      <c r="BA54" s="9">
        <v>5</v>
      </c>
      <c r="BB54" t="s">
        <v>193</v>
      </c>
      <c r="BC54" s="9">
        <v>325</v>
      </c>
      <c r="BD54" t="s">
        <v>555</v>
      </c>
    </row>
    <row r="55" spans="2:56" x14ac:dyDescent="0.35">
      <c r="B55" s="6" t="s">
        <v>1299</v>
      </c>
      <c r="C55" s="11">
        <v>1982</v>
      </c>
      <c r="D55" s="6" t="s">
        <v>59</v>
      </c>
      <c r="E55" s="6" t="s">
        <v>1313</v>
      </c>
      <c r="F55" s="22" t="s">
        <v>1192</v>
      </c>
      <c r="G55" s="6" t="s">
        <v>1324</v>
      </c>
      <c r="H55" s="11">
        <v>3.93</v>
      </c>
      <c r="I55" s="11">
        <v>3.5</v>
      </c>
      <c r="J55" s="11">
        <v>3</v>
      </c>
      <c r="K55" s="11">
        <v>3</v>
      </c>
      <c r="L55" s="11">
        <v>4.5</v>
      </c>
      <c r="M55" s="11">
        <v>5</v>
      </c>
      <c r="N55" s="11">
        <v>4</v>
      </c>
      <c r="O55" s="11">
        <v>4.5</v>
      </c>
      <c r="P55" s="6" t="s">
        <v>1239</v>
      </c>
      <c r="Q55" s="11">
        <v>103</v>
      </c>
      <c r="R55" s="6" t="s">
        <v>1252</v>
      </c>
      <c r="U55" t="s">
        <v>1084</v>
      </c>
      <c r="V55" s="9">
        <v>2010</v>
      </c>
      <c r="W55" t="s">
        <v>54</v>
      </c>
      <c r="X55" t="s">
        <v>663</v>
      </c>
      <c r="Y55" t="s">
        <v>1192</v>
      </c>
      <c r="Z55" t="s">
        <v>267</v>
      </c>
      <c r="AA55" s="9">
        <v>3.71</v>
      </c>
      <c r="AB55" s="9">
        <v>4</v>
      </c>
      <c r="AC55" s="9">
        <v>4</v>
      </c>
      <c r="AD55" s="9">
        <v>4</v>
      </c>
      <c r="AE55" s="9">
        <v>3.5</v>
      </c>
      <c r="AF55" s="9">
        <v>3.5</v>
      </c>
      <c r="AG55" s="9">
        <v>3</v>
      </c>
      <c r="AH55" s="9">
        <v>4</v>
      </c>
      <c r="AI55" t="s">
        <v>268</v>
      </c>
      <c r="AJ55" s="9">
        <v>162</v>
      </c>
      <c r="AK55" t="s">
        <v>479</v>
      </c>
      <c r="AN55" t="s">
        <v>1288</v>
      </c>
      <c r="AO55" s="9">
        <v>2012</v>
      </c>
      <c r="AP55" t="s">
        <v>54</v>
      </c>
      <c r="AQ55" t="s">
        <v>694</v>
      </c>
      <c r="AR55" t="s">
        <v>1193</v>
      </c>
      <c r="AS55" t="s">
        <v>1217</v>
      </c>
      <c r="AT55" s="9">
        <v>3.57</v>
      </c>
      <c r="AU55" s="9">
        <v>3</v>
      </c>
      <c r="AV55" s="9">
        <v>4</v>
      </c>
      <c r="AW55" s="9">
        <v>4</v>
      </c>
      <c r="AX55" s="9">
        <v>4</v>
      </c>
      <c r="AY55" s="9">
        <v>3.5</v>
      </c>
      <c r="AZ55" s="9">
        <v>3.5</v>
      </c>
      <c r="BA55" s="9">
        <v>3</v>
      </c>
      <c r="BB55" t="s">
        <v>1218</v>
      </c>
      <c r="BC55" s="9">
        <v>800</v>
      </c>
      <c r="BD55" t="s">
        <v>1271</v>
      </c>
    </row>
    <row r="56" spans="2:56" x14ac:dyDescent="0.35">
      <c r="B56" s="20" t="s">
        <v>1129</v>
      </c>
      <c r="C56" s="19">
        <v>1982</v>
      </c>
      <c r="D56" s="20" t="s">
        <v>1194</v>
      </c>
      <c r="E56" s="20" t="s">
        <v>1043</v>
      </c>
      <c r="F56" s="21" t="s">
        <v>1192</v>
      </c>
      <c r="G56" s="20" t="s">
        <v>1044</v>
      </c>
      <c r="H56" s="19">
        <v>4.3600000000000003</v>
      </c>
      <c r="I56" s="19">
        <v>4.5</v>
      </c>
      <c r="J56" s="19">
        <v>4</v>
      </c>
      <c r="K56" s="19">
        <v>4.5</v>
      </c>
      <c r="L56" s="19">
        <v>4.5</v>
      </c>
      <c r="M56" s="19">
        <v>4.5</v>
      </c>
      <c r="N56" s="19">
        <v>4.5</v>
      </c>
      <c r="O56" s="19">
        <v>4</v>
      </c>
      <c r="P56" s="20" t="s">
        <v>290</v>
      </c>
      <c r="Q56" s="19">
        <v>82</v>
      </c>
      <c r="R56" s="20" t="s">
        <v>401</v>
      </c>
      <c r="U56" t="s">
        <v>1130</v>
      </c>
      <c r="V56" s="9">
        <v>2010</v>
      </c>
      <c r="W56" t="s">
        <v>54</v>
      </c>
      <c r="X56" t="s">
        <v>752</v>
      </c>
      <c r="Y56" t="s">
        <v>1192</v>
      </c>
      <c r="Z56" t="s">
        <v>198</v>
      </c>
      <c r="AA56" s="9">
        <v>3.43</v>
      </c>
      <c r="AB56" s="9">
        <v>3.5</v>
      </c>
      <c r="AC56" s="9">
        <v>4</v>
      </c>
      <c r="AD56" s="9">
        <v>4</v>
      </c>
      <c r="AE56" s="9">
        <v>3.5</v>
      </c>
      <c r="AF56" s="9">
        <v>2.5</v>
      </c>
      <c r="AG56" s="9">
        <v>2.5</v>
      </c>
      <c r="AH56" s="9">
        <v>4</v>
      </c>
      <c r="AI56" t="s">
        <v>199</v>
      </c>
      <c r="AJ56" s="9">
        <v>95</v>
      </c>
      <c r="AK56" t="s">
        <v>490</v>
      </c>
      <c r="AN56" t="s">
        <v>986</v>
      </c>
      <c r="AO56" s="9">
        <v>2012</v>
      </c>
      <c r="AP56" t="s">
        <v>54</v>
      </c>
      <c r="AQ56" t="s">
        <v>694</v>
      </c>
      <c r="AR56" t="s">
        <v>1193</v>
      </c>
      <c r="AS56" t="s">
        <v>218</v>
      </c>
      <c r="AT56" s="9">
        <v>4.1399999999999997</v>
      </c>
      <c r="AU56" s="9">
        <v>4</v>
      </c>
      <c r="AV56" s="9">
        <v>4</v>
      </c>
      <c r="AW56" s="9">
        <v>4</v>
      </c>
      <c r="AX56" s="9">
        <v>4</v>
      </c>
      <c r="AY56" s="9">
        <v>4</v>
      </c>
      <c r="AZ56" s="9">
        <v>4</v>
      </c>
      <c r="BA56" s="9">
        <v>5</v>
      </c>
      <c r="BB56" t="s">
        <v>77</v>
      </c>
      <c r="BC56" s="9">
        <v>275</v>
      </c>
      <c r="BD56" t="s">
        <v>556</v>
      </c>
    </row>
    <row r="57" spans="2:56" x14ac:dyDescent="0.35">
      <c r="B57" s="6" t="s">
        <v>1303</v>
      </c>
      <c r="C57" s="11">
        <v>1978</v>
      </c>
      <c r="D57" s="6" t="s">
        <v>59</v>
      </c>
      <c r="E57" s="6" t="s">
        <v>1313</v>
      </c>
      <c r="F57" s="22" t="s">
        <v>1192</v>
      </c>
      <c r="G57" s="6" t="s">
        <v>1324</v>
      </c>
      <c r="H57" s="11">
        <v>4.21</v>
      </c>
      <c r="I57" s="11">
        <v>3.5</v>
      </c>
      <c r="J57" s="11">
        <v>3.5</v>
      </c>
      <c r="K57" s="11">
        <v>4</v>
      </c>
      <c r="L57" s="11">
        <v>4.5</v>
      </c>
      <c r="M57" s="11">
        <v>5</v>
      </c>
      <c r="N57" s="11">
        <v>4</v>
      </c>
      <c r="O57" s="11">
        <v>5</v>
      </c>
      <c r="P57" s="6" t="s">
        <v>1243</v>
      </c>
      <c r="Q57" s="11">
        <v>91</v>
      </c>
      <c r="R57" s="6" t="s">
        <v>1253</v>
      </c>
      <c r="U57" t="s">
        <v>1141</v>
      </c>
      <c r="V57" s="9">
        <v>2010</v>
      </c>
      <c r="W57" t="s">
        <v>54</v>
      </c>
      <c r="X57" t="s">
        <v>1142</v>
      </c>
      <c r="Y57" t="s">
        <v>1192</v>
      </c>
      <c r="Z57" t="s">
        <v>1143</v>
      </c>
      <c r="AA57" s="9">
        <v>3.5</v>
      </c>
      <c r="AB57" s="9">
        <v>4</v>
      </c>
      <c r="AC57" s="9">
        <v>3.5</v>
      </c>
      <c r="AD57" s="9">
        <v>3.5</v>
      </c>
      <c r="AE57" s="9">
        <v>3.5</v>
      </c>
      <c r="AF57" s="9">
        <v>3.5</v>
      </c>
      <c r="AG57" s="9">
        <v>3</v>
      </c>
      <c r="AH57" s="9">
        <v>3.5</v>
      </c>
      <c r="AI57" t="s">
        <v>299</v>
      </c>
      <c r="AJ57" s="9">
        <v>0</v>
      </c>
      <c r="AK57" t="s">
        <v>494</v>
      </c>
      <c r="AN57" t="s">
        <v>1047</v>
      </c>
      <c r="AO57" s="9">
        <v>2012</v>
      </c>
      <c r="AP57" t="s">
        <v>54</v>
      </c>
      <c r="AQ57" t="s">
        <v>816</v>
      </c>
      <c r="AR57" t="s">
        <v>1193</v>
      </c>
      <c r="AS57" t="s">
        <v>1048</v>
      </c>
      <c r="AT57" s="9">
        <v>3.43</v>
      </c>
      <c r="AU57" s="9">
        <v>3</v>
      </c>
      <c r="AV57" s="9">
        <v>3.5</v>
      </c>
      <c r="AW57" s="9">
        <v>3.5</v>
      </c>
      <c r="AX57" s="9">
        <v>3.5</v>
      </c>
      <c r="AY57" s="9">
        <v>3.5</v>
      </c>
      <c r="AZ57" s="9">
        <v>3.5</v>
      </c>
      <c r="BA57" s="9">
        <v>3.5</v>
      </c>
      <c r="BB57" t="s">
        <v>350</v>
      </c>
      <c r="BC57" s="9">
        <v>325</v>
      </c>
      <c r="BD57" t="s">
        <v>557</v>
      </c>
    </row>
    <row r="58" spans="2:56" x14ac:dyDescent="0.35">
      <c r="B58" s="6" t="s">
        <v>1176</v>
      </c>
      <c r="C58" s="11">
        <v>1977</v>
      </c>
      <c r="D58" s="6" t="s">
        <v>1194</v>
      </c>
      <c r="E58" s="6" t="s">
        <v>1177</v>
      </c>
      <c r="F58" s="22" t="s">
        <v>1192</v>
      </c>
      <c r="G58" s="6" t="s">
        <v>1178</v>
      </c>
      <c r="H58" s="11">
        <v>1.79</v>
      </c>
      <c r="I58" s="11">
        <v>1.5</v>
      </c>
      <c r="J58" s="11">
        <v>2.5</v>
      </c>
      <c r="K58" s="11">
        <v>2.5</v>
      </c>
      <c r="L58" s="11">
        <v>2.5</v>
      </c>
      <c r="M58" s="11">
        <v>1</v>
      </c>
      <c r="N58" s="11">
        <v>1.5</v>
      </c>
      <c r="O58" s="11">
        <v>1</v>
      </c>
      <c r="P58" s="6" t="s">
        <v>269</v>
      </c>
      <c r="Q58" s="11">
        <v>80</v>
      </c>
      <c r="R58" s="6" t="s">
        <v>402</v>
      </c>
      <c r="U58" t="s">
        <v>1151</v>
      </c>
      <c r="V58" s="9">
        <v>2010</v>
      </c>
      <c r="W58" t="s">
        <v>54</v>
      </c>
      <c r="X58" t="s">
        <v>699</v>
      </c>
      <c r="Y58" t="s">
        <v>1192</v>
      </c>
      <c r="Z58" t="s">
        <v>1150</v>
      </c>
      <c r="AA58" s="9">
        <v>3.64</v>
      </c>
      <c r="AB58" s="9">
        <v>3.5</v>
      </c>
      <c r="AC58" s="9">
        <v>3.5</v>
      </c>
      <c r="AD58" s="9">
        <v>3.5</v>
      </c>
      <c r="AE58" s="9">
        <v>4</v>
      </c>
      <c r="AF58" s="9">
        <v>3.5</v>
      </c>
      <c r="AG58" s="9">
        <v>3.5</v>
      </c>
      <c r="AH58" s="9">
        <v>4</v>
      </c>
      <c r="AI58" t="s">
        <v>192</v>
      </c>
      <c r="AJ58" s="9">
        <v>90</v>
      </c>
      <c r="AK58" t="s">
        <v>498</v>
      </c>
      <c r="AN58" t="s">
        <v>1118</v>
      </c>
      <c r="AO58" s="9">
        <v>2012</v>
      </c>
      <c r="AP58" t="s">
        <v>54</v>
      </c>
      <c r="AQ58" t="s">
        <v>675</v>
      </c>
      <c r="AR58" t="s">
        <v>1193</v>
      </c>
      <c r="AS58" t="s">
        <v>988</v>
      </c>
      <c r="AT58" s="9">
        <v>4</v>
      </c>
      <c r="AU58" s="9">
        <v>3</v>
      </c>
      <c r="AV58" s="9">
        <v>4</v>
      </c>
      <c r="AW58" s="9">
        <v>4</v>
      </c>
      <c r="AX58" s="9">
        <v>4.5</v>
      </c>
      <c r="AY58" s="9">
        <v>4.5</v>
      </c>
      <c r="AZ58" s="9">
        <v>4</v>
      </c>
      <c r="BA58" s="9">
        <v>4</v>
      </c>
      <c r="BB58" t="s">
        <v>354</v>
      </c>
      <c r="BC58" s="9">
        <v>600</v>
      </c>
      <c r="BD58" t="s">
        <v>558</v>
      </c>
    </row>
    <row r="59" spans="2:56" x14ac:dyDescent="0.35">
      <c r="B59" s="6" t="s">
        <v>1185</v>
      </c>
      <c r="C59" s="11">
        <v>1968</v>
      </c>
      <c r="D59" s="6" t="s">
        <v>59</v>
      </c>
      <c r="E59" s="6" t="s">
        <v>1186</v>
      </c>
      <c r="F59" s="22" t="s">
        <v>1192</v>
      </c>
      <c r="G59" s="6" t="s">
        <v>1187</v>
      </c>
      <c r="H59" s="11">
        <v>3.79</v>
      </c>
      <c r="I59" s="11">
        <v>2</v>
      </c>
      <c r="J59" s="11">
        <v>4</v>
      </c>
      <c r="K59" s="11">
        <v>4</v>
      </c>
      <c r="L59" s="11">
        <v>4</v>
      </c>
      <c r="M59" s="11">
        <v>3.5</v>
      </c>
      <c r="N59" s="11">
        <v>4</v>
      </c>
      <c r="O59" s="11">
        <v>5</v>
      </c>
      <c r="P59" s="6" t="s">
        <v>314</v>
      </c>
      <c r="Q59" s="11">
        <v>87</v>
      </c>
      <c r="R59" s="6" t="s">
        <v>403</v>
      </c>
      <c r="U59" t="s">
        <v>670</v>
      </c>
      <c r="V59" s="9">
        <v>2009</v>
      </c>
      <c r="W59" t="s">
        <v>54</v>
      </c>
      <c r="X59" t="s">
        <v>669</v>
      </c>
      <c r="Y59" t="s">
        <v>1192</v>
      </c>
      <c r="Z59" t="s">
        <v>64</v>
      </c>
      <c r="AA59" s="9">
        <v>3.93</v>
      </c>
      <c r="AB59" s="9">
        <v>4</v>
      </c>
      <c r="AC59" s="9">
        <v>4.5</v>
      </c>
      <c r="AD59" s="9">
        <v>4.5</v>
      </c>
      <c r="AE59" s="9">
        <v>4</v>
      </c>
      <c r="AF59" s="9">
        <v>3</v>
      </c>
      <c r="AG59" s="9">
        <v>3.5</v>
      </c>
      <c r="AH59" s="9">
        <v>4</v>
      </c>
      <c r="AI59" t="s">
        <v>66</v>
      </c>
      <c r="AJ59" s="9">
        <v>100</v>
      </c>
      <c r="AK59" t="s">
        <v>407</v>
      </c>
      <c r="AN59" t="s">
        <v>769</v>
      </c>
      <c r="AO59" s="9">
        <v>2011</v>
      </c>
      <c r="AP59" t="s">
        <v>54</v>
      </c>
      <c r="AQ59" t="s">
        <v>764</v>
      </c>
      <c r="AR59" t="s">
        <v>88</v>
      </c>
      <c r="AS59" t="s">
        <v>110</v>
      </c>
      <c r="AT59" s="9">
        <v>2.57</v>
      </c>
      <c r="AU59" s="9">
        <v>3</v>
      </c>
      <c r="AV59" s="9">
        <v>3</v>
      </c>
      <c r="AW59" s="9">
        <v>2</v>
      </c>
      <c r="AX59" s="9">
        <v>2</v>
      </c>
      <c r="AY59" s="9">
        <v>3</v>
      </c>
      <c r="AZ59" s="9">
        <v>2</v>
      </c>
      <c r="BA59" s="9">
        <v>3</v>
      </c>
      <c r="BB59" t="s">
        <v>111</v>
      </c>
      <c r="BC59" s="9">
        <v>60</v>
      </c>
      <c r="BD59" t="s">
        <v>559</v>
      </c>
    </row>
    <row r="60" spans="2:56" x14ac:dyDescent="0.35">
      <c r="U60" t="s">
        <v>807</v>
      </c>
      <c r="V60" s="9">
        <v>2009</v>
      </c>
      <c r="W60" t="s">
        <v>54</v>
      </c>
      <c r="X60" t="s">
        <v>736</v>
      </c>
      <c r="Y60" t="s">
        <v>1192</v>
      </c>
      <c r="Z60" t="s">
        <v>806</v>
      </c>
      <c r="AA60" s="9">
        <v>3.29</v>
      </c>
      <c r="AB60" s="9">
        <v>3.5</v>
      </c>
      <c r="AC60" s="9">
        <v>3.5</v>
      </c>
      <c r="AD60" s="9">
        <v>4</v>
      </c>
      <c r="AE60" s="9">
        <v>3.5</v>
      </c>
      <c r="AF60" s="9">
        <v>2.5</v>
      </c>
      <c r="AG60" s="9">
        <v>3</v>
      </c>
      <c r="AH60" s="9">
        <v>3</v>
      </c>
      <c r="AI60" t="s">
        <v>129</v>
      </c>
      <c r="AJ60" s="9">
        <v>180</v>
      </c>
      <c r="AK60" t="s">
        <v>423</v>
      </c>
      <c r="AN60" t="s">
        <v>776</v>
      </c>
      <c r="AO60" s="9">
        <v>2011</v>
      </c>
      <c r="AP60" t="s">
        <v>54</v>
      </c>
      <c r="AQ60" t="s">
        <v>777</v>
      </c>
      <c r="AR60" t="s">
        <v>1193</v>
      </c>
      <c r="AS60" t="s">
        <v>778</v>
      </c>
      <c r="AT60" s="9">
        <v>3.14</v>
      </c>
      <c r="AU60" s="9">
        <v>2.5</v>
      </c>
      <c r="AV60" s="9">
        <v>3.5</v>
      </c>
      <c r="AW60" s="9">
        <v>3.5</v>
      </c>
      <c r="AX60" s="9">
        <v>2.5</v>
      </c>
      <c r="AY60" s="9">
        <v>3</v>
      </c>
      <c r="AZ60" s="9">
        <v>3</v>
      </c>
      <c r="BA60" s="9">
        <v>4</v>
      </c>
      <c r="BB60" t="s">
        <v>114</v>
      </c>
      <c r="BC60" s="9">
        <v>325</v>
      </c>
      <c r="BD60" t="s">
        <v>560</v>
      </c>
    </row>
    <row r="61" spans="2:56" x14ac:dyDescent="0.35">
      <c r="U61" t="s">
        <v>1280</v>
      </c>
      <c r="V61" s="9">
        <v>2009</v>
      </c>
      <c r="W61" t="s">
        <v>54</v>
      </c>
      <c r="X61" t="s">
        <v>1306</v>
      </c>
      <c r="Y61" t="s">
        <v>1192</v>
      </c>
      <c r="Z61" t="s">
        <v>1206</v>
      </c>
      <c r="AA61" s="9">
        <v>4.57</v>
      </c>
      <c r="AB61" s="9">
        <v>4.5</v>
      </c>
      <c r="AC61" s="9">
        <v>4.5</v>
      </c>
      <c r="AD61" s="9">
        <v>4.5</v>
      </c>
      <c r="AE61" s="9">
        <v>4</v>
      </c>
      <c r="AF61" s="9">
        <v>4.5</v>
      </c>
      <c r="AG61" s="9">
        <v>5</v>
      </c>
      <c r="AH61" s="9">
        <v>5</v>
      </c>
      <c r="AI61" t="s">
        <v>1207</v>
      </c>
      <c r="AJ61" s="9">
        <v>112</v>
      </c>
      <c r="AK61" t="s">
        <v>1262</v>
      </c>
      <c r="AN61" t="s">
        <v>784</v>
      </c>
      <c r="AO61" s="9">
        <v>2011</v>
      </c>
      <c r="AP61" t="s">
        <v>54</v>
      </c>
      <c r="AQ61" t="s">
        <v>785</v>
      </c>
      <c r="AR61" t="s">
        <v>1193</v>
      </c>
      <c r="AS61" t="s">
        <v>786</v>
      </c>
      <c r="AT61" s="9">
        <v>3.86</v>
      </c>
      <c r="AU61" s="9">
        <v>3.5</v>
      </c>
      <c r="AV61" s="9">
        <v>3.5</v>
      </c>
      <c r="AW61" s="9">
        <v>4</v>
      </c>
      <c r="AX61" s="9">
        <v>4</v>
      </c>
      <c r="AY61" s="9">
        <v>3</v>
      </c>
      <c r="AZ61" s="9">
        <v>4</v>
      </c>
      <c r="BA61" s="9">
        <v>5</v>
      </c>
      <c r="BB61" t="s">
        <v>121</v>
      </c>
      <c r="BC61" s="9">
        <v>300</v>
      </c>
      <c r="BD61" t="s">
        <v>561</v>
      </c>
    </row>
    <row r="62" spans="2:56" x14ac:dyDescent="0.35">
      <c r="U62" t="s">
        <v>1033</v>
      </c>
      <c r="V62" s="9">
        <v>2009</v>
      </c>
      <c r="W62" t="s">
        <v>54</v>
      </c>
      <c r="X62" t="s">
        <v>1034</v>
      </c>
      <c r="Y62" t="s">
        <v>1192</v>
      </c>
      <c r="Z62" t="s">
        <v>1035</v>
      </c>
      <c r="AA62" s="9">
        <v>4.3600000000000003</v>
      </c>
      <c r="AB62" s="9">
        <v>4.5</v>
      </c>
      <c r="AC62" s="9">
        <v>5</v>
      </c>
      <c r="AD62" s="9">
        <v>5</v>
      </c>
      <c r="AE62" s="9">
        <v>3.5</v>
      </c>
      <c r="AF62" s="9">
        <v>3</v>
      </c>
      <c r="AG62" s="9">
        <v>4.5</v>
      </c>
      <c r="AH62" s="9">
        <v>5</v>
      </c>
      <c r="AI62" t="s">
        <v>242</v>
      </c>
      <c r="AJ62" s="9">
        <v>102</v>
      </c>
      <c r="AK62" t="s">
        <v>470</v>
      </c>
      <c r="AN62" t="s">
        <v>818</v>
      </c>
      <c r="AO62" s="9">
        <v>2011</v>
      </c>
      <c r="AP62" t="s">
        <v>54</v>
      </c>
      <c r="AQ62" t="s">
        <v>819</v>
      </c>
      <c r="AR62" t="s">
        <v>1193</v>
      </c>
      <c r="AS62" t="s">
        <v>820</v>
      </c>
      <c r="AT62" s="9">
        <v>4.93</v>
      </c>
      <c r="AU62" s="9">
        <v>5</v>
      </c>
      <c r="AV62" s="9">
        <v>5</v>
      </c>
      <c r="AW62" s="9">
        <v>5</v>
      </c>
      <c r="AX62" s="9">
        <v>4.5</v>
      </c>
      <c r="AY62" s="9">
        <v>5</v>
      </c>
      <c r="AZ62" s="9">
        <v>5</v>
      </c>
      <c r="BA62" s="9">
        <v>5</v>
      </c>
      <c r="BB62" t="s">
        <v>135</v>
      </c>
      <c r="BC62" s="9">
        <v>620</v>
      </c>
      <c r="BD62" t="s">
        <v>562</v>
      </c>
    </row>
    <row r="63" spans="2:56" x14ac:dyDescent="0.35">
      <c r="U63" t="s">
        <v>1071</v>
      </c>
      <c r="V63" s="9">
        <v>2009</v>
      </c>
      <c r="W63" t="s">
        <v>54</v>
      </c>
      <c r="X63" t="s">
        <v>699</v>
      </c>
      <c r="Y63" t="s">
        <v>1192</v>
      </c>
      <c r="Z63" t="s">
        <v>950</v>
      </c>
      <c r="AA63" s="9">
        <v>3.93</v>
      </c>
      <c r="AB63" s="9">
        <v>3.5</v>
      </c>
      <c r="AC63" s="9">
        <v>4</v>
      </c>
      <c r="AD63" s="9">
        <v>3.5</v>
      </c>
      <c r="AE63" s="9">
        <v>4</v>
      </c>
      <c r="AF63" s="9">
        <v>3.5</v>
      </c>
      <c r="AG63" s="9">
        <v>4.5</v>
      </c>
      <c r="AH63" s="9">
        <v>4.5</v>
      </c>
      <c r="AI63" t="s">
        <v>258</v>
      </c>
      <c r="AJ63" s="9">
        <v>114</v>
      </c>
      <c r="AK63" t="s">
        <v>474</v>
      </c>
      <c r="AN63" t="s">
        <v>851</v>
      </c>
      <c r="AO63" s="9">
        <v>2011</v>
      </c>
      <c r="AP63" t="s">
        <v>54</v>
      </c>
      <c r="AQ63" t="s">
        <v>694</v>
      </c>
      <c r="AR63" t="s">
        <v>1193</v>
      </c>
      <c r="AS63" t="s">
        <v>151</v>
      </c>
      <c r="AT63" s="9">
        <v>3.07</v>
      </c>
      <c r="AU63" s="9">
        <v>3.5</v>
      </c>
      <c r="AV63" s="9">
        <v>3.5</v>
      </c>
      <c r="AW63" s="9">
        <v>3</v>
      </c>
      <c r="AX63" s="9">
        <v>3</v>
      </c>
      <c r="AY63" s="9">
        <v>3</v>
      </c>
      <c r="AZ63" s="9">
        <v>3.5</v>
      </c>
      <c r="BA63" s="9">
        <v>2</v>
      </c>
      <c r="BB63" t="s">
        <v>152</v>
      </c>
      <c r="BC63" s="9">
        <v>300</v>
      </c>
      <c r="BD63" t="s">
        <v>563</v>
      </c>
    </row>
    <row r="64" spans="2:56" x14ac:dyDescent="0.35">
      <c r="U64" t="s">
        <v>1283</v>
      </c>
      <c r="V64" s="9">
        <v>2008</v>
      </c>
      <c r="W64" t="s">
        <v>54</v>
      </c>
      <c r="X64" t="s">
        <v>699</v>
      </c>
      <c r="Y64" t="s">
        <v>1192</v>
      </c>
      <c r="Z64" t="s">
        <v>879</v>
      </c>
      <c r="AA64" s="9">
        <v>3.5</v>
      </c>
      <c r="AB64" s="9">
        <v>3</v>
      </c>
      <c r="AC64" s="9">
        <v>4</v>
      </c>
      <c r="AD64" s="9">
        <v>3</v>
      </c>
      <c r="AE64" s="9">
        <v>3.5</v>
      </c>
      <c r="AF64" s="9">
        <v>3</v>
      </c>
      <c r="AG64" s="9">
        <v>4</v>
      </c>
      <c r="AH64" s="9">
        <v>4</v>
      </c>
      <c r="AI64" t="s">
        <v>1210</v>
      </c>
      <c r="AJ64" s="9">
        <v>117</v>
      </c>
      <c r="AK64" t="s">
        <v>1263</v>
      </c>
      <c r="AN64" t="s">
        <v>852</v>
      </c>
      <c r="AO64" s="9">
        <v>2011</v>
      </c>
      <c r="AP64" t="s">
        <v>54</v>
      </c>
      <c r="AQ64" t="s">
        <v>736</v>
      </c>
      <c r="AR64" t="s">
        <v>1193</v>
      </c>
      <c r="AS64" t="s">
        <v>788</v>
      </c>
      <c r="AT64" s="9">
        <v>3.21</v>
      </c>
      <c r="AU64" s="9">
        <v>3.5</v>
      </c>
      <c r="AV64" s="9">
        <v>3.5</v>
      </c>
      <c r="AW64" s="9">
        <v>4</v>
      </c>
      <c r="AX64" s="9">
        <v>3.5</v>
      </c>
      <c r="AY64" s="9">
        <v>1.5</v>
      </c>
      <c r="AZ64" s="9">
        <v>2.5</v>
      </c>
      <c r="BA64" s="9">
        <v>4</v>
      </c>
      <c r="BB64" t="s">
        <v>153</v>
      </c>
      <c r="BC64" s="9">
        <v>550</v>
      </c>
      <c r="BD64" t="s">
        <v>564</v>
      </c>
    </row>
    <row r="65" spans="21:56" x14ac:dyDescent="0.35">
      <c r="U65" t="s">
        <v>1018</v>
      </c>
      <c r="V65" s="9">
        <v>2008</v>
      </c>
      <c r="W65" t="s">
        <v>54</v>
      </c>
      <c r="X65" t="s">
        <v>752</v>
      </c>
      <c r="Y65" t="s">
        <v>1192</v>
      </c>
      <c r="Z65" t="s">
        <v>753</v>
      </c>
      <c r="AA65" s="9">
        <v>3.43</v>
      </c>
      <c r="AB65" s="9">
        <v>4</v>
      </c>
      <c r="AC65" s="9">
        <v>3.5</v>
      </c>
      <c r="AD65" s="9">
        <v>3.5</v>
      </c>
      <c r="AE65" s="9">
        <v>3</v>
      </c>
      <c r="AF65" s="9">
        <v>2.5</v>
      </c>
      <c r="AG65" s="9">
        <v>3.5</v>
      </c>
      <c r="AH65" s="9">
        <v>4</v>
      </c>
      <c r="AI65" t="s">
        <v>237</v>
      </c>
      <c r="AJ65" s="9">
        <v>103</v>
      </c>
      <c r="AK65" t="s">
        <v>466</v>
      </c>
      <c r="AN65" t="s">
        <v>859</v>
      </c>
      <c r="AO65" s="9">
        <v>2011</v>
      </c>
      <c r="AP65" t="s">
        <v>54</v>
      </c>
      <c r="AQ65" t="s">
        <v>675</v>
      </c>
      <c r="AR65" t="s">
        <v>1193</v>
      </c>
      <c r="AS65" t="s">
        <v>860</v>
      </c>
      <c r="AT65" s="9">
        <v>2.93</v>
      </c>
      <c r="AU65" s="9">
        <v>3</v>
      </c>
      <c r="AV65" s="9">
        <v>3.5</v>
      </c>
      <c r="AW65" s="9">
        <v>3</v>
      </c>
      <c r="AX65" s="9">
        <v>3</v>
      </c>
      <c r="AY65" s="9">
        <v>2.5</v>
      </c>
      <c r="AZ65" s="9">
        <v>3</v>
      </c>
      <c r="BA65" s="9">
        <v>2.5</v>
      </c>
      <c r="BB65" t="s">
        <v>161</v>
      </c>
      <c r="BC65" s="9">
        <v>325</v>
      </c>
      <c r="BD65" t="s">
        <v>565</v>
      </c>
    </row>
    <row r="66" spans="21:56" x14ac:dyDescent="0.35">
      <c r="U66" t="s">
        <v>1131</v>
      </c>
      <c r="V66" s="9">
        <v>2008</v>
      </c>
      <c r="W66" t="s">
        <v>54</v>
      </c>
      <c r="X66" t="s">
        <v>736</v>
      </c>
      <c r="Y66" t="s">
        <v>1192</v>
      </c>
      <c r="Z66" t="s">
        <v>841</v>
      </c>
      <c r="AA66" s="9">
        <v>3.36</v>
      </c>
      <c r="AB66" s="9">
        <v>4</v>
      </c>
      <c r="AC66" s="9">
        <v>3</v>
      </c>
      <c r="AD66" s="9">
        <v>4</v>
      </c>
      <c r="AE66" s="9">
        <v>3.5</v>
      </c>
      <c r="AF66" s="9">
        <v>4</v>
      </c>
      <c r="AG66" s="9">
        <v>2</v>
      </c>
      <c r="AH66" s="9">
        <v>3.5</v>
      </c>
      <c r="AI66" t="s">
        <v>291</v>
      </c>
      <c r="AJ66" s="9">
        <v>122</v>
      </c>
      <c r="AK66" t="s">
        <v>491</v>
      </c>
      <c r="AN66" t="s">
        <v>938</v>
      </c>
      <c r="AO66" s="9">
        <v>2011</v>
      </c>
      <c r="AP66" t="s">
        <v>54</v>
      </c>
      <c r="AQ66" t="s">
        <v>780</v>
      </c>
      <c r="AR66" t="s">
        <v>1193</v>
      </c>
      <c r="AS66" t="s">
        <v>939</v>
      </c>
      <c r="AT66" s="9">
        <v>2.86</v>
      </c>
      <c r="AU66" s="9">
        <v>2.5</v>
      </c>
      <c r="AV66" s="9">
        <v>2.5</v>
      </c>
      <c r="AW66" s="9">
        <v>3</v>
      </c>
      <c r="AX66" s="9">
        <v>2.5</v>
      </c>
      <c r="AY66" s="9">
        <v>2.5</v>
      </c>
      <c r="AZ66" s="9">
        <v>3.5</v>
      </c>
      <c r="BA66" s="9">
        <v>3.5</v>
      </c>
      <c r="BB66" t="s">
        <v>345</v>
      </c>
      <c r="BC66" s="9">
        <v>325</v>
      </c>
      <c r="BD66" t="s">
        <v>566</v>
      </c>
    </row>
    <row r="67" spans="21:56" x14ac:dyDescent="0.35">
      <c r="U67" t="s">
        <v>656</v>
      </c>
      <c r="V67" s="9">
        <v>2007</v>
      </c>
      <c r="W67" t="s">
        <v>54</v>
      </c>
      <c r="X67" t="s">
        <v>657</v>
      </c>
      <c r="Y67" t="s">
        <v>1190</v>
      </c>
      <c r="Z67" t="s">
        <v>658</v>
      </c>
      <c r="AA67" s="9">
        <v>3.79</v>
      </c>
      <c r="AB67" s="9">
        <v>4</v>
      </c>
      <c r="AC67" s="9">
        <v>4.5</v>
      </c>
      <c r="AD67" s="9">
        <v>4</v>
      </c>
      <c r="AE67" s="9">
        <v>4</v>
      </c>
      <c r="AF67" s="9">
        <v>3.5</v>
      </c>
      <c r="AG67" s="9">
        <v>2.5</v>
      </c>
      <c r="AH67" s="9">
        <v>4</v>
      </c>
      <c r="AI67" t="s">
        <v>55</v>
      </c>
      <c r="AJ67" s="9">
        <v>63</v>
      </c>
      <c r="AK67" t="s">
        <v>404</v>
      </c>
      <c r="AN67" t="s">
        <v>978</v>
      </c>
      <c r="AO67" s="9">
        <v>2011</v>
      </c>
      <c r="AP67" t="s">
        <v>54</v>
      </c>
      <c r="AQ67" t="s">
        <v>663</v>
      </c>
      <c r="AR67" t="s">
        <v>1193</v>
      </c>
      <c r="AS67" t="s">
        <v>914</v>
      </c>
      <c r="AT67" s="9">
        <v>4.1399999999999997</v>
      </c>
      <c r="AU67" s="9">
        <v>4.5</v>
      </c>
      <c r="AV67" s="9">
        <v>4</v>
      </c>
      <c r="AW67" s="9">
        <v>4.5</v>
      </c>
      <c r="AX67" s="9">
        <v>4</v>
      </c>
      <c r="AY67" s="9">
        <v>3</v>
      </c>
      <c r="AZ67" s="9">
        <v>4</v>
      </c>
      <c r="BA67" s="9">
        <v>5</v>
      </c>
      <c r="BB67" t="s">
        <v>215</v>
      </c>
      <c r="BC67" s="9">
        <v>350</v>
      </c>
      <c r="BD67" t="s">
        <v>567</v>
      </c>
    </row>
    <row r="68" spans="21:56" x14ac:dyDescent="0.35">
      <c r="U68" t="s">
        <v>1279</v>
      </c>
      <c r="V68" s="9">
        <v>2007</v>
      </c>
      <c r="W68" t="s">
        <v>54</v>
      </c>
      <c r="X68" t="s">
        <v>1306</v>
      </c>
      <c r="Y68" t="s">
        <v>1192</v>
      </c>
      <c r="Z68" t="s">
        <v>1204</v>
      </c>
      <c r="AA68" s="9">
        <v>3.64</v>
      </c>
      <c r="AB68" s="9">
        <v>3.5</v>
      </c>
      <c r="AC68" s="9">
        <v>3.5</v>
      </c>
      <c r="AD68" s="9">
        <v>4</v>
      </c>
      <c r="AE68" s="9">
        <v>3.5</v>
      </c>
      <c r="AF68" s="9">
        <v>3.5</v>
      </c>
      <c r="AG68" s="9">
        <v>3.5</v>
      </c>
      <c r="AH68" s="9">
        <v>4</v>
      </c>
      <c r="AI68" t="s">
        <v>1205</v>
      </c>
      <c r="AJ68" s="9">
        <v>101</v>
      </c>
      <c r="AK68" t="s">
        <v>1264</v>
      </c>
      <c r="AN68" t="s">
        <v>1011</v>
      </c>
      <c r="AO68" s="9">
        <v>2011</v>
      </c>
      <c r="AP68" t="s">
        <v>54</v>
      </c>
      <c r="AQ68" t="s">
        <v>1012</v>
      </c>
      <c r="AR68" t="s">
        <v>1193</v>
      </c>
      <c r="AS68" t="s">
        <v>1013</v>
      </c>
      <c r="AT68" s="9">
        <v>3.64</v>
      </c>
      <c r="AU68" s="9">
        <v>3</v>
      </c>
      <c r="AV68" s="9">
        <v>3.5</v>
      </c>
      <c r="AW68" s="9">
        <v>4.5</v>
      </c>
      <c r="AX68" s="9">
        <v>4</v>
      </c>
      <c r="AY68" s="9">
        <v>3</v>
      </c>
      <c r="AZ68" s="9">
        <v>3.5</v>
      </c>
      <c r="BA68" s="9">
        <v>4</v>
      </c>
      <c r="BB68" t="s">
        <v>234</v>
      </c>
      <c r="BC68" s="9">
        <v>350</v>
      </c>
      <c r="BD68" t="s">
        <v>568</v>
      </c>
    </row>
    <row r="69" spans="21:56" x14ac:dyDescent="0.35">
      <c r="U69" t="s">
        <v>1073</v>
      </c>
      <c r="V69" s="9">
        <v>2007</v>
      </c>
      <c r="W69" t="s">
        <v>54</v>
      </c>
      <c r="X69" t="s">
        <v>739</v>
      </c>
      <c r="Y69" t="s">
        <v>1192</v>
      </c>
      <c r="Z69" t="s">
        <v>750</v>
      </c>
      <c r="AA69" s="9">
        <v>3.64</v>
      </c>
      <c r="AB69" s="9">
        <v>4</v>
      </c>
      <c r="AC69" s="9">
        <v>3</v>
      </c>
      <c r="AD69" s="9">
        <v>4</v>
      </c>
      <c r="AE69" s="9">
        <v>3</v>
      </c>
      <c r="AF69" s="9">
        <v>3.5</v>
      </c>
      <c r="AG69" s="9">
        <v>4</v>
      </c>
      <c r="AH69" s="9">
        <v>4</v>
      </c>
      <c r="AI69" t="s">
        <v>94</v>
      </c>
      <c r="AJ69" s="9">
        <v>102</v>
      </c>
      <c r="AK69" t="s">
        <v>475</v>
      </c>
      <c r="AN69" t="s">
        <v>1069</v>
      </c>
      <c r="AO69" s="9">
        <v>2011</v>
      </c>
      <c r="AP69" t="s">
        <v>54</v>
      </c>
      <c r="AQ69" t="s">
        <v>884</v>
      </c>
      <c r="AR69" t="s">
        <v>1193</v>
      </c>
      <c r="AS69" t="s">
        <v>256</v>
      </c>
      <c r="AT69" s="9">
        <v>3.93</v>
      </c>
      <c r="AU69" s="9">
        <v>3</v>
      </c>
      <c r="AV69" s="9">
        <v>3.5</v>
      </c>
      <c r="AW69" s="9">
        <v>4.5</v>
      </c>
      <c r="AX69" s="9">
        <v>5</v>
      </c>
      <c r="AY69" s="9">
        <v>3.5</v>
      </c>
      <c r="AZ69" s="9">
        <v>4</v>
      </c>
      <c r="BA69" s="9">
        <v>4</v>
      </c>
      <c r="BB69" t="s">
        <v>257</v>
      </c>
      <c r="BC69" s="9">
        <v>625</v>
      </c>
      <c r="BD69" t="s">
        <v>569</v>
      </c>
    </row>
    <row r="70" spans="21:56" x14ac:dyDescent="0.35">
      <c r="U70" t="s">
        <v>1098</v>
      </c>
      <c r="V70" s="9">
        <v>2007</v>
      </c>
      <c r="W70" t="s">
        <v>54</v>
      </c>
      <c r="X70" t="s">
        <v>819</v>
      </c>
      <c r="Y70" t="s">
        <v>1192</v>
      </c>
      <c r="Z70" t="s">
        <v>272</v>
      </c>
      <c r="AA70" s="9">
        <v>4.6399999999999997</v>
      </c>
      <c r="AB70" s="9">
        <v>4</v>
      </c>
      <c r="AC70" s="9">
        <v>5</v>
      </c>
      <c r="AD70" s="9">
        <v>5</v>
      </c>
      <c r="AE70" s="9">
        <v>4.5</v>
      </c>
      <c r="AF70" s="9">
        <v>4.5</v>
      </c>
      <c r="AG70" s="9">
        <v>4.5</v>
      </c>
      <c r="AH70" s="9">
        <v>5</v>
      </c>
      <c r="AI70" t="s">
        <v>273</v>
      </c>
      <c r="AJ70" s="9">
        <v>652</v>
      </c>
      <c r="AK70" t="s">
        <v>482</v>
      </c>
      <c r="AN70" t="s">
        <v>1072</v>
      </c>
      <c r="AO70" s="9">
        <v>2011</v>
      </c>
      <c r="AP70" t="s">
        <v>54</v>
      </c>
      <c r="AQ70" t="s">
        <v>699</v>
      </c>
      <c r="AR70" t="s">
        <v>1193</v>
      </c>
      <c r="AS70" t="s">
        <v>259</v>
      </c>
      <c r="AT70" s="9">
        <v>3</v>
      </c>
      <c r="AU70" s="9">
        <v>3</v>
      </c>
      <c r="AV70" s="9">
        <v>3</v>
      </c>
      <c r="AW70" s="9">
        <v>3.5</v>
      </c>
      <c r="AX70" s="9">
        <v>3.5</v>
      </c>
      <c r="AY70" s="9">
        <v>3</v>
      </c>
      <c r="AZ70" s="9">
        <v>3</v>
      </c>
      <c r="BA70" s="9">
        <v>2</v>
      </c>
      <c r="BB70" t="s">
        <v>260</v>
      </c>
      <c r="BC70" s="9">
        <v>540</v>
      </c>
      <c r="BD70" t="s">
        <v>570</v>
      </c>
    </row>
    <row r="71" spans="21:56" x14ac:dyDescent="0.35">
      <c r="U71" t="s">
        <v>842</v>
      </c>
      <c r="V71" s="9">
        <v>2006</v>
      </c>
      <c r="W71" t="s">
        <v>54</v>
      </c>
      <c r="X71" t="s">
        <v>736</v>
      </c>
      <c r="Y71" t="s">
        <v>1192</v>
      </c>
      <c r="Z71" t="s">
        <v>806</v>
      </c>
      <c r="AA71" s="9">
        <v>3.64</v>
      </c>
      <c r="AB71" s="9">
        <v>4</v>
      </c>
      <c r="AC71" s="9">
        <v>3.5</v>
      </c>
      <c r="AD71" s="9">
        <v>4.5</v>
      </c>
      <c r="AE71" s="9">
        <v>4</v>
      </c>
      <c r="AF71" s="9">
        <v>3.5</v>
      </c>
      <c r="AG71" s="9">
        <v>3</v>
      </c>
      <c r="AH71" s="9">
        <v>3</v>
      </c>
      <c r="AI71" t="s">
        <v>147</v>
      </c>
      <c r="AJ71" s="9">
        <v>105</v>
      </c>
      <c r="AK71" t="s">
        <v>429</v>
      </c>
      <c r="AN71" t="s">
        <v>1095</v>
      </c>
      <c r="AO71" s="9">
        <v>2011</v>
      </c>
      <c r="AP71" t="s">
        <v>54</v>
      </c>
      <c r="AQ71" t="s">
        <v>1096</v>
      </c>
      <c r="AR71" t="s">
        <v>1193</v>
      </c>
      <c r="AS71" t="s">
        <v>1097</v>
      </c>
      <c r="AT71" s="9">
        <v>3.64</v>
      </c>
      <c r="AU71" s="9">
        <v>3</v>
      </c>
      <c r="AV71" s="9">
        <v>3</v>
      </c>
      <c r="AW71" s="9">
        <v>3.5</v>
      </c>
      <c r="AX71" s="9">
        <v>4</v>
      </c>
      <c r="AY71" s="9">
        <v>3.5</v>
      </c>
      <c r="AZ71" s="9">
        <v>4.5</v>
      </c>
      <c r="BA71" s="9">
        <v>4</v>
      </c>
      <c r="BB71" t="s">
        <v>352</v>
      </c>
      <c r="BC71" s="9">
        <v>680</v>
      </c>
      <c r="BD71" t="s">
        <v>571</v>
      </c>
    </row>
    <row r="72" spans="21:56" x14ac:dyDescent="0.35">
      <c r="U72" t="s">
        <v>1003</v>
      </c>
      <c r="V72" s="9">
        <v>2006</v>
      </c>
      <c r="W72" t="s">
        <v>54</v>
      </c>
      <c r="X72" t="s">
        <v>699</v>
      </c>
      <c r="Y72" t="s">
        <v>1192</v>
      </c>
      <c r="Z72" t="s">
        <v>1004</v>
      </c>
      <c r="AA72" s="9">
        <v>4.21</v>
      </c>
      <c r="AB72" s="9">
        <v>4</v>
      </c>
      <c r="AC72" s="9">
        <v>5</v>
      </c>
      <c r="AD72" s="9">
        <v>5</v>
      </c>
      <c r="AE72" s="9">
        <v>2</v>
      </c>
      <c r="AF72" s="9">
        <v>3.5</v>
      </c>
      <c r="AG72" s="9">
        <v>5</v>
      </c>
      <c r="AH72" s="9">
        <v>5</v>
      </c>
      <c r="AI72" t="s">
        <v>225</v>
      </c>
      <c r="AJ72" s="9">
        <v>90</v>
      </c>
      <c r="AK72" t="s">
        <v>461</v>
      </c>
      <c r="AN72" t="s">
        <v>1116</v>
      </c>
      <c r="AO72" s="9">
        <v>2011</v>
      </c>
      <c r="AP72" t="s">
        <v>54</v>
      </c>
      <c r="AQ72" t="s">
        <v>970</v>
      </c>
      <c r="AR72" t="s">
        <v>1193</v>
      </c>
      <c r="AS72" t="s">
        <v>1026</v>
      </c>
      <c r="AT72" s="9">
        <v>3.71</v>
      </c>
      <c r="AU72" s="9">
        <v>3.5</v>
      </c>
      <c r="AV72" s="9">
        <v>4</v>
      </c>
      <c r="AW72" s="9">
        <v>3.5</v>
      </c>
      <c r="AX72" s="9">
        <v>3.5</v>
      </c>
      <c r="AY72" s="9">
        <v>4</v>
      </c>
      <c r="AZ72" s="9">
        <v>3.5</v>
      </c>
      <c r="BA72" s="9">
        <v>4</v>
      </c>
      <c r="BB72" t="s">
        <v>260</v>
      </c>
      <c r="BC72" s="9">
        <v>325</v>
      </c>
      <c r="BD72" t="s">
        <v>572</v>
      </c>
    </row>
    <row r="73" spans="21:56" x14ac:dyDescent="0.35">
      <c r="U73" t="s">
        <v>1074</v>
      </c>
      <c r="V73" s="9">
        <v>2006</v>
      </c>
      <c r="W73" t="s">
        <v>54</v>
      </c>
      <c r="X73" t="s">
        <v>752</v>
      </c>
      <c r="Y73" t="s">
        <v>1192</v>
      </c>
      <c r="Z73" t="s">
        <v>829</v>
      </c>
      <c r="AA73" s="9">
        <v>3.43</v>
      </c>
      <c r="AB73" s="9">
        <v>3.5</v>
      </c>
      <c r="AC73" s="9">
        <v>3.5</v>
      </c>
      <c r="AD73" s="9">
        <v>3.5</v>
      </c>
      <c r="AE73" s="9">
        <v>3.5</v>
      </c>
      <c r="AF73" s="9">
        <v>3</v>
      </c>
      <c r="AG73" s="9">
        <v>3</v>
      </c>
      <c r="AH73" s="9">
        <v>4</v>
      </c>
      <c r="AI73" t="s">
        <v>261</v>
      </c>
      <c r="AJ73" s="9">
        <v>115</v>
      </c>
      <c r="AK73" t="s">
        <v>476</v>
      </c>
      <c r="AN73" t="s">
        <v>1138</v>
      </c>
      <c r="AO73" s="9">
        <v>2011</v>
      </c>
      <c r="AP73" t="s">
        <v>54</v>
      </c>
      <c r="AQ73" t="s">
        <v>657</v>
      </c>
      <c r="AR73" t="s">
        <v>88</v>
      </c>
      <c r="AS73" t="s">
        <v>1139</v>
      </c>
      <c r="AT73" s="9">
        <v>1.86</v>
      </c>
      <c r="AU73" s="9">
        <v>1</v>
      </c>
      <c r="AV73" s="9">
        <v>2.5</v>
      </c>
      <c r="AW73" s="9">
        <v>1</v>
      </c>
      <c r="AX73" s="9">
        <v>2</v>
      </c>
      <c r="AY73" s="9">
        <v>2.5</v>
      </c>
      <c r="AZ73" s="9">
        <v>2</v>
      </c>
      <c r="BA73" s="9">
        <v>2</v>
      </c>
      <c r="BB73" t="s">
        <v>296</v>
      </c>
      <c r="BC73" s="9">
        <v>28</v>
      </c>
      <c r="BD73" t="s">
        <v>573</v>
      </c>
    </row>
    <row r="74" spans="21:56" x14ac:dyDescent="0.35">
      <c r="U74" t="s">
        <v>1100</v>
      </c>
      <c r="V74" s="9">
        <v>2006</v>
      </c>
      <c r="W74" t="s">
        <v>54</v>
      </c>
      <c r="X74" t="s">
        <v>699</v>
      </c>
      <c r="Y74" t="s">
        <v>1192</v>
      </c>
      <c r="Z74" t="s">
        <v>950</v>
      </c>
      <c r="AA74" s="9">
        <v>4.07</v>
      </c>
      <c r="AB74" s="9">
        <v>3.5</v>
      </c>
      <c r="AC74" s="9">
        <v>3.5</v>
      </c>
      <c r="AD74" s="9">
        <v>4.5</v>
      </c>
      <c r="AE74" s="9">
        <v>4</v>
      </c>
      <c r="AF74" s="9">
        <v>4</v>
      </c>
      <c r="AG74" s="9">
        <v>4</v>
      </c>
      <c r="AH74" s="9">
        <v>5</v>
      </c>
      <c r="AI74" t="s">
        <v>274</v>
      </c>
      <c r="AJ74" s="9">
        <v>98</v>
      </c>
      <c r="AK74" t="s">
        <v>484</v>
      </c>
      <c r="AN74" t="s">
        <v>678</v>
      </c>
      <c r="AO74" s="9">
        <v>2010</v>
      </c>
      <c r="AP74" t="s">
        <v>54</v>
      </c>
      <c r="AQ74" t="s">
        <v>679</v>
      </c>
      <c r="AR74" t="s">
        <v>1193</v>
      </c>
      <c r="AS74" t="s">
        <v>680</v>
      </c>
      <c r="AT74" s="9">
        <v>3.43</v>
      </c>
      <c r="AU74" s="9">
        <v>3.5</v>
      </c>
      <c r="AV74" s="9">
        <v>3.5</v>
      </c>
      <c r="AW74" s="9">
        <v>3.5</v>
      </c>
      <c r="AX74" s="9">
        <v>3</v>
      </c>
      <c r="AY74" s="9">
        <v>3</v>
      </c>
      <c r="AZ74" s="9">
        <v>3.5</v>
      </c>
      <c r="BA74" s="9">
        <v>4</v>
      </c>
      <c r="BB74" t="s">
        <v>69</v>
      </c>
      <c r="BC74" s="9">
        <v>325</v>
      </c>
      <c r="BD74" t="s">
        <v>574</v>
      </c>
    </row>
    <row r="75" spans="21:56" x14ac:dyDescent="0.35">
      <c r="U75" t="s">
        <v>844</v>
      </c>
      <c r="V75" s="9">
        <v>2004</v>
      </c>
      <c r="W75" t="s">
        <v>54</v>
      </c>
      <c r="X75" t="s">
        <v>736</v>
      </c>
      <c r="Y75" t="s">
        <v>1192</v>
      </c>
      <c r="Z75" t="s">
        <v>841</v>
      </c>
      <c r="AA75" s="9">
        <v>3.79</v>
      </c>
      <c r="AB75" s="9">
        <v>4.5</v>
      </c>
      <c r="AC75" s="9">
        <v>4</v>
      </c>
      <c r="AD75" s="9">
        <v>4.5</v>
      </c>
      <c r="AE75" s="9">
        <v>3.5</v>
      </c>
      <c r="AF75" s="9">
        <v>3.5</v>
      </c>
      <c r="AG75" s="9">
        <v>2.5</v>
      </c>
      <c r="AH75" s="9">
        <v>4</v>
      </c>
      <c r="AI75" t="s">
        <v>95</v>
      </c>
      <c r="AJ75" s="9">
        <v>98</v>
      </c>
      <c r="AK75" t="s">
        <v>430</v>
      </c>
      <c r="AN75" t="s">
        <v>726</v>
      </c>
      <c r="AO75" s="9">
        <v>2010</v>
      </c>
      <c r="AP75" t="s">
        <v>54</v>
      </c>
      <c r="AQ75" t="s">
        <v>720</v>
      </c>
      <c r="AR75" t="s">
        <v>1193</v>
      </c>
      <c r="AS75" t="s">
        <v>727</v>
      </c>
      <c r="AT75" s="9">
        <v>3.07</v>
      </c>
      <c r="AU75" s="9">
        <v>2.5</v>
      </c>
      <c r="AV75" s="9">
        <v>3</v>
      </c>
      <c r="AW75" s="9">
        <v>3.5</v>
      </c>
      <c r="AX75" s="9">
        <v>3.5</v>
      </c>
      <c r="AY75" s="9">
        <v>2.5</v>
      </c>
      <c r="AZ75" s="9">
        <v>3.5</v>
      </c>
      <c r="BA75" s="9">
        <v>3</v>
      </c>
      <c r="BB75" t="s">
        <v>90</v>
      </c>
      <c r="BC75" s="9">
        <v>450</v>
      </c>
      <c r="BD75" t="s">
        <v>575</v>
      </c>
    </row>
    <row r="76" spans="21:56" x14ac:dyDescent="0.35">
      <c r="U76" t="s">
        <v>868</v>
      </c>
      <c r="V76" s="9">
        <v>2004</v>
      </c>
      <c r="W76" t="s">
        <v>54</v>
      </c>
      <c r="X76" t="s">
        <v>752</v>
      </c>
      <c r="Y76" t="s">
        <v>1192</v>
      </c>
      <c r="Z76" t="s">
        <v>753</v>
      </c>
      <c r="AA76" s="9">
        <v>4.1399999999999997</v>
      </c>
      <c r="AB76" s="9">
        <v>4</v>
      </c>
      <c r="AC76" s="9">
        <v>4.5</v>
      </c>
      <c r="AD76" s="9">
        <v>3.5</v>
      </c>
      <c r="AE76" s="9">
        <v>4</v>
      </c>
      <c r="AF76" s="9">
        <v>4</v>
      </c>
      <c r="AG76" s="9">
        <v>4</v>
      </c>
      <c r="AH76" s="9">
        <v>5</v>
      </c>
      <c r="AI76" t="s">
        <v>167</v>
      </c>
      <c r="AJ76" s="9">
        <v>119</v>
      </c>
      <c r="AK76" t="s">
        <v>434</v>
      </c>
      <c r="AN76" t="s">
        <v>730</v>
      </c>
      <c r="AO76" s="9">
        <v>2010</v>
      </c>
      <c r="AP76" t="s">
        <v>54</v>
      </c>
      <c r="AQ76" t="s">
        <v>699</v>
      </c>
      <c r="AR76" t="s">
        <v>88</v>
      </c>
      <c r="AS76" t="s">
        <v>729</v>
      </c>
      <c r="AT76" s="9">
        <v>3.57</v>
      </c>
      <c r="AU76" s="9">
        <v>3</v>
      </c>
      <c r="AV76" s="9">
        <v>3</v>
      </c>
      <c r="AW76" s="9">
        <v>4.5</v>
      </c>
      <c r="AX76" s="9">
        <v>4.5</v>
      </c>
      <c r="AY76" s="9">
        <v>2.5</v>
      </c>
      <c r="AZ76" s="9">
        <v>3.5</v>
      </c>
      <c r="BA76" s="9">
        <v>4</v>
      </c>
      <c r="BB76" t="s">
        <v>91</v>
      </c>
      <c r="BC76" s="9">
        <v>175</v>
      </c>
      <c r="BD76" t="s">
        <v>576</v>
      </c>
    </row>
    <row r="77" spans="21:56" x14ac:dyDescent="0.35">
      <c r="U77" t="s">
        <v>947</v>
      </c>
      <c r="V77" s="9">
        <v>2004</v>
      </c>
      <c r="W77" t="s">
        <v>54</v>
      </c>
      <c r="X77" t="s">
        <v>707</v>
      </c>
      <c r="Y77" t="s">
        <v>1192</v>
      </c>
      <c r="Z77" t="s">
        <v>793</v>
      </c>
      <c r="AA77" s="9">
        <v>4.29</v>
      </c>
      <c r="AB77" s="9">
        <v>3</v>
      </c>
      <c r="AC77" s="9">
        <v>4</v>
      </c>
      <c r="AD77" s="9">
        <v>4</v>
      </c>
      <c r="AE77" s="9">
        <v>5</v>
      </c>
      <c r="AF77" s="9">
        <v>5</v>
      </c>
      <c r="AG77" s="9">
        <v>4</v>
      </c>
      <c r="AH77" s="9">
        <v>5</v>
      </c>
      <c r="AI77" t="s">
        <v>204</v>
      </c>
      <c r="AJ77" s="9">
        <v>103</v>
      </c>
      <c r="AK77" t="s">
        <v>450</v>
      </c>
      <c r="AN77" t="s">
        <v>754</v>
      </c>
      <c r="AO77" s="9">
        <v>2010</v>
      </c>
      <c r="AP77" t="s">
        <v>54</v>
      </c>
      <c r="AQ77" t="s">
        <v>755</v>
      </c>
      <c r="AR77" t="s">
        <v>1193</v>
      </c>
      <c r="AS77" t="s">
        <v>756</v>
      </c>
      <c r="AT77" s="9">
        <v>3.43</v>
      </c>
      <c r="AU77" s="9">
        <v>3</v>
      </c>
      <c r="AV77" s="9">
        <v>3.5</v>
      </c>
      <c r="AW77" s="9">
        <v>3.5</v>
      </c>
      <c r="AX77" s="9">
        <v>3.5</v>
      </c>
      <c r="AY77" s="9">
        <v>2.5</v>
      </c>
      <c r="AZ77" s="9">
        <v>4</v>
      </c>
      <c r="BA77" s="9">
        <v>4</v>
      </c>
      <c r="BB77" t="s">
        <v>102</v>
      </c>
      <c r="BC77" s="9">
        <v>325</v>
      </c>
      <c r="BD77" t="s">
        <v>577</v>
      </c>
    </row>
    <row r="78" spans="21:56" x14ac:dyDescent="0.35">
      <c r="U78" t="s">
        <v>1119</v>
      </c>
      <c r="V78" s="9">
        <v>2004</v>
      </c>
      <c r="W78" t="s">
        <v>54</v>
      </c>
      <c r="X78" t="s">
        <v>657</v>
      </c>
      <c r="Y78" t="s">
        <v>1192</v>
      </c>
      <c r="Z78" t="s">
        <v>658</v>
      </c>
      <c r="AA78" s="9">
        <v>3</v>
      </c>
      <c r="AB78" s="9">
        <v>2.5</v>
      </c>
      <c r="AC78" s="9">
        <v>2.5</v>
      </c>
      <c r="AD78" s="9">
        <v>4</v>
      </c>
      <c r="AE78" s="9">
        <v>4</v>
      </c>
      <c r="AF78" s="9">
        <v>2</v>
      </c>
      <c r="AG78" s="9">
        <v>3</v>
      </c>
      <c r="AH78" s="9">
        <v>3</v>
      </c>
      <c r="AI78" t="s">
        <v>282</v>
      </c>
      <c r="AJ78" s="9">
        <v>90</v>
      </c>
      <c r="AK78" t="s">
        <v>488</v>
      </c>
      <c r="AN78" t="s">
        <v>781</v>
      </c>
      <c r="AO78" s="9">
        <v>2010</v>
      </c>
      <c r="AP78" t="s">
        <v>54</v>
      </c>
      <c r="AQ78" t="s">
        <v>694</v>
      </c>
      <c r="AR78" t="s">
        <v>1193</v>
      </c>
      <c r="AS78" t="s">
        <v>782</v>
      </c>
      <c r="AT78" s="9">
        <v>3.14</v>
      </c>
      <c r="AU78" s="9">
        <v>3</v>
      </c>
      <c r="AV78" s="9">
        <v>3.5</v>
      </c>
      <c r="AW78" s="9">
        <v>2</v>
      </c>
      <c r="AX78" s="9">
        <v>3</v>
      </c>
      <c r="AY78" s="9">
        <v>4</v>
      </c>
      <c r="AZ78" s="9">
        <v>3.5</v>
      </c>
      <c r="BA78" s="9">
        <v>3</v>
      </c>
      <c r="BB78" t="s">
        <v>117</v>
      </c>
      <c r="BC78" s="9">
        <v>300</v>
      </c>
      <c r="BD78" t="s">
        <v>578</v>
      </c>
    </row>
    <row r="79" spans="21:56" x14ac:dyDescent="0.35">
      <c r="U79" t="s">
        <v>1297</v>
      </c>
      <c r="V79" s="9">
        <v>2003</v>
      </c>
      <c r="W79" t="s">
        <v>54</v>
      </c>
      <c r="X79" t="s">
        <v>1234</v>
      </c>
      <c r="Y79" t="s">
        <v>1190</v>
      </c>
      <c r="Z79" t="s">
        <v>1235</v>
      </c>
      <c r="AA79" s="9">
        <v>4.1399999999999997</v>
      </c>
      <c r="AB79" s="9">
        <v>4.5</v>
      </c>
      <c r="AC79" s="9">
        <v>4.5</v>
      </c>
      <c r="AD79" s="9">
        <v>3.5</v>
      </c>
      <c r="AE79" s="9">
        <v>3</v>
      </c>
      <c r="AF79" s="9">
        <v>4.5</v>
      </c>
      <c r="AG79" s="9">
        <v>4</v>
      </c>
      <c r="AH79" s="9">
        <v>5</v>
      </c>
      <c r="AI79" t="s">
        <v>1236</v>
      </c>
      <c r="AJ79" s="9">
        <v>101</v>
      </c>
      <c r="AK79" t="s">
        <v>1265</v>
      </c>
      <c r="AN79" t="s">
        <v>867</v>
      </c>
      <c r="AO79" s="9">
        <v>2010</v>
      </c>
      <c r="AP79" t="s">
        <v>54</v>
      </c>
      <c r="AQ79" t="s">
        <v>699</v>
      </c>
      <c r="AR79" t="s">
        <v>1193</v>
      </c>
      <c r="AS79" t="s">
        <v>788</v>
      </c>
      <c r="AT79" s="9">
        <v>4.07</v>
      </c>
      <c r="AU79" s="9">
        <v>3.5</v>
      </c>
      <c r="AV79" s="9">
        <v>4.5</v>
      </c>
      <c r="AW79" s="9">
        <v>3.5</v>
      </c>
      <c r="AX79" s="9">
        <v>4</v>
      </c>
      <c r="AY79" s="9">
        <v>3</v>
      </c>
      <c r="AZ79" s="9">
        <v>5</v>
      </c>
      <c r="BA79" s="9">
        <v>5</v>
      </c>
      <c r="BB79" t="s">
        <v>166</v>
      </c>
      <c r="BC79" s="9">
        <v>300</v>
      </c>
      <c r="BD79" t="s">
        <v>579</v>
      </c>
    </row>
    <row r="80" spans="21:56" x14ac:dyDescent="0.35">
      <c r="U80" t="s">
        <v>1144</v>
      </c>
      <c r="V80" s="9">
        <v>2003</v>
      </c>
      <c r="W80" t="s">
        <v>54</v>
      </c>
      <c r="X80" t="s">
        <v>699</v>
      </c>
      <c r="Y80" t="s">
        <v>1192</v>
      </c>
      <c r="Z80" t="s">
        <v>1004</v>
      </c>
      <c r="AA80" s="9">
        <v>3.43</v>
      </c>
      <c r="AB80" s="9">
        <v>3</v>
      </c>
      <c r="AC80" s="9">
        <v>3.5</v>
      </c>
      <c r="AD80" s="9">
        <v>3</v>
      </c>
      <c r="AE80" s="9">
        <v>4</v>
      </c>
      <c r="AF80" s="9">
        <v>3.5</v>
      </c>
      <c r="AG80" s="9">
        <v>3</v>
      </c>
      <c r="AH80" s="9">
        <v>4</v>
      </c>
      <c r="AI80" t="s">
        <v>300</v>
      </c>
      <c r="AJ80" s="9">
        <v>92</v>
      </c>
      <c r="AK80" t="s">
        <v>495</v>
      </c>
      <c r="AN80" t="s">
        <v>1002</v>
      </c>
      <c r="AO80" s="9">
        <v>2010</v>
      </c>
      <c r="AP80" t="s">
        <v>54</v>
      </c>
      <c r="AQ80" t="s">
        <v>970</v>
      </c>
      <c r="AR80" t="s">
        <v>1193</v>
      </c>
      <c r="AS80" t="s">
        <v>900</v>
      </c>
      <c r="AT80" s="9">
        <v>3.36</v>
      </c>
      <c r="AU80" s="9">
        <v>3</v>
      </c>
      <c r="AV80" s="9">
        <v>3</v>
      </c>
      <c r="AW80" s="9">
        <v>3.5</v>
      </c>
      <c r="AX80" s="9">
        <v>4.5</v>
      </c>
      <c r="AY80" s="9">
        <v>2.5</v>
      </c>
      <c r="AZ80" s="9">
        <v>3.5</v>
      </c>
      <c r="BA80" s="9">
        <v>3.5</v>
      </c>
      <c r="BB80" t="s">
        <v>224</v>
      </c>
      <c r="BC80" s="9">
        <v>325</v>
      </c>
      <c r="BD80" t="s">
        <v>580</v>
      </c>
    </row>
    <row r="81" spans="21:56" x14ac:dyDescent="0.35">
      <c r="U81" t="s">
        <v>665</v>
      </c>
      <c r="V81" s="9">
        <v>2002</v>
      </c>
      <c r="W81" t="s">
        <v>54</v>
      </c>
      <c r="X81" t="s">
        <v>666</v>
      </c>
      <c r="Y81" t="s">
        <v>1192</v>
      </c>
      <c r="Z81" t="s">
        <v>667</v>
      </c>
      <c r="AA81" s="9">
        <v>3.64</v>
      </c>
      <c r="AB81" s="9">
        <v>3.5</v>
      </c>
      <c r="AC81" s="9">
        <v>3.5</v>
      </c>
      <c r="AD81" s="9">
        <v>3.5</v>
      </c>
      <c r="AE81" s="9">
        <v>3</v>
      </c>
      <c r="AF81" s="9">
        <v>4</v>
      </c>
      <c r="AG81" s="9">
        <v>4</v>
      </c>
      <c r="AH81" s="9">
        <v>4</v>
      </c>
      <c r="AI81" t="s">
        <v>63</v>
      </c>
      <c r="AJ81" s="9">
        <v>136</v>
      </c>
      <c r="AK81" t="s">
        <v>406</v>
      </c>
      <c r="AN81" t="s">
        <v>693</v>
      </c>
      <c r="AO81" s="9">
        <v>2009</v>
      </c>
      <c r="AP81" t="s">
        <v>54</v>
      </c>
      <c r="AQ81" t="s">
        <v>694</v>
      </c>
      <c r="AR81" t="s">
        <v>1193</v>
      </c>
      <c r="AS81" t="s">
        <v>76</v>
      </c>
      <c r="AT81" s="9">
        <v>4.29</v>
      </c>
      <c r="AU81" s="9">
        <v>4</v>
      </c>
      <c r="AV81" s="9">
        <v>4.5</v>
      </c>
      <c r="AW81" s="9">
        <v>4.5</v>
      </c>
      <c r="AX81" s="9">
        <v>4</v>
      </c>
      <c r="AY81" s="9">
        <v>4</v>
      </c>
      <c r="AZ81" s="9">
        <v>4</v>
      </c>
      <c r="BA81" s="9">
        <v>5</v>
      </c>
      <c r="BB81" t="s">
        <v>77</v>
      </c>
      <c r="BC81" s="9">
        <v>375</v>
      </c>
      <c r="BD81" t="s">
        <v>581</v>
      </c>
    </row>
    <row r="82" spans="21:56" x14ac:dyDescent="0.35">
      <c r="U82" t="s">
        <v>919</v>
      </c>
      <c r="V82" s="9">
        <v>2002</v>
      </c>
      <c r="W82" t="s">
        <v>54</v>
      </c>
      <c r="X82" t="s">
        <v>920</v>
      </c>
      <c r="Y82" t="s">
        <v>1192</v>
      </c>
      <c r="Z82" t="s">
        <v>921</v>
      </c>
      <c r="AA82" s="9">
        <v>2.79</v>
      </c>
      <c r="AB82" s="9">
        <v>2.5</v>
      </c>
      <c r="AC82" s="9">
        <v>2.5</v>
      </c>
      <c r="AD82" s="9">
        <v>3</v>
      </c>
      <c r="AE82" s="9">
        <v>2</v>
      </c>
      <c r="AF82" s="9">
        <v>3</v>
      </c>
      <c r="AG82" s="9">
        <v>4.5</v>
      </c>
      <c r="AH82" s="9">
        <v>2</v>
      </c>
      <c r="AI82" t="s">
        <v>189</v>
      </c>
      <c r="AJ82" s="9">
        <v>92</v>
      </c>
      <c r="AK82" t="s">
        <v>441</v>
      </c>
      <c r="AN82" t="s">
        <v>749</v>
      </c>
      <c r="AO82" s="9">
        <v>2009</v>
      </c>
      <c r="AP82" t="s">
        <v>54</v>
      </c>
      <c r="AQ82" t="s">
        <v>679</v>
      </c>
      <c r="AR82" t="s">
        <v>1193</v>
      </c>
      <c r="AS82" t="s">
        <v>750</v>
      </c>
      <c r="AT82" s="9">
        <v>3.14</v>
      </c>
      <c r="AU82" s="9">
        <v>3.5</v>
      </c>
      <c r="AV82" s="9">
        <v>3.5</v>
      </c>
      <c r="AW82" s="9">
        <v>3</v>
      </c>
      <c r="AX82" s="9">
        <v>2.5</v>
      </c>
      <c r="AY82" s="9">
        <v>2.5</v>
      </c>
      <c r="AZ82" s="9">
        <v>3</v>
      </c>
      <c r="BA82" s="9">
        <v>4</v>
      </c>
      <c r="BB82" t="s">
        <v>100</v>
      </c>
      <c r="BC82" s="9">
        <v>325</v>
      </c>
      <c r="BD82" t="s">
        <v>582</v>
      </c>
    </row>
    <row r="83" spans="21:56" x14ac:dyDescent="0.35">
      <c r="U83" t="s">
        <v>1082</v>
      </c>
      <c r="V83" s="9">
        <v>2002</v>
      </c>
      <c r="W83" t="s">
        <v>54</v>
      </c>
      <c r="X83" t="s">
        <v>752</v>
      </c>
      <c r="Y83" t="s">
        <v>1192</v>
      </c>
      <c r="Z83" t="s">
        <v>1083</v>
      </c>
      <c r="AA83" s="9">
        <v>3.5</v>
      </c>
      <c r="AB83" s="9">
        <v>3.5</v>
      </c>
      <c r="AC83" s="9">
        <v>3</v>
      </c>
      <c r="AD83" s="9">
        <v>3.5</v>
      </c>
      <c r="AE83" s="9">
        <v>3.5</v>
      </c>
      <c r="AF83" s="9">
        <v>3</v>
      </c>
      <c r="AG83" s="9">
        <v>4</v>
      </c>
      <c r="AH83" s="9">
        <v>4</v>
      </c>
      <c r="AI83" t="s">
        <v>199</v>
      </c>
      <c r="AJ83" s="9">
        <v>75</v>
      </c>
      <c r="AK83" t="s">
        <v>478</v>
      </c>
      <c r="AN83" t="s">
        <v>805</v>
      </c>
      <c r="AO83" s="9">
        <v>2009</v>
      </c>
      <c r="AP83" t="s">
        <v>54</v>
      </c>
      <c r="AQ83" t="s">
        <v>736</v>
      </c>
      <c r="AR83" t="s">
        <v>1193</v>
      </c>
      <c r="AS83" t="s">
        <v>806</v>
      </c>
      <c r="AT83" s="9">
        <v>4.21</v>
      </c>
      <c r="AU83" s="9">
        <v>3.5</v>
      </c>
      <c r="AV83" s="9">
        <v>4</v>
      </c>
      <c r="AW83" s="9">
        <v>4.5</v>
      </c>
      <c r="AX83" s="9">
        <v>3.5</v>
      </c>
      <c r="AY83" s="9">
        <v>4.5</v>
      </c>
      <c r="AZ83" s="9">
        <v>4.5</v>
      </c>
      <c r="BA83" s="9">
        <v>5</v>
      </c>
      <c r="BB83" t="s">
        <v>129</v>
      </c>
      <c r="BC83" s="9">
        <v>275</v>
      </c>
      <c r="BD83" t="s">
        <v>583</v>
      </c>
    </row>
    <row r="84" spans="21:56" x14ac:dyDescent="0.35">
      <c r="U84" t="s">
        <v>1278</v>
      </c>
      <c r="V84" s="9">
        <v>2001</v>
      </c>
      <c r="W84" t="s">
        <v>54</v>
      </c>
      <c r="X84" t="s">
        <v>739</v>
      </c>
      <c r="Y84" t="s">
        <v>1192</v>
      </c>
      <c r="Z84" t="s">
        <v>1318</v>
      </c>
      <c r="AA84" s="9">
        <v>3.93</v>
      </c>
      <c r="AB84" s="9">
        <v>4</v>
      </c>
      <c r="AC84" s="9">
        <v>3.5</v>
      </c>
      <c r="AD84" s="9">
        <v>4.5</v>
      </c>
      <c r="AE84" s="9">
        <v>4.5</v>
      </c>
      <c r="AF84" s="9">
        <v>3.5</v>
      </c>
      <c r="AG84" s="9">
        <v>3.5</v>
      </c>
      <c r="AH84" s="9">
        <v>4</v>
      </c>
      <c r="AI84" t="s">
        <v>1203</v>
      </c>
      <c r="AJ84" s="9">
        <v>115</v>
      </c>
      <c r="AK84" t="s">
        <v>1266</v>
      </c>
      <c r="AN84" t="s">
        <v>857</v>
      </c>
      <c r="AO84" s="9">
        <v>2009</v>
      </c>
      <c r="AP84" t="s">
        <v>54</v>
      </c>
      <c r="AQ84" t="s">
        <v>755</v>
      </c>
      <c r="AR84" t="s">
        <v>1193</v>
      </c>
      <c r="AS84" t="s">
        <v>858</v>
      </c>
      <c r="AT84" s="9">
        <v>2.86</v>
      </c>
      <c r="AU84" s="9">
        <v>3</v>
      </c>
      <c r="AV84" s="9">
        <v>3.5</v>
      </c>
      <c r="AW84" s="9">
        <v>3</v>
      </c>
      <c r="AX84" s="9">
        <v>2.5</v>
      </c>
      <c r="AY84" s="9">
        <v>2.5</v>
      </c>
      <c r="AZ84" s="9">
        <v>2.5</v>
      </c>
      <c r="BA84" s="9">
        <v>3</v>
      </c>
      <c r="BB84" t="s">
        <v>157</v>
      </c>
      <c r="BC84" s="9">
        <v>650</v>
      </c>
      <c r="BD84" t="s">
        <v>584</v>
      </c>
    </row>
    <row r="85" spans="21:56" x14ac:dyDescent="0.35">
      <c r="U85" t="s">
        <v>940</v>
      </c>
      <c r="V85" s="9">
        <v>2001</v>
      </c>
      <c r="W85" t="s">
        <v>54</v>
      </c>
      <c r="X85" t="s">
        <v>699</v>
      </c>
      <c r="Y85" t="s">
        <v>1192</v>
      </c>
      <c r="Z85" t="s">
        <v>941</v>
      </c>
      <c r="AA85" s="9">
        <v>4.1399999999999997</v>
      </c>
      <c r="AB85" s="9">
        <v>4.5</v>
      </c>
      <c r="AC85" s="9">
        <v>4</v>
      </c>
      <c r="AD85" s="9">
        <v>4</v>
      </c>
      <c r="AE85" s="9">
        <v>3</v>
      </c>
      <c r="AF85" s="9">
        <v>4.5</v>
      </c>
      <c r="AG85" s="9">
        <v>4</v>
      </c>
      <c r="AH85" s="9">
        <v>5</v>
      </c>
      <c r="AI85" t="s">
        <v>346</v>
      </c>
      <c r="AJ85" s="9">
        <v>113</v>
      </c>
      <c r="AK85" t="s">
        <v>449</v>
      </c>
      <c r="AN85" t="s">
        <v>862</v>
      </c>
      <c r="AO85" s="9">
        <v>2009</v>
      </c>
      <c r="AP85" t="s">
        <v>54</v>
      </c>
      <c r="AQ85" t="s">
        <v>816</v>
      </c>
      <c r="AR85" t="s">
        <v>1200</v>
      </c>
      <c r="AS85" t="s">
        <v>863</v>
      </c>
      <c r="AT85" s="9">
        <v>1.79</v>
      </c>
      <c r="AU85" s="9">
        <v>1.5</v>
      </c>
      <c r="AV85" s="9">
        <v>2</v>
      </c>
      <c r="AW85" s="9">
        <v>2</v>
      </c>
      <c r="AX85" s="9">
        <v>3</v>
      </c>
      <c r="AY85" s="9">
        <v>1</v>
      </c>
      <c r="AZ85" s="9">
        <v>2</v>
      </c>
      <c r="BA85" s="9">
        <v>1</v>
      </c>
      <c r="BB85" t="s">
        <v>165</v>
      </c>
      <c r="BC85" s="9">
        <v>520</v>
      </c>
      <c r="BD85" t="s">
        <v>585</v>
      </c>
    </row>
    <row r="86" spans="21:56" x14ac:dyDescent="0.35">
      <c r="U86" t="s">
        <v>1068</v>
      </c>
      <c r="V86" s="9">
        <v>2001</v>
      </c>
      <c r="W86" t="s">
        <v>54</v>
      </c>
      <c r="X86" t="s">
        <v>752</v>
      </c>
      <c r="Y86" t="s">
        <v>1192</v>
      </c>
      <c r="Z86" t="s">
        <v>753</v>
      </c>
      <c r="AA86" s="9">
        <v>4</v>
      </c>
      <c r="AB86" s="9">
        <v>4</v>
      </c>
      <c r="AC86" s="9">
        <v>4</v>
      </c>
      <c r="AD86" s="9">
        <v>4</v>
      </c>
      <c r="AE86" s="9">
        <v>3.5</v>
      </c>
      <c r="AF86" s="9">
        <v>3.5</v>
      </c>
      <c r="AG86" s="9">
        <v>4</v>
      </c>
      <c r="AH86" s="9">
        <v>5</v>
      </c>
      <c r="AI86" t="s">
        <v>199</v>
      </c>
      <c r="AJ86" s="9">
        <v>125</v>
      </c>
      <c r="AK86" t="s">
        <v>472</v>
      </c>
      <c r="AN86" t="s">
        <v>1114</v>
      </c>
      <c r="AO86" s="9">
        <v>2009</v>
      </c>
      <c r="AP86" t="s">
        <v>54</v>
      </c>
      <c r="AQ86" t="s">
        <v>663</v>
      </c>
      <c r="AR86" t="s">
        <v>1200</v>
      </c>
      <c r="AS86" t="s">
        <v>1115</v>
      </c>
      <c r="AT86" s="9">
        <v>2.36</v>
      </c>
      <c r="AU86" s="9">
        <v>1.5</v>
      </c>
      <c r="AV86" s="9">
        <v>2.5</v>
      </c>
      <c r="AW86" s="9">
        <v>2.5</v>
      </c>
      <c r="AX86" s="9">
        <v>3</v>
      </c>
      <c r="AY86" s="9">
        <v>1.5</v>
      </c>
      <c r="AZ86" s="9">
        <v>2.5</v>
      </c>
      <c r="BA86" s="9">
        <v>3</v>
      </c>
      <c r="BB86" t="s">
        <v>280</v>
      </c>
      <c r="BC86" s="9">
        <v>129</v>
      </c>
      <c r="BD86" t="s">
        <v>586</v>
      </c>
    </row>
    <row r="87" spans="21:56" x14ac:dyDescent="0.35">
      <c r="U87" t="s">
        <v>735</v>
      </c>
      <c r="V87" s="9">
        <v>2000</v>
      </c>
      <c r="W87" t="s">
        <v>54</v>
      </c>
      <c r="X87" t="s">
        <v>736</v>
      </c>
      <c r="Y87" t="s">
        <v>1192</v>
      </c>
      <c r="Z87" t="s">
        <v>737</v>
      </c>
      <c r="AA87" s="9">
        <v>2.57</v>
      </c>
      <c r="AB87" s="9">
        <v>3</v>
      </c>
      <c r="AC87" s="9">
        <v>2</v>
      </c>
      <c r="AD87" s="9">
        <v>3</v>
      </c>
      <c r="AE87" s="9">
        <v>2</v>
      </c>
      <c r="AF87" s="9">
        <v>2</v>
      </c>
      <c r="AG87" s="9">
        <v>3</v>
      </c>
      <c r="AH87" s="9">
        <v>3</v>
      </c>
      <c r="AI87" t="s">
        <v>96</v>
      </c>
      <c r="AJ87" s="9">
        <v>45</v>
      </c>
      <c r="AK87" t="s">
        <v>417</v>
      </c>
      <c r="AN87" t="s">
        <v>719</v>
      </c>
      <c r="AO87" s="9">
        <v>2008</v>
      </c>
      <c r="AP87" t="s">
        <v>54</v>
      </c>
      <c r="AQ87" t="s">
        <v>720</v>
      </c>
      <c r="AR87" t="s">
        <v>1193</v>
      </c>
      <c r="AS87" t="s">
        <v>721</v>
      </c>
      <c r="AT87" s="9">
        <v>3.5</v>
      </c>
      <c r="AU87" s="9">
        <v>3</v>
      </c>
      <c r="AV87" s="9">
        <v>3.5</v>
      </c>
      <c r="AW87" s="9">
        <v>3.5</v>
      </c>
      <c r="AX87" s="9">
        <v>3.5</v>
      </c>
      <c r="AY87" s="9">
        <v>3.5</v>
      </c>
      <c r="AZ87" s="9">
        <v>3.5</v>
      </c>
      <c r="BA87" s="9">
        <v>4</v>
      </c>
      <c r="BB87" t="s">
        <v>87</v>
      </c>
      <c r="BC87" s="9">
        <v>600</v>
      </c>
      <c r="BD87" t="s">
        <v>587</v>
      </c>
    </row>
    <row r="88" spans="21:56" x14ac:dyDescent="0.35">
      <c r="U88" t="s">
        <v>1163</v>
      </c>
      <c r="V88" s="9">
        <v>2000</v>
      </c>
      <c r="W88" t="s">
        <v>54</v>
      </c>
      <c r="X88" t="s">
        <v>699</v>
      </c>
      <c r="Y88" t="s">
        <v>1192</v>
      </c>
      <c r="Z88" t="s">
        <v>984</v>
      </c>
      <c r="AA88" s="9">
        <v>3.14</v>
      </c>
      <c r="AB88" s="9">
        <v>3.5</v>
      </c>
      <c r="AC88" s="9">
        <v>3.5</v>
      </c>
      <c r="AD88" s="9">
        <v>3</v>
      </c>
      <c r="AE88" s="9">
        <v>2</v>
      </c>
      <c r="AF88" s="9">
        <v>3.5</v>
      </c>
      <c r="AG88" s="9">
        <v>3</v>
      </c>
      <c r="AH88" s="9">
        <v>3.5</v>
      </c>
      <c r="AI88" t="s">
        <v>357</v>
      </c>
      <c r="AJ88" s="9">
        <v>105</v>
      </c>
      <c r="AK88" t="s">
        <v>502</v>
      </c>
      <c r="AN88" t="s">
        <v>773</v>
      </c>
      <c r="AO88" s="9">
        <v>2008</v>
      </c>
      <c r="AP88" t="s">
        <v>54</v>
      </c>
      <c r="AQ88" t="s">
        <v>774</v>
      </c>
      <c r="AR88" t="s">
        <v>1193</v>
      </c>
      <c r="AS88" t="s">
        <v>775</v>
      </c>
      <c r="AT88" s="9">
        <v>3.29</v>
      </c>
      <c r="AU88" s="9">
        <v>3</v>
      </c>
      <c r="AV88" s="9">
        <v>3.5</v>
      </c>
      <c r="AW88" s="9">
        <v>3</v>
      </c>
      <c r="AX88" s="9">
        <v>3</v>
      </c>
      <c r="AY88" s="9">
        <v>4</v>
      </c>
      <c r="AZ88" s="9">
        <v>3.5</v>
      </c>
      <c r="BA88" s="9">
        <v>3</v>
      </c>
      <c r="BB88" t="s">
        <v>113</v>
      </c>
      <c r="BC88" s="9">
        <v>650</v>
      </c>
      <c r="BD88" t="s">
        <v>588</v>
      </c>
    </row>
    <row r="89" spans="21:56" x14ac:dyDescent="0.35">
      <c r="U89" t="s">
        <v>968</v>
      </c>
      <c r="V89" s="9">
        <v>1999</v>
      </c>
      <c r="W89" t="s">
        <v>54</v>
      </c>
      <c r="X89" t="s">
        <v>752</v>
      </c>
      <c r="Y89" t="s">
        <v>1192</v>
      </c>
      <c r="Z89" t="s">
        <v>848</v>
      </c>
      <c r="AA89" s="9">
        <v>3.21</v>
      </c>
      <c r="AB89" s="9">
        <v>3.5</v>
      </c>
      <c r="AC89" s="9">
        <v>3.5</v>
      </c>
      <c r="AD89" s="9">
        <v>3.5</v>
      </c>
      <c r="AE89" s="9">
        <v>3</v>
      </c>
      <c r="AF89" s="9">
        <v>1.5</v>
      </c>
      <c r="AG89" s="9">
        <v>3.5</v>
      </c>
      <c r="AH89" s="9">
        <v>4</v>
      </c>
      <c r="AI89" t="s">
        <v>209</v>
      </c>
      <c r="AJ89" s="9">
        <v>104</v>
      </c>
      <c r="AK89" t="s">
        <v>453</v>
      </c>
      <c r="AN89" t="s">
        <v>889</v>
      </c>
      <c r="AO89" s="9">
        <v>2008</v>
      </c>
      <c r="AP89" t="s">
        <v>54</v>
      </c>
      <c r="AQ89" t="s">
        <v>699</v>
      </c>
      <c r="AR89" t="s">
        <v>1193</v>
      </c>
      <c r="AS89" t="s">
        <v>793</v>
      </c>
      <c r="AT89" s="9">
        <v>2.93</v>
      </c>
      <c r="AU89" s="9">
        <v>3</v>
      </c>
      <c r="AV89" s="9">
        <v>2.5</v>
      </c>
      <c r="AW89" s="9">
        <v>2.5</v>
      </c>
      <c r="AX89" s="9">
        <v>2</v>
      </c>
      <c r="AY89" s="9">
        <v>4</v>
      </c>
      <c r="AZ89" s="9">
        <v>2.5</v>
      </c>
      <c r="BA89" s="9">
        <v>4</v>
      </c>
      <c r="BB89" t="s">
        <v>173</v>
      </c>
      <c r="BC89" s="9">
        <v>300</v>
      </c>
      <c r="BD89" t="s">
        <v>589</v>
      </c>
    </row>
    <row r="90" spans="21:56" x14ac:dyDescent="0.35">
      <c r="U90" t="s">
        <v>1290</v>
      </c>
      <c r="V90" s="9">
        <v>1997</v>
      </c>
      <c r="W90" t="s">
        <v>54</v>
      </c>
      <c r="X90" t="s">
        <v>1220</v>
      </c>
      <c r="Y90" t="s">
        <v>1192</v>
      </c>
      <c r="Z90" t="s">
        <v>1221</v>
      </c>
      <c r="AA90" s="9">
        <v>2.79</v>
      </c>
      <c r="AB90" s="9">
        <v>3</v>
      </c>
      <c r="AC90" s="9">
        <v>3</v>
      </c>
      <c r="AD90" s="9">
        <v>3</v>
      </c>
      <c r="AE90" s="9">
        <v>2</v>
      </c>
      <c r="AF90" s="9">
        <v>2.5</v>
      </c>
      <c r="AG90" s="9">
        <v>3</v>
      </c>
      <c r="AH90" s="9">
        <v>3</v>
      </c>
      <c r="AI90" t="s">
        <v>1222</v>
      </c>
      <c r="AJ90" s="9">
        <v>110</v>
      </c>
      <c r="AK90" t="s">
        <v>1267</v>
      </c>
      <c r="AN90" t="s">
        <v>890</v>
      </c>
      <c r="AO90" s="9">
        <v>2008</v>
      </c>
      <c r="AP90" t="s">
        <v>54</v>
      </c>
      <c r="AQ90" t="s">
        <v>720</v>
      </c>
      <c r="AR90" t="s">
        <v>1193</v>
      </c>
      <c r="AS90" t="s">
        <v>891</v>
      </c>
      <c r="AT90" s="9">
        <v>2.29</v>
      </c>
      <c r="AU90" s="9">
        <v>3</v>
      </c>
      <c r="AV90" s="9">
        <v>2</v>
      </c>
      <c r="AW90" s="9">
        <v>2</v>
      </c>
      <c r="AX90" s="9">
        <v>2</v>
      </c>
      <c r="AY90" s="9">
        <v>2</v>
      </c>
      <c r="AZ90" s="9">
        <v>3</v>
      </c>
      <c r="BA90" s="9">
        <v>2</v>
      </c>
      <c r="BB90" t="s">
        <v>174</v>
      </c>
      <c r="BC90" s="9">
        <v>340</v>
      </c>
      <c r="BD90" t="s">
        <v>590</v>
      </c>
    </row>
    <row r="91" spans="21:56" x14ac:dyDescent="0.35">
      <c r="U91" t="s">
        <v>1291</v>
      </c>
      <c r="V91" s="9">
        <v>1997</v>
      </c>
      <c r="W91" t="s">
        <v>54</v>
      </c>
      <c r="X91" t="s">
        <v>1310</v>
      </c>
      <c r="Y91" t="s">
        <v>1192</v>
      </c>
      <c r="Z91" t="s">
        <v>1223</v>
      </c>
      <c r="AA91" s="9">
        <v>3.43</v>
      </c>
      <c r="AB91" s="9">
        <v>3</v>
      </c>
      <c r="AC91" s="9">
        <v>3.5</v>
      </c>
      <c r="AD91" s="9">
        <v>3.5</v>
      </c>
      <c r="AE91" s="9">
        <v>2.5</v>
      </c>
      <c r="AF91" s="9">
        <v>3.5</v>
      </c>
      <c r="AG91" s="9">
        <v>3.5</v>
      </c>
      <c r="AH91" s="9">
        <v>4.5</v>
      </c>
      <c r="AI91" t="s">
        <v>1224</v>
      </c>
      <c r="AJ91" s="9">
        <v>85</v>
      </c>
      <c r="AK91" t="s">
        <v>1268</v>
      </c>
      <c r="AN91" t="s">
        <v>892</v>
      </c>
      <c r="AO91" s="9">
        <v>2008</v>
      </c>
      <c r="AP91" t="s">
        <v>54</v>
      </c>
      <c r="AQ91" t="s">
        <v>893</v>
      </c>
      <c r="AR91" t="s">
        <v>1193</v>
      </c>
      <c r="AS91" t="s">
        <v>894</v>
      </c>
      <c r="AT91" s="9">
        <v>1.29</v>
      </c>
      <c r="AU91" s="9">
        <v>1</v>
      </c>
      <c r="AV91" s="9">
        <v>1</v>
      </c>
      <c r="AW91" s="9">
        <v>2</v>
      </c>
      <c r="AX91" s="9">
        <v>1</v>
      </c>
      <c r="AY91" s="9">
        <v>1</v>
      </c>
      <c r="AZ91" s="9">
        <v>2</v>
      </c>
      <c r="BA91" s="9">
        <v>1</v>
      </c>
      <c r="BB91" t="s">
        <v>175</v>
      </c>
      <c r="BC91" s="9">
        <v>300</v>
      </c>
      <c r="BD91" t="s">
        <v>591</v>
      </c>
    </row>
    <row r="92" spans="21:56" x14ac:dyDescent="0.35">
      <c r="U92" t="s">
        <v>1008</v>
      </c>
      <c r="V92" s="9">
        <v>1997</v>
      </c>
      <c r="W92" t="s">
        <v>54</v>
      </c>
      <c r="X92" t="s">
        <v>699</v>
      </c>
      <c r="Y92" t="s">
        <v>1192</v>
      </c>
      <c r="Z92" t="s">
        <v>1004</v>
      </c>
      <c r="AA92" s="9">
        <v>3.86</v>
      </c>
      <c r="AB92" s="9">
        <v>3</v>
      </c>
      <c r="AC92" s="9">
        <v>2.5</v>
      </c>
      <c r="AD92" s="9">
        <v>4</v>
      </c>
      <c r="AE92" s="9">
        <v>3.5</v>
      </c>
      <c r="AF92" s="9">
        <v>5</v>
      </c>
      <c r="AG92" s="9">
        <v>4</v>
      </c>
      <c r="AH92" s="9">
        <v>5</v>
      </c>
      <c r="AI92" t="s">
        <v>229</v>
      </c>
      <c r="AJ92" s="9">
        <v>81</v>
      </c>
      <c r="AK92" t="s">
        <v>463</v>
      </c>
      <c r="AN92" t="s">
        <v>922</v>
      </c>
      <c r="AO92" s="9">
        <v>2008</v>
      </c>
      <c r="AP92" t="s">
        <v>54</v>
      </c>
      <c r="AQ92" t="s">
        <v>920</v>
      </c>
      <c r="AR92" t="s">
        <v>88</v>
      </c>
      <c r="AS92" t="s">
        <v>923</v>
      </c>
      <c r="AT92" s="9">
        <v>2.4300000000000002</v>
      </c>
      <c r="AU92" s="9">
        <v>3</v>
      </c>
      <c r="AV92" s="9">
        <v>3</v>
      </c>
      <c r="AW92" s="9">
        <v>3</v>
      </c>
      <c r="AX92" s="9">
        <v>1.5</v>
      </c>
      <c r="AY92" s="9">
        <v>2</v>
      </c>
      <c r="AZ92" s="9">
        <v>1.5</v>
      </c>
      <c r="BA92" s="9">
        <v>3</v>
      </c>
      <c r="BB92" t="s">
        <v>190</v>
      </c>
      <c r="BC92" s="9">
        <v>80</v>
      </c>
      <c r="BD92" t="s">
        <v>592</v>
      </c>
    </row>
    <row r="93" spans="21:56" x14ac:dyDescent="0.35">
      <c r="U93" t="s">
        <v>1020</v>
      </c>
      <c r="V93" s="9">
        <v>1997</v>
      </c>
      <c r="W93" t="s">
        <v>54</v>
      </c>
      <c r="X93" t="s">
        <v>752</v>
      </c>
      <c r="Y93" t="s">
        <v>1192</v>
      </c>
      <c r="Z93" t="s">
        <v>753</v>
      </c>
      <c r="AA93" s="9">
        <v>4.29</v>
      </c>
      <c r="AB93" s="9">
        <v>4</v>
      </c>
      <c r="AC93" s="9">
        <v>4.5</v>
      </c>
      <c r="AD93" s="9">
        <v>3.5</v>
      </c>
      <c r="AE93" s="9">
        <v>4</v>
      </c>
      <c r="AF93" s="9">
        <v>5</v>
      </c>
      <c r="AG93" s="9">
        <v>4</v>
      </c>
      <c r="AH93" s="9">
        <v>5</v>
      </c>
      <c r="AI93" t="s">
        <v>238</v>
      </c>
      <c r="AJ93" s="9">
        <v>134</v>
      </c>
      <c r="AK93" t="s">
        <v>468</v>
      </c>
      <c r="AN93" t="s">
        <v>1062</v>
      </c>
      <c r="AO93" s="9">
        <v>2008</v>
      </c>
      <c r="AP93" t="s">
        <v>54</v>
      </c>
      <c r="AQ93" t="s">
        <v>739</v>
      </c>
      <c r="AR93" t="s">
        <v>1193</v>
      </c>
      <c r="AS93" t="s">
        <v>1063</v>
      </c>
      <c r="AT93" s="9">
        <v>3.93</v>
      </c>
      <c r="AU93" s="9">
        <v>4</v>
      </c>
      <c r="AV93" s="9">
        <v>4</v>
      </c>
      <c r="AW93" s="9">
        <v>4.5</v>
      </c>
      <c r="AX93" s="9">
        <v>3</v>
      </c>
      <c r="AY93" s="9">
        <v>3</v>
      </c>
      <c r="AZ93" s="9">
        <v>4</v>
      </c>
      <c r="BA93" s="9">
        <v>5</v>
      </c>
      <c r="BB93" t="s">
        <v>252</v>
      </c>
      <c r="BC93" s="9">
        <v>1275</v>
      </c>
      <c r="BD93" t="s">
        <v>593</v>
      </c>
    </row>
    <row r="94" spans="21:56" x14ac:dyDescent="0.35">
      <c r="U94" t="s">
        <v>840</v>
      </c>
      <c r="V94" s="9">
        <v>1995</v>
      </c>
      <c r="W94" t="s">
        <v>54</v>
      </c>
      <c r="X94" t="s">
        <v>736</v>
      </c>
      <c r="Y94" t="s">
        <v>1192</v>
      </c>
      <c r="Z94" t="s">
        <v>841</v>
      </c>
      <c r="AA94" s="9">
        <v>3.71</v>
      </c>
      <c r="AB94" s="9">
        <v>3.5</v>
      </c>
      <c r="AC94" s="9">
        <v>4</v>
      </c>
      <c r="AD94" s="9">
        <v>4.5</v>
      </c>
      <c r="AE94" s="9">
        <v>2</v>
      </c>
      <c r="AF94" s="9">
        <v>4.5</v>
      </c>
      <c r="AG94" s="9">
        <v>3</v>
      </c>
      <c r="AH94" s="9">
        <v>4.5</v>
      </c>
      <c r="AI94" t="s">
        <v>146</v>
      </c>
      <c r="AJ94" s="9">
        <v>82</v>
      </c>
      <c r="AK94" t="s">
        <v>428</v>
      </c>
      <c r="AN94" t="s">
        <v>1065</v>
      </c>
      <c r="AO94" s="9">
        <v>2008</v>
      </c>
      <c r="AP94" t="s">
        <v>54</v>
      </c>
      <c r="AQ94" t="s">
        <v>1066</v>
      </c>
      <c r="AR94" t="s">
        <v>1193</v>
      </c>
      <c r="AS94" t="s">
        <v>1067</v>
      </c>
      <c r="AT94" s="9">
        <v>4</v>
      </c>
      <c r="AU94" s="9">
        <v>3</v>
      </c>
      <c r="AV94" s="9">
        <v>3.5</v>
      </c>
      <c r="AW94" s="9">
        <v>4</v>
      </c>
      <c r="AX94" s="9">
        <v>5</v>
      </c>
      <c r="AY94" s="9">
        <v>3.5</v>
      </c>
      <c r="AZ94" s="9">
        <v>4</v>
      </c>
      <c r="BA94" s="9">
        <v>5</v>
      </c>
      <c r="BB94" t="s">
        <v>255</v>
      </c>
      <c r="BC94" s="9">
        <v>630</v>
      </c>
      <c r="BD94" t="s">
        <v>594</v>
      </c>
    </row>
    <row r="95" spans="21:56" x14ac:dyDescent="0.35">
      <c r="U95" t="s">
        <v>1171</v>
      </c>
      <c r="V95" s="9">
        <v>1995</v>
      </c>
      <c r="W95" t="s">
        <v>54</v>
      </c>
      <c r="X95" t="s">
        <v>752</v>
      </c>
      <c r="Y95" t="s">
        <v>1192</v>
      </c>
      <c r="Z95" t="s">
        <v>1172</v>
      </c>
      <c r="AA95" s="9">
        <v>4.07</v>
      </c>
      <c r="AB95" s="9">
        <v>3.5</v>
      </c>
      <c r="AC95" s="9">
        <v>3</v>
      </c>
      <c r="AD95" s="9">
        <v>4</v>
      </c>
      <c r="AE95" s="9">
        <v>3.5</v>
      </c>
      <c r="AF95" s="9">
        <v>5</v>
      </c>
      <c r="AG95" s="9">
        <v>4.5</v>
      </c>
      <c r="AH95" s="9">
        <v>5</v>
      </c>
      <c r="AI95" t="s">
        <v>311</v>
      </c>
      <c r="AJ95" s="9">
        <v>111</v>
      </c>
      <c r="AK95" t="s">
        <v>504</v>
      </c>
      <c r="AN95" t="s">
        <v>1146</v>
      </c>
      <c r="AO95" s="9">
        <v>2008</v>
      </c>
      <c r="AP95" t="s">
        <v>54</v>
      </c>
      <c r="AQ95" t="s">
        <v>675</v>
      </c>
      <c r="AR95" t="s">
        <v>1193</v>
      </c>
      <c r="AS95" t="s">
        <v>1147</v>
      </c>
      <c r="AT95" s="9">
        <v>3.93</v>
      </c>
      <c r="AU95" s="9">
        <v>3.5</v>
      </c>
      <c r="AV95" s="9">
        <v>3.5</v>
      </c>
      <c r="AW95" s="9">
        <v>4</v>
      </c>
      <c r="AX95" s="9">
        <v>4</v>
      </c>
      <c r="AY95" s="9">
        <v>4</v>
      </c>
      <c r="AZ95" s="9">
        <v>4.5</v>
      </c>
      <c r="BA95" s="9">
        <v>4</v>
      </c>
      <c r="BB95" t="s">
        <v>174</v>
      </c>
      <c r="BC95" s="9">
        <v>625</v>
      </c>
      <c r="BD95" t="s">
        <v>595</v>
      </c>
    </row>
    <row r="96" spans="21:56" x14ac:dyDescent="0.35">
      <c r="U96" t="s">
        <v>1016</v>
      </c>
      <c r="V96" s="9">
        <v>1994</v>
      </c>
      <c r="W96" t="s">
        <v>54</v>
      </c>
      <c r="X96" t="s">
        <v>1017</v>
      </c>
      <c r="Y96" t="s">
        <v>1192</v>
      </c>
      <c r="Z96" t="s">
        <v>848</v>
      </c>
      <c r="AA96" s="9">
        <v>3.57</v>
      </c>
      <c r="AB96" s="9">
        <v>3.5</v>
      </c>
      <c r="AC96" s="9">
        <v>3.5</v>
      </c>
      <c r="AD96" s="9">
        <v>3</v>
      </c>
      <c r="AE96" s="9">
        <v>3.5</v>
      </c>
      <c r="AF96" s="9">
        <v>4</v>
      </c>
      <c r="AG96" s="9">
        <v>3.5</v>
      </c>
      <c r="AH96" s="9">
        <v>4</v>
      </c>
      <c r="AI96" t="s">
        <v>236</v>
      </c>
      <c r="AJ96" s="9">
        <v>119</v>
      </c>
      <c r="AK96" t="s">
        <v>465</v>
      </c>
      <c r="AN96" t="s">
        <v>668</v>
      </c>
      <c r="AO96" s="9">
        <v>2007</v>
      </c>
      <c r="AP96" t="s">
        <v>54</v>
      </c>
      <c r="AQ96" t="s">
        <v>669</v>
      </c>
      <c r="AR96" t="s">
        <v>1193</v>
      </c>
      <c r="AS96" t="s">
        <v>64</v>
      </c>
      <c r="AT96" s="9">
        <v>3.93</v>
      </c>
      <c r="AU96" s="9">
        <v>3.5</v>
      </c>
      <c r="AV96" s="9">
        <v>4.5</v>
      </c>
      <c r="AW96" s="9">
        <v>4.5</v>
      </c>
      <c r="AX96" s="9">
        <v>4.5</v>
      </c>
      <c r="AY96" s="9">
        <v>3</v>
      </c>
      <c r="AZ96" s="9">
        <v>3.5</v>
      </c>
      <c r="BA96" s="9">
        <v>4</v>
      </c>
      <c r="BB96" t="s">
        <v>65</v>
      </c>
      <c r="BC96" s="9">
        <v>125</v>
      </c>
      <c r="BD96" t="s">
        <v>596</v>
      </c>
    </row>
    <row r="97" spans="21:56" x14ac:dyDescent="0.35">
      <c r="U97" t="s">
        <v>1070</v>
      </c>
      <c r="V97" s="9">
        <v>1994</v>
      </c>
      <c r="W97" t="s">
        <v>54</v>
      </c>
      <c r="X97" t="s">
        <v>733</v>
      </c>
      <c r="Y97" t="s">
        <v>1192</v>
      </c>
      <c r="Z97" t="s">
        <v>980</v>
      </c>
      <c r="AA97" s="9">
        <v>2.5</v>
      </c>
      <c r="AB97" s="9">
        <v>2.5</v>
      </c>
      <c r="AC97" s="9">
        <v>2.5</v>
      </c>
      <c r="AD97" s="9">
        <v>3.5</v>
      </c>
      <c r="AE97" s="9">
        <v>2.5</v>
      </c>
      <c r="AF97" s="9">
        <v>1.5</v>
      </c>
      <c r="AG97" s="9">
        <v>3</v>
      </c>
      <c r="AH97" s="9">
        <v>2</v>
      </c>
      <c r="AI97" t="s">
        <v>94</v>
      </c>
      <c r="AJ97" s="9">
        <v>102</v>
      </c>
      <c r="AK97" t="s">
        <v>473</v>
      </c>
      <c r="AN97" t="s">
        <v>690</v>
      </c>
      <c r="AO97" s="9">
        <v>2007</v>
      </c>
      <c r="AP97" t="s">
        <v>54</v>
      </c>
      <c r="AQ97" t="s">
        <v>691</v>
      </c>
      <c r="AR97" t="s">
        <v>1193</v>
      </c>
      <c r="AS97" t="s">
        <v>692</v>
      </c>
      <c r="AT97" s="9">
        <v>4.07</v>
      </c>
      <c r="AU97" s="9">
        <v>3.5</v>
      </c>
      <c r="AV97" s="9">
        <v>3.5</v>
      </c>
      <c r="AW97" s="9">
        <v>4.5</v>
      </c>
      <c r="AX97" s="9">
        <v>4</v>
      </c>
      <c r="AY97" s="9">
        <v>3.5</v>
      </c>
      <c r="AZ97" s="9">
        <v>4.5</v>
      </c>
      <c r="BA97" s="9">
        <v>5</v>
      </c>
      <c r="BB97" t="s">
        <v>75</v>
      </c>
      <c r="BC97" s="9">
        <v>400</v>
      </c>
      <c r="BD97" t="s">
        <v>597</v>
      </c>
    </row>
    <row r="98" spans="21:56" x14ac:dyDescent="0.35">
      <c r="U98" t="s">
        <v>983</v>
      </c>
      <c r="V98" s="9">
        <v>1993</v>
      </c>
      <c r="W98" t="s">
        <v>54</v>
      </c>
      <c r="X98" t="s">
        <v>699</v>
      </c>
      <c r="Y98" t="s">
        <v>1192</v>
      </c>
      <c r="Z98" t="s">
        <v>984</v>
      </c>
      <c r="AA98" s="9">
        <v>3.86</v>
      </c>
      <c r="AB98" s="9">
        <v>3</v>
      </c>
      <c r="AC98" s="9">
        <v>3.5</v>
      </c>
      <c r="AD98" s="9">
        <v>4</v>
      </c>
      <c r="AE98" s="9">
        <v>3</v>
      </c>
      <c r="AF98" s="9">
        <v>3.5</v>
      </c>
      <c r="AG98" s="9">
        <v>5</v>
      </c>
      <c r="AH98" s="9">
        <v>5</v>
      </c>
      <c r="AI98" t="s">
        <v>217</v>
      </c>
      <c r="AJ98" s="9">
        <v>94</v>
      </c>
      <c r="AK98" t="s">
        <v>457</v>
      </c>
      <c r="AN98" t="s">
        <v>874</v>
      </c>
      <c r="AO98" s="9">
        <v>2007</v>
      </c>
      <c r="AP98" t="s">
        <v>54</v>
      </c>
      <c r="AQ98" t="s">
        <v>875</v>
      </c>
      <c r="AR98" t="s">
        <v>88</v>
      </c>
      <c r="AS98" t="s">
        <v>876</v>
      </c>
      <c r="AT98" s="9">
        <v>1.5</v>
      </c>
      <c r="AU98" s="9">
        <v>1.5</v>
      </c>
      <c r="AV98" s="9">
        <v>2</v>
      </c>
      <c r="AW98" s="9">
        <v>1.5</v>
      </c>
      <c r="AX98" s="9">
        <v>2</v>
      </c>
      <c r="AY98" s="9">
        <v>1</v>
      </c>
      <c r="AZ98" s="9">
        <v>1.5</v>
      </c>
      <c r="BA98" s="9">
        <v>1</v>
      </c>
      <c r="BB98" t="s">
        <v>175</v>
      </c>
      <c r="BC98" s="9">
        <v>90</v>
      </c>
      <c r="BD98" t="s">
        <v>598</v>
      </c>
    </row>
    <row r="99" spans="21:56" x14ac:dyDescent="0.35">
      <c r="U99" t="s">
        <v>995</v>
      </c>
      <c r="V99" s="9">
        <v>1993</v>
      </c>
      <c r="W99" t="s">
        <v>54</v>
      </c>
      <c r="X99" t="s">
        <v>752</v>
      </c>
      <c r="Y99" t="s">
        <v>1192</v>
      </c>
      <c r="Z99" t="s">
        <v>996</v>
      </c>
      <c r="AA99" s="9">
        <v>3</v>
      </c>
      <c r="AB99" s="9">
        <v>3</v>
      </c>
      <c r="AC99" s="9">
        <v>3</v>
      </c>
      <c r="AD99" s="9">
        <v>3</v>
      </c>
      <c r="AE99" s="9">
        <v>3</v>
      </c>
      <c r="AF99" s="9">
        <v>3.5</v>
      </c>
      <c r="AG99" s="9">
        <v>2.5</v>
      </c>
      <c r="AH99" s="9">
        <v>3</v>
      </c>
      <c r="AI99" t="s">
        <v>104</v>
      </c>
      <c r="AJ99" s="9">
        <v>73</v>
      </c>
      <c r="AK99" t="s">
        <v>459</v>
      </c>
      <c r="AN99" t="s">
        <v>997</v>
      </c>
      <c r="AO99" s="9">
        <v>2007</v>
      </c>
      <c r="AP99" t="s">
        <v>54</v>
      </c>
      <c r="AQ99" t="s">
        <v>699</v>
      </c>
      <c r="AR99" t="s">
        <v>1193</v>
      </c>
      <c r="AS99" t="s">
        <v>998</v>
      </c>
      <c r="AT99" s="9">
        <v>2.29</v>
      </c>
      <c r="AU99" s="9">
        <v>2</v>
      </c>
      <c r="AV99" s="9">
        <v>2.5</v>
      </c>
      <c r="AW99" s="9">
        <v>3.5</v>
      </c>
      <c r="AX99" s="9">
        <v>2.5</v>
      </c>
      <c r="AY99" s="9">
        <v>1.5</v>
      </c>
      <c r="AZ99" s="9">
        <v>3</v>
      </c>
      <c r="BA99" s="9">
        <v>1</v>
      </c>
      <c r="BB99" t="s">
        <v>223</v>
      </c>
      <c r="BC99" s="9">
        <v>650</v>
      </c>
      <c r="BD99" t="s">
        <v>599</v>
      </c>
    </row>
    <row r="100" spans="21:56" x14ac:dyDescent="0.35">
      <c r="U100" t="s">
        <v>1007</v>
      </c>
      <c r="V100" s="9">
        <v>1993</v>
      </c>
      <c r="W100" t="s">
        <v>54</v>
      </c>
      <c r="X100" t="s">
        <v>736</v>
      </c>
      <c r="Y100" t="s">
        <v>1192</v>
      </c>
      <c r="Z100" t="s">
        <v>841</v>
      </c>
      <c r="AA100" s="9">
        <v>3.71</v>
      </c>
      <c r="AB100" s="9">
        <v>4</v>
      </c>
      <c r="AC100" s="9">
        <v>4</v>
      </c>
      <c r="AD100" s="9">
        <v>3.5</v>
      </c>
      <c r="AE100" s="9">
        <v>3</v>
      </c>
      <c r="AF100" s="9">
        <v>3.5</v>
      </c>
      <c r="AG100" s="9">
        <v>3</v>
      </c>
      <c r="AH100" s="9">
        <v>5</v>
      </c>
      <c r="AI100" t="s">
        <v>228</v>
      </c>
      <c r="AJ100" s="9">
        <v>113</v>
      </c>
      <c r="AK100" t="s">
        <v>462</v>
      </c>
      <c r="AN100" t="s">
        <v>685</v>
      </c>
      <c r="AO100" s="9">
        <v>2006</v>
      </c>
      <c r="AP100" t="s">
        <v>54</v>
      </c>
      <c r="AQ100" t="s">
        <v>686</v>
      </c>
      <c r="AR100" t="s">
        <v>1193</v>
      </c>
      <c r="AS100" t="s">
        <v>687</v>
      </c>
      <c r="AT100" s="9">
        <v>2.86</v>
      </c>
      <c r="AU100" s="9">
        <v>3.5</v>
      </c>
      <c r="AV100" s="9">
        <v>3</v>
      </c>
      <c r="AW100" s="9">
        <v>3.5</v>
      </c>
      <c r="AX100" s="9">
        <v>2</v>
      </c>
      <c r="AY100" s="9">
        <v>2.5</v>
      </c>
      <c r="AZ100" s="9">
        <v>2.5</v>
      </c>
      <c r="BA100" s="9">
        <v>3</v>
      </c>
      <c r="BB100" t="s">
        <v>73</v>
      </c>
      <c r="BC100" s="9">
        <v>95</v>
      </c>
      <c r="BD100" t="s">
        <v>600</v>
      </c>
    </row>
    <row r="101" spans="21:56" x14ac:dyDescent="0.35">
      <c r="U101" t="s">
        <v>1019</v>
      </c>
      <c r="V101" s="9">
        <v>1992</v>
      </c>
      <c r="W101" t="s">
        <v>54</v>
      </c>
      <c r="X101" t="s">
        <v>752</v>
      </c>
      <c r="Y101" t="s">
        <v>1192</v>
      </c>
      <c r="Z101" t="s">
        <v>753</v>
      </c>
      <c r="AA101" s="9">
        <v>3.57</v>
      </c>
      <c r="AB101" s="9">
        <v>3.5</v>
      </c>
      <c r="AC101" s="9">
        <v>3.5</v>
      </c>
      <c r="AD101" s="9">
        <v>3</v>
      </c>
      <c r="AE101" s="9">
        <v>3.5</v>
      </c>
      <c r="AF101" s="9">
        <v>3</v>
      </c>
      <c r="AG101" s="9">
        <v>4.5</v>
      </c>
      <c r="AH101" s="9">
        <v>4</v>
      </c>
      <c r="AI101" t="s">
        <v>191</v>
      </c>
      <c r="AJ101" s="9">
        <v>94</v>
      </c>
      <c r="AK101" t="s">
        <v>467</v>
      </c>
      <c r="AN101" t="s">
        <v>728</v>
      </c>
      <c r="AO101" s="9">
        <v>2006</v>
      </c>
      <c r="AP101" t="s">
        <v>54</v>
      </c>
      <c r="AQ101" t="s">
        <v>699</v>
      </c>
      <c r="AR101" t="s">
        <v>1193</v>
      </c>
      <c r="AS101" t="s">
        <v>729</v>
      </c>
      <c r="AT101" s="9">
        <v>4.29</v>
      </c>
      <c r="AU101" s="9">
        <v>3</v>
      </c>
      <c r="AV101" s="9">
        <v>3.5</v>
      </c>
      <c r="AW101" s="9">
        <v>4.5</v>
      </c>
      <c r="AX101" s="9">
        <v>4.5</v>
      </c>
      <c r="AY101" s="9">
        <v>5</v>
      </c>
      <c r="AZ101" s="9">
        <v>4.5</v>
      </c>
      <c r="BA101" s="9">
        <v>5</v>
      </c>
      <c r="BB101" t="s">
        <v>91</v>
      </c>
      <c r="BC101" s="9">
        <v>600</v>
      </c>
      <c r="BD101" t="s">
        <v>601</v>
      </c>
    </row>
    <row r="102" spans="21:56" x14ac:dyDescent="0.35">
      <c r="U102" t="s">
        <v>1001</v>
      </c>
      <c r="V102" s="9">
        <v>1991</v>
      </c>
      <c r="W102" t="s">
        <v>54</v>
      </c>
      <c r="X102" t="s">
        <v>752</v>
      </c>
      <c r="Y102" t="s">
        <v>1192</v>
      </c>
      <c r="Z102" t="s">
        <v>848</v>
      </c>
      <c r="AA102" s="9">
        <v>3.43</v>
      </c>
      <c r="AB102" s="9">
        <v>3.5</v>
      </c>
      <c r="AC102" s="9">
        <v>3</v>
      </c>
      <c r="AD102" s="9">
        <v>3</v>
      </c>
      <c r="AE102" s="9">
        <v>3.5</v>
      </c>
      <c r="AF102" s="9">
        <v>4</v>
      </c>
      <c r="AG102" s="9">
        <v>3</v>
      </c>
      <c r="AH102" s="9">
        <v>4</v>
      </c>
      <c r="AI102" t="s">
        <v>114</v>
      </c>
      <c r="AJ102" s="9">
        <v>118</v>
      </c>
      <c r="AK102" t="s">
        <v>460</v>
      </c>
      <c r="AN102" t="s">
        <v>766</v>
      </c>
      <c r="AO102" s="9">
        <v>2006</v>
      </c>
      <c r="AP102" t="s">
        <v>54</v>
      </c>
      <c r="AQ102" t="s">
        <v>764</v>
      </c>
      <c r="AR102" t="s">
        <v>1193</v>
      </c>
      <c r="AS102" t="s">
        <v>767</v>
      </c>
      <c r="AT102" s="9">
        <v>4.3600000000000003</v>
      </c>
      <c r="AU102" s="9">
        <v>3.5</v>
      </c>
      <c r="AV102" s="9">
        <v>4</v>
      </c>
      <c r="AW102" s="9">
        <v>4.5</v>
      </c>
      <c r="AX102" s="9">
        <v>4.5</v>
      </c>
      <c r="AY102" s="9">
        <v>4.5</v>
      </c>
      <c r="AZ102" s="9">
        <v>4.5</v>
      </c>
      <c r="BA102" s="9">
        <v>5</v>
      </c>
      <c r="BB102" t="s">
        <v>107</v>
      </c>
      <c r="BC102" s="9">
        <v>1250</v>
      </c>
      <c r="BD102" t="s">
        <v>602</v>
      </c>
    </row>
    <row r="103" spans="21:56" x14ac:dyDescent="0.35">
      <c r="U103" t="s">
        <v>897</v>
      </c>
      <c r="V103" s="9">
        <v>1989</v>
      </c>
      <c r="W103" t="s">
        <v>54</v>
      </c>
      <c r="X103" t="s">
        <v>752</v>
      </c>
      <c r="Y103" t="s">
        <v>1192</v>
      </c>
      <c r="Z103" t="s">
        <v>753</v>
      </c>
      <c r="AA103" s="9">
        <v>3.71</v>
      </c>
      <c r="AB103" s="9">
        <v>3.5</v>
      </c>
      <c r="AC103" s="9">
        <v>3.5</v>
      </c>
      <c r="AD103" s="9">
        <v>3.5</v>
      </c>
      <c r="AE103" s="9">
        <v>4</v>
      </c>
      <c r="AF103" s="9">
        <v>3.5</v>
      </c>
      <c r="AG103" s="9">
        <v>3.5</v>
      </c>
      <c r="AH103" s="9">
        <v>4.5</v>
      </c>
      <c r="AI103" t="s">
        <v>177</v>
      </c>
      <c r="AJ103" s="9">
        <v>102</v>
      </c>
      <c r="AK103" t="s">
        <v>436</v>
      </c>
      <c r="AN103" t="s">
        <v>768</v>
      </c>
      <c r="AO103" s="9">
        <v>2006</v>
      </c>
      <c r="AP103" t="s">
        <v>54</v>
      </c>
      <c r="AQ103" t="s">
        <v>657</v>
      </c>
      <c r="AR103" t="s">
        <v>88</v>
      </c>
      <c r="AS103" t="s">
        <v>108</v>
      </c>
      <c r="AT103" s="9">
        <v>2.93</v>
      </c>
      <c r="AU103" s="9">
        <v>2.5</v>
      </c>
      <c r="AV103" s="9">
        <v>3</v>
      </c>
      <c r="AW103" s="9">
        <v>3</v>
      </c>
      <c r="AX103" s="9">
        <v>3</v>
      </c>
      <c r="AY103" s="9">
        <v>3.5</v>
      </c>
      <c r="AZ103" s="9">
        <v>2.5</v>
      </c>
      <c r="BA103" s="9">
        <v>3</v>
      </c>
      <c r="BB103" t="s">
        <v>109</v>
      </c>
      <c r="BC103" s="9">
        <v>57</v>
      </c>
      <c r="BD103" t="s">
        <v>603</v>
      </c>
    </row>
    <row r="104" spans="21:56" x14ac:dyDescent="0.35">
      <c r="U104" t="s">
        <v>671</v>
      </c>
      <c r="V104" s="9">
        <v>1988</v>
      </c>
      <c r="W104" t="s">
        <v>54</v>
      </c>
      <c r="X104" t="s">
        <v>672</v>
      </c>
      <c r="Y104" t="s">
        <v>1192</v>
      </c>
      <c r="Z104" t="s">
        <v>673</v>
      </c>
      <c r="AA104" s="9">
        <v>3.14</v>
      </c>
      <c r="AB104" s="9">
        <v>4</v>
      </c>
      <c r="AC104" s="9">
        <v>3.5</v>
      </c>
      <c r="AD104" s="9">
        <v>3.5</v>
      </c>
      <c r="AE104" s="9">
        <v>2.5</v>
      </c>
      <c r="AF104" s="9">
        <v>2</v>
      </c>
      <c r="AG104" s="9">
        <v>2.5</v>
      </c>
      <c r="AH104" s="9">
        <v>4</v>
      </c>
      <c r="AI104" t="s">
        <v>67</v>
      </c>
      <c r="AJ104" s="9">
        <v>124</v>
      </c>
      <c r="AK104" t="s">
        <v>408</v>
      </c>
      <c r="AN104" t="s">
        <v>787</v>
      </c>
      <c r="AO104" s="9">
        <v>2006</v>
      </c>
      <c r="AP104" t="s">
        <v>54</v>
      </c>
      <c r="AQ104" t="s">
        <v>699</v>
      </c>
      <c r="AR104" t="s">
        <v>1193</v>
      </c>
      <c r="AS104" t="s">
        <v>788</v>
      </c>
      <c r="AT104" s="9">
        <v>4.71</v>
      </c>
      <c r="AU104" s="9">
        <v>4</v>
      </c>
      <c r="AV104" s="9">
        <v>4.5</v>
      </c>
      <c r="AW104" s="9">
        <v>5</v>
      </c>
      <c r="AX104" s="9">
        <v>5</v>
      </c>
      <c r="AY104" s="9">
        <v>4.5</v>
      </c>
      <c r="AZ104" s="9">
        <v>5</v>
      </c>
      <c r="BA104" s="9">
        <v>5</v>
      </c>
      <c r="BB104" t="s">
        <v>122</v>
      </c>
      <c r="BC104" s="9">
        <v>925</v>
      </c>
      <c r="BD104" t="s">
        <v>604</v>
      </c>
    </row>
    <row r="105" spans="21:56" x14ac:dyDescent="0.35">
      <c r="U105" t="s">
        <v>847</v>
      </c>
      <c r="V105" s="9">
        <v>1988</v>
      </c>
      <c r="W105" t="s">
        <v>54</v>
      </c>
      <c r="X105" t="s">
        <v>752</v>
      </c>
      <c r="Y105" t="s">
        <v>1192</v>
      </c>
      <c r="Z105" t="s">
        <v>848</v>
      </c>
      <c r="AA105" s="9">
        <v>3.29</v>
      </c>
      <c r="AB105" s="9">
        <v>3</v>
      </c>
      <c r="AC105" s="9">
        <v>2.5</v>
      </c>
      <c r="AD105" s="9">
        <v>4</v>
      </c>
      <c r="AE105" s="9">
        <v>4</v>
      </c>
      <c r="AF105" s="9">
        <v>4</v>
      </c>
      <c r="AG105" s="9">
        <v>1.5</v>
      </c>
      <c r="AH105" s="9">
        <v>4</v>
      </c>
      <c r="AI105" t="s">
        <v>149</v>
      </c>
      <c r="AJ105" s="9">
        <v>89</v>
      </c>
      <c r="AK105" t="s">
        <v>431</v>
      </c>
      <c r="AN105" t="s">
        <v>815</v>
      </c>
      <c r="AO105" s="9">
        <v>2006</v>
      </c>
      <c r="AP105" t="s">
        <v>54</v>
      </c>
      <c r="AQ105" t="s">
        <v>816</v>
      </c>
      <c r="AR105" t="s">
        <v>1193</v>
      </c>
      <c r="AS105" t="s">
        <v>817</v>
      </c>
      <c r="AT105" s="9">
        <v>2.64</v>
      </c>
      <c r="AU105" s="9">
        <v>3</v>
      </c>
      <c r="AV105" s="9">
        <v>3</v>
      </c>
      <c r="AW105" s="9">
        <v>3</v>
      </c>
      <c r="AX105" s="9">
        <v>3</v>
      </c>
      <c r="AY105" s="9">
        <v>2</v>
      </c>
      <c r="AZ105" s="9">
        <v>2.5</v>
      </c>
      <c r="BA105" s="9">
        <v>2</v>
      </c>
      <c r="BB105" t="s">
        <v>134</v>
      </c>
      <c r="BC105" s="9">
        <v>600</v>
      </c>
      <c r="BD105" t="s">
        <v>605</v>
      </c>
    </row>
    <row r="106" spans="21:56" x14ac:dyDescent="0.35">
      <c r="U106" t="s">
        <v>967</v>
      </c>
      <c r="V106" s="9">
        <v>1988</v>
      </c>
      <c r="W106" t="s">
        <v>54</v>
      </c>
      <c r="X106" t="s">
        <v>752</v>
      </c>
      <c r="Y106" t="s">
        <v>1192</v>
      </c>
      <c r="Z106" t="s">
        <v>753</v>
      </c>
      <c r="AA106" s="9">
        <v>3.86</v>
      </c>
      <c r="AB106" s="9">
        <v>3.5</v>
      </c>
      <c r="AC106" s="9">
        <v>3.5</v>
      </c>
      <c r="AD106" s="9">
        <v>4</v>
      </c>
      <c r="AE106" s="9">
        <v>3.5</v>
      </c>
      <c r="AF106" s="9">
        <v>3.5</v>
      </c>
      <c r="AG106" s="9">
        <v>4</v>
      </c>
      <c r="AH106" s="9">
        <v>5</v>
      </c>
      <c r="AI106" t="s">
        <v>199</v>
      </c>
      <c r="AJ106" s="9">
        <v>86</v>
      </c>
      <c r="AK106" t="s">
        <v>452</v>
      </c>
      <c r="AN106" t="s">
        <v>861</v>
      </c>
      <c r="AO106" s="9">
        <v>2006</v>
      </c>
      <c r="AP106" t="s">
        <v>54</v>
      </c>
      <c r="AQ106" t="s">
        <v>162</v>
      </c>
      <c r="AR106" t="s">
        <v>88</v>
      </c>
      <c r="AS106" t="s">
        <v>163</v>
      </c>
      <c r="AT106" s="9">
        <v>4.21</v>
      </c>
      <c r="AU106" s="9">
        <v>3</v>
      </c>
      <c r="AV106" s="9">
        <v>5</v>
      </c>
      <c r="AW106" s="9">
        <v>3.5</v>
      </c>
      <c r="AX106" s="9">
        <v>5</v>
      </c>
      <c r="AY106" s="9">
        <v>3</v>
      </c>
      <c r="AZ106" s="9">
        <v>5</v>
      </c>
      <c r="BA106" s="9">
        <v>5</v>
      </c>
      <c r="BB106" t="s">
        <v>164</v>
      </c>
      <c r="BC106" s="9">
        <v>472</v>
      </c>
      <c r="BD106" t="s">
        <v>606</v>
      </c>
    </row>
    <row r="107" spans="21:56" x14ac:dyDescent="0.35">
      <c r="U107" t="s">
        <v>925</v>
      </c>
      <c r="V107" s="9">
        <v>1987</v>
      </c>
      <c r="W107" t="s">
        <v>54</v>
      </c>
      <c r="X107" t="s">
        <v>920</v>
      </c>
      <c r="Y107" t="s">
        <v>1192</v>
      </c>
      <c r="Z107" t="s">
        <v>926</v>
      </c>
      <c r="AA107" s="9">
        <v>3</v>
      </c>
      <c r="AB107" s="9">
        <v>3.5</v>
      </c>
      <c r="AC107" s="9">
        <v>3</v>
      </c>
      <c r="AD107" s="9">
        <v>3.5</v>
      </c>
      <c r="AE107" s="9">
        <v>2</v>
      </c>
      <c r="AF107" s="9">
        <v>2.5</v>
      </c>
      <c r="AG107" s="9">
        <v>3.5</v>
      </c>
      <c r="AH107" s="9">
        <v>3</v>
      </c>
      <c r="AI107" t="s">
        <v>189</v>
      </c>
      <c r="AJ107" s="9">
        <v>73</v>
      </c>
      <c r="AK107" t="s">
        <v>443</v>
      </c>
      <c r="AN107" t="s">
        <v>1113</v>
      </c>
      <c r="AO107" s="9">
        <v>2006</v>
      </c>
      <c r="AP107" t="s">
        <v>54</v>
      </c>
      <c r="AQ107" t="s">
        <v>663</v>
      </c>
      <c r="AR107" t="s">
        <v>1193</v>
      </c>
      <c r="AS107" t="s">
        <v>914</v>
      </c>
      <c r="AT107" s="9">
        <v>2.93</v>
      </c>
      <c r="AU107" s="9">
        <v>3</v>
      </c>
      <c r="AV107" s="9">
        <v>3</v>
      </c>
      <c r="AW107" s="9">
        <v>3.5</v>
      </c>
      <c r="AX107" s="9">
        <v>3.5</v>
      </c>
      <c r="AY107" s="9">
        <v>2.5</v>
      </c>
      <c r="AZ107" s="9">
        <v>2.5</v>
      </c>
      <c r="BA107" s="9">
        <v>2.5</v>
      </c>
      <c r="BB107" t="s">
        <v>279</v>
      </c>
      <c r="BC107" s="9">
        <v>700</v>
      </c>
      <c r="BD107" t="s">
        <v>607</v>
      </c>
    </row>
    <row r="108" spans="21:56" x14ac:dyDescent="0.35">
      <c r="U108" t="s">
        <v>698</v>
      </c>
      <c r="V108" s="9">
        <v>1986</v>
      </c>
      <c r="W108" t="s">
        <v>54</v>
      </c>
      <c r="X108" t="s">
        <v>699</v>
      </c>
      <c r="Y108" t="s">
        <v>1192</v>
      </c>
      <c r="Z108" t="s">
        <v>700</v>
      </c>
      <c r="AA108" s="9">
        <v>2.29</v>
      </c>
      <c r="AB108" s="9">
        <v>2</v>
      </c>
      <c r="AC108" s="9">
        <v>2.5</v>
      </c>
      <c r="AD108" s="9">
        <v>2</v>
      </c>
      <c r="AE108" s="9">
        <v>1</v>
      </c>
      <c r="AF108" s="9">
        <v>3</v>
      </c>
      <c r="AG108" s="9">
        <v>2.5</v>
      </c>
      <c r="AH108" s="9">
        <v>3</v>
      </c>
      <c r="AI108" t="s">
        <v>341</v>
      </c>
      <c r="AJ108" s="9">
        <v>85</v>
      </c>
      <c r="AK108" t="s">
        <v>411</v>
      </c>
      <c r="AN108" t="s">
        <v>1165</v>
      </c>
      <c r="AO108" s="9">
        <v>2006</v>
      </c>
      <c r="AP108" t="s">
        <v>54</v>
      </c>
      <c r="AQ108" t="s">
        <v>669</v>
      </c>
      <c r="AR108" t="s">
        <v>1193</v>
      </c>
      <c r="AS108" t="s">
        <v>1166</v>
      </c>
      <c r="AT108" s="9">
        <v>3.43</v>
      </c>
      <c r="AU108" s="9">
        <v>3</v>
      </c>
      <c r="AV108" s="9">
        <v>3</v>
      </c>
      <c r="AW108" s="9">
        <v>3.5</v>
      </c>
      <c r="AX108" s="9">
        <v>3</v>
      </c>
      <c r="AY108" s="9">
        <v>3.5</v>
      </c>
      <c r="AZ108" s="9">
        <v>4</v>
      </c>
      <c r="BA108" s="9">
        <v>4</v>
      </c>
      <c r="BB108" t="s">
        <v>308</v>
      </c>
      <c r="BC108" s="9">
        <v>600</v>
      </c>
      <c r="BD108" t="s">
        <v>608</v>
      </c>
    </row>
    <row r="109" spans="21:56" x14ac:dyDescent="0.35">
      <c r="U109" t="s">
        <v>751</v>
      </c>
      <c r="V109" s="9">
        <v>1986</v>
      </c>
      <c r="W109" t="s">
        <v>54</v>
      </c>
      <c r="X109" t="s">
        <v>752</v>
      </c>
      <c r="Y109" t="s">
        <v>1192</v>
      </c>
      <c r="Z109" t="s">
        <v>753</v>
      </c>
      <c r="AA109" s="9">
        <v>4</v>
      </c>
      <c r="AB109" s="9">
        <v>3.5</v>
      </c>
      <c r="AC109" s="9">
        <v>3.5</v>
      </c>
      <c r="AD109" s="9">
        <v>4.5</v>
      </c>
      <c r="AE109" s="9">
        <v>3.5</v>
      </c>
      <c r="AF109" s="9">
        <v>4</v>
      </c>
      <c r="AG109" s="9">
        <v>4</v>
      </c>
      <c r="AH109" s="9">
        <v>5</v>
      </c>
      <c r="AI109" t="s">
        <v>101</v>
      </c>
      <c r="AJ109" s="9">
        <v>126</v>
      </c>
      <c r="AK109" t="s">
        <v>419</v>
      </c>
      <c r="AN109" t="s">
        <v>1184</v>
      </c>
      <c r="AO109" s="9">
        <v>2006</v>
      </c>
      <c r="AP109" t="s">
        <v>54</v>
      </c>
      <c r="AQ109" t="s">
        <v>736</v>
      </c>
      <c r="AR109" t="s">
        <v>1193</v>
      </c>
      <c r="AS109" t="s">
        <v>1023</v>
      </c>
      <c r="AT109" s="9">
        <v>2.36</v>
      </c>
      <c r="AU109" s="9">
        <v>3</v>
      </c>
      <c r="AV109" s="9">
        <v>3.5</v>
      </c>
      <c r="AW109" s="9">
        <v>2.5</v>
      </c>
      <c r="AX109" s="9">
        <v>2</v>
      </c>
      <c r="AY109" s="9">
        <v>2</v>
      </c>
      <c r="AZ109" s="9">
        <v>1.5</v>
      </c>
      <c r="BA109" s="9">
        <v>2</v>
      </c>
      <c r="BB109" t="s">
        <v>313</v>
      </c>
      <c r="BC109" s="9">
        <v>600</v>
      </c>
      <c r="BD109" t="s">
        <v>609</v>
      </c>
    </row>
    <row r="110" spans="21:56" x14ac:dyDescent="0.35">
      <c r="U110" t="s">
        <v>979</v>
      </c>
      <c r="V110" s="9">
        <v>1985</v>
      </c>
      <c r="W110" t="s">
        <v>54</v>
      </c>
      <c r="X110" t="s">
        <v>733</v>
      </c>
      <c r="Y110" t="s">
        <v>1192</v>
      </c>
      <c r="Z110" t="s">
        <v>980</v>
      </c>
      <c r="AA110" s="9">
        <v>3.36</v>
      </c>
      <c r="AB110" s="9">
        <v>2.5</v>
      </c>
      <c r="AC110" s="9">
        <v>4</v>
      </c>
      <c r="AD110" s="9">
        <v>4</v>
      </c>
      <c r="AE110" s="9">
        <v>2.5</v>
      </c>
      <c r="AF110" s="9">
        <v>3.5</v>
      </c>
      <c r="AG110" s="9">
        <v>2.5</v>
      </c>
      <c r="AH110" s="9">
        <v>4.5</v>
      </c>
      <c r="AI110" t="s">
        <v>216</v>
      </c>
      <c r="AJ110" s="9">
        <v>105</v>
      </c>
      <c r="AK110" t="s">
        <v>456</v>
      </c>
      <c r="AN110" t="s">
        <v>955</v>
      </c>
      <c r="AO110" s="9">
        <v>2005</v>
      </c>
      <c r="AP110" t="s">
        <v>54</v>
      </c>
      <c r="AQ110" t="s">
        <v>956</v>
      </c>
      <c r="AR110" t="s">
        <v>1193</v>
      </c>
      <c r="AS110" t="s">
        <v>957</v>
      </c>
      <c r="AT110" s="9">
        <v>4.6399999999999997</v>
      </c>
      <c r="AU110" s="9">
        <v>4.5</v>
      </c>
      <c r="AV110" s="9">
        <v>4.5</v>
      </c>
      <c r="AW110" s="9">
        <v>5</v>
      </c>
      <c r="AX110" s="9">
        <v>4.5</v>
      </c>
      <c r="AY110" s="9">
        <v>5</v>
      </c>
      <c r="AZ110" s="9">
        <v>4</v>
      </c>
      <c r="BA110" s="9">
        <v>5</v>
      </c>
      <c r="BB110" t="s">
        <v>205</v>
      </c>
      <c r="BC110" s="9">
        <v>650</v>
      </c>
      <c r="BD110" t="s">
        <v>610</v>
      </c>
    </row>
    <row r="111" spans="21:56" x14ac:dyDescent="0.35">
      <c r="U111" t="s">
        <v>1160</v>
      </c>
      <c r="V111" s="9">
        <v>1985</v>
      </c>
      <c r="W111" t="s">
        <v>54</v>
      </c>
      <c r="X111" t="s">
        <v>1161</v>
      </c>
      <c r="Y111" t="s">
        <v>1192</v>
      </c>
      <c r="Z111" t="s">
        <v>1162</v>
      </c>
      <c r="AA111" s="9">
        <v>2.4300000000000002</v>
      </c>
      <c r="AB111" s="9">
        <v>1.5</v>
      </c>
      <c r="AC111" s="9">
        <v>2.5</v>
      </c>
      <c r="AD111" s="9">
        <v>3</v>
      </c>
      <c r="AE111" s="9">
        <v>2</v>
      </c>
      <c r="AF111" s="9">
        <v>2.5</v>
      </c>
      <c r="AG111" s="9">
        <v>2.5</v>
      </c>
      <c r="AH111" s="9">
        <v>3</v>
      </c>
      <c r="AI111" t="s">
        <v>80</v>
      </c>
      <c r="AJ111" s="9">
        <v>80</v>
      </c>
      <c r="AK111" t="s">
        <v>501</v>
      </c>
      <c r="AN111" t="s">
        <v>832</v>
      </c>
      <c r="AO111" s="9">
        <v>2004</v>
      </c>
      <c r="AP111" t="s">
        <v>54</v>
      </c>
      <c r="AQ111" t="s">
        <v>669</v>
      </c>
      <c r="AR111" t="s">
        <v>1193</v>
      </c>
      <c r="AS111" t="s">
        <v>833</v>
      </c>
      <c r="AT111" s="9">
        <v>4.29</v>
      </c>
      <c r="AU111" s="9">
        <v>3</v>
      </c>
      <c r="AV111" s="9">
        <v>4.5</v>
      </c>
      <c r="AW111" s="9">
        <v>5</v>
      </c>
      <c r="AX111" s="9">
        <v>4</v>
      </c>
      <c r="AY111" s="9">
        <v>4.5</v>
      </c>
      <c r="AZ111" s="9">
        <v>4</v>
      </c>
      <c r="BA111" s="9">
        <v>5</v>
      </c>
      <c r="BB111" t="s">
        <v>142</v>
      </c>
      <c r="BC111" s="9">
        <v>600</v>
      </c>
      <c r="BD111" t="s">
        <v>611</v>
      </c>
    </row>
    <row r="112" spans="21:56" x14ac:dyDescent="0.35">
      <c r="U112" t="s">
        <v>973</v>
      </c>
      <c r="V112" s="9">
        <v>1984</v>
      </c>
      <c r="W112" t="s">
        <v>54</v>
      </c>
      <c r="X112" t="s">
        <v>752</v>
      </c>
      <c r="Y112" t="s">
        <v>1192</v>
      </c>
      <c r="Z112" t="s">
        <v>974</v>
      </c>
      <c r="AA112" s="9">
        <v>3.57</v>
      </c>
      <c r="AB112" s="9">
        <v>3</v>
      </c>
      <c r="AC112" s="9">
        <v>3</v>
      </c>
      <c r="AD112" s="9">
        <v>4</v>
      </c>
      <c r="AE112" s="9">
        <v>3.5</v>
      </c>
      <c r="AF112" s="9">
        <v>4</v>
      </c>
      <c r="AG112" s="9">
        <v>3</v>
      </c>
      <c r="AH112" s="9">
        <v>4.5</v>
      </c>
      <c r="AI112" t="s">
        <v>213</v>
      </c>
      <c r="AJ112" s="9">
        <v>117</v>
      </c>
      <c r="AK112" t="s">
        <v>455</v>
      </c>
      <c r="AN112" t="s">
        <v>834</v>
      </c>
      <c r="AO112" s="9">
        <v>2004</v>
      </c>
      <c r="AP112" t="s">
        <v>54</v>
      </c>
      <c r="AQ112" t="s">
        <v>669</v>
      </c>
      <c r="AR112" t="s">
        <v>1193</v>
      </c>
      <c r="AS112" t="s">
        <v>835</v>
      </c>
      <c r="AT112" s="9">
        <v>3.29</v>
      </c>
      <c r="AU112" s="9">
        <v>2.5</v>
      </c>
      <c r="AV112" s="9">
        <v>2.5</v>
      </c>
      <c r="AW112" s="9">
        <v>3</v>
      </c>
      <c r="AX112" s="9">
        <v>2.5</v>
      </c>
      <c r="AY112" s="9">
        <v>4</v>
      </c>
      <c r="AZ112" s="9">
        <v>4.5</v>
      </c>
      <c r="BA112" s="9">
        <v>4</v>
      </c>
      <c r="BB112" t="s">
        <v>143</v>
      </c>
      <c r="BC112" s="9">
        <v>650</v>
      </c>
      <c r="BD112" t="s">
        <v>612</v>
      </c>
    </row>
    <row r="113" spans="21:56" x14ac:dyDescent="0.35">
      <c r="U113" t="s">
        <v>1159</v>
      </c>
      <c r="V113" s="9">
        <v>1984</v>
      </c>
      <c r="W113" t="s">
        <v>54</v>
      </c>
      <c r="X113" t="s">
        <v>1109</v>
      </c>
      <c r="Y113" t="s">
        <v>1192</v>
      </c>
      <c r="Z113" t="s">
        <v>841</v>
      </c>
      <c r="AA113" s="9">
        <v>2.4300000000000002</v>
      </c>
      <c r="AB113" s="9">
        <v>2</v>
      </c>
      <c r="AC113" s="9">
        <v>2</v>
      </c>
      <c r="AD113" s="9">
        <v>2.5</v>
      </c>
      <c r="AE113" s="9">
        <v>2.5</v>
      </c>
      <c r="AF113" s="9">
        <v>2.5</v>
      </c>
      <c r="AG113" s="9">
        <v>2.5</v>
      </c>
      <c r="AH113" s="9">
        <v>3</v>
      </c>
      <c r="AI113" t="s">
        <v>306</v>
      </c>
      <c r="AJ113" s="9">
        <v>97</v>
      </c>
      <c r="AK113" t="s">
        <v>500</v>
      </c>
      <c r="AN113" t="s">
        <v>942</v>
      </c>
      <c r="AO113" s="9">
        <v>2004</v>
      </c>
      <c r="AP113" t="s">
        <v>54</v>
      </c>
      <c r="AQ113" t="s">
        <v>943</v>
      </c>
      <c r="AR113" t="s">
        <v>1193</v>
      </c>
      <c r="AS113" t="s">
        <v>944</v>
      </c>
      <c r="AT113" s="9">
        <v>2.79</v>
      </c>
      <c r="AU113" s="9">
        <v>2.5</v>
      </c>
      <c r="AV113" s="9">
        <v>2</v>
      </c>
      <c r="AW113" s="9">
        <v>3</v>
      </c>
      <c r="AX113" s="9">
        <v>2.5</v>
      </c>
      <c r="AY113" s="9">
        <v>2.5</v>
      </c>
      <c r="AZ113" s="9">
        <v>3.5</v>
      </c>
      <c r="BA113" s="9">
        <v>3.5</v>
      </c>
      <c r="BB113" t="s">
        <v>200</v>
      </c>
      <c r="BC113" s="9">
        <v>325</v>
      </c>
      <c r="BD113" t="s">
        <v>613</v>
      </c>
    </row>
    <row r="114" spans="21:56" x14ac:dyDescent="0.35">
      <c r="U114" t="s">
        <v>695</v>
      </c>
      <c r="V114" s="9">
        <v>1983</v>
      </c>
      <c r="W114" t="s">
        <v>54</v>
      </c>
      <c r="X114" t="s">
        <v>696</v>
      </c>
      <c r="Y114" t="s">
        <v>1192</v>
      </c>
      <c r="Z114" t="s">
        <v>697</v>
      </c>
      <c r="AA114" s="9">
        <v>2.5</v>
      </c>
      <c r="AB114" s="9">
        <v>2.5</v>
      </c>
      <c r="AC114" s="9">
        <v>2.5</v>
      </c>
      <c r="AD114" s="9">
        <v>2.5</v>
      </c>
      <c r="AE114" s="9">
        <v>1</v>
      </c>
      <c r="AF114" s="9">
        <v>3</v>
      </c>
      <c r="AG114" s="9">
        <v>2.5</v>
      </c>
      <c r="AH114" s="9">
        <v>3.5</v>
      </c>
      <c r="AI114" t="s">
        <v>340</v>
      </c>
      <c r="AJ114" s="9">
        <v>85</v>
      </c>
      <c r="AK114" t="s">
        <v>410</v>
      </c>
      <c r="AN114" t="s">
        <v>981</v>
      </c>
      <c r="AO114" s="9">
        <v>2004</v>
      </c>
      <c r="AP114" t="s">
        <v>54</v>
      </c>
      <c r="AQ114" t="s">
        <v>819</v>
      </c>
      <c r="AR114" t="s">
        <v>1193</v>
      </c>
      <c r="AS114" t="s">
        <v>982</v>
      </c>
      <c r="AT114" s="9">
        <v>1.93</v>
      </c>
      <c r="AU114" s="9">
        <v>2</v>
      </c>
      <c r="AV114" s="9">
        <v>2</v>
      </c>
      <c r="AW114" s="9">
        <v>3</v>
      </c>
      <c r="AX114" s="9">
        <v>2</v>
      </c>
      <c r="AY114" s="9">
        <v>1.5</v>
      </c>
      <c r="AZ114" s="9">
        <v>2</v>
      </c>
      <c r="BA114" s="9">
        <v>1</v>
      </c>
      <c r="BB114" t="s">
        <v>148</v>
      </c>
      <c r="BC114" s="9">
        <v>300</v>
      </c>
      <c r="BD114" t="s">
        <v>614</v>
      </c>
    </row>
    <row r="115" spans="21:56" x14ac:dyDescent="0.35">
      <c r="U115" t="s">
        <v>1157</v>
      </c>
      <c r="V115" s="9">
        <v>1983</v>
      </c>
      <c r="W115" t="s">
        <v>54</v>
      </c>
      <c r="X115" t="s">
        <v>1037</v>
      </c>
      <c r="Y115" t="s">
        <v>1192</v>
      </c>
      <c r="Z115" t="s">
        <v>1158</v>
      </c>
      <c r="AA115" s="9">
        <v>1.86</v>
      </c>
      <c r="AB115" s="9">
        <v>2</v>
      </c>
      <c r="AC115" s="9">
        <v>3</v>
      </c>
      <c r="AD115" s="9">
        <v>1.5</v>
      </c>
      <c r="AE115" s="9">
        <v>1.5</v>
      </c>
      <c r="AF115" s="9">
        <v>1.5</v>
      </c>
      <c r="AG115" s="9">
        <v>1.5</v>
      </c>
      <c r="AH115" s="9">
        <v>2</v>
      </c>
      <c r="AI115" t="s">
        <v>244</v>
      </c>
      <c r="AJ115" s="9">
        <v>91</v>
      </c>
      <c r="AK115" t="s">
        <v>499</v>
      </c>
      <c r="AN115" t="s">
        <v>1293</v>
      </c>
      <c r="AO115" s="9">
        <v>2004</v>
      </c>
      <c r="AP115" t="s">
        <v>54</v>
      </c>
      <c r="AQ115" t="s">
        <v>699</v>
      </c>
      <c r="AR115" t="s">
        <v>1193</v>
      </c>
      <c r="AS115" t="s">
        <v>1004</v>
      </c>
      <c r="AT115" s="9">
        <v>3.71</v>
      </c>
      <c r="AU115" s="9">
        <v>3.5</v>
      </c>
      <c r="AV115" s="9">
        <v>3.5</v>
      </c>
      <c r="AW115" s="9">
        <v>3.5</v>
      </c>
      <c r="AX115" s="9">
        <v>3</v>
      </c>
      <c r="AY115" s="9">
        <v>4</v>
      </c>
      <c r="AZ115" s="9">
        <v>4</v>
      </c>
      <c r="BA115" s="9">
        <v>4.5</v>
      </c>
      <c r="BB115" t="s">
        <v>1227</v>
      </c>
      <c r="BC115" s="9">
        <v>325</v>
      </c>
      <c r="BD115" t="s">
        <v>1272</v>
      </c>
    </row>
    <row r="116" spans="21:56" x14ac:dyDescent="0.35">
      <c r="U116" t="s">
        <v>1092</v>
      </c>
      <c r="V116" s="9">
        <v>1981</v>
      </c>
      <c r="W116" t="s">
        <v>54</v>
      </c>
      <c r="X116" t="s">
        <v>1037</v>
      </c>
      <c r="Y116" t="s">
        <v>1192</v>
      </c>
      <c r="Z116" t="s">
        <v>700</v>
      </c>
      <c r="AA116" s="9">
        <v>2.21</v>
      </c>
      <c r="AB116" s="9">
        <v>2</v>
      </c>
      <c r="AC116" s="9">
        <v>2.5</v>
      </c>
      <c r="AD116" s="9">
        <v>3.5</v>
      </c>
      <c r="AE116" s="9">
        <v>1.5</v>
      </c>
      <c r="AF116" s="9">
        <v>2</v>
      </c>
      <c r="AG116" s="9">
        <v>2</v>
      </c>
      <c r="AH116" s="9">
        <v>2</v>
      </c>
      <c r="AI116" t="s">
        <v>244</v>
      </c>
      <c r="AJ116" s="9">
        <v>90</v>
      </c>
      <c r="AK116" t="s">
        <v>481</v>
      </c>
      <c r="AN116" t="s">
        <v>732</v>
      </c>
      <c r="AO116" s="9">
        <v>2003</v>
      </c>
      <c r="AP116" t="s">
        <v>54</v>
      </c>
      <c r="AQ116" t="s">
        <v>733</v>
      </c>
      <c r="AR116" t="s">
        <v>1200</v>
      </c>
      <c r="AS116" t="s">
        <v>734</v>
      </c>
      <c r="AT116" s="9">
        <v>2.5</v>
      </c>
      <c r="AU116" s="9">
        <v>2</v>
      </c>
      <c r="AV116" s="9">
        <v>2.5</v>
      </c>
      <c r="AW116" s="9">
        <v>3.5</v>
      </c>
      <c r="AX116" s="9">
        <v>2</v>
      </c>
      <c r="AY116" s="9">
        <v>1.5</v>
      </c>
      <c r="AZ116" s="9">
        <v>2</v>
      </c>
      <c r="BA116" s="9">
        <v>4</v>
      </c>
      <c r="BB116" t="s">
        <v>95</v>
      </c>
      <c r="BC116" s="9">
        <v>42</v>
      </c>
      <c r="BD116" t="s">
        <v>615</v>
      </c>
    </row>
    <row r="117" spans="21:56" x14ac:dyDescent="0.35">
      <c r="U117" t="s">
        <v>1145</v>
      </c>
      <c r="V117" s="9">
        <v>1980</v>
      </c>
      <c r="W117" t="s">
        <v>54</v>
      </c>
      <c r="X117" t="s">
        <v>672</v>
      </c>
      <c r="Y117" t="s">
        <v>1192</v>
      </c>
      <c r="Z117" t="s">
        <v>301</v>
      </c>
      <c r="AA117" s="9">
        <v>3.14</v>
      </c>
      <c r="AB117" s="9">
        <v>2.5</v>
      </c>
      <c r="AC117" s="9">
        <v>2.5</v>
      </c>
      <c r="AD117" s="9">
        <v>3.5</v>
      </c>
      <c r="AE117" s="9">
        <v>2</v>
      </c>
      <c r="AF117" s="9">
        <v>4</v>
      </c>
      <c r="AG117" s="9">
        <v>3.5</v>
      </c>
      <c r="AH117" s="9">
        <v>4</v>
      </c>
      <c r="AI117" t="s">
        <v>302</v>
      </c>
      <c r="AJ117" s="9">
        <v>150</v>
      </c>
      <c r="AK117" t="s">
        <v>496</v>
      </c>
      <c r="AN117" t="s">
        <v>901</v>
      </c>
      <c r="AO117" s="9">
        <v>2003</v>
      </c>
      <c r="AP117" t="s">
        <v>54</v>
      </c>
      <c r="AQ117" t="s">
        <v>902</v>
      </c>
      <c r="AR117" t="s">
        <v>1193</v>
      </c>
      <c r="AS117" t="s">
        <v>903</v>
      </c>
      <c r="AT117" s="9">
        <v>3.43</v>
      </c>
      <c r="AU117" s="9">
        <v>2.5</v>
      </c>
      <c r="AV117" s="9">
        <v>2.5</v>
      </c>
      <c r="AW117" s="9">
        <v>3.5</v>
      </c>
      <c r="AX117" s="9">
        <v>3</v>
      </c>
      <c r="AY117" s="9">
        <v>4.5</v>
      </c>
      <c r="AZ117" s="9">
        <v>4</v>
      </c>
      <c r="BA117" s="9">
        <v>4</v>
      </c>
      <c r="BB117" t="s">
        <v>178</v>
      </c>
      <c r="BC117" s="9">
        <v>325</v>
      </c>
      <c r="BD117" t="s">
        <v>616</v>
      </c>
    </row>
    <row r="118" spans="21:56" x14ac:dyDescent="0.35">
      <c r="U118" t="s">
        <v>924</v>
      </c>
      <c r="V118" s="9">
        <v>1979</v>
      </c>
      <c r="W118" t="s">
        <v>54</v>
      </c>
      <c r="X118" t="s">
        <v>920</v>
      </c>
      <c r="Y118" t="s">
        <v>1192</v>
      </c>
      <c r="Z118" t="s">
        <v>753</v>
      </c>
      <c r="AA118" s="9">
        <v>4</v>
      </c>
      <c r="AB118" s="9">
        <v>3.5</v>
      </c>
      <c r="AC118" s="9">
        <v>3.5</v>
      </c>
      <c r="AD118" s="9">
        <v>3.5</v>
      </c>
      <c r="AE118" s="9">
        <v>3.5</v>
      </c>
      <c r="AF118" s="9">
        <v>4.5</v>
      </c>
      <c r="AG118" s="9">
        <v>4.5</v>
      </c>
      <c r="AH118" s="9">
        <v>5</v>
      </c>
      <c r="AI118" t="s">
        <v>191</v>
      </c>
      <c r="AJ118" s="9">
        <v>100</v>
      </c>
      <c r="AK118" t="s">
        <v>442</v>
      </c>
      <c r="AN118" t="s">
        <v>918</v>
      </c>
      <c r="AO118" s="9">
        <v>2003</v>
      </c>
      <c r="AP118" t="s">
        <v>54</v>
      </c>
      <c r="AQ118" t="s">
        <v>675</v>
      </c>
      <c r="AR118" t="s">
        <v>1193</v>
      </c>
      <c r="AS118" t="s">
        <v>860</v>
      </c>
      <c r="AT118" s="9">
        <v>1.93</v>
      </c>
      <c r="AU118" s="9">
        <v>1.5</v>
      </c>
      <c r="AV118" s="9">
        <v>2</v>
      </c>
      <c r="AW118" s="9">
        <v>3</v>
      </c>
      <c r="AX118" s="9">
        <v>2</v>
      </c>
      <c r="AY118" s="9">
        <v>1.5</v>
      </c>
      <c r="AZ118" s="9">
        <v>1.5</v>
      </c>
      <c r="BA118" s="9">
        <v>2</v>
      </c>
      <c r="BB118" t="s">
        <v>81</v>
      </c>
      <c r="BC118" s="9">
        <v>300</v>
      </c>
      <c r="BD118" t="s">
        <v>617</v>
      </c>
    </row>
    <row r="119" spans="21:56" x14ac:dyDescent="0.35">
      <c r="U119" t="s">
        <v>927</v>
      </c>
      <c r="V119" s="9">
        <v>1978</v>
      </c>
      <c r="W119" t="s">
        <v>54</v>
      </c>
      <c r="X119" t="s">
        <v>672</v>
      </c>
      <c r="Y119" t="s">
        <v>1192</v>
      </c>
      <c r="Z119" t="s">
        <v>928</v>
      </c>
      <c r="AA119" s="9">
        <v>3.36</v>
      </c>
      <c r="AB119" s="9">
        <v>2.5</v>
      </c>
      <c r="AC119" s="9">
        <v>2.5</v>
      </c>
      <c r="AD119" s="9">
        <v>3.5</v>
      </c>
      <c r="AE119" s="9">
        <v>3.5</v>
      </c>
      <c r="AF119" s="9">
        <v>3.5</v>
      </c>
      <c r="AG119" s="9">
        <v>4</v>
      </c>
      <c r="AH119" s="9">
        <v>4</v>
      </c>
      <c r="AI119" t="s">
        <v>192</v>
      </c>
      <c r="AJ119" s="9">
        <v>102</v>
      </c>
      <c r="AK119" t="s">
        <v>444</v>
      </c>
      <c r="AN119" t="s">
        <v>985</v>
      </c>
      <c r="AO119" s="9">
        <v>2003</v>
      </c>
      <c r="AP119" t="s">
        <v>54</v>
      </c>
      <c r="AQ119" t="s">
        <v>699</v>
      </c>
      <c r="AR119" t="s">
        <v>1193</v>
      </c>
      <c r="AS119" t="s">
        <v>758</v>
      </c>
      <c r="AT119" s="9">
        <v>2.14</v>
      </c>
      <c r="AU119" s="9">
        <v>2</v>
      </c>
      <c r="AV119" s="9">
        <v>2</v>
      </c>
      <c r="AW119" s="9">
        <v>2.5</v>
      </c>
      <c r="AX119" s="9">
        <v>2</v>
      </c>
      <c r="AY119" s="9">
        <v>2</v>
      </c>
      <c r="AZ119" s="9">
        <v>3</v>
      </c>
      <c r="BA119" s="9">
        <v>1.5</v>
      </c>
      <c r="BB119" t="s">
        <v>252</v>
      </c>
      <c r="BC119" s="9">
        <v>325</v>
      </c>
      <c r="BD119" t="s">
        <v>618</v>
      </c>
    </row>
    <row r="120" spans="21:56" x14ac:dyDescent="0.35">
      <c r="U120" t="s">
        <v>1036</v>
      </c>
      <c r="V120" s="9">
        <v>1978</v>
      </c>
      <c r="W120" t="s">
        <v>54</v>
      </c>
      <c r="X120" t="s">
        <v>1037</v>
      </c>
      <c r="Y120" t="s">
        <v>1192</v>
      </c>
      <c r="Z120" t="s">
        <v>1038</v>
      </c>
      <c r="AA120" s="9">
        <v>3.57</v>
      </c>
      <c r="AB120" s="9">
        <v>4</v>
      </c>
      <c r="AC120" s="9">
        <v>3</v>
      </c>
      <c r="AD120" s="9">
        <v>3.5</v>
      </c>
      <c r="AE120" s="9">
        <v>3.5</v>
      </c>
      <c r="AF120" s="9">
        <v>4</v>
      </c>
      <c r="AG120" s="9">
        <v>3</v>
      </c>
      <c r="AH120" s="9">
        <v>4</v>
      </c>
      <c r="AI120" t="s">
        <v>243</v>
      </c>
      <c r="AJ120" s="9">
        <v>47</v>
      </c>
      <c r="AK120" t="s">
        <v>471</v>
      </c>
      <c r="AN120" t="s">
        <v>1005</v>
      </c>
      <c r="AO120" s="9">
        <v>2003</v>
      </c>
      <c r="AP120" t="s">
        <v>54</v>
      </c>
      <c r="AQ120" t="s">
        <v>1006</v>
      </c>
      <c r="AR120" t="s">
        <v>88</v>
      </c>
      <c r="AS120" t="s">
        <v>226</v>
      </c>
      <c r="AT120" s="9">
        <v>2.36</v>
      </c>
      <c r="AU120" s="9">
        <v>2</v>
      </c>
      <c r="AV120" s="9">
        <v>2</v>
      </c>
      <c r="AW120" s="9">
        <v>2</v>
      </c>
      <c r="AX120" s="9">
        <v>1.5</v>
      </c>
      <c r="AY120" s="9">
        <v>4</v>
      </c>
      <c r="AZ120" s="9">
        <v>3</v>
      </c>
      <c r="BA120" s="9">
        <v>2</v>
      </c>
      <c r="BB120" t="s">
        <v>227</v>
      </c>
      <c r="BC120" s="9">
        <v>90</v>
      </c>
      <c r="BD120" t="s">
        <v>619</v>
      </c>
    </row>
    <row r="121" spans="21:56" x14ac:dyDescent="0.35">
      <c r="U121" t="s">
        <v>704</v>
      </c>
      <c r="V121" s="9">
        <v>1973</v>
      </c>
      <c r="W121" t="s">
        <v>54</v>
      </c>
      <c r="X121" t="s">
        <v>705</v>
      </c>
      <c r="Y121" t="s">
        <v>1192</v>
      </c>
      <c r="Z121" t="s">
        <v>706</v>
      </c>
      <c r="AA121" s="9">
        <v>2.86</v>
      </c>
      <c r="AB121" s="9">
        <v>1.5</v>
      </c>
      <c r="AC121" s="9">
        <v>3</v>
      </c>
      <c r="AD121" s="9">
        <v>3.5</v>
      </c>
      <c r="AE121" s="9">
        <v>4</v>
      </c>
      <c r="AF121" s="9">
        <v>3.5</v>
      </c>
      <c r="AG121" s="9">
        <v>2.5</v>
      </c>
      <c r="AH121" s="9">
        <v>2</v>
      </c>
      <c r="AI121" t="s">
        <v>78</v>
      </c>
      <c r="AJ121" s="9">
        <v>86</v>
      </c>
      <c r="AK121" t="s">
        <v>413</v>
      </c>
      <c r="AN121" t="s">
        <v>688</v>
      </c>
      <c r="AO121" s="9">
        <v>2002</v>
      </c>
      <c r="AP121" t="s">
        <v>54</v>
      </c>
      <c r="AQ121" t="s">
        <v>675</v>
      </c>
      <c r="AR121" t="s">
        <v>1193</v>
      </c>
      <c r="AS121" t="s">
        <v>689</v>
      </c>
      <c r="AT121" s="9">
        <v>2.93</v>
      </c>
      <c r="AU121" s="9">
        <v>2</v>
      </c>
      <c r="AV121" s="9">
        <v>2</v>
      </c>
      <c r="AW121" s="9">
        <v>3.5</v>
      </c>
      <c r="AX121" s="9">
        <v>3</v>
      </c>
      <c r="AY121" s="9">
        <v>2</v>
      </c>
      <c r="AZ121" s="9">
        <v>4</v>
      </c>
      <c r="BA121" s="9">
        <v>4</v>
      </c>
      <c r="BB121" t="s">
        <v>74</v>
      </c>
      <c r="BC121" s="9">
        <v>650</v>
      </c>
      <c r="BD121" t="s">
        <v>620</v>
      </c>
    </row>
    <row r="122" spans="21:56" x14ac:dyDescent="0.35">
      <c r="AN122" t="s">
        <v>843</v>
      </c>
      <c r="AO122" s="9">
        <v>2002</v>
      </c>
      <c r="AP122" t="s">
        <v>54</v>
      </c>
      <c r="AQ122" t="s">
        <v>736</v>
      </c>
      <c r="AR122" t="s">
        <v>1193</v>
      </c>
      <c r="AS122" t="s">
        <v>806</v>
      </c>
      <c r="AT122" s="9">
        <v>4.1399999999999997</v>
      </c>
      <c r="AU122" s="9">
        <v>3.5</v>
      </c>
      <c r="AV122" s="9">
        <v>3.5</v>
      </c>
      <c r="AW122" s="9">
        <v>4.5</v>
      </c>
      <c r="AX122" s="9">
        <v>4</v>
      </c>
      <c r="AY122" s="9">
        <v>4.5</v>
      </c>
      <c r="AZ122" s="9">
        <v>4</v>
      </c>
      <c r="BA122" s="9">
        <v>5</v>
      </c>
      <c r="BB122" t="s">
        <v>145</v>
      </c>
      <c r="BC122" s="9">
        <v>1300</v>
      </c>
      <c r="BD122" t="s">
        <v>621</v>
      </c>
    </row>
    <row r="123" spans="21:56" x14ac:dyDescent="0.35">
      <c r="AN123" t="s">
        <v>1164</v>
      </c>
      <c r="AO123" s="9">
        <v>2002</v>
      </c>
      <c r="AP123" t="s">
        <v>54</v>
      </c>
      <c r="AQ123" t="s">
        <v>657</v>
      </c>
      <c r="AR123" t="s">
        <v>88</v>
      </c>
      <c r="AS123" t="s">
        <v>658</v>
      </c>
      <c r="AT123" s="9">
        <v>3.07</v>
      </c>
      <c r="AU123" s="9">
        <v>2.5</v>
      </c>
      <c r="AV123" s="9">
        <v>3</v>
      </c>
      <c r="AW123" s="9">
        <v>3</v>
      </c>
      <c r="AX123" s="9">
        <v>3.5</v>
      </c>
      <c r="AY123" s="9">
        <v>3</v>
      </c>
      <c r="AZ123" s="9">
        <v>2.5</v>
      </c>
      <c r="BA123" s="9">
        <v>4</v>
      </c>
      <c r="BB123" t="s">
        <v>307</v>
      </c>
      <c r="BC123" s="9">
        <v>25</v>
      </c>
      <c r="BD123" t="s">
        <v>622</v>
      </c>
    </row>
    <row r="124" spans="21:56" x14ac:dyDescent="0.35">
      <c r="AN124" t="s">
        <v>674</v>
      </c>
      <c r="AO124" s="9">
        <v>2001</v>
      </c>
      <c r="AP124" t="s">
        <v>54</v>
      </c>
      <c r="AQ124" t="s">
        <v>675</v>
      </c>
      <c r="AR124" t="s">
        <v>88</v>
      </c>
      <c r="AS124" t="s">
        <v>338</v>
      </c>
      <c r="AT124" s="9">
        <v>3.79</v>
      </c>
      <c r="AU124" s="9">
        <v>4</v>
      </c>
      <c r="AV124" s="9">
        <v>4</v>
      </c>
      <c r="AW124" s="9">
        <v>2.5</v>
      </c>
      <c r="AX124" s="9">
        <v>2.5</v>
      </c>
      <c r="AY124" s="9">
        <v>4.5</v>
      </c>
      <c r="AZ124" s="9">
        <v>4</v>
      </c>
      <c r="BA124" s="9">
        <v>5</v>
      </c>
      <c r="BB124" t="s">
        <v>339</v>
      </c>
      <c r="BC124" s="9">
        <v>120</v>
      </c>
      <c r="BD124" t="s">
        <v>623</v>
      </c>
    </row>
    <row r="125" spans="21:56" x14ac:dyDescent="0.35">
      <c r="AN125" t="s">
        <v>757</v>
      </c>
      <c r="AO125" s="9">
        <v>2001</v>
      </c>
      <c r="AP125" t="s">
        <v>54</v>
      </c>
      <c r="AQ125" t="s">
        <v>675</v>
      </c>
      <c r="AR125" t="s">
        <v>88</v>
      </c>
      <c r="AS125" t="s">
        <v>758</v>
      </c>
      <c r="AT125" s="9">
        <v>3.5</v>
      </c>
      <c r="AU125" s="9">
        <v>4</v>
      </c>
      <c r="AV125" s="9">
        <v>4</v>
      </c>
      <c r="AW125" s="9">
        <v>2</v>
      </c>
      <c r="AX125" s="9">
        <v>3</v>
      </c>
      <c r="AY125" s="9">
        <v>3</v>
      </c>
      <c r="AZ125" s="9">
        <v>4</v>
      </c>
      <c r="BA125" s="9">
        <v>4.5</v>
      </c>
      <c r="BB125" t="s">
        <v>103</v>
      </c>
      <c r="BC125" s="9">
        <v>34</v>
      </c>
      <c r="BD125" t="s">
        <v>624</v>
      </c>
    </row>
    <row r="126" spans="21:56" x14ac:dyDescent="0.35">
      <c r="AN126" t="s">
        <v>822</v>
      </c>
      <c r="AO126" s="9">
        <v>2000</v>
      </c>
      <c r="AP126" t="s">
        <v>54</v>
      </c>
      <c r="AQ126" t="s">
        <v>823</v>
      </c>
      <c r="AR126" t="s">
        <v>88</v>
      </c>
      <c r="AS126" t="s">
        <v>824</v>
      </c>
      <c r="AT126" s="9">
        <v>4.57</v>
      </c>
      <c r="AU126" s="9">
        <v>4</v>
      </c>
      <c r="AV126" s="9">
        <v>4</v>
      </c>
      <c r="AW126" s="9">
        <v>5</v>
      </c>
      <c r="AX126" s="9">
        <v>4</v>
      </c>
      <c r="AY126" s="9">
        <v>5</v>
      </c>
      <c r="AZ126" s="9">
        <v>5</v>
      </c>
      <c r="BA126" s="9">
        <v>5</v>
      </c>
      <c r="BB126" t="s">
        <v>138</v>
      </c>
      <c r="BC126" s="9">
        <v>150</v>
      </c>
      <c r="BD126" t="s">
        <v>625</v>
      </c>
    </row>
    <row r="127" spans="21:56" x14ac:dyDescent="0.35">
      <c r="AN127" t="s">
        <v>945</v>
      </c>
      <c r="AO127" s="9">
        <v>2000</v>
      </c>
      <c r="AP127" t="s">
        <v>54</v>
      </c>
      <c r="AQ127" t="s">
        <v>943</v>
      </c>
      <c r="AR127" t="s">
        <v>88</v>
      </c>
      <c r="AS127" t="s">
        <v>944</v>
      </c>
      <c r="AT127" s="9">
        <v>3.14</v>
      </c>
      <c r="AU127" s="9">
        <v>3</v>
      </c>
      <c r="AV127" s="9">
        <v>2</v>
      </c>
      <c r="AW127" s="9">
        <v>3</v>
      </c>
      <c r="AX127" s="9">
        <v>2</v>
      </c>
      <c r="AY127" s="9">
        <v>3</v>
      </c>
      <c r="AZ127" s="9">
        <v>5</v>
      </c>
      <c r="BA127" s="9">
        <v>4</v>
      </c>
      <c r="BB127" t="s">
        <v>201</v>
      </c>
      <c r="BC127" s="9">
        <v>60</v>
      </c>
      <c r="BD127" t="s">
        <v>626</v>
      </c>
    </row>
    <row r="128" spans="21:56" x14ac:dyDescent="0.35">
      <c r="AN128" t="s">
        <v>1056</v>
      </c>
      <c r="AO128" s="9">
        <v>2000</v>
      </c>
      <c r="AP128" t="s">
        <v>54</v>
      </c>
      <c r="AQ128" t="s">
        <v>1057</v>
      </c>
      <c r="AR128" t="s">
        <v>88</v>
      </c>
      <c r="AS128" t="s">
        <v>1058</v>
      </c>
      <c r="AT128" s="9">
        <v>1.71</v>
      </c>
      <c r="AU128" s="9">
        <v>1.5</v>
      </c>
      <c r="AV128" s="9">
        <v>2</v>
      </c>
      <c r="AW128" s="9">
        <v>2.5</v>
      </c>
      <c r="AX128" s="9">
        <v>1.5</v>
      </c>
      <c r="AY128" s="9">
        <v>1.5</v>
      </c>
      <c r="AZ128" s="9">
        <v>2</v>
      </c>
      <c r="BA128" s="9">
        <v>1</v>
      </c>
      <c r="BB128" t="s">
        <v>251</v>
      </c>
      <c r="BC128" s="9">
        <v>60</v>
      </c>
      <c r="BD128" t="s">
        <v>627</v>
      </c>
    </row>
    <row r="129" spans="40:56" x14ac:dyDescent="0.35">
      <c r="AN129" t="s">
        <v>1052</v>
      </c>
      <c r="AO129" s="9">
        <v>1998</v>
      </c>
      <c r="AP129" t="s">
        <v>54</v>
      </c>
      <c r="AQ129" t="s">
        <v>1053</v>
      </c>
      <c r="AR129" t="s">
        <v>1193</v>
      </c>
      <c r="AS129" t="s">
        <v>903</v>
      </c>
      <c r="AT129" s="9">
        <v>3.71</v>
      </c>
      <c r="AU129" s="9">
        <v>2.5</v>
      </c>
      <c r="AV129" s="9">
        <v>3</v>
      </c>
      <c r="AW129" s="9">
        <v>3.5</v>
      </c>
      <c r="AX129" s="9">
        <v>3</v>
      </c>
      <c r="AY129" s="9">
        <v>5</v>
      </c>
      <c r="AZ129" s="9">
        <v>4</v>
      </c>
      <c r="BA129" s="9">
        <v>5</v>
      </c>
      <c r="BB129" t="s">
        <v>247</v>
      </c>
      <c r="BC129" s="9">
        <v>325</v>
      </c>
      <c r="BD129" t="s">
        <v>628</v>
      </c>
    </row>
    <row r="130" spans="40:56" x14ac:dyDescent="0.35">
      <c r="AN130" s="6" t="s">
        <v>1149</v>
      </c>
      <c r="AO130" s="11">
        <v>1998</v>
      </c>
      <c r="AP130" s="6" t="s">
        <v>54</v>
      </c>
      <c r="AQ130" s="6" t="s">
        <v>699</v>
      </c>
      <c r="AR130" s="6" t="s">
        <v>1193</v>
      </c>
      <c r="AS130" s="6" t="s">
        <v>1150</v>
      </c>
      <c r="AT130" s="11">
        <v>2.79</v>
      </c>
      <c r="AU130" s="11">
        <v>2</v>
      </c>
      <c r="AV130" s="11">
        <v>3</v>
      </c>
      <c r="AW130" s="11">
        <v>3.5</v>
      </c>
      <c r="AX130" s="11">
        <v>3.5</v>
      </c>
      <c r="AY130" s="11">
        <v>2</v>
      </c>
      <c r="AZ130" s="11">
        <v>2.5</v>
      </c>
      <c r="BA130" s="11">
        <v>3</v>
      </c>
      <c r="BB130" s="6" t="s">
        <v>304</v>
      </c>
      <c r="BC130" s="11">
        <v>650</v>
      </c>
      <c r="BD130" s="6" t="s">
        <v>629</v>
      </c>
    </row>
    <row r="131" spans="40:56" x14ac:dyDescent="0.35">
      <c r="AN131" s="6" t="s">
        <v>1289</v>
      </c>
      <c r="AO131" s="11">
        <v>1995</v>
      </c>
      <c r="AP131" s="6" t="s">
        <v>54</v>
      </c>
      <c r="AQ131" s="6" t="s">
        <v>970</v>
      </c>
      <c r="AR131" s="6" t="s">
        <v>1193</v>
      </c>
      <c r="AS131" s="6" t="s">
        <v>1319</v>
      </c>
      <c r="AT131" s="11">
        <v>3.36</v>
      </c>
      <c r="AU131" s="11">
        <v>2.5</v>
      </c>
      <c r="AV131" s="11">
        <v>3.5</v>
      </c>
      <c r="AW131" s="11">
        <v>4</v>
      </c>
      <c r="AX131" s="11">
        <v>2</v>
      </c>
      <c r="AY131" s="11">
        <v>3.5</v>
      </c>
      <c r="AZ131" s="11">
        <v>3.5</v>
      </c>
      <c r="BA131" s="11">
        <v>4.5</v>
      </c>
      <c r="BB131" s="6" t="s">
        <v>1219</v>
      </c>
      <c r="BC131" s="11">
        <v>650</v>
      </c>
      <c r="BD131" s="6" t="s">
        <v>1273</v>
      </c>
    </row>
    <row r="132" spans="40:56" x14ac:dyDescent="0.35">
      <c r="AN132" s="6" t="s">
        <v>969</v>
      </c>
      <c r="AO132" s="11">
        <v>1990</v>
      </c>
      <c r="AP132" s="6" t="s">
        <v>54</v>
      </c>
      <c r="AQ132" s="6" t="s">
        <v>970</v>
      </c>
      <c r="AR132" s="6" t="s">
        <v>1193</v>
      </c>
      <c r="AS132" s="6" t="s">
        <v>210</v>
      </c>
      <c r="AT132" s="11">
        <v>2.64</v>
      </c>
      <c r="AU132" s="11">
        <v>2</v>
      </c>
      <c r="AV132" s="11">
        <v>3</v>
      </c>
      <c r="AW132" s="11">
        <v>3</v>
      </c>
      <c r="AX132" s="11">
        <v>2.5</v>
      </c>
      <c r="AY132" s="11">
        <v>2.5</v>
      </c>
      <c r="AZ132" s="11">
        <v>2.5</v>
      </c>
      <c r="BA132" s="11">
        <v>3</v>
      </c>
      <c r="BB132" s="6" t="s">
        <v>211</v>
      </c>
      <c r="BC132" s="11">
        <v>975</v>
      </c>
      <c r="BD132" s="6" t="s">
        <v>630</v>
      </c>
    </row>
    <row r="133" spans="40:56" x14ac:dyDescent="0.35">
      <c r="AN133" s="6" t="s">
        <v>794</v>
      </c>
      <c r="AO133" s="11">
        <v>1987</v>
      </c>
      <c r="AP133" s="6" t="s">
        <v>54</v>
      </c>
      <c r="AQ133" s="6" t="s">
        <v>795</v>
      </c>
      <c r="AR133" s="6" t="s">
        <v>88</v>
      </c>
      <c r="AS133" s="6" t="s">
        <v>796</v>
      </c>
      <c r="AT133" s="11">
        <v>2.14</v>
      </c>
      <c r="AU133" s="11">
        <v>2</v>
      </c>
      <c r="AV133" s="11">
        <v>2.5</v>
      </c>
      <c r="AW133" s="11">
        <v>2</v>
      </c>
      <c r="AX133" s="11">
        <v>1.5</v>
      </c>
      <c r="AY133" s="11">
        <v>1.5</v>
      </c>
      <c r="AZ133" s="11">
        <v>3</v>
      </c>
      <c r="BA133" s="11">
        <v>2.5</v>
      </c>
      <c r="BB133" s="6" t="s">
        <v>125</v>
      </c>
      <c r="BC133" s="11">
        <v>110</v>
      </c>
      <c r="BD133" s="6" t="s">
        <v>631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E1582-5BB7-45F8-ADAD-FE7C789A10B5}">
  <dimension ref="C3:D77"/>
  <sheetViews>
    <sheetView workbookViewId="0">
      <selection activeCell="R17" sqref="R17"/>
    </sheetView>
  </sheetViews>
  <sheetFormatPr defaultRowHeight="14.5" x14ac:dyDescent="0.35"/>
  <sheetData>
    <row r="3" spans="3:4" x14ac:dyDescent="0.35">
      <c r="C3" t="s">
        <v>329</v>
      </c>
      <c r="D3" t="s">
        <v>330</v>
      </c>
    </row>
    <row r="4" spans="3:4" x14ac:dyDescent="0.35">
      <c r="C4" t="s">
        <v>321</v>
      </c>
      <c r="D4">
        <f xml:space="preserve"> COUNTIF(Table1[STot],"&lt;=1.5")</f>
        <v>4</v>
      </c>
    </row>
    <row r="5" spans="3:4" x14ac:dyDescent="0.35">
      <c r="C5" t="s">
        <v>322</v>
      </c>
      <c r="D5">
        <f xml:space="preserve"> COUNTIFS(Table1[STot],"&gt;1.5",Table1[STot],"&lt;=2.0")</f>
        <v>10</v>
      </c>
    </row>
    <row r="6" spans="3:4" x14ac:dyDescent="0.35">
      <c r="C6" t="s">
        <v>323</v>
      </c>
      <c r="D6">
        <f xml:space="preserve"> COUNTIFS(Table1[STot],"&gt;2.0",Table1[STot],"&lt;=2.5")</f>
        <v>26</v>
      </c>
    </row>
    <row r="7" spans="3:4" x14ac:dyDescent="0.35">
      <c r="C7" t="s">
        <v>324</v>
      </c>
      <c r="D7">
        <f xml:space="preserve"> COUNTIFS(Table1[STot],"&gt;2.5",Table1[STot],"&lt;=3.0")</f>
        <v>43</v>
      </c>
    </row>
    <row r="8" spans="3:4" x14ac:dyDescent="0.35">
      <c r="C8" t="s">
        <v>325</v>
      </c>
      <c r="D8">
        <f xml:space="preserve"> COUNTIFS(Table1[STot],"&gt;3.0",Table1[STot],"&lt;=3.5")</f>
        <v>84</v>
      </c>
    </row>
    <row r="9" spans="3:4" x14ac:dyDescent="0.35">
      <c r="C9" t="s">
        <v>326</v>
      </c>
      <c r="D9">
        <f xml:space="preserve"> COUNTIFS(Table1[STot],"&gt;3.5",Table1[STot],"&lt;=4.0")</f>
        <v>87</v>
      </c>
    </row>
    <row r="10" spans="3:4" x14ac:dyDescent="0.35">
      <c r="C10" t="s">
        <v>327</v>
      </c>
      <c r="D10">
        <f xml:space="preserve"> COUNTIFS(Table1[STot],"&gt;4.0",Table1[STot],"&lt;=4.5")</f>
        <v>40</v>
      </c>
    </row>
    <row r="11" spans="3:4" x14ac:dyDescent="0.35">
      <c r="C11" t="s">
        <v>328</v>
      </c>
      <c r="D11">
        <f xml:space="preserve"> COUNTIFS(Table1[STot],"&gt;4.5",Table1[STot],"&lt;=5.0")</f>
        <v>10</v>
      </c>
    </row>
    <row r="21" spans="3:4" x14ac:dyDescent="0.35">
      <c r="C21" t="s">
        <v>332</v>
      </c>
      <c r="D21" t="s">
        <v>333</v>
      </c>
    </row>
    <row r="22" spans="3:4" x14ac:dyDescent="0.35">
      <c r="C22">
        <v>1965</v>
      </c>
      <c r="D22">
        <f xml:space="preserve"> COUNTIF(Table1[Year],C22)</f>
        <v>0</v>
      </c>
    </row>
    <row r="23" spans="3:4" x14ac:dyDescent="0.35">
      <c r="C23">
        <v>1966</v>
      </c>
      <c r="D23">
        <f xml:space="preserve"> COUNTIF(Table1[Year],C23)</f>
        <v>0</v>
      </c>
    </row>
    <row r="24" spans="3:4" x14ac:dyDescent="0.35">
      <c r="C24">
        <v>1967</v>
      </c>
      <c r="D24">
        <f xml:space="preserve"> COUNTIF(Table1[Year],C24)</f>
        <v>0</v>
      </c>
    </row>
    <row r="25" spans="3:4" x14ac:dyDescent="0.35">
      <c r="C25">
        <v>1968</v>
      </c>
      <c r="D25">
        <f xml:space="preserve"> COUNTIF(Table1[Year],C25)</f>
        <v>1</v>
      </c>
    </row>
    <row r="26" spans="3:4" x14ac:dyDescent="0.35">
      <c r="C26">
        <v>1969</v>
      </c>
      <c r="D26">
        <f xml:space="preserve"> COUNTIF(Table1[Year],C26)</f>
        <v>0</v>
      </c>
    </row>
    <row r="27" spans="3:4" x14ac:dyDescent="0.35">
      <c r="C27">
        <v>1970</v>
      </c>
      <c r="D27">
        <f xml:space="preserve"> COUNTIF(Table1[Year],C27)</f>
        <v>0</v>
      </c>
    </row>
    <row r="28" spans="3:4" x14ac:dyDescent="0.35">
      <c r="C28">
        <v>1971</v>
      </c>
      <c r="D28">
        <f xml:space="preserve"> COUNTIF(Table1[Year],C28)</f>
        <v>0</v>
      </c>
    </row>
    <row r="29" spans="3:4" x14ac:dyDescent="0.35">
      <c r="C29">
        <v>1972</v>
      </c>
      <c r="D29">
        <f xml:space="preserve"> COUNTIF(Table1[Year],C29)</f>
        <v>0</v>
      </c>
    </row>
    <row r="30" spans="3:4" x14ac:dyDescent="0.35">
      <c r="C30">
        <v>1973</v>
      </c>
      <c r="D30">
        <f xml:space="preserve"> COUNTIF(Table1[Year],C30)</f>
        <v>1</v>
      </c>
    </row>
    <row r="31" spans="3:4" x14ac:dyDescent="0.35">
      <c r="C31">
        <v>1974</v>
      </c>
      <c r="D31">
        <f xml:space="preserve"> COUNTIF(Table1[Year],C31)</f>
        <v>0</v>
      </c>
    </row>
    <row r="32" spans="3:4" x14ac:dyDescent="0.35">
      <c r="C32">
        <v>1975</v>
      </c>
      <c r="D32">
        <f xml:space="preserve"> COUNTIF(Table1[Year],C32)</f>
        <v>0</v>
      </c>
    </row>
    <row r="33" spans="3:4" x14ac:dyDescent="0.35">
      <c r="C33">
        <v>1976</v>
      </c>
      <c r="D33">
        <f xml:space="preserve"> COUNTIF(Table1[Year],C33)</f>
        <v>0</v>
      </c>
    </row>
    <row r="34" spans="3:4" x14ac:dyDescent="0.35">
      <c r="C34">
        <v>1977</v>
      </c>
      <c r="D34">
        <f xml:space="preserve"> COUNTIF(Table1[Year],C34)</f>
        <v>1</v>
      </c>
    </row>
    <row r="35" spans="3:4" x14ac:dyDescent="0.35">
      <c r="C35">
        <v>1978</v>
      </c>
      <c r="D35">
        <f xml:space="preserve"> COUNTIF(Table1[Year],C35)</f>
        <v>3</v>
      </c>
    </row>
    <row r="36" spans="3:4" x14ac:dyDescent="0.35">
      <c r="C36">
        <v>1979</v>
      </c>
      <c r="D36">
        <f xml:space="preserve"> COUNTIF(Table1[Year],C36)</f>
        <v>1</v>
      </c>
    </row>
    <row r="37" spans="3:4" x14ac:dyDescent="0.35">
      <c r="C37">
        <v>1980</v>
      </c>
      <c r="D37">
        <f xml:space="preserve"> COUNTIF(Table1[Year],C37)</f>
        <v>1</v>
      </c>
    </row>
    <row r="38" spans="3:4" x14ac:dyDescent="0.35">
      <c r="C38">
        <v>1981</v>
      </c>
      <c r="D38">
        <f xml:space="preserve"> COUNTIF(Table1[Year],C38)</f>
        <v>1</v>
      </c>
    </row>
    <row r="39" spans="3:4" x14ac:dyDescent="0.35">
      <c r="C39">
        <v>1982</v>
      </c>
      <c r="D39">
        <f xml:space="preserve"> COUNTIF(Table1[Year],C39)</f>
        <v>4</v>
      </c>
    </row>
    <row r="40" spans="3:4" x14ac:dyDescent="0.35">
      <c r="C40">
        <v>1983</v>
      </c>
      <c r="D40">
        <f xml:space="preserve"> COUNTIF(Table1[Year],C40)</f>
        <v>4</v>
      </c>
    </row>
    <row r="41" spans="3:4" x14ac:dyDescent="0.35">
      <c r="C41">
        <v>1984</v>
      </c>
      <c r="D41">
        <f xml:space="preserve"> COUNTIF(Table1[Year],C41)</f>
        <v>2</v>
      </c>
    </row>
    <row r="42" spans="3:4" x14ac:dyDescent="0.35">
      <c r="C42">
        <v>1985</v>
      </c>
      <c r="D42">
        <f xml:space="preserve"> COUNTIF(Table1[Year],C42)</f>
        <v>2</v>
      </c>
    </row>
    <row r="43" spans="3:4" x14ac:dyDescent="0.35">
      <c r="C43">
        <v>1986</v>
      </c>
      <c r="D43">
        <f xml:space="preserve"> COUNTIF(Table1[Year],C43)</f>
        <v>4</v>
      </c>
    </row>
    <row r="44" spans="3:4" x14ac:dyDescent="0.35">
      <c r="C44">
        <v>1987</v>
      </c>
      <c r="D44">
        <f xml:space="preserve"> COUNTIF(Table1[Year],C44)</f>
        <v>2</v>
      </c>
    </row>
    <row r="45" spans="3:4" x14ac:dyDescent="0.35">
      <c r="C45">
        <v>1988</v>
      </c>
      <c r="D45">
        <f xml:space="preserve"> COUNTIF(Table1[Year],C45)</f>
        <v>3</v>
      </c>
    </row>
    <row r="46" spans="3:4" x14ac:dyDescent="0.35">
      <c r="C46">
        <v>1989</v>
      </c>
      <c r="D46">
        <f xml:space="preserve"> COUNTIF(Table1[Year],C46)</f>
        <v>1</v>
      </c>
    </row>
    <row r="47" spans="3:4" x14ac:dyDescent="0.35">
      <c r="C47">
        <v>1990</v>
      </c>
      <c r="D47">
        <f xml:space="preserve"> COUNTIF(Table1[Year],C47)</f>
        <v>1</v>
      </c>
    </row>
    <row r="48" spans="3:4" x14ac:dyDescent="0.35">
      <c r="C48">
        <v>1991</v>
      </c>
      <c r="D48">
        <f xml:space="preserve"> COUNTIF(Table1[Year],C48)</f>
        <v>3</v>
      </c>
    </row>
    <row r="49" spans="3:4" x14ac:dyDescent="0.35">
      <c r="C49">
        <v>1992</v>
      </c>
      <c r="D49">
        <f xml:space="preserve"> COUNTIF(Table1[Year],C49)</f>
        <v>1</v>
      </c>
    </row>
    <row r="50" spans="3:4" x14ac:dyDescent="0.35">
      <c r="C50">
        <v>1993</v>
      </c>
      <c r="D50">
        <f xml:space="preserve"> COUNTIF(Table1[Year],C50)</f>
        <v>4</v>
      </c>
    </row>
    <row r="51" spans="3:4" x14ac:dyDescent="0.35">
      <c r="C51">
        <v>1994</v>
      </c>
      <c r="D51">
        <f xml:space="preserve"> COUNTIF(Table1[Year],C51)</f>
        <v>3</v>
      </c>
    </row>
    <row r="52" spans="3:4" x14ac:dyDescent="0.35">
      <c r="C52">
        <v>1995</v>
      </c>
      <c r="D52">
        <f xml:space="preserve"> COUNTIF(Table1[Year],C52)</f>
        <v>4</v>
      </c>
    </row>
    <row r="53" spans="3:4" x14ac:dyDescent="0.35">
      <c r="C53">
        <v>1996</v>
      </c>
      <c r="D53">
        <f xml:space="preserve"> COUNTIF(Table1[Year],C53)</f>
        <v>0</v>
      </c>
    </row>
    <row r="54" spans="3:4" x14ac:dyDescent="0.35">
      <c r="C54">
        <v>1997</v>
      </c>
      <c r="D54">
        <f xml:space="preserve"> COUNTIF(Table1[Year],C54)</f>
        <v>4</v>
      </c>
    </row>
    <row r="55" spans="3:4" x14ac:dyDescent="0.35">
      <c r="C55">
        <v>1998</v>
      </c>
      <c r="D55">
        <f xml:space="preserve"> COUNTIF(Table1[Year],C55)</f>
        <v>3</v>
      </c>
    </row>
    <row r="56" spans="3:4" x14ac:dyDescent="0.35">
      <c r="C56">
        <v>1999</v>
      </c>
      <c r="D56">
        <f xml:space="preserve"> COUNTIF(Table1[Year],C56)</f>
        <v>1</v>
      </c>
    </row>
    <row r="57" spans="3:4" x14ac:dyDescent="0.35">
      <c r="C57">
        <v>2000</v>
      </c>
      <c r="D57">
        <f xml:space="preserve"> COUNTIF(Table1[Year],C57)</f>
        <v>7</v>
      </c>
    </row>
    <row r="58" spans="3:4" x14ac:dyDescent="0.35">
      <c r="C58">
        <v>2001</v>
      </c>
      <c r="D58">
        <f xml:space="preserve"> COUNTIF(Table1[Year],C58)</f>
        <v>5</v>
      </c>
    </row>
    <row r="59" spans="3:4" x14ac:dyDescent="0.35">
      <c r="C59">
        <v>2002</v>
      </c>
      <c r="D59">
        <f xml:space="preserve"> COUNTIF(Table1[Year],C59)</f>
        <v>7</v>
      </c>
    </row>
    <row r="60" spans="3:4" x14ac:dyDescent="0.35">
      <c r="C60">
        <v>2003</v>
      </c>
      <c r="D60">
        <f xml:space="preserve"> COUNTIF(Table1[Year],C60)</f>
        <v>8</v>
      </c>
    </row>
    <row r="61" spans="3:4" x14ac:dyDescent="0.35">
      <c r="C61">
        <v>2004</v>
      </c>
      <c r="D61">
        <f xml:space="preserve"> COUNTIF(Table1[Year],C61)</f>
        <v>10</v>
      </c>
    </row>
    <row r="62" spans="3:4" x14ac:dyDescent="0.35">
      <c r="C62">
        <v>2005</v>
      </c>
      <c r="D62">
        <f xml:space="preserve"> COUNTIF(Table1[Year],C62)</f>
        <v>1</v>
      </c>
    </row>
    <row r="63" spans="3:4" x14ac:dyDescent="0.35">
      <c r="C63">
        <v>2006</v>
      </c>
      <c r="D63">
        <f xml:space="preserve"> COUNTIF(Table1[Year],C63)</f>
        <v>14</v>
      </c>
    </row>
    <row r="64" spans="3:4" x14ac:dyDescent="0.35">
      <c r="C64">
        <v>2007</v>
      </c>
      <c r="D64">
        <f xml:space="preserve"> COUNTIF(Table1[Year],C64)</f>
        <v>9</v>
      </c>
    </row>
    <row r="65" spans="3:4" x14ac:dyDescent="0.35">
      <c r="C65">
        <v>2008</v>
      </c>
      <c r="D65">
        <f xml:space="preserve"> COUNTIF(Table1[Year],C65)</f>
        <v>12</v>
      </c>
    </row>
    <row r="66" spans="3:4" x14ac:dyDescent="0.35">
      <c r="C66">
        <v>2009</v>
      </c>
      <c r="D66">
        <f xml:space="preserve"> COUNTIF(Table1[Year],C66)</f>
        <v>12</v>
      </c>
    </row>
    <row r="67" spans="3:4" x14ac:dyDescent="0.35">
      <c r="C67">
        <v>2010</v>
      </c>
      <c r="D67">
        <f xml:space="preserve"> COUNTIF(Table1[Year],C67)</f>
        <v>17</v>
      </c>
    </row>
    <row r="68" spans="3:4" x14ac:dyDescent="0.35">
      <c r="C68">
        <v>2011</v>
      </c>
      <c r="D68">
        <f xml:space="preserve"> COUNTIF(Table1[Year],C68)</f>
        <v>23</v>
      </c>
    </row>
    <row r="69" spans="3:4" x14ac:dyDescent="0.35">
      <c r="C69">
        <v>2012</v>
      </c>
      <c r="D69">
        <f xml:space="preserve"> COUNTIF(Table1[Year],C69)</f>
        <v>23</v>
      </c>
    </row>
    <row r="70" spans="3:4" x14ac:dyDescent="0.35">
      <c r="C70">
        <v>2013</v>
      </c>
      <c r="D70">
        <f xml:space="preserve"> COUNTIF(Table1[Year],C70)</f>
        <v>14</v>
      </c>
    </row>
    <row r="71" spans="3:4" x14ac:dyDescent="0.35">
      <c r="C71">
        <v>2014</v>
      </c>
      <c r="D71">
        <f xml:space="preserve"> COUNTIF(Table1[Year],C71)</f>
        <v>18</v>
      </c>
    </row>
    <row r="72" spans="3:4" x14ac:dyDescent="0.35">
      <c r="C72">
        <v>2015</v>
      </c>
      <c r="D72">
        <f xml:space="preserve"> COUNTIF(Table1[Year],C72)</f>
        <v>19</v>
      </c>
    </row>
    <row r="73" spans="3:4" x14ac:dyDescent="0.35">
      <c r="C73">
        <v>2016</v>
      </c>
      <c r="D73">
        <f xml:space="preserve"> COUNTIF(Table1[Year],C73)</f>
        <v>21</v>
      </c>
    </row>
    <row r="74" spans="3:4" x14ac:dyDescent="0.35">
      <c r="C74">
        <v>2017</v>
      </c>
      <c r="D74">
        <f xml:space="preserve"> COUNTIF(Table1[Year],C74)</f>
        <v>19</v>
      </c>
    </row>
    <row r="75" spans="3:4" x14ac:dyDescent="0.35">
      <c r="C75">
        <v>2018</v>
      </c>
      <c r="D75">
        <f xml:space="preserve"> COUNTIF(Table1[Year],C75)</f>
        <v>10</v>
      </c>
    </row>
    <row r="76" spans="3:4" x14ac:dyDescent="0.35">
      <c r="C76">
        <v>2019</v>
      </c>
      <c r="D76">
        <f xml:space="preserve"> COUNTIF(Table1[Year],C76)</f>
        <v>0</v>
      </c>
    </row>
    <row r="77" spans="3:4" x14ac:dyDescent="0.35">
      <c r="C77">
        <v>2020</v>
      </c>
      <c r="D77">
        <f xml:space="preserve"> COUNTIF(Table1[Year],C77)</f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34FB8-0D13-426B-B5EB-8AA79C0C5BB6}">
  <dimension ref="B3:D42"/>
  <sheetViews>
    <sheetView workbookViewId="0">
      <selection activeCell="C43" sqref="C43"/>
    </sheetView>
  </sheetViews>
  <sheetFormatPr defaultRowHeight="14.5" x14ac:dyDescent="0.35"/>
  <cols>
    <col min="1" max="1" width="8.7265625" style="2"/>
    <col min="2" max="2" width="13.453125" style="2" customWidth="1"/>
    <col min="3" max="16384" width="8.7265625" style="2"/>
  </cols>
  <sheetData>
    <row r="3" spans="2:3" ht="18.5" x14ac:dyDescent="0.45">
      <c r="B3" s="1" t="s">
        <v>12</v>
      </c>
    </row>
    <row r="5" spans="2:3" x14ac:dyDescent="0.35">
      <c r="B5" s="2" t="s">
        <v>13</v>
      </c>
    </row>
    <row r="7" spans="2:3" x14ac:dyDescent="0.35">
      <c r="B7" s="14" t="s">
        <v>14</v>
      </c>
      <c r="C7" s="2" t="s">
        <v>15</v>
      </c>
    </row>
    <row r="8" spans="2:3" x14ac:dyDescent="0.35">
      <c r="B8" s="14" t="s">
        <v>16</v>
      </c>
      <c r="C8" s="2" t="s">
        <v>17</v>
      </c>
    </row>
    <row r="9" spans="2:3" x14ac:dyDescent="0.35">
      <c r="B9" s="15" t="s">
        <v>18</v>
      </c>
      <c r="C9" s="2" t="s">
        <v>19</v>
      </c>
    </row>
    <row r="10" spans="2:3" x14ac:dyDescent="0.35">
      <c r="B10" s="15" t="s">
        <v>20</v>
      </c>
      <c r="C10" s="2" t="s">
        <v>21</v>
      </c>
    </row>
    <row r="11" spans="2:3" x14ac:dyDescent="0.35">
      <c r="B11" s="16" t="s">
        <v>22</v>
      </c>
      <c r="C11" s="2" t="s">
        <v>23</v>
      </c>
    </row>
    <row r="12" spans="2:3" x14ac:dyDescent="0.35">
      <c r="B12" s="16" t="s">
        <v>24</v>
      </c>
      <c r="C12" s="2" t="s">
        <v>25</v>
      </c>
    </row>
    <row r="13" spans="2:3" x14ac:dyDescent="0.35">
      <c r="B13" s="17" t="s">
        <v>26</v>
      </c>
      <c r="C13" s="2" t="s">
        <v>27</v>
      </c>
    </row>
    <row r="17" spans="2:4" x14ac:dyDescent="0.35">
      <c r="B17" s="2" t="s">
        <v>28</v>
      </c>
    </row>
    <row r="18" spans="2:4" x14ac:dyDescent="0.35">
      <c r="C18" s="2" t="s">
        <v>636</v>
      </c>
    </row>
    <row r="19" spans="2:4" x14ac:dyDescent="0.35">
      <c r="C19" s="2" t="s">
        <v>637</v>
      </c>
    </row>
    <row r="20" spans="2:4" x14ac:dyDescent="0.35">
      <c r="B20" s="2" t="s">
        <v>638</v>
      </c>
    </row>
    <row r="21" spans="2:4" x14ac:dyDescent="0.35">
      <c r="C21" s="2" t="s">
        <v>639</v>
      </c>
    </row>
    <row r="23" spans="2:4" x14ac:dyDescent="0.35">
      <c r="B23" s="2" t="s">
        <v>30</v>
      </c>
    </row>
    <row r="25" spans="2:4" x14ac:dyDescent="0.35">
      <c r="C25" s="13">
        <v>1</v>
      </c>
      <c r="D25" s="2" t="s">
        <v>35</v>
      </c>
    </row>
    <row r="26" spans="2:4" x14ac:dyDescent="0.35">
      <c r="C26" s="13">
        <v>1.5</v>
      </c>
      <c r="D26" s="2" t="s">
        <v>31</v>
      </c>
    </row>
    <row r="27" spans="2:4" x14ac:dyDescent="0.35">
      <c r="C27" s="13">
        <v>2</v>
      </c>
      <c r="D27" s="2" t="s">
        <v>38</v>
      </c>
    </row>
    <row r="28" spans="2:4" x14ac:dyDescent="0.35">
      <c r="C28" s="13">
        <v>2.5</v>
      </c>
      <c r="D28" s="2" t="s">
        <v>37</v>
      </c>
    </row>
    <row r="29" spans="2:4" x14ac:dyDescent="0.35">
      <c r="C29" s="13">
        <v>3</v>
      </c>
      <c r="D29" s="2" t="s">
        <v>36</v>
      </c>
    </row>
    <row r="30" spans="2:4" x14ac:dyDescent="0.35">
      <c r="C30" s="13">
        <v>3.5</v>
      </c>
      <c r="D30" s="2" t="s">
        <v>32</v>
      </c>
    </row>
    <row r="31" spans="2:4" x14ac:dyDescent="0.35">
      <c r="C31" s="13">
        <v>4</v>
      </c>
      <c r="D31" s="2" t="s">
        <v>33</v>
      </c>
    </row>
    <row r="32" spans="2:4" x14ac:dyDescent="0.35">
      <c r="C32" s="13">
        <v>4.5</v>
      </c>
      <c r="D32" s="2" t="s">
        <v>640</v>
      </c>
    </row>
    <row r="33" spans="2:4" x14ac:dyDescent="0.35">
      <c r="C33" s="13">
        <v>5</v>
      </c>
      <c r="D33" s="2" t="s">
        <v>34</v>
      </c>
    </row>
    <row r="36" spans="2:4" x14ac:dyDescent="0.35">
      <c r="B36" s="2" t="s">
        <v>29</v>
      </c>
    </row>
    <row r="37" spans="2:4" x14ac:dyDescent="0.35">
      <c r="C37" s="2" t="s">
        <v>641</v>
      </c>
    </row>
    <row r="38" spans="2:4" x14ac:dyDescent="0.35">
      <c r="B38" s="2" t="s">
        <v>642</v>
      </c>
    </row>
    <row r="39" spans="2:4" x14ac:dyDescent="0.35">
      <c r="C39" s="2" t="s">
        <v>643</v>
      </c>
    </row>
    <row r="41" spans="2:4" x14ac:dyDescent="0.35">
      <c r="B41" s="2" t="s">
        <v>331</v>
      </c>
    </row>
    <row r="42" spans="2:4" x14ac:dyDescent="0.35">
      <c r="C42" s="2" t="s">
        <v>644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1196-37FA-4DF4-B667-8AEC183F88BF}">
  <dimension ref="B3:C11"/>
  <sheetViews>
    <sheetView workbookViewId="0">
      <selection activeCell="B8" sqref="B8"/>
    </sheetView>
  </sheetViews>
  <sheetFormatPr defaultRowHeight="14.5" x14ac:dyDescent="0.35"/>
  <cols>
    <col min="1" max="16384" width="8.7265625" style="2"/>
  </cols>
  <sheetData>
    <row r="3" spans="2:3" ht="18.5" x14ac:dyDescent="0.45">
      <c r="B3" s="1" t="s">
        <v>6</v>
      </c>
    </row>
    <row r="5" spans="2:3" x14ac:dyDescent="0.35">
      <c r="B5" s="2" t="s">
        <v>632</v>
      </c>
    </row>
    <row r="6" spans="2:3" x14ac:dyDescent="0.35">
      <c r="B6" s="2" t="s">
        <v>633</v>
      </c>
    </row>
    <row r="7" spans="2:3" x14ac:dyDescent="0.35">
      <c r="C7" s="2" t="s">
        <v>634</v>
      </c>
    </row>
    <row r="8" spans="2:3" x14ac:dyDescent="0.35">
      <c r="C8" s="2" t="s">
        <v>635</v>
      </c>
    </row>
    <row r="10" spans="2:3" x14ac:dyDescent="0.35">
      <c r="B10" s="2" t="s">
        <v>7</v>
      </c>
    </row>
    <row r="11" spans="2:3" x14ac:dyDescent="0.35">
      <c r="B11" s="4" t="str">
        <f>HYPERLINK("https://github.com/2DAniCritic/2danicritic.github.io","https://github.com/2DAniCritic/2danicritic.github.io")</f>
        <v>https://github.com/2DAniCritic/2danicritic.github.io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</vt:lpstr>
      <vt:lpstr>Table (All) - Alphabetcal</vt:lpstr>
      <vt:lpstr>Table (Films, Anime) - Year</vt:lpstr>
      <vt:lpstr>Extra Sheet</vt:lpstr>
      <vt:lpstr>More Info</vt:lpstr>
      <vt:lpstr>Download Local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2019-01-07T07:57:17Z</dcterms:created>
  <dcterms:modified xsi:type="dcterms:W3CDTF">2019-03-18T17:09:05Z</dcterms:modified>
</cp:coreProperties>
</file>