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8_{DD3D6B5D-391B-4E7C-8FDB-4CCCF177FBC6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6" l="1"/>
  <c r="D26" i="6"/>
  <c r="D25" i="6"/>
  <c r="D24" i="6"/>
  <c r="D23" i="6"/>
  <c r="D22" i="6"/>
  <c r="D113" i="6"/>
  <c r="D112" i="6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D111" i="6"/>
  <c r="D110" i="6"/>
  <c r="BM35" i="9"/>
  <c r="D109" i="6" l="1"/>
  <c r="D108" i="6"/>
  <c r="D4" i="6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B11" i="7" l="1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B40" i="1"/>
  <c r="B45" i="1"/>
</calcChain>
</file>

<file path=xl/sharedStrings.xml><?xml version="1.0" encoding="utf-8"?>
<sst xmlns="http://schemas.openxmlformats.org/spreadsheetml/2006/main" count="9416" uniqueCount="2743">
  <si>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</si>
  <si>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</si>
  <si>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</si>
  <si>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</si>
  <si>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</si>
  <si>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</si>
  <si>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</si>
  <si>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</si>
  <si>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</si>
  <si>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</si>
  <si>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</si>
  <si>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</si>
  <si>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</si>
  <si>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</si>
  <si>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</si>
  <si>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</si>
  <si>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</si>
  <si>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</si>
  <si>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</si>
  <si>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</si>
  <si>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</si>
  <si>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</si>
  <si>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</si>
  <si>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</si>
  <si>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</si>
  <si>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</si>
  <si>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</si>
  <si>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</si>
  <si>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</si>
  <si>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</si>
  <si>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</si>
  <si>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</si>
  <si>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</si>
  <si>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</si>
  <si>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</si>
  <si>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</si>
  <si>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</si>
  <si>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</si>
  <si>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</si>
  <si>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</si>
  <si>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</si>
  <si>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</si>
  <si>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</si>
  <si>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</si>
  <si>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</si>
  <si>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</si>
  <si>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</si>
  <si>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</si>
  <si>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</si>
  <si>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</si>
  <si>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</si>
  <si>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</si>
  <si>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</si>
  <si>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</si>
  <si>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</si>
  <si>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</si>
  <si>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</si>
  <si>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</si>
  <si>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</si>
  <si>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</si>
  <si>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</si>
  <si>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</si>
  <si>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</si>
  <si>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</si>
  <si>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</si>
  <si>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</si>
  <si>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</si>
  <si>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</si>
  <si>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</si>
  <si>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</si>
  <si>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</si>
  <si>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</si>
  <si>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</si>
  <si>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</si>
  <si>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</si>
  <si>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</si>
  <si>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</si>
  <si>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</si>
  <si>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</si>
  <si>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</si>
  <si>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</si>
  <si>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</si>
  <si>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</si>
  <si>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</si>
  <si>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</si>
  <si>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</si>
  <si>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</si>
  <si>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</si>
  <si>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</si>
  <si>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</si>
  <si>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</si>
  <si>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</si>
  <si>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</si>
  <si>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</si>
  <si>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</si>
  <si>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</si>
  <si>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</si>
  <si>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</si>
  <si>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</si>
  <si>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</si>
  <si>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</si>
  <si>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</si>
  <si>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</si>
  <si>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</si>
  <si>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</si>
  <si>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</si>
  <si>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</si>
  <si>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</si>
  <si>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</si>
  <si>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</si>
  <si>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</si>
  <si>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</si>
  <si>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</si>
  <si>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</si>
  <si>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</si>
  <si>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</si>
  <si>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</si>
  <si>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</si>
  <si>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</si>
  <si>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</si>
  <si>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</si>
  <si>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</si>
  <si>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</si>
  <si>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</si>
  <si>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</si>
  <si>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</si>
  <si>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</si>
  <si>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</si>
  <si>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</si>
  <si>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</si>
  <si>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</si>
  <si>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</si>
  <si>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</si>
  <si>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</si>
  <si>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</si>
  <si>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</si>
  <si>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</si>
  <si>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</si>
  <si>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</si>
  <si>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</si>
  <si>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</si>
  <si>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</si>
  <si>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</si>
  <si>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</si>
  <si>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</si>
  <si>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</si>
  <si>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</si>
  <si>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</si>
  <si>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</si>
  <si>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</si>
  <si>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</si>
  <si>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</si>
  <si>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</si>
  <si>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</si>
  <si>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</si>
  <si>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</si>
  <si>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</si>
  <si>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</si>
  <si>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</si>
  <si>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</si>
  <si>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</si>
  <si>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</si>
  <si>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</si>
  <si>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</si>
  <si>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</si>
  <si>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</si>
  <si>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</si>
  <si>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</si>
  <si>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</si>
  <si>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</si>
  <si>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</si>
  <si>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</si>
  <si>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</si>
  <si>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</si>
  <si>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</si>
  <si>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</si>
  <si>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</si>
  <si>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</si>
  <si>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</si>
  <si>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</si>
  <si>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</si>
  <si>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</si>
  <si>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</si>
  <si>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</si>
  <si>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</si>
  <si>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</si>
  <si>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</si>
  <si>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</si>
  <si>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</si>
  <si>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</si>
  <si>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</si>
  <si>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</si>
  <si>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</si>
  <si>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</si>
  <si>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</si>
  <si>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</si>
  <si>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</si>
  <si>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</si>
  <si>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</si>
  <si>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</si>
  <si>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</si>
  <si>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</si>
  <si>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</si>
  <si>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</si>
  <si>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</si>
  <si>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</si>
  <si>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</si>
  <si>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</si>
  <si>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</si>
  <si>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</si>
  <si>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</si>
  <si>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</si>
  <si>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</si>
  <si>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</si>
  <si>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</si>
  <si>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</si>
  <si>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</si>
  <si>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</si>
  <si>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</si>
  <si>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</si>
  <si>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</si>
  <si>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</si>
  <si>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</si>
  <si>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</si>
  <si>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</si>
  <si>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</si>
  <si>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</si>
  <si>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</si>
  <si>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</si>
  <si>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</si>
  <si>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</si>
  <si>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</si>
  <si>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</si>
  <si>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</si>
  <si>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</si>
  <si>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</si>
  <si>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</si>
  <si>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</si>
  <si>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</si>
  <si>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</si>
  <si>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</si>
  <si>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</si>
  <si>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</si>
  <si>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</si>
  <si>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</si>
  <si>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</si>
  <si>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</si>
  <si>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</si>
  <si>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</si>
  <si>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</si>
  <si>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</si>
  <si>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</si>
  <si>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</si>
  <si>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</si>
  <si>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</si>
  <si>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</si>
  <si>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</si>
  <si>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</si>
  <si>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</si>
  <si>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</si>
  <si>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</si>
  <si>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</si>
  <si>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</si>
  <si>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</si>
  <si>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</si>
  <si>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</si>
  <si>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</si>
  <si>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</si>
  <si>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</si>
  <si>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</si>
  <si>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</si>
  <si>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</si>
  <si>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</si>
  <si>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</si>
  <si>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</si>
  <si>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</si>
  <si>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</si>
  <si>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</si>
  <si>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</si>
  <si>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</si>
  <si>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</si>
  <si>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</si>
  <si>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</si>
  <si>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</si>
  <si>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</si>
  <si>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</si>
  <si>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</si>
  <si>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</si>
  <si>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</si>
  <si>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</si>
  <si>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</si>
  <si>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</si>
  <si>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</si>
  <si>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</si>
  <si>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</si>
  <si>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</si>
  <si>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</si>
  <si>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</si>
  <si>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</si>
  <si>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</si>
  <si>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</si>
  <si>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</si>
  <si>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</si>
  <si>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</si>
  <si>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</si>
  <si>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</si>
  <si>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</si>
  <si>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</si>
  <si>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</si>
  <si>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</si>
  <si>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</si>
  <si>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</si>
  <si>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</si>
  <si>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</si>
  <si>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</si>
  <si>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</si>
  <si>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</si>
  <si>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</si>
  <si>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</si>
  <si>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</si>
  <si>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</si>
  <si>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</si>
  <si>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</si>
  <si>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</si>
  <si>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</si>
  <si>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</si>
  <si>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</si>
  <si>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</si>
  <si>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</si>
  <si>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</si>
  <si>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</si>
  <si>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</si>
  <si>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</si>
  <si>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</si>
  <si>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</si>
  <si>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</si>
  <si>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</si>
  <si>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</si>
  <si>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</si>
  <si>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</si>
  <si>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</si>
  <si>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</si>
  <si>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</si>
  <si>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</si>
  <si>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</si>
  <si>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</si>
  <si>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</si>
  <si>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</si>
  <si>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</si>
  <si>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</si>
  <si>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</si>
  <si>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</si>
  <si>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</si>
  <si>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</si>
  <si>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</si>
  <si>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</si>
  <si>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</si>
  <si>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</si>
  <si>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</si>
  <si>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</si>
  <si>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</si>
  <si>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</si>
  <si>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</si>
  <si>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</si>
  <si>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</si>
  <si>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</si>
  <si>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</si>
  <si>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</si>
  <si>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</si>
  <si>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</si>
  <si>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</si>
  <si>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</si>
  <si>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</si>
  <si>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</si>
  <si>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</si>
  <si>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</si>
  <si>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</si>
  <si>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</si>
  <si>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</si>
  <si>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</si>
  <si>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</si>
  <si>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</si>
  <si>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</si>
  <si>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</si>
  <si>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</si>
  <si>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</si>
  <si>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</si>
  <si>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</si>
  <si>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</si>
  <si>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</si>
  <si>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</si>
  <si>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</si>
  <si>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</si>
  <si>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</si>
  <si>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</si>
  <si>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</si>
  <si>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</si>
  <si>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</si>
  <si>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</si>
  <si>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</si>
  <si>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</si>
  <si>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</si>
  <si>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</si>
  <si>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</si>
  <si>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</si>
  <si>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</si>
  <si>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</si>
  <si>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</si>
  <si>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</si>
  <si>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</si>
  <si>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</si>
  <si>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</si>
  <si>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</si>
  <si>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</si>
  <si>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</si>
  <si>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</si>
  <si>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</si>
  <si>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</si>
  <si>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</si>
  <si>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</si>
  <si>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</si>
  <si>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</si>
  <si>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</si>
  <si>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</si>
  <si>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</si>
  <si>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</si>
  <si>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</si>
  <si>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</si>
  <si>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</si>
  <si>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</si>
  <si>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</si>
  <si>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</si>
  <si>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</si>
  <si>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</si>
  <si>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</si>
  <si>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</si>
  <si>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</si>
  <si>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</si>
  <si>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</si>
  <si>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</si>
  <si>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</si>
  <si>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</si>
  <si>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</si>
  <si>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</si>
  <si>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</si>
  <si>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</si>
  <si>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</si>
  <si>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</si>
  <si>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</si>
  <si>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</si>
  <si>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</si>
  <si>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</si>
  <si>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</si>
  <si>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</si>
  <si>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</si>
  <si>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</si>
  <si>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</si>
  <si>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</si>
  <si>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</si>
  <si>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</si>
  <si>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</si>
  <si>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</si>
  <si>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</si>
  <si>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</si>
  <si>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</si>
  <si>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</si>
  <si>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</si>
  <si>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</si>
  <si>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</si>
  <si>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</si>
  <si>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</si>
  <si>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</si>
  <si>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</si>
  <si>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</si>
  <si>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</si>
  <si>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</si>
  <si>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</si>
  <si>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</si>
  <si>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</si>
  <si>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</si>
  <si>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</si>
  <si>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</si>
  <si>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</si>
  <si>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</si>
  <si>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</si>
  <si>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</si>
  <si>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</si>
  <si>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</si>
  <si>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</si>
  <si>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</si>
  <si>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</si>
  <si>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</si>
  <si>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</si>
  <si>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</si>
  <si>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</si>
  <si>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</si>
  <si>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</si>
  <si>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</si>
  <si>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</si>
  <si>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</si>
  <si>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</si>
  <si>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</si>
  <si>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</si>
  <si>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</si>
  <si>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</si>
  <si>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</si>
  <si>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</si>
  <si>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</si>
  <si>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</si>
  <si>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</si>
  <si>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</si>
  <si>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</si>
  <si>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</si>
  <si>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</si>
  <si>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</si>
  <si>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</si>
  <si>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</si>
  <si>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</si>
  <si>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</si>
  <si>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</si>
  <si>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</si>
  <si>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</si>
  <si>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</si>
  <si>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</si>
  <si>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</si>
  <si>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</si>
  <si>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</si>
  <si>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</si>
  <si>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</si>
  <si>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</si>
  <si>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</si>
  <si>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</si>
  <si>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</si>
  <si>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</si>
  <si>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</si>
  <si>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</si>
  <si>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</si>
  <si>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</si>
  <si>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</si>
  <si>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</si>
  <si>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</si>
  <si>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</si>
  <si>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</si>
  <si>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</si>
  <si>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</si>
  <si>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</si>
  <si>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</si>
  <si>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</si>
  <si>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</si>
  <si>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</si>
  <si>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</si>
  <si>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</si>
  <si>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</si>
  <si>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</si>
  <si>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</si>
  <si>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</si>
  <si>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</si>
  <si>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</si>
  <si>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</si>
  <si>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</si>
  <si>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</si>
  <si>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</si>
  <si>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</si>
  <si>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</si>
  <si>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</si>
  <si>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</si>
  <si>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</si>
  <si>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</si>
  <si>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</si>
  <si>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</si>
  <si>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</si>
  <si>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</si>
  <si>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</si>
  <si>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</si>
  <si>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</si>
  <si>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</si>
  <si>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</si>
  <si>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</si>
  <si>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</si>
  <si>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</si>
  <si>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</si>
  <si>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</si>
  <si>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</si>
  <si>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</si>
  <si>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</si>
  <si>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</si>
  <si>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</si>
  <si>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</si>
  <si>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</si>
  <si>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</si>
  <si>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</si>
  <si>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</si>
  <si>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</si>
  <si>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</si>
  <si>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</si>
  <si>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</si>
  <si>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</si>
  <si>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</si>
  <si>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</si>
  <si>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</si>
  <si>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</si>
  <si>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</si>
  <si>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</si>
  <si>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</si>
  <si>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</si>
  <si>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</si>
  <si>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</si>
  <si>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</si>
  <si>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</si>
  <si>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</si>
  <si>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</si>
  <si>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</si>
  <si>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</si>
  <si>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</si>
  <si>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</si>
  <si>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</si>
  <si>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</si>
  <si>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</si>
  <si>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</si>
  <si>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</si>
  <si>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</si>
  <si>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</si>
  <si>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</si>
  <si>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</si>
  <si>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</si>
  <si>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</si>
  <si>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</si>
  <si>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</si>
  <si>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</si>
  <si>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</si>
  <si>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</si>
  <si>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</si>
  <si>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</si>
  <si>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</si>
  <si>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</si>
  <si>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</si>
  <si>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</si>
  <si>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</si>
  <si>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</si>
  <si>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</si>
  <si>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</si>
  <si>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</si>
  <si>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</si>
  <si>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</si>
  <si>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</si>
  <si>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</si>
  <si>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</si>
  <si>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</si>
  <si>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</si>
  <si>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</si>
  <si>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</si>
  <si>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</si>
  <si>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</si>
  <si>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</si>
  <si>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</si>
  <si>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</si>
  <si>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</si>
  <si>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</si>
  <si>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</si>
  <si>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</si>
  <si>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</si>
  <si>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</si>
  <si>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</si>
  <si>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</si>
  <si>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</si>
  <si>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</si>
  <si>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</si>
  <si>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</si>
  <si>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</si>
  <si>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</si>
  <si>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</si>
  <si>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</si>
  <si>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</si>
  <si>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</si>
  <si>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</si>
  <si>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</si>
  <si>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</si>
  <si>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</si>
  <si>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</si>
  <si>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</si>
  <si>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</si>
  <si>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</si>
  <si>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</si>
  <si>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</si>
  <si>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</si>
  <si>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</si>
  <si>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</si>
  <si>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</si>
  <si>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</si>
  <si>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</si>
  <si>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</si>
  <si>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</si>
  <si>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</si>
  <si>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</si>
  <si>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</si>
  <si>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</si>
  <si>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</si>
  <si>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</si>
  <si>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</si>
  <si>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</si>
  <si>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</si>
  <si>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</si>
  <si>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</si>
  <si>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</si>
  <si>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</si>
  <si>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</si>
  <si>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</si>
  <si>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</si>
  <si>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</si>
  <si>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</si>
  <si>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</si>
  <si>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</si>
  <si>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</si>
  <si>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</si>
  <si>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</si>
  <si>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</si>
  <si>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</si>
  <si>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</si>
  <si>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</si>
  <si>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</si>
  <si>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</si>
  <si>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</si>
  <si>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</si>
  <si>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</si>
  <si>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</si>
  <si>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</si>
  <si>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</si>
  <si>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</si>
  <si>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</si>
  <si>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</si>
  <si>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</si>
  <si>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</si>
  <si>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</si>
  <si>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</si>
  <si>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</si>
  <si>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</si>
  <si>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</si>
  <si>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</si>
  <si>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</si>
  <si>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</si>
  <si>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</si>
  <si>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</si>
  <si>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</si>
  <si>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</si>
  <si>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</si>
  <si>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</si>
  <si>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</si>
  <si>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</si>
  <si>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</si>
  <si>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</si>
  <si>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</si>
  <si>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</si>
  <si>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</si>
  <si>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</si>
  <si>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</si>
  <si>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</si>
  <si>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</si>
  <si>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</si>
  <si>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</si>
  <si>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</si>
  <si>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</si>
  <si>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</si>
  <si>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</si>
  <si>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</si>
  <si>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</si>
  <si>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</si>
  <si>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</si>
  <si>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</si>
  <si>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</si>
  <si>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</si>
  <si>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</si>
  <si>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</si>
  <si>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</si>
  <si>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</si>
  <si>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</si>
  <si>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</si>
  <si>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</si>
  <si>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</si>
  <si>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</si>
  <si>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</si>
  <si>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</si>
  <si>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</si>
  <si>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</si>
  <si>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</si>
  <si>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</si>
  <si>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</si>
  <si>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</si>
  <si>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</si>
  <si>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</si>
  <si>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</si>
  <si>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</si>
  <si>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</si>
  <si>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</si>
  <si>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</si>
  <si>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</si>
  <si>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</si>
  <si>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</si>
  <si>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</si>
  <si>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</si>
  <si>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</si>
  <si>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</si>
  <si>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</si>
  <si>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</si>
  <si>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</si>
  <si>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</si>
  <si>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</si>
  <si>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</si>
  <si>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</si>
  <si>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</si>
  <si>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</si>
  <si>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</si>
  <si>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</si>
  <si>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</si>
  <si>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</si>
  <si>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</si>
  <si>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</si>
  <si>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</si>
  <si>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</si>
  <si>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</si>
  <si>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</si>
  <si>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</si>
  <si>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</si>
  <si>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</si>
  <si>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</si>
  <si>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</si>
  <si>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</si>
  <si>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</si>
  <si>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</si>
  <si>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</si>
  <si>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</si>
  <si>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</si>
  <si>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</si>
  <si>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</si>
  <si>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</si>
  <si>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</si>
  <si>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</si>
  <si>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</si>
  <si>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</si>
  <si>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</si>
  <si>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</si>
  <si>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</si>
  <si>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</si>
  <si>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</si>
  <si>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</si>
  <si>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</si>
  <si>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</si>
  <si>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</si>
  <si>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</si>
  <si>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</si>
  <si>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</si>
  <si>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</si>
  <si>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</si>
  <si>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</si>
  <si>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</si>
  <si>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</si>
  <si>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</si>
  <si>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</si>
  <si>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</si>
  <si>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</si>
  <si>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</si>
  <si>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</si>
  <si>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</si>
  <si>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</si>
  <si>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</si>
  <si>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</si>
  <si>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</si>
  <si>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</si>
  <si>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</si>
  <si>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</si>
  <si>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</si>
  <si>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</si>
  <si>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</si>
  <si>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</si>
  <si>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</si>
  <si>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</si>
  <si>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</si>
  <si>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</si>
  <si>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</si>
  <si>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</si>
  <si>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</si>
  <si>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</si>
  <si>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</si>
  <si>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</si>
  <si>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</si>
  <si>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</si>
  <si>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</si>
  <si>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</si>
  <si>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</si>
  <si>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</si>
  <si>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</si>
  <si>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</si>
  <si>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</si>
  <si>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</si>
  <si>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</si>
  <si>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</si>
  <si>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</si>
  <si>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</si>
  <si>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</si>
  <si>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</si>
  <si>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</si>
  <si>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</si>
  <si>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</si>
  <si>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</si>
  <si>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</si>
  <si>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</si>
  <si>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</si>
  <si>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</si>
  <si>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</si>
  <si>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</si>
  <si>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</si>
  <si>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</si>
  <si>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</si>
  <si>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</si>
  <si>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</si>
  <si>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</si>
  <si>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</si>
  <si>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</si>
  <si>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</si>
  <si>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</si>
  <si>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</si>
  <si>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</si>
  <si>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</si>
  <si>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</si>
  <si>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</si>
  <si>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</si>
  <si>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</si>
  <si>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</si>
  <si>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</si>
  <si>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</si>
  <si>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</si>
  <si>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</si>
  <si>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</si>
  <si>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</si>
  <si>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</si>
  <si>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</si>
  <si>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</si>
  <si>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</si>
  <si>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</si>
  <si>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</si>
  <si>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</si>
  <si>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</si>
  <si>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</si>
  <si>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</si>
  <si>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</si>
  <si>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</si>
  <si>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</si>
  <si>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</si>
  <si>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</si>
  <si>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</si>
  <si>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</si>
  <si>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</si>
  <si>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</si>
  <si>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</si>
  <si>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</si>
  <si>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</si>
  <si>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</si>
  <si>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</si>
  <si>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</si>
  <si>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</si>
  <si>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</si>
  <si>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</si>
  <si>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</si>
  <si>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</si>
  <si>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</si>
  <si>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</si>
  <si>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</si>
  <si>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</si>
  <si>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</si>
  <si>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</si>
  <si>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</si>
  <si>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</si>
  <si>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</si>
  <si>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</si>
  <si>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</si>
  <si>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</si>
  <si>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</si>
  <si>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</si>
  <si>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</si>
  <si>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</si>
  <si>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</si>
  <si>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</si>
  <si>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</si>
  <si>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</si>
  <si>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</si>
  <si>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</si>
  <si>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</si>
  <si>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</si>
  <si>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</si>
  <si>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</si>
  <si>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</si>
  <si>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</si>
  <si>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</si>
  <si>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</si>
  <si>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</si>
  <si>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</si>
  <si>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</si>
  <si>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</si>
  <si>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</si>
  <si>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</si>
  <si>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</si>
  <si>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</si>
  <si>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</si>
  <si>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</si>
  <si>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</si>
  <si>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</si>
  <si>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</si>
  <si>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</si>
  <si>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</si>
  <si>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</si>
  <si>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</si>
  <si>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</si>
  <si>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</si>
  <si>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</si>
  <si>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</si>
  <si>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</si>
  <si>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</si>
  <si>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</si>
  <si>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</si>
  <si>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</si>
  <si>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</si>
  <si>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</si>
  <si>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</si>
  <si>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</si>
  <si>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</si>
  <si>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</si>
  <si>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</si>
  <si>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</si>
  <si>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</si>
  <si>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</si>
  <si>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</si>
  <si>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</si>
  <si>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</si>
  <si>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</si>
  <si>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</si>
  <si>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</si>
  <si>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</si>
  <si>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</si>
  <si>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</si>
  <si>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</si>
  <si>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</si>
  <si>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</si>
  <si>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</si>
  <si>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</si>
  <si>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</si>
  <si>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</si>
  <si>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</si>
  <si>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</si>
  <si>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</si>
  <si>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</si>
  <si>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</si>
  <si>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</si>
  <si>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</si>
  <si>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</si>
  <si>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</si>
  <si>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</si>
  <si>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</si>
  <si>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</si>
  <si>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</si>
  <si>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</si>
  <si>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</si>
  <si>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</si>
  <si>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</si>
  <si>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</si>
  <si>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</si>
  <si>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</si>
  <si>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</si>
  <si>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</si>
  <si>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</si>
  <si>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</si>
  <si>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</si>
  <si>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</si>
  <si>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</si>
  <si>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</si>
  <si>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</si>
  <si>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</si>
  <si>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</si>
  <si>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</si>
  <si>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</si>
  <si>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</si>
  <si>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</si>
  <si>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</si>
  <si>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</si>
  <si>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</si>
  <si>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</si>
  <si>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</si>
  <si>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</si>
  <si>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</si>
  <si>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</si>
  <si>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</si>
  <si>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</si>
  <si>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</si>
  <si>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</si>
  <si>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</si>
  <si>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</si>
  <si>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</si>
  <si>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</si>
  <si>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</si>
  <si>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</si>
  <si>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</si>
  <si>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</si>
  <si>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</si>
  <si>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</si>
  <si>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</si>
  <si>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</si>
  <si>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</si>
  <si>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</si>
  <si>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</si>
  <si>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</si>
  <si>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</si>
  <si>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</si>
  <si>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</si>
  <si>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</si>
  <si>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</si>
  <si>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</si>
  <si>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</si>
  <si>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</si>
  <si>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</si>
  <si>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</si>
  <si>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</si>
  <si>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</si>
  <si>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</si>
  <si>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</si>
  <si>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</si>
  <si>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</si>
  <si>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</si>
  <si>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</si>
  <si>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</si>
  <si>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</si>
  <si>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</si>
  <si>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</si>
  <si>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</si>
  <si>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</si>
  <si>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</si>
  <si>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</si>
  <si>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</si>
  <si>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</si>
  <si>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</si>
  <si>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</si>
  <si>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</si>
  <si>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</si>
  <si>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</si>
  <si>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</si>
  <si>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</si>
  <si>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</si>
  <si>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</si>
  <si>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</si>
  <si>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</si>
  <si>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</si>
  <si>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</si>
  <si>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</si>
  <si>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</si>
  <si>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</si>
  <si>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</si>
  <si>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</si>
  <si>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</si>
  <si>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</si>
  <si>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</si>
  <si>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</si>
  <si>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</si>
  <si>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</si>
  <si>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</si>
  <si>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</si>
  <si>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</si>
  <si>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</si>
  <si>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</si>
  <si>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</si>
  <si>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</si>
  <si>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</si>
  <si>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</si>
  <si>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</si>
  <si>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</si>
  <si>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</si>
  <si>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</si>
  <si>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</si>
  <si>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</si>
  <si>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</si>
  <si>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</si>
  <si>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</si>
  <si>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</si>
  <si>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</si>
  <si>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</si>
  <si>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</si>
  <si>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</si>
  <si>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</si>
  <si>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</si>
  <si>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</si>
  <si>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</si>
  <si>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</si>
  <si>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</si>
  <si>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</si>
  <si>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</si>
  <si>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</si>
  <si>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</si>
  <si>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</si>
  <si>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</si>
  <si>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</si>
  <si>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</si>
  <si>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</si>
  <si>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</si>
  <si>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</si>
  <si>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</si>
  <si>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</si>
  <si>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</si>
  <si>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</si>
  <si>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</si>
  <si>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</si>
  <si>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</si>
  <si>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</si>
  <si>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</si>
  <si>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</si>
  <si>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</si>
  <si>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</si>
  <si>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</si>
  <si>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</si>
  <si>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</si>
  <si>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</si>
  <si>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</si>
  <si>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</si>
  <si>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</si>
  <si>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</si>
  <si>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</si>
  <si>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</si>
  <si>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</si>
  <si>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</si>
  <si>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</si>
  <si>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</si>
  <si>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</si>
  <si>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</si>
  <si>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</si>
  <si>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</si>
  <si>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</si>
  <si>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</si>
  <si>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</si>
  <si>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</si>
  <si>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</si>
  <si>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</si>
  <si>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</si>
  <si>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</si>
  <si>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</si>
  <si>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</si>
  <si>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</si>
  <si>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</si>
  <si>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</si>
  <si>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</si>
  <si>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</si>
  <si>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</si>
  <si>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</si>
  <si>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</si>
  <si>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</si>
  <si>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</si>
  <si>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</si>
  <si>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</si>
  <si>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</si>
  <si>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</si>
  <si>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</si>
  <si>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</si>
  <si>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</si>
  <si>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</si>
  <si>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</si>
  <si>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</si>
  <si>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</si>
  <si>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</si>
  <si>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</si>
  <si>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</si>
  <si>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</si>
  <si>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</si>
  <si>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</si>
  <si>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</si>
  <si>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</si>
  <si>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</si>
  <si>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</si>
  <si>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</si>
  <si>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</si>
  <si>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</si>
  <si>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</si>
  <si>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</si>
  <si>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</si>
  <si>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</si>
  <si>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</si>
  <si>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</si>
  <si>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</si>
  <si>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</si>
  <si>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</si>
  <si>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</si>
  <si>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</si>
  <si>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</si>
  <si>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</si>
  <si>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</si>
  <si>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</si>
  <si>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</si>
  <si>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</si>
  <si>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</si>
  <si>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</si>
  <si>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</si>
  <si>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</si>
  <si>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</si>
  <si>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</si>
  <si>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</si>
  <si>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</si>
  <si>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</si>
  <si>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</si>
  <si>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</si>
  <si>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</si>
  <si>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</si>
  <si>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</si>
  <si>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</si>
  <si>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</si>
  <si>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</si>
  <si>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</si>
  <si>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</si>
  <si>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</si>
  <si>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</si>
  <si>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</si>
  <si>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</si>
  <si>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</si>
  <si>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</si>
  <si>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</si>
  <si>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</si>
  <si>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</si>
  <si>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</si>
  <si>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</si>
  <si>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</si>
  <si>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</si>
  <si>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</si>
  <si>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</si>
  <si>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</si>
  <si>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</si>
  <si>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</si>
  <si>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</si>
  <si>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</si>
  <si>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</si>
  <si>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</si>
  <si>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</si>
  <si>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</si>
  <si>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</si>
  <si>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</si>
  <si>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</si>
  <si>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</si>
  <si>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</si>
  <si>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</si>
  <si>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</si>
  <si>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</si>
  <si>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</si>
  <si>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</si>
  <si>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</si>
  <si>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</si>
  <si>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</si>
  <si>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</si>
  <si>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</si>
  <si>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</si>
  <si>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</si>
  <si>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</si>
  <si>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</si>
  <si>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</si>
  <si>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</si>
  <si>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</si>
  <si>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</si>
  <si>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</si>
  <si>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</si>
  <si>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</si>
  <si>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</si>
  <si>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</si>
  <si>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</si>
  <si>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</si>
  <si>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</si>
  <si>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</si>
  <si>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</si>
  <si>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</si>
  <si>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</si>
  <si>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</si>
  <si>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</si>
  <si>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</si>
  <si>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</si>
  <si>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</si>
  <si>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</si>
  <si>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</si>
  <si>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</si>
  <si>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</si>
  <si>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</si>
  <si>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</si>
  <si>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</si>
  <si>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</si>
  <si>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</si>
  <si>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</si>
  <si>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</si>
  <si>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</si>
  <si>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</si>
  <si>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</si>
  <si>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</si>
  <si>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</si>
  <si>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</si>
  <si>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</si>
  <si>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</si>
  <si>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</si>
  <si>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</si>
  <si>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</si>
  <si>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</si>
  <si>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</si>
  <si>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</si>
  <si>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</si>
  <si>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</si>
  <si>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</si>
  <si>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</si>
  <si>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</si>
  <si>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</si>
  <si>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</si>
  <si>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</si>
  <si>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</si>
  <si>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</si>
  <si>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</si>
  <si>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</si>
  <si>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</si>
  <si>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</si>
  <si>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</si>
  <si>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</si>
  <si>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</si>
  <si>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</si>
  <si>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</si>
  <si>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</si>
  <si>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</si>
  <si>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</si>
  <si>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</si>
  <si>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</si>
  <si>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</si>
  <si>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</si>
  <si>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</si>
  <si>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</si>
  <si>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</si>
  <si>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</si>
  <si>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</si>
  <si>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</si>
  <si>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</si>
  <si>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</si>
  <si>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</si>
  <si>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</si>
  <si>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</si>
  <si>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</si>
  <si>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</si>
  <si>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</si>
  <si>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</si>
  <si>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</si>
  <si>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</si>
  <si>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</si>
  <si>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</si>
  <si>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</si>
  <si>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</si>
  <si>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</si>
  <si>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</si>
  <si>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</si>
  <si>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</si>
  <si>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</si>
  <si>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</si>
  <si>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</si>
  <si>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</si>
  <si>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</si>
  <si>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</si>
  <si>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</si>
  <si>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</si>
  <si>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</si>
  <si>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</si>
  <si>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</si>
  <si>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</si>
  <si>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</si>
  <si>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</si>
  <si>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</si>
  <si>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</si>
  <si>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</si>
  <si>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</si>
  <si>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</si>
  <si>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</si>
  <si>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</si>
  <si>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</si>
  <si>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</si>
  <si>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</si>
  <si>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</si>
  <si>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</si>
  <si>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</si>
  <si>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</si>
  <si>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</si>
  <si>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</si>
  <si>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</si>
  <si>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</si>
  <si>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</si>
  <si>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</si>
  <si>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</si>
  <si>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</si>
  <si>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</si>
  <si>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</si>
  <si>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</si>
  <si>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</si>
  <si>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</si>
  <si>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</si>
  <si>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</si>
  <si>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</si>
  <si>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</si>
  <si>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</si>
  <si>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</si>
  <si>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</si>
  <si>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</si>
  <si>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</si>
  <si>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</si>
  <si>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</si>
  <si>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</si>
  <si>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</si>
  <si>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</si>
  <si>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</si>
  <si>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</si>
  <si>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</si>
  <si>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</si>
  <si>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</si>
  <si>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</si>
  <si>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</si>
  <si>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</si>
  <si>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</si>
  <si>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</si>
  <si>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</si>
  <si>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</si>
  <si>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</si>
  <si>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</si>
  <si>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</si>
  <si>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</si>
  <si>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</si>
  <si>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</si>
  <si>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</si>
  <si>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</si>
  <si>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</si>
  <si>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</si>
  <si>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</si>
  <si>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</si>
  <si>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</si>
  <si>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</si>
  <si>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</si>
  <si>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</si>
  <si>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</si>
  <si>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</si>
  <si>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</si>
  <si>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</si>
  <si>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</si>
  <si>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</si>
  <si>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</si>
  <si>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</si>
  <si>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</si>
  <si>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</si>
  <si>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</si>
  <si>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</si>
  <si>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</si>
  <si>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</si>
  <si>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</si>
  <si>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</si>
  <si>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</si>
  <si>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</si>
  <si>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</si>
  <si>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</si>
  <si>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</si>
  <si>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</si>
  <si>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</si>
  <si>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</si>
  <si>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</si>
  <si>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</si>
  <si>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</si>
  <si>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</si>
  <si>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</si>
  <si>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</si>
  <si>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</si>
  <si>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</si>
  <si>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</si>
  <si>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</si>
  <si>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</si>
  <si>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</si>
  <si>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</si>
  <si>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</si>
  <si>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</si>
  <si>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</si>
  <si>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</si>
  <si>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</si>
  <si>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</si>
  <si>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</si>
  <si>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</si>
  <si>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</si>
  <si>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</si>
  <si>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</si>
  <si>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</si>
  <si>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</si>
  <si>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</si>
  <si>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</si>
  <si>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</si>
  <si>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</si>
  <si>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</si>
  <si>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</si>
  <si>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</si>
  <si>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</si>
  <si>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</si>
  <si>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</si>
  <si>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</si>
  <si>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</si>
  <si>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</si>
  <si>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</si>
  <si>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</si>
  <si>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</si>
  <si>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</si>
  <si>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</si>
  <si>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</si>
  <si>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</si>
  <si>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</si>
  <si>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</si>
  <si>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</si>
  <si>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</si>
  <si>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</si>
  <si>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</si>
  <si>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</si>
  <si>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</si>
  <si>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</si>
  <si>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</si>
  <si>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</si>
  <si>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</si>
  <si>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</si>
  <si>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</si>
  <si>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</si>
  <si>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</si>
  <si>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</si>
  <si>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</si>
  <si>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</si>
  <si>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</si>
  <si>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</si>
  <si>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</si>
  <si>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</si>
  <si>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</si>
  <si>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</si>
  <si>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</si>
  <si>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</si>
  <si>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</si>
  <si>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</si>
  <si>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</si>
  <si>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</si>
  <si>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</si>
  <si>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</si>
  <si>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</si>
  <si>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</si>
  <si>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</si>
  <si>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</si>
  <si>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</si>
  <si>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</si>
  <si>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</si>
  <si>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</si>
  <si>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</si>
  <si>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</si>
  <si>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</si>
  <si>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</si>
  <si>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</si>
  <si>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</si>
  <si>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</si>
  <si>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</si>
  <si>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</si>
  <si>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</si>
  <si>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</si>
  <si>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</si>
  <si>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</si>
  <si>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</si>
  <si>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</si>
  <si>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</si>
  <si>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</si>
  <si>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</si>
  <si>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</si>
  <si>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</si>
  <si>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</si>
  <si>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</si>
  <si>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</si>
  <si>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</si>
  <si>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</si>
  <si>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</si>
  <si>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</si>
  <si>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</si>
  <si>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</si>
  <si>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</si>
  <si>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</si>
  <si>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</si>
  <si>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</si>
  <si>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</si>
  <si>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</si>
  <si>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</si>
  <si>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</si>
  <si>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</si>
  <si>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</si>
  <si>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</si>
  <si>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</si>
  <si>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</si>
  <si>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</si>
  <si>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</si>
  <si>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</si>
  <si>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</si>
  <si>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</si>
  <si>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</si>
  <si>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</si>
  <si>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</si>
  <si>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</si>
  <si>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</si>
  <si>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</si>
  <si>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</si>
  <si>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</si>
  <si>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</si>
  <si>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</si>
  <si>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</si>
  <si>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</si>
  <si>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</si>
  <si>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</si>
  <si>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</si>
  <si>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</si>
  <si>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</si>
  <si>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</si>
  <si>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</si>
  <si>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</si>
  <si>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</si>
  <si>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</si>
  <si>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</si>
  <si>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</si>
  <si>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</si>
  <si>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</si>
  <si>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</si>
  <si>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</si>
  <si>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</si>
  <si>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</si>
  <si>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</si>
  <si>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</si>
  <si>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</si>
  <si>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</si>
  <si>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</si>
  <si>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</si>
  <si>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</si>
  <si>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</si>
  <si>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</si>
  <si>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</si>
  <si>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</si>
  <si>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</si>
  <si>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</si>
  <si>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</si>
  <si>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</si>
  <si>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</si>
  <si>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</si>
  <si>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</si>
  <si>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</si>
  <si>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</si>
  <si>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</si>
  <si>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</si>
  <si>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</si>
  <si>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</si>
  <si>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</si>
  <si>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</si>
  <si>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</si>
  <si>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</si>
  <si>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</si>
  <si>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</si>
  <si>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</si>
  <si>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</si>
  <si>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</si>
  <si>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</si>
  <si>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</si>
  <si>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</si>
  <si>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</si>
  <si>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</si>
  <si>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</si>
  <si>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</si>
  <si>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</si>
  <si>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</si>
  <si>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</si>
  <si>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</si>
  <si>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</si>
  <si>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</si>
  <si>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</si>
  <si>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</si>
  <si>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</si>
  <si>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</si>
  <si>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</si>
  <si>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</si>
  <si>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</si>
  <si>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</si>
  <si>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</si>
  <si>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</si>
  <si>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</si>
  <si>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</si>
  <si>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</si>
  <si>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</si>
  <si>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</si>
  <si>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</si>
  <si>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</si>
  <si>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</si>
  <si>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</si>
  <si>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</si>
  <si>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</si>
  <si>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</si>
  <si>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</si>
  <si>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</si>
  <si>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</si>
  <si>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</si>
  <si>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</si>
  <si>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</si>
  <si>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</si>
  <si>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</si>
  <si>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</si>
  <si>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</si>
  <si>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</si>
  <si>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</si>
  <si>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</si>
  <si>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</si>
  <si>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</si>
  <si>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</si>
  <si>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</si>
  <si>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</si>
  <si>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</si>
  <si>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</si>
  <si>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</si>
  <si>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</si>
  <si>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</si>
  <si>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</si>
  <si>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</si>
  <si>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</si>
  <si>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</si>
  <si>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</si>
  <si>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</si>
  <si>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</si>
  <si>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</si>
  <si>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</si>
  <si>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</si>
  <si>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</si>
  <si>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</si>
  <si>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</si>
  <si>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</si>
  <si>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</si>
  <si>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</si>
  <si>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</si>
  <si>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</si>
  <si>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</si>
  <si>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</si>
  <si>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</si>
  <si>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</si>
  <si>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</si>
  <si>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</si>
  <si>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</si>
  <si>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</si>
  <si>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</si>
  <si>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</si>
  <si>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</si>
  <si>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</si>
  <si>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</si>
  <si>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</si>
  <si>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</si>
  <si>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</si>
  <si>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</si>
  <si>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</si>
  <si>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</si>
  <si>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</si>
  <si>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</si>
  <si>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</si>
  <si>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</si>
  <si>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</si>
  <si>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</si>
  <si>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</si>
  <si>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</si>
  <si>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</si>
  <si>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</si>
  <si>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</si>
  <si>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</si>
  <si>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</si>
  <si>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</si>
  <si>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</si>
  <si>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</si>
  <si>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</si>
  <si>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</si>
  <si>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</si>
  <si>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</si>
  <si>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</si>
  <si>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</si>
  <si>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</si>
  <si>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</si>
  <si>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</si>
  <si>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</si>
  <si>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</si>
  <si>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</si>
  <si>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</si>
  <si>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</si>
  <si>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</si>
  <si>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</si>
  <si>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</si>
  <si>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</si>
  <si>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</si>
  <si>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</si>
  <si>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</si>
  <si>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</si>
  <si>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</si>
  <si>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</si>
  <si>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</si>
  <si>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</si>
  <si>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</si>
  <si>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</si>
  <si>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</si>
  <si>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</si>
  <si>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</si>
  <si>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</si>
  <si>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</si>
  <si>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</si>
  <si>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</si>
  <si>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</si>
  <si>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</si>
  <si>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</si>
  <si>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</si>
  <si>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</si>
  <si>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</si>
  <si>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</si>
  <si>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</si>
  <si>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</si>
  <si>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</si>
  <si>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</si>
  <si>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</si>
  <si>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</si>
  <si>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</si>
  <si>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</si>
  <si>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</si>
  <si>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</si>
  <si>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</si>
  <si>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</si>
  <si>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</si>
  <si>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</si>
  <si>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</si>
  <si>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</si>
  <si>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</si>
  <si>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</si>
  <si>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</si>
  <si>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</si>
  <si>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</si>
  <si>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</si>
  <si>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</si>
  <si>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</si>
  <si>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</si>
  <si>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</si>
  <si>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</si>
  <si>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</si>
  <si>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</si>
  <si>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</si>
  <si>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</si>
  <si>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</si>
  <si>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</si>
  <si>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</si>
  <si>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</si>
  <si>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</si>
  <si>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</si>
  <si>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</si>
  <si>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</si>
  <si>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</si>
  <si>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</si>
  <si>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</si>
  <si>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</si>
  <si>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</si>
  <si>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</si>
  <si>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</si>
  <si>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</si>
  <si>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</si>
  <si>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</si>
  <si>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</si>
  <si>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</si>
  <si>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</si>
  <si>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</si>
  <si>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</si>
  <si>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</si>
  <si>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</si>
  <si>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</si>
  <si>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</si>
  <si>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</si>
  <si>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</si>
  <si>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</si>
  <si>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</si>
  <si>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</si>
  <si>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</si>
  <si>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</si>
  <si>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</si>
  <si>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</si>
  <si>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</si>
  <si>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</si>
  <si>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</si>
  <si>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</si>
  <si>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</si>
  <si>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</si>
  <si>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</si>
  <si>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</si>
  <si>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</si>
  <si>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</si>
  <si>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</si>
  <si>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</si>
  <si>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</si>
  <si>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</si>
  <si>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</si>
  <si>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</si>
  <si>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</si>
  <si>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</si>
  <si>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</si>
  <si>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</si>
  <si>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</si>
  <si>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</si>
  <si>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</si>
  <si>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</si>
  <si>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</si>
  <si>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</si>
  <si>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</si>
  <si>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</si>
  <si>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</si>
  <si>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</si>
  <si>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</si>
  <si>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</si>
  <si>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</si>
  <si>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</si>
  <si>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</si>
  <si>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</si>
  <si>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</si>
  <si>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</si>
  <si>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</si>
  <si>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</si>
  <si>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</si>
  <si>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</si>
  <si>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</si>
  <si>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</si>
  <si>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</si>
  <si>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</si>
  <si>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</si>
  <si>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</si>
  <si>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</si>
  <si>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</si>
  <si>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</si>
  <si>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</si>
  <si>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</si>
  <si>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</si>
  <si>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</si>
  <si>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</si>
  <si>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</si>
  <si>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</si>
  <si>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</si>
  <si>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</si>
  <si>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</si>
  <si>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</si>
  <si>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</si>
  <si>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</si>
  <si>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</si>
  <si>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</si>
  <si>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</si>
  <si>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</si>
  <si>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</si>
  <si>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</si>
  <si>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</si>
  <si>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</si>
  <si>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</si>
  <si>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</si>
  <si>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</si>
  <si>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</si>
  <si>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</si>
  <si>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</si>
  <si>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</si>
  <si>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</si>
  <si>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</si>
  <si>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</si>
  <si>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</si>
  <si>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</si>
  <si>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</si>
  <si>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</si>
  <si>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</si>
  <si>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</si>
  <si>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</si>
  <si>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</si>
  <si>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</si>
  <si>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</si>
  <si>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</si>
  <si>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</si>
  <si>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</si>
  <si>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</si>
  <si>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</si>
  <si>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</si>
  <si>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</si>
  <si>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</si>
  <si>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</si>
  <si>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</si>
  <si>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</si>
  <si>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</si>
  <si>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</si>
  <si>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</si>
  <si>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</si>
  <si>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</si>
  <si>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</si>
  <si>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</si>
  <si>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</si>
  <si>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</si>
  <si>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</si>
  <si>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</si>
  <si>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</si>
  <si>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</si>
  <si>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</si>
  <si>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</si>
  <si>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</si>
  <si>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</si>
  <si>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</si>
  <si>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</si>
  <si>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</si>
  <si>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</si>
  <si>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</si>
  <si>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</si>
  <si>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</si>
  <si>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</si>
  <si>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</si>
  <si>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</si>
  <si>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</si>
  <si>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</si>
  <si>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</si>
  <si>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</si>
  <si>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</si>
  <si>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</si>
  <si>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</si>
  <si>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</si>
  <si>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</si>
  <si>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</si>
  <si>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</si>
  <si>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</si>
  <si>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</si>
  <si>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</si>
  <si>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</si>
  <si>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</si>
  <si>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</si>
  <si>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</si>
  <si>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</si>
  <si>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</si>
  <si>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</si>
  <si>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</si>
  <si>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</si>
  <si>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</si>
  <si>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</si>
  <si>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</si>
  <si>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</si>
  <si>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</si>
  <si>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</si>
  <si>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</si>
  <si>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</si>
  <si>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</si>
  <si>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</si>
  <si>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</si>
  <si>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</si>
  <si>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</si>
  <si>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</si>
  <si>
    <t>Calan Cazan, Mircea Toia</t>
  </si>
  <si>
    <t>adventure, experimental, science fiction</t>
  </si>
  <si>
    <t>action, horror, fantasy, thriller</t>
  </si>
  <si>
    <t>comedy, erotic, fantasy</t>
  </si>
  <si>
    <t>comedy, experimental, fantasy, drama, mystery, non fiction</t>
  </si>
  <si>
    <t>adventure, comedy, philosophy, thriller</t>
  </si>
  <si>
    <t>Anthony Roux, Jean-Jacques Deniscana</t>
  </si>
  <si>
    <t>Loren Bouchard, Bernard Derriman</t>
  </si>
  <si>
    <t>adventure, comedy, family, mystery</t>
  </si>
  <si>
    <t>Yutaro Kubo, Satomi Maiya</t>
  </si>
  <si>
    <t>adventure, horror, fantasy, drama, mystery</t>
  </si>
  <si>
    <t>Chun Tae-il - A Flame That Lives On</t>
  </si>
  <si>
    <t>Myung Films</t>
  </si>
  <si>
    <t>Jun-Pyo Hong</t>
  </si>
  <si>
    <t>Delta Space Mission</t>
  </si>
  <si>
    <t>Romania</t>
  </si>
  <si>
    <t>Animafilm Studio</t>
  </si>
  <si>
    <t>Fortune Favors Lady Nikuko</t>
  </si>
  <si>
    <t>Garo - Vanishing Line</t>
  </si>
  <si>
    <t>Sunghoo Park</t>
  </si>
  <si>
    <t>Interspecies Reviewers</t>
  </si>
  <si>
    <t>Yuki Ogawa</t>
  </si>
  <si>
    <t>Interviews with Monster Girls</t>
  </si>
  <si>
    <t>Ryo Ando</t>
  </si>
  <si>
    <t>Inu-Oh</t>
  </si>
  <si>
    <t>Jujutsu Kaisen 0</t>
  </si>
  <si>
    <t>Laidbackers</t>
  </si>
  <si>
    <t>Studio Gokumi</t>
  </si>
  <si>
    <t>Hiroyuki Hashimoto</t>
  </si>
  <si>
    <t>Little Vampire</t>
  </si>
  <si>
    <t>Autochenille Productions</t>
  </si>
  <si>
    <t>Joann Sfar</t>
  </si>
  <si>
    <t>Panda - Go, Panda</t>
  </si>
  <si>
    <t>Pompo - the Cinephile</t>
  </si>
  <si>
    <t>CLAP</t>
  </si>
  <si>
    <t>Takayuki Hirao</t>
  </si>
  <si>
    <t>Princess Dragon</t>
  </si>
  <si>
    <t>Ankama Animations</t>
  </si>
  <si>
    <t>Project A-Ko</t>
  </si>
  <si>
    <t>Katsuhiko Nishijima</t>
  </si>
  <si>
    <t>The Bob's Burgers Movie</t>
  </si>
  <si>
    <t>Bento Box Entertainment</t>
  </si>
  <si>
    <t>The Girl From The Other Side - Siuil, a Run</t>
  </si>
  <si>
    <t>https://2danicritic.github.io/ReviewHtml/review_The_Bob's_Burgers_Movie.html</t>
  </si>
  <si>
    <t>https://2danicritic.github.io/ReviewHtml/review_Chun_Tae-il_-_A_Flame_That_Lives_On.html</t>
  </si>
  <si>
    <t>https://2danicritic.github.io/ReviewHtml/review_Princess_Dragon.html</t>
  </si>
  <si>
    <t>https://2danicritic.github.io/ReviewHtml/review_Little_Vampire.html</t>
  </si>
  <si>
    <t>https://2danicritic.github.io/ReviewHtml/review_Delta_Space_Mission.html</t>
  </si>
  <si>
    <t>https://2danicritic.github.io/ReviewHtml/review_Fortune_Favors_Lady_Nikuko.html</t>
  </si>
  <si>
    <t>https://2danicritic.github.io/ReviewHtml/review_Inu-Oh.html</t>
  </si>
  <si>
    <t>https://2danicritic.github.io/ReviewHtml/review_Jujutsu_Kaisen_0.html</t>
  </si>
  <si>
    <t>https://2danicritic.github.io/ReviewHtml/review_Laidbackers.html</t>
  </si>
  <si>
    <t>https://2danicritic.github.io/ReviewHtml/review_Panda_-_Go,_Panda.html</t>
  </si>
  <si>
    <t>https://2danicritic.github.io/ReviewHtml/review_Pompo_-_the_Cinephile.html</t>
  </si>
  <si>
    <t>https://2danicritic.github.io/ReviewHtml/review_Project_A-Ko.html</t>
  </si>
  <si>
    <t>https://2danicritic.github.io/ReviewHtml/review_The_Girl_From_The_Other_Side_-_Siuil,_a_Run.html</t>
  </si>
  <si>
    <t>https://2danicritic.github.io/ReviewHtml/review_Interspecies_Reviewers.html</t>
  </si>
  <si>
    <t>https://2danicritic.github.io/ReviewHtml/review_Garo_-_Vanishing_Line.html</t>
  </si>
  <si>
    <t>https://2danicritic.github.io/ReviewHtml/review_Interviews_with_Monster_Girls.html</t>
  </si>
  <si>
    <t>Wolfgang Reitherman, Clyde Geronimi, Hamilton Luske</t>
  </si>
  <si>
    <t>adventure, comedy, family, thriller</t>
  </si>
  <si>
    <t>John Musker, Ron Clements</t>
  </si>
  <si>
    <t>Clyde Geronimi, Wilfred Jackson, Hamilton Luske</t>
  </si>
  <si>
    <t>adventure, comedy, experimental, family, philosophy, fantasy, mystery</t>
  </si>
  <si>
    <t>Gary Trousdale, Kirk Wise</t>
  </si>
  <si>
    <t>action, adventure, comedy, fantasy, science fiction, mystery</t>
  </si>
  <si>
    <t>adventure, comedy, experimental, philosophy, drama</t>
  </si>
  <si>
    <t>adventure, comedy, family, horror, romance, fantasy, drama</t>
  </si>
  <si>
    <t>Aaron Blaise, Robert Walker</t>
  </si>
  <si>
    <t>adventure, comedy, family, philosophy, fantasy, drama</t>
  </si>
  <si>
    <t>Hamilton Luske, Wilfred Jackson, Clyde Geronimi</t>
  </si>
  <si>
    <t>experimental, philosophy, fantasy</t>
  </si>
  <si>
    <t>family, drama</t>
  </si>
  <si>
    <t>Samuel Armstrong, James Algar, Bill Roberts, et. al.</t>
  </si>
  <si>
    <t>experimental, non fiction</t>
  </si>
  <si>
    <t>Don Hahn, Pixote Hunt, Eric Goldberg, et. al.</t>
  </si>
  <si>
    <t>comedy, experimental, non fiction</t>
  </si>
  <si>
    <t>Jack Kinney, Bill Roberts, Hamilton Luske, William Morgan</t>
  </si>
  <si>
    <t>action, adventure, comedy, family, horror, philosophy, romance, fantasy</t>
  </si>
  <si>
    <t>Will Finn, John Sanford</t>
  </si>
  <si>
    <t>adventure, family, romance, drama</t>
  </si>
  <si>
    <t>Chris Sanders, Dean DeBlois</t>
  </si>
  <si>
    <t>action, adventure, comedy, family, philosophy, science fiction, drama</t>
  </si>
  <si>
    <t>action, adventure, comedy, fantasy, mystery</t>
  </si>
  <si>
    <t>action, adventure, comedy, thriller, mystery</t>
  </si>
  <si>
    <t>action, adventure, family, thriller, mystery</t>
  </si>
  <si>
    <t>Jack Kinney, Clyde Geronimi, Hamilton Luske, Joshua Meador, Robert Cormack</t>
  </si>
  <si>
    <t>comedy, experimental, family, romance</t>
  </si>
  <si>
    <t>Clyde Geronimi, Wilfred Jackson, Hamilton Luske, Jack Kinney</t>
  </si>
  <si>
    <t>Barry Cook, Tony Bancroft</t>
  </si>
  <si>
    <t>action, adventure, comedy, family, romance, drama</t>
  </si>
  <si>
    <t>Ben Sharpsteen, Hamilton Luske</t>
  </si>
  <si>
    <t>adventure, comedy, family, horror, philosophy, fantasy</t>
  </si>
  <si>
    <t>Mike Gabriel, Eric Goldberg</t>
  </si>
  <si>
    <t>Norman Ferguson, Wilfred Jackson, Jack Kinney, et. al.</t>
  </si>
  <si>
    <t>adventure, comedy, family, non fiction</t>
  </si>
  <si>
    <t>action, adventure, comedy, family, romance, fantasy, thriller</t>
  </si>
  <si>
    <t>comedy, family, horror, romance, fantasy</t>
  </si>
  <si>
    <t>Keven Ima, Chris Buck</t>
  </si>
  <si>
    <t>Jack Kinney, Clyde Geroimi, James Algar</t>
  </si>
  <si>
    <t>adventure, comedy, family, horror, fantasy</t>
  </si>
  <si>
    <t>Ted Berman, Richard Rich</t>
  </si>
  <si>
    <t>action, adventure, family, horror, fantasy</t>
  </si>
  <si>
    <t>adventure, comedy, family, philosophy, fantasy</t>
  </si>
  <si>
    <t>Ted Berman, Richard Rich, Art Stevens</t>
  </si>
  <si>
    <t>adventure, family, philosophy, drama, thriller</t>
  </si>
  <si>
    <t>John Musker, Ron Clements, Dave Michener, Burny Mattinson</t>
  </si>
  <si>
    <t>action, adventure, comedy, family, thriller, mystery</t>
  </si>
  <si>
    <t>Roger Allers, Rob Minkoff</t>
  </si>
  <si>
    <t>adventure, comedy, family, romance, fantasy, drama</t>
  </si>
  <si>
    <t>John Lounsbery, Wolfgang Reitherman</t>
  </si>
  <si>
    <t>adventure, comedy, erotic, experimental, philosophy</t>
  </si>
  <si>
    <t>Wolfgang Reitherman, John Lounsbery, Art Stevens</t>
  </si>
  <si>
    <t>Hendel Butoy, Mike Gabriel</t>
  </si>
  <si>
    <t>adventure, comedy, experimental, family, non fiction</t>
  </si>
  <si>
    <t>action, adventure, family, science fiction, mystery</t>
  </si>
  <si>
    <t>action, adventure, erotic, horror, philosophy, fantasy, drama</t>
  </si>
  <si>
    <t>Stephen Anderson, Don Hall</t>
  </si>
  <si>
    <t>101 Dalmations</t>
  </si>
  <si>
    <t>Walt Disney Animation Studios</t>
  </si>
  <si>
    <t>Aladdin</t>
  </si>
  <si>
    <t>Alice in Wonderland</t>
  </si>
  <si>
    <t>Flm</t>
  </si>
  <si>
    <t>Atlantis - The Lost Empire</t>
  </si>
  <si>
    <t>Bambi</t>
  </si>
  <si>
    <t>David Hand</t>
  </si>
  <si>
    <t>Barber Westchester</t>
  </si>
  <si>
    <t>Herbert Sorbet Studios</t>
  </si>
  <si>
    <t>Jonni Phillips</t>
  </si>
  <si>
    <t>Beauty and the Beast</t>
  </si>
  <si>
    <t>Brother Bear</t>
  </si>
  <si>
    <t>Cinderella</t>
  </si>
  <si>
    <t>Dozens of Norths</t>
  </si>
  <si>
    <t>Yamamura Animation</t>
  </si>
  <si>
    <t>Koji Yamamura</t>
  </si>
  <si>
    <t>Dumbo</t>
  </si>
  <si>
    <t>Ben Sharpsteen</t>
  </si>
  <si>
    <t>Fantasia</t>
  </si>
  <si>
    <t>Fantasia 2000</t>
  </si>
  <si>
    <t>Fritz the Cat</t>
  </si>
  <si>
    <t>Fritz Productions</t>
  </si>
  <si>
    <t>Fun and Fancy Free</t>
  </si>
  <si>
    <t>Hercules</t>
  </si>
  <si>
    <t>Home on the Range</t>
  </si>
  <si>
    <t>Lady and the Tramp</t>
  </si>
  <si>
    <t>Lilo &amp; Stitch</t>
  </si>
  <si>
    <t>Lupin the Third - Bye Bye, Lady Liberty</t>
  </si>
  <si>
    <t>Osamu Dezaki</t>
  </si>
  <si>
    <t>Lupin the Third - Missed by a Dollar</t>
  </si>
  <si>
    <t>Hideki Tonokatsu</t>
  </si>
  <si>
    <t>Lupin the Third - The Hemingway Papers</t>
  </si>
  <si>
    <t>Lupin the Third - The Secret of the Twilight Gemini</t>
  </si>
  <si>
    <t>Make Mine Music</t>
  </si>
  <si>
    <t>Melody Time</t>
  </si>
  <si>
    <t>Mulan</t>
  </si>
  <si>
    <t>Oliver &amp; Company</t>
  </si>
  <si>
    <t>George Scribner</t>
  </si>
  <si>
    <t>Perlimps</t>
  </si>
  <si>
    <t>Buriti Filmes</t>
  </si>
  <si>
    <t>Peter Pan</t>
  </si>
  <si>
    <t>Pinocchio</t>
  </si>
  <si>
    <t>Pocahontas</t>
  </si>
  <si>
    <t>Pop Team Epic</t>
  </si>
  <si>
    <t>Kamikaze Douga</t>
  </si>
  <si>
    <t>Jun Aoki, Aoi Umeki</t>
  </si>
  <si>
    <t>Robin Hood</t>
  </si>
  <si>
    <t>Wolfgang Reitherman</t>
  </si>
  <si>
    <t>Saludos Amigos</t>
  </si>
  <si>
    <t>Sleeping Beauty</t>
  </si>
  <si>
    <t>Clyde Geronimi</t>
  </si>
  <si>
    <t>Snow White and the Seven Dwarfs</t>
  </si>
  <si>
    <t>Tarzan</t>
  </si>
  <si>
    <t>The Adventures of Ichabod and Mr Toad</t>
  </si>
  <si>
    <t>The Aristocats</t>
  </si>
  <si>
    <t>The Black Cauldron</t>
  </si>
  <si>
    <t>The Emperor's New Groove</t>
  </si>
  <si>
    <t>Mark Dindal</t>
  </si>
  <si>
    <t>The Fox and the Hound</t>
  </si>
  <si>
    <t>The Great Mouse Detective</t>
  </si>
  <si>
    <t>The Hunchback of Notre Dame</t>
  </si>
  <si>
    <t>The Island</t>
  </si>
  <si>
    <t>Aparte Film</t>
  </si>
  <si>
    <t>The Jungle Book</t>
  </si>
  <si>
    <t>The Lion King</t>
  </si>
  <si>
    <t>The Little Mermaid</t>
  </si>
  <si>
    <t>The Many Adventures of Winnie the Pooh</t>
  </si>
  <si>
    <t>The Nine Lives of Fritz the Cat</t>
  </si>
  <si>
    <t>Robert Taylor</t>
  </si>
  <si>
    <t>The Princess and the Frog</t>
  </si>
  <si>
    <t>The Rescuers</t>
  </si>
  <si>
    <t>The Rescuers Down Under</t>
  </si>
  <si>
    <t>The Simpsons Movie</t>
  </si>
  <si>
    <t>Gracie Films</t>
  </si>
  <si>
    <t>David Silverman</t>
  </si>
  <si>
    <t>The Sword in the Stone</t>
  </si>
  <si>
    <t>The Three Caballeros</t>
  </si>
  <si>
    <t>Norman Ferguson</t>
  </si>
  <si>
    <t>Treasure Planet</t>
  </si>
  <si>
    <t>Unicorn Wars</t>
  </si>
  <si>
    <t>Abano Producions</t>
  </si>
  <si>
    <t>Alberto Vazquez</t>
  </si>
  <si>
    <t>Winnie the Pooh</t>
  </si>
  <si>
    <t>https://2danicritic.github.io/ReviewHtml/review_Barber_Westchester.html</t>
  </si>
  <si>
    <t>https://2danicritic.github.io/ReviewHtml/review_Perlimps.html</t>
  </si>
  <si>
    <t>https://2danicritic.github.io/ReviewHtml/review_Unicorn_Wars.html</t>
  </si>
  <si>
    <t>https://2danicritic.github.io/ReviewHtml/review_The_Island.html</t>
  </si>
  <si>
    <t>https://2danicritic.github.io/ReviewHtml/review_Winnie_the_Pooh.html</t>
  </si>
  <si>
    <t>https://2danicritic.github.io/ReviewHtml/review_The_Princess_and_the_Frog.html</t>
  </si>
  <si>
    <t>https://2danicritic.github.io/ReviewHtml/review_The_Simpsons_Movie.html</t>
  </si>
  <si>
    <t>https://2danicritic.github.io/ReviewHtml/review_Home_on_the_Range.html</t>
  </si>
  <si>
    <t>https://2danicritic.github.io/ReviewHtml/review_Brother_Bear.html</t>
  </si>
  <si>
    <t>https://2danicritic.github.io/ReviewHtml/review_Lilo_&amp;_Stitch.html</t>
  </si>
  <si>
    <t>https://2danicritic.github.io/ReviewHtml/review_Treasure_Planet.html</t>
  </si>
  <si>
    <t>https://2danicritic.github.io/ReviewHtml/review_Atlantis_-_The_Lost_Empire.html</t>
  </si>
  <si>
    <t>https://2danicritic.github.io/ReviewHtml/review_The_Emperor's_New_Groove.html</t>
  </si>
  <si>
    <t>https://2danicritic.github.io/ReviewHtml/review_Fantasia_2000.html</t>
  </si>
  <si>
    <t>https://2danicritic.github.io/ReviewHtml/review_Tarzan.html</t>
  </si>
  <si>
    <t>https://2danicritic.github.io/ReviewHtml/review_Mulan.html</t>
  </si>
  <si>
    <t>https://2danicritic.github.io/ReviewHtml/review_Hercules.html</t>
  </si>
  <si>
    <t>https://2danicritic.github.io/ReviewHtml/review_The_Hunchback_of_Notre_Dame.html</t>
  </si>
  <si>
    <t>https://2danicritic.github.io/ReviewHtml/review_Pocahontas.html</t>
  </si>
  <si>
    <t>https://2danicritic.github.io/ReviewHtml/review_The_Lion_King.html</t>
  </si>
  <si>
    <t>https://2danicritic.github.io/ReviewHtml/review_Aladdin.html</t>
  </si>
  <si>
    <t>https://2danicritic.github.io/ReviewHtml/review_Beauty_and_the_Beast.html</t>
  </si>
  <si>
    <t>https://2danicritic.github.io/ReviewHtml/review_The_Rescuers_Down_Under.html</t>
  </si>
  <si>
    <t>https://2danicritic.github.io/ReviewHtml/review_The_Little_Mermaid.html</t>
  </si>
  <si>
    <t>https://2danicritic.github.io/ReviewHtml/review_Oliver_&amp;_Company.html</t>
  </si>
  <si>
    <t>https://2danicritic.github.io/ReviewHtml/review_The_Great_Mouse_Detective.html</t>
  </si>
  <si>
    <t>https://2danicritic.github.io/ReviewHtml/review_The_Black_Cauldron.html</t>
  </si>
  <si>
    <t>https://2danicritic.github.io/ReviewHtml/review_The_Fox_and_the_Hound.html</t>
  </si>
  <si>
    <t>https://2danicritic.github.io/ReviewHtml/review_The_Many_Adventures_of_Winnie_the_Pooh.html</t>
  </si>
  <si>
    <t>https://2danicritic.github.io/ReviewHtml/review_The_Rescuers.html</t>
  </si>
  <si>
    <t>https://2danicritic.github.io/ReviewHtml/review_The_Nine_Lives_of_Fritz_the_Cat.html</t>
  </si>
  <si>
    <t>https://2danicritic.github.io/ReviewHtml/review_Robin_Hood.html</t>
  </si>
  <si>
    <t>https://2danicritic.github.io/ReviewHtml/review_Fritz_the_Cat.html</t>
  </si>
  <si>
    <t>https://2danicritic.github.io/ReviewHtml/review_The_Aristocats.html</t>
  </si>
  <si>
    <t>https://2danicritic.github.io/ReviewHtml/review_The_Jungle_Book.html</t>
  </si>
  <si>
    <t>https://2danicritic.github.io/ReviewHtml/review_The_Sword_in_the_Stone.html</t>
  </si>
  <si>
    <t>https://2danicritic.github.io/ReviewHtml/review_101_Dalmations.html</t>
  </si>
  <si>
    <t>https://2danicritic.github.io/ReviewHtml/review_Sleeping_Beauty.html</t>
  </si>
  <si>
    <t>https://2danicritic.github.io/ReviewHtml/review_Lady_and_the_Tramp.html</t>
  </si>
  <si>
    <t>https://2danicritic.github.io/ReviewHtml/review_Peter_Pan.html</t>
  </si>
  <si>
    <t>https://2danicritic.github.io/ReviewHtml/review_Alice_in_Wonderland.html</t>
  </si>
  <si>
    <t>https://2danicritic.github.io/ReviewHtml/review_Cinderella.html</t>
  </si>
  <si>
    <t>https://2danicritic.github.io/ReviewHtml/review_The_Adventures_of_Ichabod_and_Mr_Toad.html</t>
  </si>
  <si>
    <t>https://2danicritic.github.io/ReviewHtml/review_Melody_Time.html</t>
  </si>
  <si>
    <t>https://2danicritic.github.io/ReviewHtml/review_Fun_and_Fancy_Free.html</t>
  </si>
  <si>
    <t>https://2danicritic.github.io/ReviewHtml/review_Make_Mine_Music.html</t>
  </si>
  <si>
    <t>https://2danicritic.github.io/ReviewHtml/review_The_Three_Caballeros.html</t>
  </si>
  <si>
    <t>https://2danicritic.github.io/ReviewHtml/review_Bambi.html</t>
  </si>
  <si>
    <t>https://2danicritic.github.io/ReviewHtml/review_Saludos_Amigos.html</t>
  </si>
  <si>
    <t>https://2danicritic.github.io/ReviewHtml/review_Dumbo.html</t>
  </si>
  <si>
    <t>https://2danicritic.github.io/ReviewHtml/review_Fantasia.html</t>
  </si>
  <si>
    <t>https://2danicritic.github.io/ReviewHtml/review_Pinocchio.html</t>
  </si>
  <si>
    <t>https://2danicritic.github.io/ReviewHtml/review_Snow_White_and_the_Seven_Dwarfs.html</t>
  </si>
  <si>
    <t>https://2danicritic.github.io/ReviewHtml/review_Dozens_of_Norths.html</t>
  </si>
  <si>
    <t>https://2danicritic.github.io/ReviewHtml/review_Lupin_the_Third_-_Missed_by_a_Dollar.html</t>
  </si>
  <si>
    <t>https://2danicritic.github.io/ReviewHtml/review_Lupin_the_Third_-_The_Secret_of_the_Twilight_Gemini.html</t>
  </si>
  <si>
    <t>https://2danicritic.github.io/ReviewHtml/review_Lupin_the_Third_-_The_Hemingway_Papers.html</t>
  </si>
  <si>
    <t>https://2danicritic.github.io/ReviewHtml/review_Lupin_the_Third_-_Bye_Bye,_Lady_Liberty.html</t>
  </si>
  <si>
    <t>https://2danicritic.github.io/ReviewHtml/review_Pop_Team_Epic.html</t>
  </si>
  <si>
    <t>LICENSE:</t>
  </si>
  <si>
    <t>Written material (reviews, articles, posts) are protected under copyright, effective as of their date of publication.</t>
  </si>
  <si>
    <t>Other sources may not publish the entirety of a written post in text, audio, image or video format without explicit permission from the author.</t>
  </si>
  <si>
    <t>References or quotes of the material must include citations to the original source. An example format is:</t>
  </si>
  <si>
    <t xml:space="preserve">    2danicritic, "&lt;title of article&gt;", &lt;web link to article&gt;</t>
  </si>
  <si>
    <t>time</t>
  </si>
  <si>
    <t>All Dogs Go To Heaven</t>
  </si>
  <si>
    <t>Sullivan Bluth Studios Ireland</t>
  </si>
  <si>
    <t>Anastasia</t>
  </si>
  <si>
    <t>Fox Animation Studios</t>
  </si>
  <si>
    <t>adventure, comedy, family, romance, fantasy, mystery, non fiction</t>
  </si>
  <si>
    <t>Batman - Gotham Knight</t>
  </si>
  <si>
    <t>Japan, USA</t>
  </si>
  <si>
    <t>Warner Bros Animation, Studio 4C, Production I.G., Bee Train Productions, Madhouse</t>
  </si>
  <si>
    <t>Shojiro Nishimi, Futoshi Higashide, Hiroshi Morioka, Yasuhiro Aoki, Toshiyuki Kubooka, Jogn-Sik Nam</t>
  </si>
  <si>
    <t>action, experimental, thriller</t>
  </si>
  <si>
    <t>Blind Willow, Sleeping Woman</t>
  </si>
  <si>
    <t>Miyu Productions</t>
  </si>
  <si>
    <t>Pierre Foldes</t>
  </si>
  <si>
    <t>adventure, experimental, philosophy, romance, fantasy, drama</t>
  </si>
  <si>
    <t>Burn the Witch</t>
  </si>
  <si>
    <t>Tatsuro Kawano</t>
  </si>
  <si>
    <t>Cats Don't Dance</t>
  </si>
  <si>
    <t>Turner Feature Animation</t>
  </si>
  <si>
    <t>comedy, family, romance</t>
  </si>
  <si>
    <t>Deca-Dence</t>
  </si>
  <si>
    <t>action, adventure, comedy, philosophy, science fiction, mystery</t>
  </si>
  <si>
    <t>Gleipnir</t>
  </si>
  <si>
    <t>Pine Jam</t>
  </si>
  <si>
    <t>Kazuhiro Yoneda</t>
  </si>
  <si>
    <t>action, erotic, fantasy, thriller, mystery</t>
  </si>
  <si>
    <t>Goodbye, Don Glees</t>
  </si>
  <si>
    <t>My Little Pony - The Movie</t>
  </si>
  <si>
    <t>Allspark Pictures</t>
  </si>
  <si>
    <t>Jayson Thiessen</t>
  </si>
  <si>
    <t>One Piece Film - Red</t>
  </si>
  <si>
    <t>Pop in Q</t>
  </si>
  <si>
    <t>Naoki Miyahara</t>
  </si>
  <si>
    <t>adventure, comedy, family, fantasy, drama</t>
  </si>
  <si>
    <t>Princess Arete</t>
  </si>
  <si>
    <t>adventure, family, philosophy, fantasy</t>
  </si>
  <si>
    <t>Quest for Camelot</t>
  </si>
  <si>
    <t>Warner Bros. Feature Animation</t>
  </si>
  <si>
    <t>Frederik Du Chau</t>
  </si>
  <si>
    <t>Silicon Docks</t>
  </si>
  <si>
    <t>Kasia Wisniewska</t>
  </si>
  <si>
    <t>Graham Jones</t>
  </si>
  <si>
    <t>comedy, philosophy, drama, non fiction</t>
  </si>
  <si>
    <t>Suzume</t>
  </si>
  <si>
    <t>adventure, comedy, family, romance, fantasy, drama, mystery</t>
  </si>
  <si>
    <t>The Deer King</t>
  </si>
  <si>
    <t>Masashi Ando, Masayuki Miyaji</t>
  </si>
  <si>
    <t>The Land Before Time</t>
  </si>
  <si>
    <t>The Pebble and the Penguin</t>
  </si>
  <si>
    <t>Don Bluth Limited</t>
  </si>
  <si>
    <t>Titan A.E.</t>
  </si>
  <si>
    <t>action, adventure, science fiction, thriller</t>
  </si>
  <si>
    <t>Wonder Egg Priority</t>
  </si>
  <si>
    <t>Shin Wakabayashi</t>
  </si>
  <si>
    <t>action, horror, philosophy, fantasy, drama, mystery</t>
  </si>
  <si>
    <t>https://2danicritic.github.io/ReviewHtml/review_Blind_Willow,_Sleeping_Woman.html</t>
  </si>
  <si>
    <t>https://2danicritic.github.io/ReviewHtml/review_Silicon_Docks.html</t>
  </si>
  <si>
    <t>https://2danicritic.github.io/ReviewHtml/review_My_Little_Pony_-_The_Movie.html</t>
  </si>
  <si>
    <t>https://2danicritic.github.io/ReviewHtml/review_Batman_-_Gotham_Knight.html</t>
  </si>
  <si>
    <t>https://2danicritic.github.io/ReviewHtml/review_Titan_A.E..html</t>
  </si>
  <si>
    <t>https://2danicritic.github.io/ReviewHtml/review_Quest_for_Camelot.html</t>
  </si>
  <si>
    <t>https://2danicritic.github.io/ReviewHtml/review_Anastasia.html</t>
  </si>
  <si>
    <t>https://2danicritic.github.io/ReviewHtml/review_Cats_Don't_Dance.html</t>
  </si>
  <si>
    <t>https://2danicritic.github.io/ReviewHtml/review_The_Pebble_and_the_Penguin.html</t>
  </si>
  <si>
    <t>https://2danicritic.github.io/ReviewHtml/review_All_Dogs_Go_To_Heaven.html</t>
  </si>
  <si>
    <t>https://2danicritic.github.io/ReviewHtml/review_The_Land_Before_Time.html</t>
  </si>
  <si>
    <t>https://2danicritic.github.io/ReviewHtml/review_Goodbye,_Don_Glees.html</t>
  </si>
  <si>
    <t>https://2danicritic.github.io/ReviewHtml/review_One_Piece_Film_-_Red.html</t>
  </si>
  <si>
    <t>https://2danicritic.github.io/ReviewHtml/review_Suzume.html</t>
  </si>
  <si>
    <t>https://2danicritic.github.io/ReviewHtml/review_The_Deer_King.html</t>
  </si>
  <si>
    <t>https://2danicritic.github.io/ReviewHtml/review_Pop_in_Q.html</t>
  </si>
  <si>
    <t>https://2danicritic.github.io/ReviewHtml/review_Princess_Arete.html</t>
  </si>
  <si>
    <t>https://2danicritic.github.io/ReviewHtml/review_Wonder_Egg_Priority.html</t>
  </si>
  <si>
    <t>https://2danicritic.github.io/ReviewHtml/review_Burn_the_Witch.html</t>
  </si>
  <si>
    <t>https://2danicritic.github.io/ReviewHtml/review_Deca-Dence.html</t>
  </si>
  <si>
    <t>https://2danicritic.github.io/ReviewHtml/review_Gleipnir.html</t>
  </si>
  <si>
    <t>comedy, family, romance, drama, sports</t>
  </si>
  <si>
    <t>Sebastien Laudenback, Chiara Malta</t>
  </si>
  <si>
    <t>adventure, comedy, experimental, drama, non fiction</t>
  </si>
  <si>
    <t>Shigeyoshi Tsukahara</t>
  </si>
  <si>
    <t>adventure, family, philosophy, fantasy, drama, mystery</t>
  </si>
  <si>
    <t>adventure, romance, fantasy, drama, thriller, mystery</t>
  </si>
  <si>
    <t>Naoyoshi Shiotani, Katsuyuki Motohiro</t>
  </si>
  <si>
    <t>action, horror, philosophy, science fiction, drama, thriller</t>
  </si>
  <si>
    <t>Naoyoshi Shiotani, Kiyotaka Suzuki</t>
  </si>
  <si>
    <t>Katsuyuki Motohiro, Naoyoshi Shiotani</t>
  </si>
  <si>
    <t>Koichi Sasaki, Ram Mohan, Yugo Sako</t>
  </si>
  <si>
    <t>adventure, comedy, erotic, family, philosophy, drama</t>
  </si>
  <si>
    <t>adventure, comedy, family, romance, drama</t>
  </si>
  <si>
    <t>adventure, experimental, family, horror, philosophy, fantasy, mystery</t>
  </si>
  <si>
    <t>comedy, family, philosophy, fantasy, thriller</t>
  </si>
  <si>
    <t>DK Welchman, Hugh Welchman</t>
  </si>
  <si>
    <t>horror, romance, drama, thriller</t>
  </si>
  <si>
    <t>adventure, comedy, experimental, philosophy, fantasy, non fiction</t>
  </si>
  <si>
    <t>Tibor Banoczki, Sarolta Szabo</t>
  </si>
  <si>
    <t>adventure, philosophy, romance, science fiction, drama, thriller, mystery</t>
  </si>
  <si>
    <t>Blue Thermal</t>
  </si>
  <si>
    <t>Chicken for Linda!</t>
  </si>
  <si>
    <t>Fire Force</t>
  </si>
  <si>
    <t>Keep Your Hands Off Eizouken</t>
  </si>
  <si>
    <t>Kurayukaba</t>
  </si>
  <si>
    <t>Lonely Castle in the Mirror</t>
  </si>
  <si>
    <t>Nayola</t>
  </si>
  <si>
    <t>Psycho-Pass - Providence</t>
  </si>
  <si>
    <t>Psycho-Pass - Season 1</t>
  </si>
  <si>
    <t>Psycho-Pass - Season 2</t>
  </si>
  <si>
    <t>Psycho-Pass - The Movie</t>
  </si>
  <si>
    <t>Ramayana - The Legend of Prince Rama</t>
  </si>
  <si>
    <t>Robot Dreams</t>
  </si>
  <si>
    <t>Seven Days War</t>
  </si>
  <si>
    <t>The Boy and the Heron</t>
  </si>
  <si>
    <t>The Concierge</t>
  </si>
  <si>
    <t>The House of the Lost on the Cape</t>
  </si>
  <si>
    <t>The Peasants</t>
  </si>
  <si>
    <t>Unicorn Boy</t>
  </si>
  <si>
    <t>When Adam Changes</t>
  </si>
  <si>
    <t>White Plastic Sky</t>
  </si>
  <si>
    <t>Portugal</t>
  </si>
  <si>
    <t>India</t>
  </si>
  <si>
    <t>Telecom Animation Film</t>
  </si>
  <si>
    <t>Gebecka Films</t>
  </si>
  <si>
    <t>Yuki Yase</t>
  </si>
  <si>
    <t>Twin Engine</t>
  </si>
  <si>
    <t>Praca Filmes</t>
  </si>
  <si>
    <t>Jose Miguel Ribeiro</t>
  </si>
  <si>
    <t>Tatsunoko Productions</t>
  </si>
  <si>
    <t>Arcadia Motion Pictures</t>
  </si>
  <si>
    <t>Pablo Berger</t>
  </si>
  <si>
    <t>Aija-Do</t>
  </si>
  <si>
    <t>Yuta Murano</t>
  </si>
  <si>
    <t>Yoshimi Itazu</t>
  </si>
  <si>
    <t>Shinya Kawatsura</t>
  </si>
  <si>
    <t>Matty Kiel</t>
  </si>
  <si>
    <t>Parce Que Films</t>
  </si>
  <si>
    <t>Joel Vaudreuil</t>
  </si>
  <si>
    <t>Salto Film</t>
  </si>
  <si>
    <t>https://2danicritic.github.io/ReviewHtml/review_Chicken_for_Linda!.html</t>
  </si>
  <si>
    <t>https://2danicritic.github.io/ReviewHtml/review_Robot_Dreams.html</t>
  </si>
  <si>
    <t>https://2danicritic.github.io/ReviewHtml/review_The_Peasants.html</t>
  </si>
  <si>
    <t>https://2danicritic.github.io/ReviewHtml/review_Unicorn_Boy.html</t>
  </si>
  <si>
    <t>https://2danicritic.github.io/ReviewHtml/review_When_Adam_Changes.html</t>
  </si>
  <si>
    <t>https://2danicritic.github.io/ReviewHtml/review_White_Plastic_Sky.html</t>
  </si>
  <si>
    <t>https://2danicritic.github.io/ReviewHtml/review_Nayola.html</t>
  </si>
  <si>
    <t>https://2danicritic.github.io/ReviewHtml/review_Ramayana_-_The_Legend_of_Prince_Rama.html</t>
  </si>
  <si>
    <t>https://2danicritic.github.io/ReviewHtml/review_Kurayukaba.html</t>
  </si>
  <si>
    <t>https://2danicritic.github.io/ReviewHtml/review_Psycho-Pass_-_Providence.html</t>
  </si>
  <si>
    <t>https://2danicritic.github.io/ReviewHtml/review_The_Boy_and_the_Heron.html</t>
  </si>
  <si>
    <t>https://2danicritic.github.io/ReviewHtml/review_The_Concierge.html</t>
  </si>
  <si>
    <t>https://2danicritic.github.io/ReviewHtml/review_Blue_Thermal.html</t>
  </si>
  <si>
    <t>https://2danicritic.github.io/ReviewHtml/review_Lonely_Castle_in_the_Mirror.html</t>
  </si>
  <si>
    <t>https://2danicritic.github.io/ReviewHtml/review_The_House_of_the_Lost_on_the_Cape.html</t>
  </si>
  <si>
    <t>https://2danicritic.github.io/ReviewHtml/review_Seven_Days_War.html</t>
  </si>
  <si>
    <t>https://2danicritic.github.io/ReviewHtml/review_Psycho-Pass_-_The_Movie.html</t>
  </si>
  <si>
    <t>https://2danicritic.github.io/ReviewHtml/review_Keep_Your_Hands_Off_Eizouken.html</t>
  </si>
  <si>
    <t>https://2danicritic.github.io/ReviewHtml/review_Fire_Force.html</t>
  </si>
  <si>
    <t>https://2danicritic.github.io/ReviewHtml/review_Psycho-Pass_-_Season_2.html</t>
  </si>
  <si>
    <t>https://2danicritic.github.io/ReviewHtml/review_Psycho-Pass_-_Season_1.html</t>
  </si>
  <si>
    <t>Sam Liu, Brandon Vietti, Jay Oliva, Ethan Spaulding, Junpei Mizusaki, Rick Morales, Kevin Altieri, Curt Geda, Lauren Montgomery</t>
  </si>
  <si>
    <t>Tetsuya Miyanishi, Tomoyuki Itamura</t>
  </si>
  <si>
    <t>Julien Chheng, Jean-Christophe Roger</t>
  </si>
  <si>
    <t>Shin-Ei Animation, Miyu Productions</t>
  </si>
  <si>
    <t>Yoko Kuno, Nobuhiro Yamashita</t>
  </si>
  <si>
    <t>adventure, comedy, fantasy, drama</t>
  </si>
  <si>
    <t>action, comedy, romance, fantasy</t>
  </si>
  <si>
    <t>adventure, experimental, horror, philosophy, fantasy, drama, thriller, mystery</t>
  </si>
  <si>
    <t>comedy, erotic, romance, non fiction</t>
  </si>
  <si>
    <t>action, comedy, family, romance, thriller</t>
  </si>
  <si>
    <t>adventure, philosophy, romance, fantasy, drama</t>
  </si>
  <si>
    <t>action, adventure, family, fantasy, drama, thriller, mystery</t>
  </si>
  <si>
    <t>Fernando Trueba, Javier Mariscal</t>
  </si>
  <si>
    <t>mystery, non fiction</t>
  </si>
  <si>
    <t>Batman - 80th Anniversary - 18-Film Collection</t>
  </si>
  <si>
    <t>Batman – 80th Anniversary – 18-Film Collection - Part 2</t>
  </si>
  <si>
    <t>Call of the Night</t>
  </si>
  <si>
    <t>Ernest and Celestine - A Trip to Gibberitia</t>
  </si>
  <si>
    <t>Ghost Cat Anzu</t>
  </si>
  <si>
    <t>Miss Kobayashi's Dragon Maid S</t>
  </si>
  <si>
    <t>Mononoke the Movie - Phantom in the Rain</t>
  </si>
  <si>
    <t>My Dress-Up Darling</t>
  </si>
  <si>
    <t>Puss N' Boots - Around The World</t>
  </si>
  <si>
    <t>Spy x Family</t>
  </si>
  <si>
    <t>Spy x Family Code - White</t>
  </si>
  <si>
    <t>Summer Ghost</t>
  </si>
  <si>
    <t>The Storm</t>
  </si>
  <si>
    <t>The Wonderful World of Puss 'N Boots</t>
  </si>
  <si>
    <t>They Shot The Piano Player</t>
  </si>
  <si>
    <t>Tiki Tiki</t>
  </si>
  <si>
    <t>Keisuke Shinohara</t>
  </si>
  <si>
    <t>Hiroshi Shidara</t>
  </si>
  <si>
    <t>Wit Studio, Cloverworks</t>
  </si>
  <si>
    <t>Kazuhiro Furuhashi</t>
  </si>
  <si>
    <t>Takashi Katagiri</t>
  </si>
  <si>
    <t>Flat Studio</t>
  </si>
  <si>
    <t>Loundraw</t>
  </si>
  <si>
    <t>Coloroom</t>
  </si>
  <si>
    <t>Zhigang Yang</t>
  </si>
  <si>
    <t>Kimio Yabuki</t>
  </si>
  <si>
    <t>Fernando Trueba PC</t>
  </si>
  <si>
    <t>Potterton Productions</t>
  </si>
  <si>
    <t>Gerald Potterton</t>
  </si>
  <si>
    <t>https://2danicritic.github.io/ReviewHtml/review_The_Storm.html</t>
  </si>
  <si>
    <t>https://2danicritic.github.io/ReviewHtml/review_They_Shot_The_Piano_Player.html</t>
  </si>
  <si>
    <t>https://2danicritic.github.io/ReviewHtml/review_Ernest_and_Celestine_-_A_Trip_to_Gibberitia.html</t>
  </si>
  <si>
    <t>https://2danicritic.github.io/ReviewHtml/review_Batman_-_80th_Anniversary_-_18-Film_Collection.html</t>
  </si>
  <si>
    <t>https://2danicritic.github.io/ReviewHtml/review_Tiki_Tiki.html</t>
  </si>
  <si>
    <t>https://2danicritic.github.io/ReviewHtml/review_Ghost_Cat_Anzu.html</t>
  </si>
  <si>
    <t>https://2danicritic.github.io/ReviewHtml/review_Mononoke_the_Movie_-_Phantom_in_the_Rain.html</t>
  </si>
  <si>
    <t>https://2danicritic.github.io/ReviewHtml/review_Spy_x_Family_Code_-_White.html</t>
  </si>
  <si>
    <t>https://2danicritic.github.io/ReviewHtml/review_Summer_Ghost.html</t>
  </si>
  <si>
    <t>https://2danicritic.github.io/ReviewHtml/review_Puss_N'_Boots_-_Around_The_World.html</t>
  </si>
  <si>
    <t>https://2danicritic.github.io/ReviewHtml/review_The_Wonderful_World_of_Puss_'N_Boots.html</t>
  </si>
  <si>
    <t>https://2danicritic.github.io/ReviewHtml/review_Call_of_the_Night.html</t>
  </si>
  <si>
    <t>https://2danicritic.github.io/ReviewHtml/review_My_Dress-Up_Darling.html</t>
  </si>
  <si>
    <t>https://2danicritic.github.io/ReviewHtml/review_Spy_x_Family.html</t>
  </si>
  <si>
    <t>https://2danicritic.github.io/ReviewHtml/review_Miss_Kobayashi's_Dragon_Maid_S.html</t>
  </si>
  <si>
    <t>Eric Warin, Tahir Rana</t>
  </si>
  <si>
    <t>erotic, philosophy, romance, drama, non fiction</t>
  </si>
  <si>
    <t>Mamoru Hosoda, Shigeyasu Yamauchi</t>
  </si>
  <si>
    <t>action, comedy, family, science fiction</t>
  </si>
  <si>
    <t>Neil Boyle, Kirk Hendry</t>
  </si>
  <si>
    <t>action, adventure, science fiction, drama, mystery</t>
  </si>
  <si>
    <t>Shunya Ito, Takeshi Shirato</t>
  </si>
  <si>
    <t>action, adventure, comedy, drama, mystery</t>
  </si>
  <si>
    <t>Dominican Republic</t>
  </si>
  <si>
    <t>Tomas Pichardo Espaillat</t>
  </si>
  <si>
    <t>experimental, romance, fantasy, drama</t>
  </si>
  <si>
    <t>adventure, experimental, science fiction, thriller</t>
  </si>
  <si>
    <t>To Me, The One Who Loved You, and To Every You I've Loved Before</t>
  </si>
  <si>
    <t>experimental, romance, science fiction</t>
  </si>
  <si>
    <t>adventure, comedy, family, drama, mystery</t>
  </si>
  <si>
    <t>Charlotte</t>
  </si>
  <si>
    <t>January Films</t>
  </si>
  <si>
    <t>Digimon - The Movie</t>
  </si>
  <si>
    <t>Kensuke's Kingdom</t>
  </si>
  <si>
    <t>Look Back</t>
  </si>
  <si>
    <t>Studio Durian</t>
  </si>
  <si>
    <t>Lupin the Third - Dead or Alive</t>
  </si>
  <si>
    <t>Monkey Punch</t>
  </si>
  <si>
    <t>Lupin the Third - Farewell to Nostradamus</t>
  </si>
  <si>
    <t>Lupin the Third VS Detective Conan - The Movie</t>
  </si>
  <si>
    <t>Hajime Kamegaki</t>
  </si>
  <si>
    <t>Lupin the Third VS Detective Conan - The Special</t>
  </si>
  <si>
    <t>Olivia and the Clouds</t>
  </si>
  <si>
    <t>Guasabara Cine</t>
  </si>
  <si>
    <t>Sultana's Dream</t>
  </si>
  <si>
    <t>Sultana Films</t>
  </si>
  <si>
    <t>Isabel Herguera</t>
  </si>
  <si>
    <t>The Lord of the Rings - The War of the Rohirrim</t>
  </si>
  <si>
    <t>Sola Entertainment</t>
  </si>
  <si>
    <t>The Time Masters</t>
  </si>
  <si>
    <t>Telecip</t>
  </si>
  <si>
    <t>Rene Laloux</t>
  </si>
  <si>
    <t>Jun Matsumoto</t>
  </si>
  <si>
    <t>Trapezium</t>
  </si>
  <si>
    <t>Cloverworks</t>
  </si>
  <si>
    <t>Masahiro Shinohara</t>
  </si>
  <si>
    <t>Your Letter</t>
  </si>
  <si>
    <t>Studio N</t>
  </si>
  <si>
    <t>Kim Yonghwan</t>
  </si>
  <si>
    <t>https://2danicritic.github.io/ReviewHtml/review_Batman_–_80th_Anniversary_–_18-Film_Collection_-_Part_2.html</t>
  </si>
  <si>
    <t>https://2danicritic.github.io/ReviewHtml/review_Charlotte.html</t>
  </si>
  <si>
    <t>https://2danicritic.github.io/ReviewHtml/review_Digimon_-_The_Movie.html</t>
  </si>
  <si>
    <t>https://2danicritic.github.io/ReviewHtml/review_Kensuke's_Kingdom.html</t>
  </si>
  <si>
    <t>https://2danicritic.github.io/ReviewHtml/review_Look_Back.html</t>
  </si>
  <si>
    <t>https://2danicritic.github.io/ReviewHtml/review_Lupin_the_Third_-_Dead_or_Alive.html</t>
  </si>
  <si>
    <t>https://2danicritic.github.io/ReviewHtml/review_Lupin_the_Third_-_Farewell_to_Nostradamus.html</t>
  </si>
  <si>
    <t>https://2danicritic.github.io/ReviewHtml/review_Lupin_the_Third_VS_Detective_Conan_-_The_Movie.html</t>
  </si>
  <si>
    <t>https://2danicritic.github.io/ReviewHtml/review_Lupin_the_Third_VS_Detective_Conan_-_The_Special.html</t>
  </si>
  <si>
    <t>https://2danicritic.github.io/ReviewHtml/review_Olivia_and_the_Clouds.html</t>
  </si>
  <si>
    <t>https://2danicritic.github.io/ReviewHtml/review_Sultana's_Dream.html</t>
  </si>
  <si>
    <t>https://2danicritic.github.io/ReviewHtml/review_The_Lord_of_the_Rings_-_The_War_of_the_Rohirrim.html</t>
  </si>
  <si>
    <t>https://2danicritic.github.io/ReviewHtml/review_The_Time_Masters.html</t>
  </si>
  <si>
    <t>https://2danicritic.github.io/ReviewHtml/review_To_Me,_The_One_Who_Loved_You,_and_To_Every_You_I've_Loved_Before.html</t>
  </si>
  <si>
    <t>https://2danicritic.github.io/ReviewHtml/review_Trapezium.html</t>
  </si>
  <si>
    <t>https://2danicritic.github.io/ReviewHtml/review_Your_Letter.html</t>
  </si>
  <si>
    <t>action, horror, science fiction, drama, sports</t>
  </si>
  <si>
    <t>experimental, philosophy, fantasy, mystery</t>
  </si>
  <si>
    <t>action, adventure, comedy, horror, romance, science fiction</t>
  </si>
  <si>
    <t>comedy, experimental, family, philosophy, non fiction</t>
  </si>
  <si>
    <t>adventure, horror, philosophy, thriller, mystery</t>
  </si>
  <si>
    <t>adventure, comedy, erotic, romance</t>
  </si>
  <si>
    <t>Kenji Nakamura, Kiyotaka Suzuki</t>
  </si>
  <si>
    <t>adventure, comedy, experimental, philosophy, science fiction, mystery</t>
  </si>
  <si>
    <t>action, adventure, comedy, family, horror, romance, mystery</t>
  </si>
  <si>
    <t>adventure, family, fantasy, science fiction, drama, sports</t>
  </si>
  <si>
    <t>Hatsuki Tsuji, Kenichi Takeshita</t>
  </si>
  <si>
    <t>adventure, family, fantasy, drama, sports</t>
  </si>
  <si>
    <t>All You Need Is Kill</t>
  </si>
  <si>
    <t>Angel's Egg</t>
  </si>
  <si>
    <t>Dan Da Dan</t>
  </si>
  <si>
    <t>Endless Cookie</t>
  </si>
  <si>
    <t>Felidae</t>
  </si>
  <si>
    <t>Fixed</t>
  </si>
  <si>
    <t>Mononoke the Movie - Chapter II - The Ashes of Rage</t>
  </si>
  <si>
    <t>Seitokai Yakuindomo (Season 1, Season 2, Movie 1)</t>
  </si>
  <si>
    <t>Tamala 2010 - A Punk Cat in Space</t>
  </si>
  <si>
    <t>Tamala 2030 - A Punk Cat in Dark</t>
  </si>
  <si>
    <t>The Colors Within</t>
  </si>
  <si>
    <t>The Day the Earth Blew Up - A Looney Tunes Movie</t>
  </si>
  <si>
    <t>Urotsukidoji - Legend of the Overfiend</t>
  </si>
  <si>
    <t>Yu-Gi-Oh - The Dark Side of Dimensions</t>
  </si>
  <si>
    <t>Yu-Gi-Oh - The Movie, Bonds Beyond Time</t>
  </si>
  <si>
    <t>Kenichiro Akimoto</t>
  </si>
  <si>
    <t>Fuga Yamashiro</t>
  </si>
  <si>
    <t>Seth Scriber</t>
  </si>
  <si>
    <t>Germany</t>
  </si>
  <si>
    <t>TFC Trickcompany</t>
  </si>
  <si>
    <t>Michael Schaack</t>
  </si>
  <si>
    <t>Sony Pictures Animation</t>
  </si>
  <si>
    <t>Genndy Tartakovsky</t>
  </si>
  <si>
    <t>TV, Film</t>
  </si>
  <si>
    <t>Hiromitsu Kanazawa</t>
  </si>
  <si>
    <t>Kinetique</t>
  </si>
  <si>
    <t>toL</t>
  </si>
  <si>
    <t>t.o.L.</t>
  </si>
  <si>
    <t>Pete Browngardt</t>
  </si>
  <si>
    <t>Film, OVA</t>
  </si>
  <si>
    <t>Hideki Takayama</t>
  </si>
  <si>
    <t>Studio Gallop</t>
  </si>
  <si>
    <t>Satoshi Kuwabara</t>
  </si>
  <si>
    <t>https://2danicritic.github.io/ReviewHtml/review_All_You_Need_Is_Kill.html</t>
  </si>
  <si>
    <t>https://2danicritic.github.io/ReviewHtml/review_Angel's_Egg.html</t>
  </si>
  <si>
    <t>https://2danicritic.github.io/ReviewHtml/review_Dan_Da_Dan.html</t>
  </si>
  <si>
    <t>https://2danicritic.github.io/ReviewHtml/review_Endless_Cookie.html</t>
  </si>
  <si>
    <t>https://2danicritic.github.io/ReviewHtml/review_Felidae.html</t>
  </si>
  <si>
    <t>https://2danicritic.github.io/ReviewHtml/review_Fixed.html</t>
  </si>
  <si>
    <t>https://2danicritic.github.io/ReviewHtml/review_Mononoke_the_Movie_-_Chapter_II_-_The_Ashes_of_Rage.html</t>
  </si>
  <si>
    <t>https://2danicritic.github.io/ReviewHtml/review_Seitokai_Yakuindomo_(Season_1,_Season_2,_Movie_1).html</t>
  </si>
  <si>
    <t>https://2danicritic.github.io/ReviewHtml/review_Tamala_2010_-_A_Punk_Cat_in_Space.html</t>
  </si>
  <si>
    <t>https://2danicritic.github.io/ReviewHtml/review_Tamala_2030_-_A_Punk_Cat_in_Dark.html</t>
  </si>
  <si>
    <t>https://2danicritic.github.io/ReviewHtml/review_The_Colors_Within.html</t>
  </si>
  <si>
    <t>https://2danicritic.github.io/ReviewHtml/review_The_Day_the_Earth_Blew_Up_-_A_Looney_Tunes_Movie.html</t>
  </si>
  <si>
    <t>https://2danicritic.github.io/ReviewHtml/review_Urotsukidoji_-_Legend_of_the_Overfiend.html</t>
  </si>
  <si>
    <t>https://2danicritic.github.io/ReviewHtml/review_Yu-Gi-Oh_-_The_Dark_Side_of_Dimensions.html</t>
  </si>
  <si>
    <t>https://2danicritic.github.io/ReviewHtml/review_Yu-Gi-Oh_-_The_Movie,_Bonds_Beyond_Time.html</t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</si>
  <si>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Maybe a handful of adequate elements prevent it from being simply horrible.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</si>
</sst>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8" fillId="2" borderId="0" xfId="0" applyFont="1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57</c:v>
                </c:pt>
                <c:pt idx="3">
                  <c:v>123</c:v>
                </c:pt>
                <c:pt idx="4">
                  <c:v>241</c:v>
                </c:pt>
                <c:pt idx="5">
                  <c:v>187</c:v>
                </c:pt>
                <c:pt idx="6">
                  <c:v>57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Sheet'!$C$22:$C$113</c:f>
              <c:numCache>
                <c:formatCode>General</c:formatCode>
                <c:ptCount val="92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2022</c:v>
                </c:pt>
                <c:pt idx="88">
                  <c:v>2023</c:v>
                </c:pt>
                <c:pt idx="89">
                  <c:v>2024</c:v>
                </c:pt>
                <c:pt idx="90">
                  <c:v>2025</c:v>
                </c:pt>
                <c:pt idx="91">
                  <c:v>2026</c:v>
                </c:pt>
              </c:numCache>
            </c:numRef>
          </c:cat>
          <c:val>
            <c:numRef>
              <c:f>'Extra Sheet'!$D$22:$D$113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9</c:v>
                </c:pt>
                <c:pt idx="63">
                  <c:v>6</c:v>
                </c:pt>
                <c:pt idx="64">
                  <c:v>5</c:v>
                </c:pt>
                <c:pt idx="65">
                  <c:v>11</c:v>
                </c:pt>
                <c:pt idx="66">
                  <c:v>9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8</c:v>
                </c:pt>
                <c:pt idx="71">
                  <c:v>21</c:v>
                </c:pt>
                <c:pt idx="72">
                  <c:v>22</c:v>
                </c:pt>
                <c:pt idx="73">
                  <c:v>16</c:v>
                </c:pt>
                <c:pt idx="74">
                  <c:v>20</c:v>
                </c:pt>
                <c:pt idx="75">
                  <c:v>26</c:v>
                </c:pt>
                <c:pt idx="76">
                  <c:v>29</c:v>
                </c:pt>
                <c:pt idx="77">
                  <c:v>38</c:v>
                </c:pt>
                <c:pt idx="78">
                  <c:v>26</c:v>
                </c:pt>
                <c:pt idx="79">
                  <c:v>31</c:v>
                </c:pt>
                <c:pt idx="80">
                  <c:v>38</c:v>
                </c:pt>
                <c:pt idx="81">
                  <c:v>35</c:v>
                </c:pt>
                <c:pt idx="82">
                  <c:v>40</c:v>
                </c:pt>
                <c:pt idx="83">
                  <c:v>25</c:v>
                </c:pt>
                <c:pt idx="84">
                  <c:v>27</c:v>
                </c:pt>
                <c:pt idx="85">
                  <c:v>19</c:v>
                </c:pt>
                <c:pt idx="86">
                  <c:v>21</c:v>
                </c:pt>
                <c:pt idx="87">
                  <c:v>18</c:v>
                </c:pt>
                <c:pt idx="88">
                  <c:v>14</c:v>
                </c:pt>
                <c:pt idx="89">
                  <c:v>10</c:v>
                </c:pt>
                <c:pt idx="90">
                  <c:v>6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698" totalsRowShown="0" dataDxfId="77">
  <autoFilter ref="B2:S698" xr:uid="{BF850E12-6FCD-45DC-BC44-9D63E95AAFF8}"/>
  <sortState xmlns:xlrd2="http://schemas.microsoft.com/office/spreadsheetml/2017/richdata2" ref="B3:S698">
    <sortCondition ref="B2:B698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82" totalsRowShown="0" headerRowDxfId="65" dataDxfId="63" headerRowBorderDxfId="64" tableBorderDxfId="62" totalsRowBorderDxfId="61">
  <autoFilter ref="AN3:BD282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231" totalsRowShown="0" headerRowDxfId="43" dataDxfId="41" headerRowBorderDxfId="42" tableBorderDxfId="40" totalsRowBorderDxfId="39">
  <autoFilter ref="U3:AK231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92" totalsRowShown="0" headerRowDxfId="21" dataDxfId="19" headerRowBorderDxfId="20" tableBorderDxfId="18" totalsRowBorderDxfId="17">
  <autoFilter ref="B3:R192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danicritic.github.io/ReviewHtml/review_This_Boy_Can_Fight_Alie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2danicritic.github.io/ReviewHtml/review_This_Boy_Can_Fight_Aliens.html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53"/>
  <sheetViews>
    <sheetView tabSelected="1" workbookViewId="0">
      <selection activeCell="H16" sqref="H16"/>
    </sheetView>
  </sheetViews>
  <sheetFormatPr defaultRowHeight="14.5" x14ac:dyDescent="0.35"/>
  <cols>
    <col min="1" max="1" width="5.1796875" style="2" customWidth="1"/>
    <col min="2" max="2" width="33.08984375" style="2" customWidth="1"/>
    <col min="3" max="6" width="8.7265625" style="2"/>
    <col min="7" max="7" width="8.7265625" style="2" customWidth="1"/>
    <col min="8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1864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37</v>
      </c>
    </row>
    <row r="13" spans="2:2" x14ac:dyDescent="0.35">
      <c r="B13" s="2" t="s">
        <v>2</v>
      </c>
    </row>
    <row r="14" spans="2:2" x14ac:dyDescent="0.35">
      <c r="B14" s="2" t="s">
        <v>331</v>
      </c>
    </row>
    <row r="15" spans="2:2" x14ac:dyDescent="0.35">
      <c r="B15" s="2" t="s">
        <v>3</v>
      </c>
    </row>
    <row r="16" spans="2:2" x14ac:dyDescent="0.35">
      <c r="B16" s="2" t="s">
        <v>640</v>
      </c>
    </row>
    <row r="17" spans="2:2" x14ac:dyDescent="0.35">
      <c r="B17" s="2" t="s">
        <v>38</v>
      </c>
    </row>
    <row r="18" spans="2:2" x14ac:dyDescent="0.35">
      <c r="B18" s="2" t="s">
        <v>641</v>
      </c>
    </row>
    <row r="19" spans="2:2" x14ac:dyDescent="0.35">
      <c r="B19" s="2" t="s">
        <v>642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643</v>
      </c>
    </row>
    <row r="24" spans="2:2" x14ac:dyDescent="0.35">
      <c r="B24" s="2" t="s">
        <v>644</v>
      </c>
    </row>
    <row r="25" spans="2:2" x14ac:dyDescent="0.35">
      <c r="B25" s="2" t="s">
        <v>332</v>
      </c>
    </row>
    <row r="26" spans="2:2" x14ac:dyDescent="0.35">
      <c r="B26" s="2" t="s">
        <v>645</v>
      </c>
    </row>
    <row r="38" spans="2:2" x14ac:dyDescent="0.35">
      <c r="B38" s="2" t="s">
        <v>627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1999</v>
      </c>
    </row>
    <row r="42" spans="2:2" x14ac:dyDescent="0.35">
      <c r="B42" s="2" t="s">
        <v>330</v>
      </c>
    </row>
    <row r="43" spans="2:2" x14ac:dyDescent="0.35">
      <c r="B43" s="4"/>
    </row>
    <row r="44" spans="2:2" x14ac:dyDescent="0.35">
      <c r="B44" s="2" t="s">
        <v>646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39</v>
      </c>
    </row>
    <row r="49" spans="2:2" x14ac:dyDescent="0.35">
      <c r="B49" s="2" t="s">
        <v>2402</v>
      </c>
    </row>
    <row r="50" spans="2:2" x14ac:dyDescent="0.35">
      <c r="B50" s="2" t="s">
        <v>2403</v>
      </c>
    </row>
    <row r="51" spans="2:2" x14ac:dyDescent="0.35">
      <c r="B51" s="2" t="s">
        <v>2404</v>
      </c>
    </row>
    <row r="52" spans="2:2" x14ac:dyDescent="0.35">
      <c r="B52" s="2" t="s">
        <v>2405</v>
      </c>
    </row>
    <row r="53" spans="2:2" x14ac:dyDescent="0.35">
      <c r="B53" s="33" t="s">
        <v>2406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698"/>
  <sheetViews>
    <sheetView zoomScaleNormal="100" workbookViewId="0">
      <selection activeCell="A6" sqref="A6"/>
    </sheetView>
  </sheetViews>
  <sheetFormatPr defaultRowHeight="14.5" x14ac:dyDescent="0.35"/>
  <cols>
    <col min="1" max="1" width="8.7265625" style="5"/>
    <col min="2" max="2" width="5.26953125" style="34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68.08984375" style="5" customWidth="1"/>
    <col min="18" max="18" width="8.7265625" style="8"/>
    <col min="19" max="19" width="100.6328125" style="5" customWidth="1"/>
    <col min="20" max="16384" width="8.7265625" style="5"/>
  </cols>
  <sheetData>
    <row r="2" spans="2:19" x14ac:dyDescent="0.35">
      <c r="B2" s="35" t="s">
        <v>40</v>
      </c>
      <c r="C2" t="s">
        <v>647</v>
      </c>
      <c r="D2" s="7" t="s">
        <v>328</v>
      </c>
      <c r="E2" t="s">
        <v>648</v>
      </c>
      <c r="F2" t="s">
        <v>649</v>
      </c>
      <c r="G2" t="s">
        <v>650</v>
      </c>
      <c r="H2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  <c r="P2" s="7" t="s">
        <v>49</v>
      </c>
      <c r="Q2" t="s">
        <v>50</v>
      </c>
      <c r="R2" s="7" t="s">
        <v>2407</v>
      </c>
      <c r="S2" t="s">
        <v>51</v>
      </c>
    </row>
    <row r="3" spans="2:19" x14ac:dyDescent="0.35">
      <c r="B3" s="35">
        <v>0</v>
      </c>
      <c r="C3" t="s">
        <v>2259</v>
      </c>
      <c r="D3" s="7">
        <v>1961</v>
      </c>
      <c r="E3" t="s">
        <v>1556</v>
      </c>
      <c r="F3" t="s">
        <v>2260</v>
      </c>
      <c r="G3" t="s">
        <v>1557</v>
      </c>
      <c r="H3" t="s">
        <v>2200</v>
      </c>
      <c r="I3" s="7">
        <v>4.07</v>
      </c>
      <c r="J3" s="7">
        <v>3.5</v>
      </c>
      <c r="K3" s="7">
        <v>3.5</v>
      </c>
      <c r="L3" s="7">
        <v>4</v>
      </c>
      <c r="M3" s="7">
        <v>4.5</v>
      </c>
      <c r="N3" s="7">
        <v>4</v>
      </c>
      <c r="O3" s="7">
        <v>4.5</v>
      </c>
      <c r="P3" s="7">
        <v>4.5</v>
      </c>
      <c r="Q3" t="s">
        <v>2201</v>
      </c>
      <c r="R3" s="7">
        <v>79</v>
      </c>
      <c r="S3" t="str">
        <f xml:space="preserve"> HYPERLINK("ReviewHtml/review_101_Dalmations.html", "https://2danicritic.github.io/ReviewHtml/review_101_Dalmations.html")</f>
        <v>https://2danicritic.github.io/ReviewHtml/review_101_Dalmations.html</v>
      </c>
    </row>
    <row r="4" spans="2:19" x14ac:dyDescent="0.35">
      <c r="B4" s="35">
        <v>1</v>
      </c>
      <c r="C4" t="s">
        <v>2014</v>
      </c>
      <c r="D4" s="7">
        <v>2017</v>
      </c>
      <c r="E4" t="s">
        <v>1554</v>
      </c>
      <c r="F4" t="s">
        <v>664</v>
      </c>
      <c r="G4" t="s">
        <v>1559</v>
      </c>
      <c r="H4" t="s">
        <v>2000</v>
      </c>
      <c r="I4" s="7">
        <v>2.71</v>
      </c>
      <c r="J4" s="7">
        <v>2.5</v>
      </c>
      <c r="K4" s="7">
        <v>3</v>
      </c>
      <c r="L4" s="7">
        <v>3</v>
      </c>
      <c r="M4" s="7">
        <v>2.5</v>
      </c>
      <c r="N4" s="7">
        <v>3</v>
      </c>
      <c r="O4" s="7">
        <v>2.5</v>
      </c>
      <c r="P4" s="7">
        <v>2.5</v>
      </c>
      <c r="Q4" t="s">
        <v>2001</v>
      </c>
      <c r="R4" s="7">
        <v>325</v>
      </c>
      <c r="S4" t="str">
        <f xml:space="preserve"> HYPERLINK("ReviewHtml/review_18if.html", "https://2danicritic.github.io/ReviewHtml/review_18if.html")</f>
        <v>https://2danicritic.github.io/ReviewHtml/review_18if.html</v>
      </c>
    </row>
    <row r="5" spans="2:19" x14ac:dyDescent="0.35">
      <c r="B5" s="35">
        <v>2</v>
      </c>
      <c r="C5" t="s">
        <v>651</v>
      </c>
      <c r="D5" s="7">
        <v>2007</v>
      </c>
      <c r="E5" t="s">
        <v>1554</v>
      </c>
      <c r="F5" t="s">
        <v>652</v>
      </c>
      <c r="G5" t="s">
        <v>1555</v>
      </c>
      <c r="H5" t="s">
        <v>653</v>
      </c>
      <c r="I5" s="7">
        <v>3.79</v>
      </c>
      <c r="J5" s="7">
        <v>4</v>
      </c>
      <c r="K5" s="7">
        <v>4.5</v>
      </c>
      <c r="L5" s="7">
        <v>4</v>
      </c>
      <c r="M5" s="7">
        <v>4</v>
      </c>
      <c r="N5" s="7">
        <v>3.5</v>
      </c>
      <c r="O5" s="7">
        <v>2.5</v>
      </c>
      <c r="P5" s="7">
        <v>4</v>
      </c>
      <c r="Q5" t="s">
        <v>52</v>
      </c>
      <c r="R5" s="7">
        <v>63</v>
      </c>
      <c r="S5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6" spans="2:19" x14ac:dyDescent="0.35">
      <c r="B6" s="35">
        <v>3</v>
      </c>
      <c r="C6" t="s">
        <v>1706</v>
      </c>
      <c r="D6" s="7">
        <v>2016</v>
      </c>
      <c r="E6" t="s">
        <v>1554</v>
      </c>
      <c r="F6" t="s">
        <v>1707</v>
      </c>
      <c r="G6" t="s">
        <v>1559</v>
      </c>
      <c r="H6" t="s">
        <v>1708</v>
      </c>
      <c r="I6" s="7">
        <v>3.29</v>
      </c>
      <c r="J6" s="7">
        <v>3</v>
      </c>
      <c r="K6" s="7">
        <v>3.5</v>
      </c>
      <c r="L6" s="7">
        <v>3.5</v>
      </c>
      <c r="M6" s="7">
        <v>3.5</v>
      </c>
      <c r="N6" s="7">
        <v>3.5</v>
      </c>
      <c r="O6" s="7">
        <v>3</v>
      </c>
      <c r="P6" s="7">
        <v>3</v>
      </c>
      <c r="Q6" t="s">
        <v>1661</v>
      </c>
      <c r="R6" s="7">
        <v>325</v>
      </c>
      <c r="S6" t="str">
        <f xml:space="preserve"> HYPERLINK("ReviewHtml/review_91_Days.html", "https://2danicritic.github.io/ReviewHtml/review_91_Days.html")</f>
        <v>https://2danicritic.github.io/ReviewHtml/review_91_Days.html</v>
      </c>
    </row>
    <row r="7" spans="2:19" x14ac:dyDescent="0.35">
      <c r="B7" s="35">
        <v>4</v>
      </c>
      <c r="C7" t="s">
        <v>1364</v>
      </c>
      <c r="D7" s="7">
        <v>1969</v>
      </c>
      <c r="E7" t="s">
        <v>1556</v>
      </c>
      <c r="F7" t="s">
        <v>1421</v>
      </c>
      <c r="G7" t="s">
        <v>1557</v>
      </c>
      <c r="H7" t="s">
        <v>1434</v>
      </c>
      <c r="I7" s="7">
        <v>3.29</v>
      </c>
      <c r="J7" s="7">
        <v>2.5</v>
      </c>
      <c r="K7" s="7">
        <v>2.5</v>
      </c>
      <c r="L7" s="7">
        <v>3.5</v>
      </c>
      <c r="M7" s="7">
        <v>3.5</v>
      </c>
      <c r="N7" s="7">
        <v>3</v>
      </c>
      <c r="O7" s="7">
        <v>3</v>
      </c>
      <c r="P7" s="7">
        <v>5</v>
      </c>
      <c r="Q7" t="s">
        <v>1329</v>
      </c>
      <c r="R7" s="7">
        <v>86</v>
      </c>
      <c r="S7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8" spans="2:19" x14ac:dyDescent="0.35">
      <c r="B8" s="35">
        <v>5</v>
      </c>
      <c r="C8" t="s">
        <v>654</v>
      </c>
      <c r="D8" s="7">
        <v>2010</v>
      </c>
      <c r="E8" t="s">
        <v>1558</v>
      </c>
      <c r="F8" t="s">
        <v>655</v>
      </c>
      <c r="G8" t="s">
        <v>1557</v>
      </c>
      <c r="H8" t="s">
        <v>53</v>
      </c>
      <c r="I8" s="7">
        <v>3.29</v>
      </c>
      <c r="J8" s="7">
        <v>3</v>
      </c>
      <c r="K8" s="7">
        <v>4</v>
      </c>
      <c r="L8" s="7">
        <v>3.5</v>
      </c>
      <c r="M8" s="7">
        <v>3.5</v>
      </c>
      <c r="N8" s="7">
        <v>3</v>
      </c>
      <c r="O8" s="7">
        <v>3</v>
      </c>
      <c r="P8" s="7">
        <v>3</v>
      </c>
      <c r="Q8" t="s">
        <v>54</v>
      </c>
      <c r="R8" s="7">
        <v>65</v>
      </c>
      <c r="S8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9" spans="2:19" x14ac:dyDescent="0.35">
      <c r="B9" s="35">
        <v>6</v>
      </c>
      <c r="C9" t="s">
        <v>1709</v>
      </c>
      <c r="D9" s="7">
        <v>2011</v>
      </c>
      <c r="E9" t="s">
        <v>1554</v>
      </c>
      <c r="F9" t="s">
        <v>731</v>
      </c>
      <c r="G9" t="s">
        <v>1557</v>
      </c>
      <c r="H9" t="s">
        <v>1445</v>
      </c>
      <c r="I9" s="7">
        <v>3.36</v>
      </c>
      <c r="J9" s="7">
        <v>3.5</v>
      </c>
      <c r="K9" s="7">
        <v>3.5</v>
      </c>
      <c r="L9" s="7">
        <v>3.5</v>
      </c>
      <c r="M9" s="7">
        <v>3.5</v>
      </c>
      <c r="N9" s="7">
        <v>3</v>
      </c>
      <c r="O9" s="7">
        <v>3</v>
      </c>
      <c r="P9" s="7">
        <v>3.5</v>
      </c>
      <c r="Q9" t="s">
        <v>1662</v>
      </c>
      <c r="R9" s="7">
        <v>120</v>
      </c>
      <c r="S9" t="str">
        <f xml:space="preserve"> HYPERLINK("ReviewHtml/review_A_Letter_To_Momo.html", "https://2danicritic.github.io/ReviewHtml/review_A_Letter_To_Momo.html")</f>
        <v>https://2danicritic.github.io/ReviewHtml/review_A_Letter_To_Momo.html</v>
      </c>
    </row>
    <row r="10" spans="2:19" x14ac:dyDescent="0.35">
      <c r="B10" s="35">
        <v>7</v>
      </c>
      <c r="C10" t="s">
        <v>55</v>
      </c>
      <c r="D10" s="7">
        <v>2012</v>
      </c>
      <c r="E10" t="s">
        <v>56</v>
      </c>
      <c r="F10" t="s">
        <v>656</v>
      </c>
      <c r="G10" t="s">
        <v>1557</v>
      </c>
      <c r="H10" t="s">
        <v>57</v>
      </c>
      <c r="I10" s="7">
        <v>3.21</v>
      </c>
      <c r="J10" s="7">
        <v>3</v>
      </c>
      <c r="K10" s="7">
        <v>3.5</v>
      </c>
      <c r="L10" s="7">
        <v>2.5</v>
      </c>
      <c r="M10" s="7">
        <v>3</v>
      </c>
      <c r="N10" s="7">
        <v>3.5</v>
      </c>
      <c r="O10" s="7">
        <v>3</v>
      </c>
      <c r="P10" s="7">
        <v>4</v>
      </c>
      <c r="Q10" t="s">
        <v>58</v>
      </c>
      <c r="R10" s="7">
        <v>85</v>
      </c>
      <c r="S10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11" spans="2:19" x14ac:dyDescent="0.35">
      <c r="B11" s="35">
        <v>8</v>
      </c>
      <c r="C11" t="s">
        <v>657</v>
      </c>
      <c r="D11" s="7">
        <v>2016</v>
      </c>
      <c r="E11" t="s">
        <v>1554</v>
      </c>
      <c r="F11" t="s">
        <v>658</v>
      </c>
      <c r="G11" t="s">
        <v>1557</v>
      </c>
      <c r="H11" t="s">
        <v>659</v>
      </c>
      <c r="I11" s="7">
        <v>4.5</v>
      </c>
      <c r="J11" s="7">
        <v>4</v>
      </c>
      <c r="K11" s="7">
        <v>4</v>
      </c>
      <c r="L11" s="7">
        <v>5</v>
      </c>
      <c r="M11" s="7">
        <v>5</v>
      </c>
      <c r="N11" s="7">
        <v>4.5</v>
      </c>
      <c r="O11" s="7">
        <v>4</v>
      </c>
      <c r="P11" s="7">
        <v>5</v>
      </c>
      <c r="Q11" t="s">
        <v>59</v>
      </c>
      <c r="R11" s="7">
        <v>130</v>
      </c>
      <c r="S11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12" spans="2:19" x14ac:dyDescent="0.35">
      <c r="B12" s="35">
        <v>9</v>
      </c>
      <c r="C12" t="s">
        <v>2015</v>
      </c>
      <c r="D12" s="7">
        <v>2017</v>
      </c>
      <c r="E12" t="s">
        <v>1554</v>
      </c>
      <c r="F12" t="s">
        <v>798</v>
      </c>
      <c r="G12" t="s">
        <v>1559</v>
      </c>
      <c r="H12" t="s">
        <v>2002</v>
      </c>
      <c r="I12" s="7">
        <v>3.07</v>
      </c>
      <c r="J12" s="7">
        <v>2.5</v>
      </c>
      <c r="K12" s="7">
        <v>3</v>
      </c>
      <c r="L12" s="7">
        <v>4</v>
      </c>
      <c r="M12" s="7">
        <v>3.5</v>
      </c>
      <c r="N12" s="7">
        <v>2.5</v>
      </c>
      <c r="O12" s="7">
        <v>3.5</v>
      </c>
      <c r="P12" s="7">
        <v>2.5</v>
      </c>
      <c r="Q12" t="s">
        <v>349</v>
      </c>
      <c r="R12" s="7">
        <v>300</v>
      </c>
      <c r="S12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</row>
    <row r="13" spans="2:19" x14ac:dyDescent="0.35">
      <c r="B13" s="35">
        <v>10</v>
      </c>
      <c r="C13" t="s">
        <v>1365</v>
      </c>
      <c r="D13" s="7">
        <v>2006</v>
      </c>
      <c r="E13" t="s">
        <v>1554</v>
      </c>
      <c r="F13" t="s">
        <v>694</v>
      </c>
      <c r="G13" t="s">
        <v>1559</v>
      </c>
      <c r="H13" t="s">
        <v>713</v>
      </c>
      <c r="I13" s="7">
        <v>2.57</v>
      </c>
      <c r="J13" s="7">
        <v>2</v>
      </c>
      <c r="K13" s="7">
        <v>2</v>
      </c>
      <c r="L13" s="7">
        <v>3</v>
      </c>
      <c r="M13" s="7">
        <v>2.5</v>
      </c>
      <c r="N13" s="7">
        <v>3.5</v>
      </c>
      <c r="O13" s="7">
        <v>2.5</v>
      </c>
      <c r="P13" s="7">
        <v>2.5</v>
      </c>
      <c r="Q13" t="s">
        <v>1330</v>
      </c>
      <c r="R13" s="7">
        <v>154</v>
      </c>
      <c r="S13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14" spans="2:19" x14ac:dyDescent="0.35">
      <c r="B14" s="35">
        <v>11</v>
      </c>
      <c r="C14" t="s">
        <v>1887</v>
      </c>
      <c r="D14" s="7">
        <v>1969</v>
      </c>
      <c r="E14" t="s">
        <v>1554</v>
      </c>
      <c r="F14" t="s">
        <v>1888</v>
      </c>
      <c r="G14" t="s">
        <v>1557</v>
      </c>
      <c r="H14" t="s">
        <v>701</v>
      </c>
      <c r="I14" s="7">
        <v>2.71</v>
      </c>
      <c r="J14" s="7">
        <v>2.5</v>
      </c>
      <c r="K14" s="7">
        <v>2.5</v>
      </c>
      <c r="L14" s="7">
        <v>3</v>
      </c>
      <c r="M14" s="7">
        <v>3</v>
      </c>
      <c r="N14" s="7">
        <v>2.5</v>
      </c>
      <c r="O14" s="7">
        <v>3</v>
      </c>
      <c r="P14" s="7">
        <v>2.5</v>
      </c>
      <c r="Q14" t="s">
        <v>1865</v>
      </c>
      <c r="R14" s="7">
        <v>128</v>
      </c>
      <c r="S14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</row>
    <row r="15" spans="2:19" x14ac:dyDescent="0.35">
      <c r="B15" s="35">
        <v>12</v>
      </c>
      <c r="C15" t="s">
        <v>660</v>
      </c>
      <c r="D15" s="7">
        <v>2002</v>
      </c>
      <c r="E15" t="s">
        <v>1554</v>
      </c>
      <c r="F15" t="s">
        <v>661</v>
      </c>
      <c r="G15" t="s">
        <v>1557</v>
      </c>
      <c r="H15" t="s">
        <v>662</v>
      </c>
      <c r="I15" s="7">
        <v>3.64</v>
      </c>
      <c r="J15" s="7">
        <v>3.5</v>
      </c>
      <c r="K15" s="7">
        <v>3.5</v>
      </c>
      <c r="L15" s="7">
        <v>3.5</v>
      </c>
      <c r="M15" s="7">
        <v>3</v>
      </c>
      <c r="N15" s="7">
        <v>4</v>
      </c>
      <c r="O15" s="7">
        <v>4</v>
      </c>
      <c r="P15" s="7">
        <v>4</v>
      </c>
      <c r="Q15" t="s">
        <v>60</v>
      </c>
      <c r="R15" s="7">
        <v>136</v>
      </c>
      <c r="S15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6" spans="2:19" x14ac:dyDescent="0.35">
      <c r="B16" s="35">
        <v>13</v>
      </c>
      <c r="C16" t="s">
        <v>1710</v>
      </c>
      <c r="D16" s="7">
        <v>2017</v>
      </c>
      <c r="E16" t="s">
        <v>1554</v>
      </c>
      <c r="F16" t="s">
        <v>694</v>
      </c>
      <c r="G16" t="s">
        <v>1559</v>
      </c>
      <c r="H16" t="s">
        <v>995</v>
      </c>
      <c r="I16" s="7">
        <v>2.93</v>
      </c>
      <c r="J16" s="7">
        <v>2.5</v>
      </c>
      <c r="K16" s="7">
        <v>3.5</v>
      </c>
      <c r="L16" s="7">
        <v>3</v>
      </c>
      <c r="M16" s="7">
        <v>3</v>
      </c>
      <c r="N16" s="7">
        <v>3.5</v>
      </c>
      <c r="O16" s="7">
        <v>2</v>
      </c>
      <c r="P16" s="7">
        <v>3</v>
      </c>
      <c r="Q16" t="s">
        <v>287</v>
      </c>
      <c r="R16" s="7">
        <v>300</v>
      </c>
      <c r="S16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</row>
    <row r="17" spans="2:19" x14ac:dyDescent="0.35">
      <c r="B17" s="35">
        <v>14</v>
      </c>
      <c r="C17" t="s">
        <v>663</v>
      </c>
      <c r="D17" s="7">
        <v>2007</v>
      </c>
      <c r="E17" t="s">
        <v>1554</v>
      </c>
      <c r="F17" t="s">
        <v>664</v>
      </c>
      <c r="G17" t="s">
        <v>1559</v>
      </c>
      <c r="H17" t="s">
        <v>61</v>
      </c>
      <c r="I17" s="7">
        <v>3.93</v>
      </c>
      <c r="J17" s="7">
        <v>3.5</v>
      </c>
      <c r="K17" s="7">
        <v>4.5</v>
      </c>
      <c r="L17" s="7">
        <v>4.5</v>
      </c>
      <c r="M17" s="7">
        <v>4.5</v>
      </c>
      <c r="N17" s="7">
        <v>3</v>
      </c>
      <c r="O17" s="7">
        <v>3.5</v>
      </c>
      <c r="P17" s="7">
        <v>4</v>
      </c>
      <c r="Q17" t="s">
        <v>62</v>
      </c>
      <c r="R17" s="7">
        <v>125</v>
      </c>
      <c r="S17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8" spans="2:19" x14ac:dyDescent="0.35">
      <c r="B18" s="35">
        <v>15</v>
      </c>
      <c r="C18" t="s">
        <v>665</v>
      </c>
      <c r="D18" s="7">
        <v>2009</v>
      </c>
      <c r="E18" t="s">
        <v>1554</v>
      </c>
      <c r="F18" t="s">
        <v>664</v>
      </c>
      <c r="G18" t="s">
        <v>1557</v>
      </c>
      <c r="H18" t="s">
        <v>61</v>
      </c>
      <c r="I18" s="7">
        <v>3.93</v>
      </c>
      <c r="J18" s="7">
        <v>4</v>
      </c>
      <c r="K18" s="7">
        <v>4.5</v>
      </c>
      <c r="L18" s="7">
        <v>4.5</v>
      </c>
      <c r="M18" s="7">
        <v>4</v>
      </c>
      <c r="N18" s="7">
        <v>3</v>
      </c>
      <c r="O18" s="7">
        <v>3.5</v>
      </c>
      <c r="P18" s="7">
        <v>4</v>
      </c>
      <c r="Q18" t="s">
        <v>63</v>
      </c>
      <c r="R18" s="7">
        <v>100</v>
      </c>
      <c r="S18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9" spans="2:19" x14ac:dyDescent="0.35">
      <c r="B19" s="35">
        <v>16</v>
      </c>
      <c r="C19" t="s">
        <v>666</v>
      </c>
      <c r="D19" s="7">
        <v>1988</v>
      </c>
      <c r="E19" t="s">
        <v>1554</v>
      </c>
      <c r="F19" t="s">
        <v>667</v>
      </c>
      <c r="G19" t="s">
        <v>1557</v>
      </c>
      <c r="H19" t="s">
        <v>668</v>
      </c>
      <c r="I19" s="7">
        <v>3.14</v>
      </c>
      <c r="J19" s="7">
        <v>4</v>
      </c>
      <c r="K19" s="7">
        <v>3.5</v>
      </c>
      <c r="L19" s="7">
        <v>3.5</v>
      </c>
      <c r="M19" s="7">
        <v>2.5</v>
      </c>
      <c r="N19" s="7">
        <v>2</v>
      </c>
      <c r="O19" s="7">
        <v>2.5</v>
      </c>
      <c r="P19" s="7">
        <v>4</v>
      </c>
      <c r="Q19" t="s">
        <v>64</v>
      </c>
      <c r="R19" s="7">
        <v>124</v>
      </c>
      <c r="S19" t="str">
        <f xml:space="preserve"> HYPERLINK("ReviewHtml/review_Akira.html", "https://2danicritic.github.io/ReviewHtml/review_Akira.html")</f>
        <v>https://2danicritic.github.io/ReviewHtml/review_Akira.html</v>
      </c>
    </row>
    <row r="20" spans="2:19" x14ac:dyDescent="0.35">
      <c r="B20" s="35">
        <v>17</v>
      </c>
      <c r="C20" t="s">
        <v>2261</v>
      </c>
      <c r="D20" s="7">
        <v>1992</v>
      </c>
      <c r="E20" t="s">
        <v>1556</v>
      </c>
      <c r="F20" t="s">
        <v>2260</v>
      </c>
      <c r="G20" t="s">
        <v>1557</v>
      </c>
      <c r="H20" t="s">
        <v>2202</v>
      </c>
      <c r="I20" s="7">
        <v>4.43</v>
      </c>
      <c r="J20" s="7">
        <v>4.5</v>
      </c>
      <c r="K20" s="7">
        <v>4.5</v>
      </c>
      <c r="L20" s="7">
        <v>4.5</v>
      </c>
      <c r="M20" s="7">
        <v>5</v>
      </c>
      <c r="N20" s="7">
        <v>3.5</v>
      </c>
      <c r="O20" s="7">
        <v>5</v>
      </c>
      <c r="P20" s="7">
        <v>4</v>
      </c>
      <c r="Q20" t="s">
        <v>97</v>
      </c>
      <c r="R20" s="7">
        <v>0</v>
      </c>
      <c r="S20" t="str">
        <f xml:space="preserve"> HYPERLINK("ReviewHtml/review_Aladdin.html", "https://2danicritic.github.io/ReviewHtml/review_Aladdin.html")</f>
        <v>https://2danicritic.github.io/ReviewHtml/review_Aladdin.html</v>
      </c>
    </row>
    <row r="21" spans="2:19" x14ac:dyDescent="0.35">
      <c r="B21" s="35">
        <v>18</v>
      </c>
      <c r="C21" t="s">
        <v>1889</v>
      </c>
      <c r="D21" s="7">
        <v>2017</v>
      </c>
      <c r="E21" t="s">
        <v>1554</v>
      </c>
      <c r="F21" t="s">
        <v>670</v>
      </c>
      <c r="G21" t="s">
        <v>1559</v>
      </c>
      <c r="H21" t="s">
        <v>855</v>
      </c>
      <c r="I21" s="7">
        <v>3.5</v>
      </c>
      <c r="J21" s="7">
        <v>3</v>
      </c>
      <c r="K21" s="7">
        <v>3</v>
      </c>
      <c r="L21" s="7">
        <v>3.5</v>
      </c>
      <c r="M21" s="7">
        <v>3.5</v>
      </c>
      <c r="N21" s="7">
        <v>4</v>
      </c>
      <c r="O21" s="7">
        <v>3.5</v>
      </c>
      <c r="P21" s="7">
        <v>4</v>
      </c>
      <c r="Q21" t="s">
        <v>1866</v>
      </c>
      <c r="R21" s="7">
        <v>325</v>
      </c>
      <c r="S21" t="str">
        <f xml:space="preserve"> HYPERLINK("ReviewHtml/review_Alice_and_Zoroku.html", "https://2danicritic.github.io/ReviewHtml/review_Alice_and_Zoroku.html")</f>
        <v>https://2danicritic.github.io/ReviewHtml/review_Alice_and_Zoroku.html</v>
      </c>
    </row>
    <row r="22" spans="2:19" x14ac:dyDescent="0.35">
      <c r="B22" s="35">
        <v>19</v>
      </c>
      <c r="C22" t="s">
        <v>2262</v>
      </c>
      <c r="D22" s="7">
        <v>1951</v>
      </c>
      <c r="E22" t="s">
        <v>1556</v>
      </c>
      <c r="F22" t="s">
        <v>2260</v>
      </c>
      <c r="G22" t="s">
        <v>2263</v>
      </c>
      <c r="H22" t="s">
        <v>2203</v>
      </c>
      <c r="I22" s="7">
        <v>3.36</v>
      </c>
      <c r="J22" s="7">
        <v>3.5</v>
      </c>
      <c r="K22" s="7">
        <v>4</v>
      </c>
      <c r="L22" s="7">
        <v>4</v>
      </c>
      <c r="M22" s="7">
        <v>4</v>
      </c>
      <c r="N22" s="7">
        <v>2</v>
      </c>
      <c r="O22" s="7">
        <v>3</v>
      </c>
      <c r="P22" s="7">
        <v>3</v>
      </c>
      <c r="Q22" t="s">
        <v>2204</v>
      </c>
      <c r="R22" s="7">
        <v>75</v>
      </c>
      <c r="S22" t="str">
        <f xml:space="preserve"> HYPERLINK("ReviewHtml/review_Alice_in_Wonderland.html", "https://2danicritic.github.io/ReviewHtml/review_Alice_in_Wonderland.html")</f>
        <v>https://2danicritic.github.io/ReviewHtml/review_Alice_in_Wonderland.html</v>
      </c>
    </row>
    <row r="23" spans="2:19" x14ac:dyDescent="0.35">
      <c r="B23" s="35">
        <v>20</v>
      </c>
      <c r="C23" t="s">
        <v>669</v>
      </c>
      <c r="D23" s="7">
        <v>2001</v>
      </c>
      <c r="E23" t="s">
        <v>1554</v>
      </c>
      <c r="F23" t="s">
        <v>670</v>
      </c>
      <c r="G23" t="s">
        <v>1560</v>
      </c>
      <c r="H23" t="s">
        <v>333</v>
      </c>
      <c r="I23" s="7">
        <v>3.79</v>
      </c>
      <c r="J23" s="7">
        <v>4</v>
      </c>
      <c r="K23" s="7">
        <v>4</v>
      </c>
      <c r="L23" s="7">
        <v>2.5</v>
      </c>
      <c r="M23" s="7">
        <v>2.5</v>
      </c>
      <c r="N23" s="7">
        <v>4.5</v>
      </c>
      <c r="O23" s="7">
        <v>4</v>
      </c>
      <c r="P23" s="7">
        <v>5</v>
      </c>
      <c r="Q23" t="s">
        <v>334</v>
      </c>
      <c r="R23" s="7">
        <v>120</v>
      </c>
      <c r="S23" t="str">
        <f xml:space="preserve"> HYPERLINK("ReviewHtml/review_Alien_Nine.html", "https://2danicritic.github.io/ReviewHtml/review_Alien_Nine.html")</f>
        <v>https://2danicritic.github.io/ReviewHtml/review_Alien_Nine.html</v>
      </c>
    </row>
    <row r="24" spans="2:19" x14ac:dyDescent="0.35">
      <c r="B24" s="35">
        <v>21</v>
      </c>
      <c r="C24" t="s">
        <v>2408</v>
      </c>
      <c r="D24" s="7">
        <v>1989</v>
      </c>
      <c r="E24" t="s">
        <v>1556</v>
      </c>
      <c r="F24" t="s">
        <v>2409</v>
      </c>
      <c r="G24" t="s">
        <v>1557</v>
      </c>
      <c r="H24" t="s">
        <v>1039</v>
      </c>
      <c r="I24" s="7">
        <v>3.71</v>
      </c>
      <c r="J24" s="7">
        <v>4</v>
      </c>
      <c r="K24" s="7">
        <v>3.5</v>
      </c>
      <c r="L24" s="7">
        <v>3.5</v>
      </c>
      <c r="M24" s="7">
        <v>4</v>
      </c>
      <c r="N24" s="7">
        <v>4</v>
      </c>
      <c r="O24" s="7">
        <v>3.5</v>
      </c>
      <c r="P24" s="7">
        <v>3.5</v>
      </c>
      <c r="Q24" t="s">
        <v>2244</v>
      </c>
      <c r="R24" s="7">
        <v>84</v>
      </c>
      <c r="S24" t="str">
        <f xml:space="preserve"> HYPERLINK("ReviewHtml/review_All_Dogs_Go_To_Heaven.html", "https://2danicritic.github.io/ReviewHtml/review_All_Dogs_Go_To_Heaven.html")</f>
        <v>https://2danicritic.github.io/ReviewHtml/review_All_Dogs_Go_To_Heaven.html</v>
      </c>
    </row>
    <row r="25" spans="2:19" x14ac:dyDescent="0.35">
      <c r="B25" s="35">
        <v>22</v>
      </c>
      <c r="C25" t="s">
        <v>2694</v>
      </c>
      <c r="D25" s="7">
        <v>2025</v>
      </c>
      <c r="E25" t="s">
        <v>1554</v>
      </c>
      <c r="F25" t="s">
        <v>702</v>
      </c>
      <c r="G25" t="s">
        <v>1557</v>
      </c>
      <c r="H25" t="s">
        <v>2709</v>
      </c>
      <c r="I25" s="7">
        <v>3.64</v>
      </c>
      <c r="J25" s="7">
        <v>3.5</v>
      </c>
      <c r="K25" s="7">
        <v>3</v>
      </c>
      <c r="L25" s="7">
        <v>4</v>
      </c>
      <c r="M25" s="7">
        <v>3.5</v>
      </c>
      <c r="N25" s="7">
        <v>3.5</v>
      </c>
      <c r="O25" s="7">
        <v>4.5</v>
      </c>
      <c r="P25" s="7">
        <v>3.5</v>
      </c>
      <c r="Q25" t="s">
        <v>2682</v>
      </c>
      <c r="R25" s="7">
        <v>82</v>
      </c>
      <c r="S25" t="str">
        <f xml:space="preserve"> HYPERLINK("ReviewHtml/review_All_You_Need_Is_Kill.html", "https://2danicritic.github.io/ReviewHtml/review_All_You_Need_Is_Kill.html")</f>
        <v>https://2danicritic.github.io/ReviewHtml/review_All_You_Need_Is_Kill.html</v>
      </c>
    </row>
    <row r="26" spans="2:19" x14ac:dyDescent="0.35">
      <c r="B26" s="35">
        <v>23</v>
      </c>
      <c r="C26" t="s">
        <v>671</v>
      </c>
      <c r="D26" s="7">
        <v>2014</v>
      </c>
      <c r="E26" t="s">
        <v>1554</v>
      </c>
      <c r="F26" t="s">
        <v>658</v>
      </c>
      <c r="G26" t="s">
        <v>1559</v>
      </c>
      <c r="H26" t="s">
        <v>672</v>
      </c>
      <c r="I26" s="7">
        <v>3.14</v>
      </c>
      <c r="J26" s="7">
        <v>3</v>
      </c>
      <c r="K26" s="7">
        <v>3.5</v>
      </c>
      <c r="L26" s="7">
        <v>3.5</v>
      </c>
      <c r="M26" s="7">
        <v>3</v>
      </c>
      <c r="N26" s="7">
        <v>2.5</v>
      </c>
      <c r="O26" s="7">
        <v>3.5</v>
      </c>
      <c r="P26" s="7">
        <v>3</v>
      </c>
      <c r="Q26" t="s">
        <v>65</v>
      </c>
      <c r="R26" s="7">
        <v>350</v>
      </c>
      <c r="S26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7" spans="2:19" x14ac:dyDescent="0.35">
      <c r="B27" s="35">
        <v>24</v>
      </c>
      <c r="C27" t="s">
        <v>2016</v>
      </c>
      <c r="D27" s="7">
        <v>1981</v>
      </c>
      <c r="E27" t="s">
        <v>1556</v>
      </c>
      <c r="F27" t="s">
        <v>1172</v>
      </c>
      <c r="G27" t="s">
        <v>1557</v>
      </c>
      <c r="H27" t="s">
        <v>1173</v>
      </c>
      <c r="I27" s="7">
        <v>4.1399999999999997</v>
      </c>
      <c r="J27" s="7">
        <v>3.5</v>
      </c>
      <c r="K27" s="7">
        <v>3.5</v>
      </c>
      <c r="L27" s="7">
        <v>4</v>
      </c>
      <c r="M27" s="7">
        <v>4</v>
      </c>
      <c r="N27" s="7">
        <v>5</v>
      </c>
      <c r="O27" s="7">
        <v>4</v>
      </c>
      <c r="P27" s="7">
        <v>5</v>
      </c>
      <c r="Q27" t="s">
        <v>2003</v>
      </c>
      <c r="R27" s="7">
        <v>96</v>
      </c>
      <c r="S27" t="str">
        <f xml:space="preserve"> HYPERLINK("ReviewHtml/review_American_Pop.html", "https://2danicritic.github.io/ReviewHtml/review_American_Pop.html")</f>
        <v>https://2danicritic.github.io/ReviewHtml/review_American_Pop.html</v>
      </c>
    </row>
    <row r="28" spans="2:19" x14ac:dyDescent="0.35">
      <c r="B28" s="35">
        <v>25</v>
      </c>
      <c r="C28" t="s">
        <v>1254</v>
      </c>
      <c r="D28" s="7">
        <v>1986</v>
      </c>
      <c r="E28" t="s">
        <v>1556</v>
      </c>
      <c r="F28" t="s">
        <v>1284</v>
      </c>
      <c r="G28" t="s">
        <v>1557</v>
      </c>
      <c r="H28" t="s">
        <v>1039</v>
      </c>
      <c r="I28" s="7">
        <v>3.21</v>
      </c>
      <c r="J28" s="7">
        <v>3.5</v>
      </c>
      <c r="K28" s="7">
        <v>3.5</v>
      </c>
      <c r="L28" s="7">
        <v>3</v>
      </c>
      <c r="M28" s="7">
        <v>3</v>
      </c>
      <c r="N28" s="7">
        <v>3.5</v>
      </c>
      <c r="O28" s="7">
        <v>3</v>
      </c>
      <c r="P28" s="7">
        <v>3</v>
      </c>
      <c r="Q28" t="s">
        <v>296</v>
      </c>
      <c r="R28" s="7">
        <v>80</v>
      </c>
      <c r="S28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29" spans="2:19" x14ac:dyDescent="0.35">
      <c r="B29" s="35">
        <v>26</v>
      </c>
      <c r="C29" t="s">
        <v>1255</v>
      </c>
      <c r="D29" s="7">
        <v>1991</v>
      </c>
      <c r="E29" t="s">
        <v>1556</v>
      </c>
      <c r="F29" t="s">
        <v>1285</v>
      </c>
      <c r="G29" t="s">
        <v>1557</v>
      </c>
      <c r="H29" t="s">
        <v>1185</v>
      </c>
      <c r="I29" s="7">
        <v>3.29</v>
      </c>
      <c r="J29" s="7">
        <v>4</v>
      </c>
      <c r="K29" s="7">
        <v>4</v>
      </c>
      <c r="L29" s="7">
        <v>3.5</v>
      </c>
      <c r="M29" s="7">
        <v>4</v>
      </c>
      <c r="N29" s="7">
        <v>2</v>
      </c>
      <c r="O29" s="7">
        <v>3.5</v>
      </c>
      <c r="P29" s="7">
        <v>2</v>
      </c>
      <c r="Q29" t="s">
        <v>259</v>
      </c>
      <c r="R29" s="7">
        <v>74</v>
      </c>
      <c r="S29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30" spans="2:19" x14ac:dyDescent="0.35">
      <c r="B30" s="35">
        <v>27</v>
      </c>
      <c r="C30" t="s">
        <v>2410</v>
      </c>
      <c r="D30" s="7">
        <v>1997</v>
      </c>
      <c r="E30" t="s">
        <v>1556</v>
      </c>
      <c r="F30" t="s">
        <v>2411</v>
      </c>
      <c r="G30" t="s">
        <v>1557</v>
      </c>
      <c r="H30" t="s">
        <v>293</v>
      </c>
      <c r="I30" s="7">
        <v>4.1399999999999997</v>
      </c>
      <c r="J30" s="7">
        <v>4.5</v>
      </c>
      <c r="K30" s="7">
        <v>4.5</v>
      </c>
      <c r="L30" s="7">
        <v>4.5</v>
      </c>
      <c r="M30" s="7">
        <v>4</v>
      </c>
      <c r="N30" s="7">
        <v>4</v>
      </c>
      <c r="O30" s="7">
        <v>3.5</v>
      </c>
      <c r="P30" s="7">
        <v>4</v>
      </c>
      <c r="Q30" t="s">
        <v>2412</v>
      </c>
      <c r="R30" s="7">
        <v>94</v>
      </c>
      <c r="S30" t="str">
        <f xml:space="preserve"> HYPERLINK("ReviewHtml/review_Anastasia.html", "https://2danicritic.github.io/ReviewHtml/review_Anastasia.html")</f>
        <v>https://2danicritic.github.io/ReviewHtml/review_Anastasia.html</v>
      </c>
    </row>
    <row r="31" spans="2:19" x14ac:dyDescent="0.35">
      <c r="B31" s="35">
        <v>28</v>
      </c>
      <c r="C31" t="s">
        <v>673</v>
      </c>
      <c r="D31" s="7">
        <v>2010</v>
      </c>
      <c r="E31" t="s">
        <v>1554</v>
      </c>
      <c r="F31" t="s">
        <v>674</v>
      </c>
      <c r="G31" t="s">
        <v>1559</v>
      </c>
      <c r="H31" t="s">
        <v>675</v>
      </c>
      <c r="I31" s="7">
        <v>3.43</v>
      </c>
      <c r="J31" s="7">
        <v>3.5</v>
      </c>
      <c r="K31" s="7">
        <v>3.5</v>
      </c>
      <c r="L31" s="7">
        <v>3.5</v>
      </c>
      <c r="M31" s="7">
        <v>3</v>
      </c>
      <c r="N31" s="7">
        <v>3</v>
      </c>
      <c r="O31" s="7">
        <v>3.5</v>
      </c>
      <c r="P31" s="7">
        <v>4</v>
      </c>
      <c r="Q31" t="s">
        <v>66</v>
      </c>
      <c r="R31" s="7">
        <v>325</v>
      </c>
      <c r="S31" t="str">
        <f xml:space="preserve"> HYPERLINK("ReviewHtml/review_Angel_Beats.html", "https://2danicritic.github.io/ReviewHtml/review_Angel_Beats.html")</f>
        <v>https://2danicritic.github.io/ReviewHtml/review_Angel_Beats.html</v>
      </c>
    </row>
    <row r="32" spans="2:19" x14ac:dyDescent="0.35">
      <c r="B32" s="35">
        <v>29</v>
      </c>
      <c r="C32" t="s">
        <v>2695</v>
      </c>
      <c r="D32" s="7">
        <v>1985</v>
      </c>
      <c r="E32" t="s">
        <v>1554</v>
      </c>
      <c r="F32" t="s">
        <v>811</v>
      </c>
      <c r="G32" t="s">
        <v>1560</v>
      </c>
      <c r="H32" t="s">
        <v>836</v>
      </c>
      <c r="I32" s="7">
        <v>3.07</v>
      </c>
      <c r="J32" s="7">
        <v>2.5</v>
      </c>
      <c r="K32" s="7">
        <v>3.5</v>
      </c>
      <c r="L32" s="7">
        <v>4</v>
      </c>
      <c r="M32" s="7">
        <v>3</v>
      </c>
      <c r="N32" s="7">
        <v>3</v>
      </c>
      <c r="O32" s="7">
        <v>2</v>
      </c>
      <c r="P32" s="7">
        <v>3.5</v>
      </c>
      <c r="Q32" t="s">
        <v>2683</v>
      </c>
      <c r="R32" s="7">
        <v>71</v>
      </c>
      <c r="S32" t="str">
        <f xml:space="preserve"> HYPERLINK("ReviewHtml/review_Angel's_Egg.html", "https://2danicritic.github.io/ReviewHtml/review_Angel's_Egg.html")</f>
        <v>https://2danicritic.github.io/ReviewHtml/review_Angel's_Egg.html</v>
      </c>
    </row>
    <row r="33" spans="2:19" x14ac:dyDescent="0.35">
      <c r="B33" s="35">
        <v>30</v>
      </c>
      <c r="C33" t="s">
        <v>1561</v>
      </c>
      <c r="D33" s="7">
        <v>1988</v>
      </c>
      <c r="E33" t="s">
        <v>1554</v>
      </c>
      <c r="F33" t="s">
        <v>1562</v>
      </c>
      <c r="G33" t="s">
        <v>1560</v>
      </c>
      <c r="H33" t="s">
        <v>1563</v>
      </c>
      <c r="I33" s="7">
        <v>2.4300000000000002</v>
      </c>
      <c r="J33" s="7">
        <v>2</v>
      </c>
      <c r="K33" s="7">
        <v>2</v>
      </c>
      <c r="L33" s="7">
        <v>3</v>
      </c>
      <c r="M33" s="7">
        <v>2</v>
      </c>
      <c r="N33" s="7">
        <v>2</v>
      </c>
      <c r="O33" s="7">
        <v>3</v>
      </c>
      <c r="P33" s="7">
        <v>3</v>
      </c>
      <c r="Q33" t="s">
        <v>1528</v>
      </c>
      <c r="R33" s="7">
        <v>70</v>
      </c>
      <c r="S33" t="str">
        <f xml:space="preserve"> HYPERLINK("ReviewHtml/review_Appleseed.html", "https://2danicritic.github.io/ReviewHtml/review_Appleseed.html")</f>
        <v>https://2danicritic.github.io/ReviewHtml/review_Appleseed.html</v>
      </c>
    </row>
    <row r="34" spans="2:19" x14ac:dyDescent="0.35">
      <c r="B34" s="35">
        <v>31</v>
      </c>
      <c r="C34" t="s">
        <v>676</v>
      </c>
      <c r="D34" s="7">
        <v>2015</v>
      </c>
      <c r="E34" t="s">
        <v>1558</v>
      </c>
      <c r="F34" t="s">
        <v>677</v>
      </c>
      <c r="G34" t="s">
        <v>1557</v>
      </c>
      <c r="H34" t="s">
        <v>67</v>
      </c>
      <c r="I34" s="7">
        <v>3.5</v>
      </c>
      <c r="J34" s="7">
        <v>3.5</v>
      </c>
      <c r="K34" s="7">
        <v>4</v>
      </c>
      <c r="L34" s="7">
        <v>3</v>
      </c>
      <c r="M34" s="7">
        <v>3</v>
      </c>
      <c r="N34" s="7">
        <v>3.5</v>
      </c>
      <c r="O34" s="7">
        <v>3.5</v>
      </c>
      <c r="P34" s="7">
        <v>4</v>
      </c>
      <c r="Q34" t="s">
        <v>68</v>
      </c>
      <c r="R34" s="7">
        <v>106</v>
      </c>
      <c r="S3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35" spans="2:19" x14ac:dyDescent="0.35">
      <c r="B35" s="35">
        <v>32</v>
      </c>
      <c r="C35" t="s">
        <v>1955</v>
      </c>
      <c r="D35" s="7">
        <v>1982</v>
      </c>
      <c r="E35" t="s">
        <v>1554</v>
      </c>
      <c r="F35" t="s">
        <v>681</v>
      </c>
      <c r="G35" t="s">
        <v>1557</v>
      </c>
      <c r="H35" t="s">
        <v>1971</v>
      </c>
      <c r="I35" s="7">
        <v>2.5</v>
      </c>
      <c r="J35" s="7">
        <v>2</v>
      </c>
      <c r="K35" s="7">
        <v>2.5</v>
      </c>
      <c r="L35" s="7">
        <v>3.5</v>
      </c>
      <c r="M35" s="7">
        <v>3</v>
      </c>
      <c r="N35" s="7">
        <v>2</v>
      </c>
      <c r="O35" s="7">
        <v>2</v>
      </c>
      <c r="P35" s="7">
        <v>2.5</v>
      </c>
      <c r="Q35" t="s">
        <v>1944</v>
      </c>
      <c r="R35" s="7">
        <v>130</v>
      </c>
      <c r="S35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</row>
    <row r="36" spans="2:19" x14ac:dyDescent="0.35">
      <c r="B36" s="35">
        <v>33</v>
      </c>
      <c r="C36" t="s">
        <v>2071</v>
      </c>
      <c r="D36" s="7">
        <v>2005</v>
      </c>
      <c r="E36" t="s">
        <v>1554</v>
      </c>
      <c r="F36" t="s">
        <v>1423</v>
      </c>
      <c r="G36" t="s">
        <v>1559</v>
      </c>
      <c r="H36" t="s">
        <v>2072</v>
      </c>
      <c r="I36" s="7">
        <v>3</v>
      </c>
      <c r="J36" s="7">
        <v>2</v>
      </c>
      <c r="K36" s="7">
        <v>3</v>
      </c>
      <c r="L36" s="7">
        <v>3.5</v>
      </c>
      <c r="M36" s="7">
        <v>3.5</v>
      </c>
      <c r="N36" s="7">
        <v>2.5</v>
      </c>
      <c r="O36" s="7">
        <v>3</v>
      </c>
      <c r="P36" s="7">
        <v>3.5</v>
      </c>
      <c r="Q36" t="s">
        <v>2073</v>
      </c>
      <c r="R36" s="7">
        <v>325</v>
      </c>
      <c r="S36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</row>
    <row r="37" spans="2:19" x14ac:dyDescent="0.35">
      <c r="B37" s="35">
        <v>34</v>
      </c>
      <c r="C37" t="s">
        <v>2074</v>
      </c>
      <c r="D37" s="7">
        <v>1986</v>
      </c>
      <c r="E37" t="s">
        <v>1554</v>
      </c>
      <c r="F37" t="s">
        <v>759</v>
      </c>
      <c r="G37" t="s">
        <v>1557</v>
      </c>
      <c r="H37" t="s">
        <v>2075</v>
      </c>
      <c r="I37" s="7">
        <v>2.79</v>
      </c>
      <c r="J37" s="7">
        <v>2.5</v>
      </c>
      <c r="K37" s="7">
        <v>2.5</v>
      </c>
      <c r="L37" s="7">
        <v>3</v>
      </c>
      <c r="M37" s="7">
        <v>2.5</v>
      </c>
      <c r="N37" s="7">
        <v>2.5</v>
      </c>
      <c r="O37" s="7">
        <v>3</v>
      </c>
      <c r="P37" s="7">
        <v>3.5</v>
      </c>
      <c r="Q37" t="s">
        <v>130</v>
      </c>
      <c r="R37" s="7">
        <v>118</v>
      </c>
      <c r="S37" t="str">
        <f xml:space="preserve"> HYPERLINK("ReviewHtml/review_Arion.html", "https://2danicritic.github.io/ReviewHtml/review_Arion.html")</f>
        <v>https://2danicritic.github.io/ReviewHtml/review_Arion.html</v>
      </c>
    </row>
    <row r="38" spans="2:19" x14ac:dyDescent="0.35">
      <c r="B38" s="35">
        <v>35</v>
      </c>
      <c r="C38" t="s">
        <v>1956</v>
      </c>
      <c r="D38" s="7">
        <v>2015</v>
      </c>
      <c r="E38" t="s">
        <v>1554</v>
      </c>
      <c r="F38" t="s">
        <v>948</v>
      </c>
      <c r="G38" t="s">
        <v>1559</v>
      </c>
      <c r="H38" t="s">
        <v>675</v>
      </c>
      <c r="I38" s="7">
        <v>3.43</v>
      </c>
      <c r="J38" s="7">
        <v>3</v>
      </c>
      <c r="K38" s="7">
        <v>3</v>
      </c>
      <c r="L38" s="7">
        <v>3</v>
      </c>
      <c r="M38" s="7">
        <v>4</v>
      </c>
      <c r="N38" s="7">
        <v>3.5</v>
      </c>
      <c r="O38" s="7">
        <v>4</v>
      </c>
      <c r="P38" s="7">
        <v>3.5</v>
      </c>
      <c r="Q38" t="s">
        <v>1541</v>
      </c>
      <c r="R38" s="7">
        <v>1175</v>
      </c>
      <c r="S38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</row>
    <row r="39" spans="2:19" x14ac:dyDescent="0.35">
      <c r="B39" s="35">
        <v>36</v>
      </c>
      <c r="C39" t="s">
        <v>2264</v>
      </c>
      <c r="D39" s="7">
        <v>2001</v>
      </c>
      <c r="E39" t="s">
        <v>1556</v>
      </c>
      <c r="F39" t="s">
        <v>2260</v>
      </c>
      <c r="G39" t="s">
        <v>1557</v>
      </c>
      <c r="H39" t="s">
        <v>2205</v>
      </c>
      <c r="I39" s="7">
        <v>3.71</v>
      </c>
      <c r="J39" s="7">
        <v>3.5</v>
      </c>
      <c r="K39" s="7">
        <v>4</v>
      </c>
      <c r="L39" s="7">
        <v>4</v>
      </c>
      <c r="M39" s="7">
        <v>3.5</v>
      </c>
      <c r="N39" s="7">
        <v>4</v>
      </c>
      <c r="O39" s="7">
        <v>3.5</v>
      </c>
      <c r="P39" s="7">
        <v>3.5</v>
      </c>
      <c r="Q39" t="s">
        <v>2206</v>
      </c>
      <c r="R39" s="7">
        <v>96</v>
      </c>
      <c r="S39" t="str">
        <f xml:space="preserve"> HYPERLINK("ReviewHtml/review_Atlantis_-_The_Lost_Empire.html", "https://2danicritic.github.io/ReviewHtml/review_Atlantis_-_The_Lost_Empire.html")</f>
        <v>https://2danicritic.github.io/ReviewHtml/review_Atlantis_-_The_Lost_Empire.html</v>
      </c>
    </row>
    <row r="40" spans="2:19" x14ac:dyDescent="0.35">
      <c r="B40" s="35">
        <v>37</v>
      </c>
      <c r="C40" t="s">
        <v>1366</v>
      </c>
      <c r="D40" s="7">
        <v>2013</v>
      </c>
      <c r="E40" t="s">
        <v>1554</v>
      </c>
      <c r="F40" t="s">
        <v>1085</v>
      </c>
      <c r="G40" t="s">
        <v>1559</v>
      </c>
      <c r="H40" t="s">
        <v>783</v>
      </c>
      <c r="I40" s="7">
        <v>3.86</v>
      </c>
      <c r="J40" s="7">
        <v>4</v>
      </c>
      <c r="K40" s="7">
        <v>3.5</v>
      </c>
      <c r="L40" s="7">
        <v>4</v>
      </c>
      <c r="M40" s="7">
        <v>3.5</v>
      </c>
      <c r="N40" s="7">
        <v>4</v>
      </c>
      <c r="O40" s="7">
        <v>4</v>
      </c>
      <c r="P40" s="7">
        <v>4</v>
      </c>
      <c r="Q40" t="s">
        <v>1331</v>
      </c>
      <c r="R40" s="7">
        <v>625</v>
      </c>
      <c r="S40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41" spans="2:19" x14ac:dyDescent="0.35">
      <c r="B41" s="35">
        <v>38</v>
      </c>
      <c r="C41" t="s">
        <v>678</v>
      </c>
      <c r="D41" s="7">
        <v>2013</v>
      </c>
      <c r="E41" t="s">
        <v>1554</v>
      </c>
      <c r="F41" t="s">
        <v>679</v>
      </c>
      <c r="G41" t="s">
        <v>1557</v>
      </c>
      <c r="H41" t="s">
        <v>675</v>
      </c>
      <c r="I41" s="7">
        <v>3.14</v>
      </c>
      <c r="J41" s="7">
        <v>3</v>
      </c>
      <c r="K41" s="7">
        <v>3</v>
      </c>
      <c r="L41" s="7">
        <v>4</v>
      </c>
      <c r="M41" s="7">
        <v>2.5</v>
      </c>
      <c r="N41" s="7">
        <v>3.5</v>
      </c>
      <c r="O41" s="7">
        <v>3</v>
      </c>
      <c r="P41" s="7">
        <v>3</v>
      </c>
      <c r="Q41" t="s">
        <v>69</v>
      </c>
      <c r="R41" s="7">
        <v>83</v>
      </c>
      <c r="S41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42" spans="2:19" x14ac:dyDescent="0.35">
      <c r="B42" s="35">
        <v>39</v>
      </c>
      <c r="C42" t="s">
        <v>1711</v>
      </c>
      <c r="D42" s="7">
        <v>2013</v>
      </c>
      <c r="E42" t="s">
        <v>1558</v>
      </c>
      <c r="F42" t="s">
        <v>1120</v>
      </c>
      <c r="G42" t="s">
        <v>1557</v>
      </c>
      <c r="H42" t="s">
        <v>1663</v>
      </c>
      <c r="I42" s="7">
        <v>2.64</v>
      </c>
      <c r="J42" s="7">
        <v>2.5</v>
      </c>
      <c r="K42" s="7">
        <v>3</v>
      </c>
      <c r="L42" s="7">
        <v>2.5</v>
      </c>
      <c r="M42" s="7">
        <v>3</v>
      </c>
      <c r="N42" s="7">
        <v>2.5</v>
      </c>
      <c r="O42" s="7">
        <v>2.5</v>
      </c>
      <c r="P42" s="7">
        <v>2.5</v>
      </c>
      <c r="Q42" t="s">
        <v>170</v>
      </c>
      <c r="R42" s="7">
        <v>84</v>
      </c>
      <c r="S42" t="str">
        <f xml:space="preserve"> HYPERLINK("ReviewHtml/review_Aya_of_Yop_City.html", "https://2danicritic.github.io/ReviewHtml/review_Aya_of_Yop_City.html")</f>
        <v>https://2danicritic.github.io/ReviewHtml/review_Aya_of_Yop_City.html</v>
      </c>
    </row>
    <row r="43" spans="2:19" x14ac:dyDescent="0.35">
      <c r="B43" s="35">
        <v>40</v>
      </c>
      <c r="C43" t="s">
        <v>680</v>
      </c>
      <c r="D43" s="7">
        <v>2006</v>
      </c>
      <c r="E43" t="s">
        <v>1554</v>
      </c>
      <c r="F43" t="s">
        <v>681</v>
      </c>
      <c r="G43" t="s">
        <v>1559</v>
      </c>
      <c r="H43" t="s">
        <v>682</v>
      </c>
      <c r="I43" s="7">
        <v>2.86</v>
      </c>
      <c r="J43" s="7">
        <v>3.5</v>
      </c>
      <c r="K43" s="7">
        <v>3</v>
      </c>
      <c r="L43" s="7">
        <v>3.5</v>
      </c>
      <c r="M43" s="7">
        <v>2</v>
      </c>
      <c r="N43" s="7">
        <v>2.5</v>
      </c>
      <c r="O43" s="7">
        <v>2.5</v>
      </c>
      <c r="P43" s="7">
        <v>3</v>
      </c>
      <c r="Q43" t="s">
        <v>70</v>
      </c>
      <c r="R43" s="7">
        <v>95</v>
      </c>
      <c r="S43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44" spans="2:19" x14ac:dyDescent="0.35">
      <c r="B44" s="35">
        <v>41</v>
      </c>
      <c r="C44" t="s">
        <v>683</v>
      </c>
      <c r="D44" s="7">
        <v>2002</v>
      </c>
      <c r="E44" t="s">
        <v>1554</v>
      </c>
      <c r="F44" t="s">
        <v>670</v>
      </c>
      <c r="G44" t="s">
        <v>1559</v>
      </c>
      <c r="H44" t="s">
        <v>684</v>
      </c>
      <c r="I44" s="7">
        <v>2.93</v>
      </c>
      <c r="J44" s="7">
        <v>2</v>
      </c>
      <c r="K44" s="7">
        <v>2</v>
      </c>
      <c r="L44" s="7">
        <v>3.5</v>
      </c>
      <c r="M44" s="7">
        <v>3</v>
      </c>
      <c r="N44" s="7">
        <v>2</v>
      </c>
      <c r="O44" s="7">
        <v>4</v>
      </c>
      <c r="P44" s="7">
        <v>4</v>
      </c>
      <c r="Q44" t="s">
        <v>71</v>
      </c>
      <c r="R44" s="7">
        <v>650</v>
      </c>
      <c r="S44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45" spans="2:19" x14ac:dyDescent="0.35">
      <c r="B45" s="35">
        <v>42</v>
      </c>
      <c r="C45" t="s">
        <v>2076</v>
      </c>
      <c r="D45" s="7">
        <v>2019</v>
      </c>
      <c r="E45" t="s">
        <v>1554</v>
      </c>
      <c r="F45" t="s">
        <v>2077</v>
      </c>
      <c r="G45" t="s">
        <v>1559</v>
      </c>
      <c r="H45" t="s">
        <v>2078</v>
      </c>
      <c r="I45" s="7">
        <v>3.71</v>
      </c>
      <c r="J45" s="7">
        <v>3</v>
      </c>
      <c r="K45" s="7">
        <v>3.5</v>
      </c>
      <c r="L45" s="7">
        <v>4</v>
      </c>
      <c r="M45" s="7">
        <v>4</v>
      </c>
      <c r="N45" s="7">
        <v>4</v>
      </c>
      <c r="O45" s="7">
        <v>3.5</v>
      </c>
      <c r="P45" s="7">
        <v>4</v>
      </c>
      <c r="Q45" t="s">
        <v>1358</v>
      </c>
      <c r="R45" s="7">
        <v>300</v>
      </c>
      <c r="S45" t="str">
        <f xml:space="preserve"> HYPERLINK("ReviewHtml/review_Babylon.html", "https://2danicritic.github.io/ReviewHtml/review_Babylon.html")</f>
        <v>https://2danicritic.github.io/ReviewHtml/review_Babylon.html</v>
      </c>
    </row>
    <row r="46" spans="2:19" x14ac:dyDescent="0.35">
      <c r="B46" s="35">
        <v>43</v>
      </c>
      <c r="C46" t="s">
        <v>685</v>
      </c>
      <c r="D46" s="7">
        <v>2007</v>
      </c>
      <c r="E46" t="s">
        <v>1554</v>
      </c>
      <c r="F46" t="s">
        <v>686</v>
      </c>
      <c r="G46" t="s">
        <v>1559</v>
      </c>
      <c r="H46" t="s">
        <v>687</v>
      </c>
      <c r="I46" s="7">
        <v>4.07</v>
      </c>
      <c r="J46" s="7">
        <v>3.5</v>
      </c>
      <c r="K46" s="7">
        <v>3.5</v>
      </c>
      <c r="L46" s="7">
        <v>4.5</v>
      </c>
      <c r="M46" s="7">
        <v>4</v>
      </c>
      <c r="N46" s="7">
        <v>3.5</v>
      </c>
      <c r="O46" s="7">
        <v>4.5</v>
      </c>
      <c r="P46" s="7">
        <v>5</v>
      </c>
      <c r="Q46" t="s">
        <v>72</v>
      </c>
      <c r="R46" s="7">
        <v>400</v>
      </c>
      <c r="S46" t="str">
        <f xml:space="preserve"> HYPERLINK("ReviewHtml/review_Baccano!.html", "https://2danicritic.github.io/ReviewHtml/review_Baccano!.html")</f>
        <v>https://2danicritic.github.io/ReviewHtml/review_Baccano!.html</v>
      </c>
    </row>
    <row r="47" spans="2:19" x14ac:dyDescent="0.35">
      <c r="B47" s="35">
        <v>44</v>
      </c>
      <c r="C47" t="s">
        <v>1564</v>
      </c>
      <c r="D47" s="7">
        <v>2010</v>
      </c>
      <c r="E47" t="s">
        <v>1554</v>
      </c>
      <c r="F47" t="s">
        <v>798</v>
      </c>
      <c r="G47" t="s">
        <v>1559</v>
      </c>
      <c r="H47" t="s">
        <v>799</v>
      </c>
      <c r="I47" s="7">
        <v>3.14</v>
      </c>
      <c r="J47" s="7">
        <v>2.5</v>
      </c>
      <c r="K47" s="7">
        <v>2.5</v>
      </c>
      <c r="L47" s="7">
        <v>3.5</v>
      </c>
      <c r="M47" s="7">
        <v>3.5</v>
      </c>
      <c r="N47" s="7">
        <v>2.5</v>
      </c>
      <c r="O47" s="7">
        <v>4</v>
      </c>
      <c r="P47" s="7">
        <v>3.5</v>
      </c>
      <c r="Q47" t="s">
        <v>161</v>
      </c>
      <c r="R47" s="7">
        <v>742</v>
      </c>
      <c r="S47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</row>
    <row r="48" spans="2:19" x14ac:dyDescent="0.35">
      <c r="B48" s="35">
        <v>45</v>
      </c>
      <c r="C48" t="s">
        <v>688</v>
      </c>
      <c r="D48" s="7">
        <v>2009</v>
      </c>
      <c r="E48" t="s">
        <v>1554</v>
      </c>
      <c r="F48" t="s">
        <v>689</v>
      </c>
      <c r="G48" t="s">
        <v>1559</v>
      </c>
      <c r="H48" t="s">
        <v>73</v>
      </c>
      <c r="I48" s="7">
        <v>4.29</v>
      </c>
      <c r="J48" s="7">
        <v>4</v>
      </c>
      <c r="K48" s="7">
        <v>4.5</v>
      </c>
      <c r="L48" s="7">
        <v>4.5</v>
      </c>
      <c r="M48" s="7">
        <v>4</v>
      </c>
      <c r="N48" s="7">
        <v>4</v>
      </c>
      <c r="O48" s="7">
        <v>4</v>
      </c>
      <c r="P48" s="7">
        <v>5</v>
      </c>
      <c r="Q48" t="s">
        <v>74</v>
      </c>
      <c r="R48" s="7">
        <v>375</v>
      </c>
      <c r="S48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49" spans="2:19" x14ac:dyDescent="0.35">
      <c r="B49" s="35">
        <v>46</v>
      </c>
      <c r="C49" t="s">
        <v>1256</v>
      </c>
      <c r="D49" s="7">
        <v>1995</v>
      </c>
      <c r="E49" t="s">
        <v>1556</v>
      </c>
      <c r="F49" t="s">
        <v>1285</v>
      </c>
      <c r="G49" t="s">
        <v>1557</v>
      </c>
      <c r="H49" t="s">
        <v>1297</v>
      </c>
      <c r="I49" s="7">
        <v>3.57</v>
      </c>
      <c r="J49" s="7">
        <v>4</v>
      </c>
      <c r="K49" s="7">
        <v>3.5</v>
      </c>
      <c r="L49" s="7">
        <v>3</v>
      </c>
      <c r="M49" s="7">
        <v>4</v>
      </c>
      <c r="N49" s="7">
        <v>3.5</v>
      </c>
      <c r="O49" s="7">
        <v>3.5</v>
      </c>
      <c r="P49" s="7">
        <v>3.5</v>
      </c>
      <c r="Q49" t="s">
        <v>1186</v>
      </c>
      <c r="R49" s="7">
        <v>77</v>
      </c>
      <c r="S49" t="str">
        <f xml:space="preserve"> HYPERLINK("ReviewHtml/review_Balto.html", "https://2danicritic.github.io/ReviewHtml/review_Balto.html")</f>
        <v>https://2danicritic.github.io/ReviewHtml/review_Balto.html</v>
      </c>
    </row>
    <row r="50" spans="2:19" x14ac:dyDescent="0.35">
      <c r="B50" s="35">
        <v>47</v>
      </c>
      <c r="C50" t="s">
        <v>2265</v>
      </c>
      <c r="D50" s="7">
        <v>1942</v>
      </c>
      <c r="E50" t="s">
        <v>1556</v>
      </c>
      <c r="F50" t="s">
        <v>2260</v>
      </c>
      <c r="G50" t="s">
        <v>1557</v>
      </c>
      <c r="H50" t="s">
        <v>2266</v>
      </c>
      <c r="I50" s="7">
        <v>4.43</v>
      </c>
      <c r="J50" s="7">
        <v>4</v>
      </c>
      <c r="K50" s="7">
        <v>4</v>
      </c>
      <c r="L50" s="7">
        <v>4.5</v>
      </c>
      <c r="M50" s="7">
        <v>4.5</v>
      </c>
      <c r="N50" s="7">
        <v>5</v>
      </c>
      <c r="O50" s="7">
        <v>4</v>
      </c>
      <c r="P50" s="7">
        <v>5</v>
      </c>
      <c r="Q50" t="s">
        <v>202</v>
      </c>
      <c r="R50" s="7">
        <v>70</v>
      </c>
      <c r="S50" t="str">
        <f xml:space="preserve"> HYPERLINK("ReviewHtml/review_Bambi.html", "https://2danicritic.github.io/ReviewHtml/review_Bambi.html")</f>
        <v>https://2danicritic.github.io/ReviewHtml/review_Bambi.html</v>
      </c>
    </row>
    <row r="51" spans="2:19" x14ac:dyDescent="0.35">
      <c r="B51" s="35">
        <v>48</v>
      </c>
      <c r="C51" t="s">
        <v>1712</v>
      </c>
      <c r="D51" s="7">
        <v>2014</v>
      </c>
      <c r="E51" t="s">
        <v>1554</v>
      </c>
      <c r="F51" t="s">
        <v>1594</v>
      </c>
      <c r="G51" t="s">
        <v>1559</v>
      </c>
      <c r="H51" t="s">
        <v>1713</v>
      </c>
      <c r="I51" s="7">
        <v>3.36</v>
      </c>
      <c r="J51" s="7">
        <v>3</v>
      </c>
      <c r="K51" s="7">
        <v>3.5</v>
      </c>
      <c r="L51" s="7">
        <v>3</v>
      </c>
      <c r="M51" s="7">
        <v>3.5</v>
      </c>
      <c r="N51" s="7">
        <v>3.5</v>
      </c>
      <c r="O51" s="7">
        <v>3.5</v>
      </c>
      <c r="P51" s="7">
        <v>3.5</v>
      </c>
      <c r="Q51" t="s">
        <v>110</v>
      </c>
      <c r="R51" s="7">
        <v>300</v>
      </c>
      <c r="S51" t="str">
        <f xml:space="preserve"> HYPERLINK("ReviewHtml/review_Barakamon.html", "https://2danicritic.github.io/ReviewHtml/review_Barakamon.html")</f>
        <v>https://2danicritic.github.io/ReviewHtml/review_Barakamon.html</v>
      </c>
    </row>
    <row r="52" spans="2:19" x14ac:dyDescent="0.35">
      <c r="B52" s="35">
        <v>49</v>
      </c>
      <c r="C52" t="s">
        <v>2267</v>
      </c>
      <c r="D52" s="7">
        <v>2022</v>
      </c>
      <c r="E52" t="s">
        <v>1556</v>
      </c>
      <c r="F52" t="s">
        <v>2268</v>
      </c>
      <c r="G52" t="s">
        <v>1557</v>
      </c>
      <c r="H52" t="s">
        <v>2269</v>
      </c>
      <c r="I52" s="7">
        <v>1.57</v>
      </c>
      <c r="J52" s="7">
        <v>1.5</v>
      </c>
      <c r="K52" s="7">
        <v>1</v>
      </c>
      <c r="L52" s="7">
        <v>1.5</v>
      </c>
      <c r="M52" s="7">
        <v>1.5</v>
      </c>
      <c r="N52" s="7">
        <v>1.5</v>
      </c>
      <c r="O52" s="7">
        <v>2</v>
      </c>
      <c r="P52" s="7">
        <v>2</v>
      </c>
      <c r="Q52" t="s">
        <v>2207</v>
      </c>
      <c r="R52" s="7">
        <v>78</v>
      </c>
      <c r="S52" t="str">
        <f xml:space="preserve"> HYPERLINK("ReviewHtml/review_Barber_Westchester.html", "https://2danicritic.github.io/ReviewHtml/review_Barber_Westchester.html")</f>
        <v>https://2danicritic.github.io/ReviewHtml/review_Barber_Westchester.html</v>
      </c>
    </row>
    <row r="53" spans="2:19" x14ac:dyDescent="0.35">
      <c r="B53" s="35">
        <v>50</v>
      </c>
      <c r="C53" t="s">
        <v>690</v>
      </c>
      <c r="D53" s="7">
        <v>1983</v>
      </c>
      <c r="E53" t="s">
        <v>1554</v>
      </c>
      <c r="F53" t="s">
        <v>691</v>
      </c>
      <c r="G53" t="s">
        <v>1557</v>
      </c>
      <c r="H53" t="s">
        <v>692</v>
      </c>
      <c r="I53" s="7">
        <v>2.5</v>
      </c>
      <c r="J53" s="7">
        <v>2.5</v>
      </c>
      <c r="K53" s="7">
        <v>2.5</v>
      </c>
      <c r="L53" s="7">
        <v>2.5</v>
      </c>
      <c r="M53" s="7">
        <v>1</v>
      </c>
      <c r="N53" s="7">
        <v>3</v>
      </c>
      <c r="O53" s="7">
        <v>2.5</v>
      </c>
      <c r="P53" s="7">
        <v>3.5</v>
      </c>
      <c r="Q53" t="s">
        <v>335</v>
      </c>
      <c r="R53" s="7">
        <v>85</v>
      </c>
      <c r="S53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54" spans="2:19" x14ac:dyDescent="0.35">
      <c r="B54" s="35">
        <v>51</v>
      </c>
      <c r="C54" t="s">
        <v>693</v>
      </c>
      <c r="D54" s="7">
        <v>1986</v>
      </c>
      <c r="E54" t="s">
        <v>1554</v>
      </c>
      <c r="F54" t="s">
        <v>694</v>
      </c>
      <c r="G54" t="s">
        <v>1557</v>
      </c>
      <c r="H54" t="s">
        <v>695</v>
      </c>
      <c r="I54" s="7">
        <v>2.29</v>
      </c>
      <c r="J54" s="7">
        <v>2</v>
      </c>
      <c r="K54" s="7">
        <v>2.5</v>
      </c>
      <c r="L54" s="7">
        <v>2</v>
      </c>
      <c r="M54" s="7">
        <v>1</v>
      </c>
      <c r="N54" s="7">
        <v>3</v>
      </c>
      <c r="O54" s="7">
        <v>2.5</v>
      </c>
      <c r="P54" s="7">
        <v>3</v>
      </c>
      <c r="Q54" t="s">
        <v>336</v>
      </c>
      <c r="R54" s="7">
        <v>85</v>
      </c>
      <c r="S54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55" spans="2:19" x14ac:dyDescent="0.35">
      <c r="B55" s="35">
        <v>52</v>
      </c>
      <c r="C55" t="s">
        <v>1957</v>
      </c>
      <c r="D55" s="7">
        <v>2006</v>
      </c>
      <c r="E55" t="s">
        <v>1554</v>
      </c>
      <c r="F55" t="s">
        <v>661</v>
      </c>
      <c r="G55" t="s">
        <v>1559</v>
      </c>
      <c r="H55" t="s">
        <v>1972</v>
      </c>
      <c r="I55" s="7">
        <v>3.14</v>
      </c>
      <c r="J55" s="7">
        <v>2.5</v>
      </c>
      <c r="K55" s="7">
        <v>3</v>
      </c>
      <c r="L55" s="7">
        <v>3.5</v>
      </c>
      <c r="M55" s="7">
        <v>3</v>
      </c>
      <c r="N55" s="7">
        <v>3.5</v>
      </c>
      <c r="O55" s="7">
        <v>3</v>
      </c>
      <c r="P55" s="7">
        <v>3.5</v>
      </c>
      <c r="Q55" t="s">
        <v>291</v>
      </c>
      <c r="R55" s="7">
        <v>275</v>
      </c>
      <c r="S55" s="36" t="str">
        <f xml:space="preserve"> HYPERLINK("ReviewHtml/review_Bartender.html", "https://2danicritic.github.io/ReviewHtml/review_Bartender.html")</f>
        <v>https://2danicritic.github.io/ReviewHtml/review_Bartender.html</v>
      </c>
    </row>
    <row r="56" spans="2:19" x14ac:dyDescent="0.35">
      <c r="B56" s="35">
        <v>53</v>
      </c>
      <c r="C56" t="s">
        <v>2578</v>
      </c>
      <c r="D56" s="7">
        <v>2019</v>
      </c>
      <c r="E56" t="s">
        <v>1556</v>
      </c>
      <c r="F56" t="s">
        <v>1071</v>
      </c>
      <c r="G56" t="s">
        <v>1557</v>
      </c>
      <c r="H56" t="s">
        <v>2564</v>
      </c>
      <c r="I56" s="7">
        <v>3</v>
      </c>
      <c r="J56" s="7">
        <v>2</v>
      </c>
      <c r="K56" s="7">
        <v>2.5</v>
      </c>
      <c r="L56" s="7">
        <v>3.5</v>
      </c>
      <c r="M56" s="7">
        <v>3.5</v>
      </c>
      <c r="N56" s="7">
        <v>3</v>
      </c>
      <c r="O56" s="7">
        <v>3.5</v>
      </c>
      <c r="P56" s="7">
        <v>3</v>
      </c>
      <c r="Q56" t="s">
        <v>1209</v>
      </c>
      <c r="R56" s="7">
        <v>1355</v>
      </c>
      <c r="S56" t="str">
        <f xml:space="preserve"> HYPERLINK("ReviewHtml/review_Batman_-_80th_Anniversary_-_18-Film_Collection.html", "https://2danicritic.github.io/ReviewHtml/review_Batman_-_80th_Anniversary_-_18-Film_Collection.html")</f>
        <v>https://2danicritic.github.io/ReviewHtml/review_Batman_-_80th_Anniversary_-_18-Film_Collection.html</v>
      </c>
    </row>
    <row r="57" spans="2:19" x14ac:dyDescent="0.35">
      <c r="B57" s="35">
        <v>54</v>
      </c>
      <c r="C57" t="s">
        <v>2579</v>
      </c>
      <c r="D57" s="7">
        <v>2019</v>
      </c>
      <c r="E57" t="s">
        <v>1556</v>
      </c>
      <c r="F57" t="s">
        <v>1071</v>
      </c>
      <c r="G57" t="s">
        <v>1557</v>
      </c>
      <c r="H57" t="s">
        <v>2564</v>
      </c>
      <c r="I57" s="7">
        <v>3</v>
      </c>
      <c r="J57" s="7">
        <v>2</v>
      </c>
      <c r="K57" s="7">
        <v>2.5</v>
      </c>
      <c r="L57" s="7">
        <v>3.5</v>
      </c>
      <c r="M57" s="7">
        <v>3.5</v>
      </c>
      <c r="N57" s="7">
        <v>3</v>
      </c>
      <c r="O57" s="7">
        <v>3.5</v>
      </c>
      <c r="P57" s="7">
        <v>3</v>
      </c>
      <c r="Q57" t="s">
        <v>1209</v>
      </c>
      <c r="R57" s="7">
        <v>0</v>
      </c>
      <c r="S57" t="str">
        <f xml:space="preserve"> HYPERLINK("ReviewHtml/review_Batman_–_80th_Anniversary_–_18-Film_Collection_-_Part_2.html", "https://2danicritic.github.io/ReviewHtml/review_Batman_–_80th_Anniversary_–_18-Film_Collection_-_Part_2.html")</f>
        <v>https://2danicritic.github.io/ReviewHtml/review_Batman_–_80th_Anniversary_–_18-Film_Collection_-_Part_2.html</v>
      </c>
    </row>
    <row r="58" spans="2:19" x14ac:dyDescent="0.35">
      <c r="B58" s="35">
        <v>55</v>
      </c>
      <c r="C58" t="s">
        <v>2413</v>
      </c>
      <c r="D58" s="7">
        <v>2008</v>
      </c>
      <c r="E58" t="s">
        <v>2414</v>
      </c>
      <c r="F58" t="s">
        <v>2415</v>
      </c>
      <c r="G58" t="s">
        <v>1555</v>
      </c>
      <c r="H58" t="s">
        <v>2416</v>
      </c>
      <c r="I58" s="7">
        <v>3.86</v>
      </c>
      <c r="J58" s="7">
        <v>3.5</v>
      </c>
      <c r="K58" s="7">
        <v>4</v>
      </c>
      <c r="L58" s="7">
        <v>4</v>
      </c>
      <c r="M58" s="7">
        <v>4.5</v>
      </c>
      <c r="N58" s="7">
        <v>3.5</v>
      </c>
      <c r="O58" s="7">
        <v>4</v>
      </c>
      <c r="P58" s="7">
        <v>3.5</v>
      </c>
      <c r="Q58" t="s">
        <v>2417</v>
      </c>
      <c r="R58" s="7">
        <v>76</v>
      </c>
      <c r="S58" t="str">
        <f xml:space="preserve"> HYPERLINK("ReviewHtml/review_Batman_-_Gotham_Knight.html", "https://2danicritic.github.io/ReviewHtml/review_Batman_-_Gotham_Knight.html")</f>
        <v>https://2danicritic.github.io/ReviewHtml/review_Batman_-_Gotham_Knight.html</v>
      </c>
    </row>
    <row r="59" spans="2:19" x14ac:dyDescent="0.35">
      <c r="B59" s="35">
        <v>56</v>
      </c>
      <c r="C59" t="s">
        <v>2079</v>
      </c>
      <c r="D59" s="7">
        <v>2021</v>
      </c>
      <c r="E59" t="s">
        <v>1556</v>
      </c>
      <c r="F59" t="s">
        <v>697</v>
      </c>
      <c r="G59" t="s">
        <v>1557</v>
      </c>
      <c r="H59" t="s">
        <v>2080</v>
      </c>
      <c r="I59" s="7">
        <v>3.14</v>
      </c>
      <c r="J59" s="7">
        <v>2.5</v>
      </c>
      <c r="K59" s="7">
        <v>3</v>
      </c>
      <c r="L59" s="7">
        <v>3.5</v>
      </c>
      <c r="M59" s="7">
        <v>3.5</v>
      </c>
      <c r="N59" s="7">
        <v>3.5</v>
      </c>
      <c r="O59" s="7">
        <v>3</v>
      </c>
      <c r="P59" s="7">
        <v>3</v>
      </c>
      <c r="Q59" t="s">
        <v>2081</v>
      </c>
      <c r="R59" s="7">
        <v>187</v>
      </c>
      <c r="S59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</row>
    <row r="60" spans="2:19" x14ac:dyDescent="0.35">
      <c r="B60" s="35">
        <v>57</v>
      </c>
      <c r="C60" t="s">
        <v>696</v>
      </c>
      <c r="D60" s="7">
        <v>2018</v>
      </c>
      <c r="E60" t="s">
        <v>1554</v>
      </c>
      <c r="F60" t="s">
        <v>697</v>
      </c>
      <c r="G60" t="s">
        <v>1557</v>
      </c>
      <c r="H60" t="s">
        <v>698</v>
      </c>
      <c r="I60" s="7">
        <v>3.57</v>
      </c>
      <c r="J60" s="7">
        <v>4</v>
      </c>
      <c r="K60" s="7">
        <v>4</v>
      </c>
      <c r="L60" s="7">
        <v>4</v>
      </c>
      <c r="M60" s="7">
        <v>3.5</v>
      </c>
      <c r="N60" s="7">
        <v>2</v>
      </c>
      <c r="O60" s="7">
        <v>4</v>
      </c>
      <c r="P60" s="7">
        <v>3.5</v>
      </c>
      <c r="Q60" t="s">
        <v>337</v>
      </c>
      <c r="R60" s="7">
        <v>85</v>
      </c>
      <c r="S60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61" spans="2:19" x14ac:dyDescent="0.35">
      <c r="B61" s="35">
        <v>58</v>
      </c>
      <c r="C61" t="s">
        <v>1367</v>
      </c>
      <c r="D61" s="7">
        <v>2013</v>
      </c>
      <c r="E61" t="s">
        <v>1554</v>
      </c>
      <c r="F61" t="s">
        <v>664</v>
      </c>
      <c r="G61" t="s">
        <v>1557</v>
      </c>
      <c r="H61" t="s">
        <v>1435</v>
      </c>
      <c r="I61" s="7">
        <v>2.93</v>
      </c>
      <c r="J61" s="7">
        <v>3.5</v>
      </c>
      <c r="K61" s="7">
        <v>3.5</v>
      </c>
      <c r="L61" s="7">
        <v>3.5</v>
      </c>
      <c r="M61" s="7">
        <v>3.5</v>
      </c>
      <c r="N61" s="7">
        <v>2</v>
      </c>
      <c r="O61" s="7">
        <v>2.5</v>
      </c>
      <c r="P61" s="7">
        <v>2</v>
      </c>
      <c r="Q61" t="s">
        <v>1332</v>
      </c>
      <c r="R61" s="7">
        <v>91</v>
      </c>
      <c r="S61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62" spans="2:19" x14ac:dyDescent="0.35">
      <c r="B62" s="35">
        <v>59</v>
      </c>
      <c r="C62" t="s">
        <v>1781</v>
      </c>
      <c r="D62" s="7">
        <v>2015</v>
      </c>
      <c r="E62" t="s">
        <v>1554</v>
      </c>
      <c r="F62" t="s">
        <v>1782</v>
      </c>
      <c r="G62" t="s">
        <v>1559</v>
      </c>
      <c r="H62" t="s">
        <v>1783</v>
      </c>
      <c r="I62" s="7">
        <v>3.36</v>
      </c>
      <c r="J62" s="7">
        <v>2.5</v>
      </c>
      <c r="K62" s="7">
        <v>3.5</v>
      </c>
      <c r="L62" s="7">
        <v>3.5</v>
      </c>
      <c r="M62" s="7">
        <v>3.5</v>
      </c>
      <c r="N62" s="7">
        <v>3.5</v>
      </c>
      <c r="O62" s="7">
        <v>3.5</v>
      </c>
      <c r="P62" s="7">
        <v>3.5</v>
      </c>
      <c r="Q62" t="s">
        <v>1756</v>
      </c>
      <c r="R62" s="7">
        <v>300</v>
      </c>
      <c r="S62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</row>
    <row r="63" spans="2:19" x14ac:dyDescent="0.35">
      <c r="B63" s="35">
        <v>60</v>
      </c>
      <c r="C63" t="s">
        <v>2270</v>
      </c>
      <c r="D63" s="7">
        <v>1991</v>
      </c>
      <c r="E63" t="s">
        <v>1556</v>
      </c>
      <c r="F63" t="s">
        <v>2260</v>
      </c>
      <c r="G63" t="s">
        <v>1557</v>
      </c>
      <c r="H63" t="s">
        <v>2205</v>
      </c>
      <c r="I63" s="7">
        <v>4.3600000000000003</v>
      </c>
      <c r="J63" s="7">
        <v>4.5</v>
      </c>
      <c r="K63" s="7">
        <v>4.5</v>
      </c>
      <c r="L63" s="7">
        <v>4.5</v>
      </c>
      <c r="M63" s="7">
        <v>4.5</v>
      </c>
      <c r="N63" s="7">
        <v>4</v>
      </c>
      <c r="O63" s="7">
        <v>4</v>
      </c>
      <c r="P63" s="7">
        <v>4.5</v>
      </c>
      <c r="Q63" t="s">
        <v>2208</v>
      </c>
      <c r="R63" s="7">
        <v>84</v>
      </c>
      <c r="S63" t="str">
        <f xml:space="preserve"> HYPERLINK("ReviewHtml/review_Beauty_and_the_Beast.html", "https://2danicritic.github.io/ReviewHtml/review_Beauty_and_the_Beast.html")</f>
        <v>https://2danicritic.github.io/ReviewHtml/review_Beauty_and_the_Beast.html</v>
      </c>
    </row>
    <row r="64" spans="2:19" x14ac:dyDescent="0.35">
      <c r="B64" s="35">
        <v>61</v>
      </c>
      <c r="C64" t="s">
        <v>699</v>
      </c>
      <c r="D64" s="7">
        <v>1973</v>
      </c>
      <c r="E64" t="s">
        <v>1554</v>
      </c>
      <c r="F64" t="s">
        <v>700</v>
      </c>
      <c r="G64" t="s">
        <v>1557</v>
      </c>
      <c r="H64" t="s">
        <v>701</v>
      </c>
      <c r="I64" s="7">
        <v>2.93</v>
      </c>
      <c r="J64" s="7">
        <v>1.5</v>
      </c>
      <c r="K64" s="7">
        <v>3</v>
      </c>
      <c r="L64" s="7">
        <v>3.5</v>
      </c>
      <c r="M64" s="7">
        <v>4</v>
      </c>
      <c r="N64" s="7">
        <v>3.5</v>
      </c>
      <c r="O64" s="7">
        <v>2.5</v>
      </c>
      <c r="P64" s="7">
        <v>2.5</v>
      </c>
      <c r="Q64" t="s">
        <v>75</v>
      </c>
      <c r="R64" s="7">
        <v>86</v>
      </c>
      <c r="S64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65" spans="2:19" x14ac:dyDescent="0.35">
      <c r="B65" s="35">
        <v>62</v>
      </c>
      <c r="C65" t="s">
        <v>2082</v>
      </c>
      <c r="D65" s="7">
        <v>2021</v>
      </c>
      <c r="E65" t="s">
        <v>1554</v>
      </c>
      <c r="F65" t="s">
        <v>944</v>
      </c>
      <c r="G65" t="s">
        <v>1557</v>
      </c>
      <c r="H65" t="s">
        <v>945</v>
      </c>
      <c r="I65" s="7">
        <v>3.64</v>
      </c>
      <c r="J65" s="7">
        <v>3.5</v>
      </c>
      <c r="K65" s="7">
        <v>4</v>
      </c>
      <c r="L65" s="7">
        <v>4</v>
      </c>
      <c r="M65" s="7">
        <v>4</v>
      </c>
      <c r="N65" s="7">
        <v>3.5</v>
      </c>
      <c r="O65" s="7">
        <v>3</v>
      </c>
      <c r="P65" s="7">
        <v>3.5</v>
      </c>
      <c r="Q65" t="s">
        <v>2083</v>
      </c>
      <c r="R65" s="7">
        <v>124</v>
      </c>
      <c r="S65" t="str">
        <f xml:space="preserve"> HYPERLINK("ReviewHtml/review_Belle.html", "https://2danicritic.github.io/ReviewHtml/review_Belle.html")</f>
        <v>https://2danicritic.github.io/ReviewHtml/review_Belle.html</v>
      </c>
    </row>
    <row r="66" spans="2:19" x14ac:dyDescent="0.35">
      <c r="B66" s="35">
        <v>63</v>
      </c>
      <c r="C66" t="s">
        <v>76</v>
      </c>
      <c r="D66" s="7">
        <v>2012</v>
      </c>
      <c r="E66" t="s">
        <v>1554</v>
      </c>
      <c r="F66" t="s">
        <v>702</v>
      </c>
      <c r="G66" t="s">
        <v>1557</v>
      </c>
      <c r="H66" t="s">
        <v>703</v>
      </c>
      <c r="I66" s="7">
        <v>4.3600000000000003</v>
      </c>
      <c r="J66" s="7">
        <v>4</v>
      </c>
      <c r="K66" s="7">
        <v>4.5</v>
      </c>
      <c r="L66" s="7">
        <v>4.5</v>
      </c>
      <c r="M66" s="7">
        <v>3.5</v>
      </c>
      <c r="N66" s="7">
        <v>5</v>
      </c>
      <c r="O66" s="7">
        <v>4</v>
      </c>
      <c r="P66" s="7">
        <v>5</v>
      </c>
      <c r="Q66" t="s">
        <v>77</v>
      </c>
      <c r="R66" s="7">
        <v>288</v>
      </c>
      <c r="S66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67" spans="2:19" x14ac:dyDescent="0.35">
      <c r="B67" s="35">
        <v>64</v>
      </c>
      <c r="C67" t="s">
        <v>704</v>
      </c>
      <c r="D67" s="7">
        <v>2013</v>
      </c>
      <c r="E67" t="s">
        <v>1554</v>
      </c>
      <c r="F67" t="s">
        <v>658</v>
      </c>
      <c r="G67" t="s">
        <v>1559</v>
      </c>
      <c r="H67" t="s">
        <v>705</v>
      </c>
      <c r="I67" s="7">
        <v>3.5</v>
      </c>
      <c r="J67" s="7">
        <v>4</v>
      </c>
      <c r="K67" s="7">
        <v>4</v>
      </c>
      <c r="L67" s="7">
        <v>3.5</v>
      </c>
      <c r="M67" s="7">
        <v>3</v>
      </c>
      <c r="N67" s="7">
        <v>4</v>
      </c>
      <c r="O67" s="7">
        <v>3</v>
      </c>
      <c r="P67" s="7">
        <v>3</v>
      </c>
      <c r="Q67" t="s">
        <v>78</v>
      </c>
      <c r="R67" s="7">
        <v>325</v>
      </c>
      <c r="S67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68" spans="2:19" x14ac:dyDescent="0.35">
      <c r="B68" s="35">
        <v>65</v>
      </c>
      <c r="C68" t="s">
        <v>706</v>
      </c>
      <c r="D68" s="7">
        <v>2015</v>
      </c>
      <c r="E68" t="s">
        <v>1554</v>
      </c>
      <c r="F68" t="s">
        <v>658</v>
      </c>
      <c r="G68" t="s">
        <v>1557</v>
      </c>
      <c r="H68" t="s">
        <v>705</v>
      </c>
      <c r="I68" s="7">
        <v>3.29</v>
      </c>
      <c r="J68" s="7">
        <v>4</v>
      </c>
      <c r="K68" s="7">
        <v>3.5</v>
      </c>
      <c r="L68" s="7">
        <v>3</v>
      </c>
      <c r="M68" s="7">
        <v>3</v>
      </c>
      <c r="N68" s="7">
        <v>3</v>
      </c>
      <c r="O68" s="7">
        <v>3.5</v>
      </c>
      <c r="P68" s="7">
        <v>3</v>
      </c>
      <c r="Q68" t="s">
        <v>78</v>
      </c>
      <c r="R68" s="7">
        <v>172</v>
      </c>
      <c r="S68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69" spans="2:19" x14ac:dyDescent="0.35">
      <c r="B69" s="35">
        <v>66</v>
      </c>
      <c r="C69" t="s">
        <v>707</v>
      </c>
      <c r="D69" s="7">
        <v>2016</v>
      </c>
      <c r="E69" t="s">
        <v>1565</v>
      </c>
      <c r="F69" t="s">
        <v>708</v>
      </c>
      <c r="G69" t="s">
        <v>1557</v>
      </c>
      <c r="H69" t="s">
        <v>79</v>
      </c>
      <c r="I69" s="7">
        <v>3.57</v>
      </c>
      <c r="J69" s="7">
        <v>3</v>
      </c>
      <c r="K69" s="7">
        <v>4</v>
      </c>
      <c r="L69" s="7">
        <v>3</v>
      </c>
      <c r="M69" s="7">
        <v>3</v>
      </c>
      <c r="N69" s="7">
        <v>4</v>
      </c>
      <c r="O69" s="7">
        <v>3.5</v>
      </c>
      <c r="P69" s="7">
        <v>4.5</v>
      </c>
      <c r="Q69" t="s">
        <v>80</v>
      </c>
      <c r="R69" s="7">
        <v>105</v>
      </c>
      <c r="S69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70" spans="2:19" x14ac:dyDescent="0.35">
      <c r="B70" s="35">
        <v>67</v>
      </c>
      <c r="C70" t="s">
        <v>709</v>
      </c>
      <c r="D70" s="7">
        <v>2015</v>
      </c>
      <c r="E70" t="s">
        <v>1566</v>
      </c>
      <c r="F70" t="s">
        <v>710</v>
      </c>
      <c r="G70" t="s">
        <v>1557</v>
      </c>
      <c r="H70" t="s">
        <v>81</v>
      </c>
      <c r="I70" s="7">
        <v>2.86</v>
      </c>
      <c r="J70" s="7">
        <v>3</v>
      </c>
      <c r="K70" s="7">
        <v>3.5</v>
      </c>
      <c r="L70" s="7">
        <v>3</v>
      </c>
      <c r="M70" s="7">
        <v>3</v>
      </c>
      <c r="N70" s="7">
        <v>3</v>
      </c>
      <c r="O70" s="7">
        <v>2.5</v>
      </c>
      <c r="P70" s="7">
        <v>2</v>
      </c>
      <c r="Q70" t="s">
        <v>82</v>
      </c>
      <c r="R70" s="7">
        <v>76</v>
      </c>
      <c r="S70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71" spans="2:19" x14ac:dyDescent="0.35">
      <c r="B71" s="35">
        <v>68</v>
      </c>
      <c r="C71" t="s">
        <v>711</v>
      </c>
      <c r="D71" s="7">
        <v>2014</v>
      </c>
      <c r="E71" t="s">
        <v>1554</v>
      </c>
      <c r="F71" t="s">
        <v>712</v>
      </c>
      <c r="G71" t="s">
        <v>1559</v>
      </c>
      <c r="H71" t="s">
        <v>713</v>
      </c>
      <c r="I71" s="7">
        <v>2.71</v>
      </c>
      <c r="J71" s="7">
        <v>2.5</v>
      </c>
      <c r="K71" s="7">
        <v>3</v>
      </c>
      <c r="L71" s="7">
        <v>3</v>
      </c>
      <c r="M71" s="7">
        <v>4</v>
      </c>
      <c r="N71" s="7">
        <v>1.5</v>
      </c>
      <c r="O71" s="7">
        <v>3</v>
      </c>
      <c r="P71" s="7">
        <v>2</v>
      </c>
      <c r="Q71" t="s">
        <v>83</v>
      </c>
      <c r="R71" s="7">
        <v>325</v>
      </c>
      <c r="S71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72" spans="2:19" x14ac:dyDescent="0.35">
      <c r="B72" s="35">
        <v>69</v>
      </c>
      <c r="C72" t="s">
        <v>714</v>
      </c>
      <c r="D72" s="7">
        <v>2008</v>
      </c>
      <c r="E72" t="s">
        <v>1554</v>
      </c>
      <c r="F72" t="s">
        <v>715</v>
      </c>
      <c r="G72" t="s">
        <v>1559</v>
      </c>
      <c r="H72" t="s">
        <v>716</v>
      </c>
      <c r="I72" s="7">
        <v>3.5</v>
      </c>
      <c r="J72" s="7">
        <v>3</v>
      </c>
      <c r="K72" s="7">
        <v>3.5</v>
      </c>
      <c r="L72" s="7">
        <v>3.5</v>
      </c>
      <c r="M72" s="7">
        <v>3.5</v>
      </c>
      <c r="N72" s="7">
        <v>3.5</v>
      </c>
      <c r="O72" s="7">
        <v>3.5</v>
      </c>
      <c r="P72" s="7">
        <v>4</v>
      </c>
      <c r="Q72" t="s">
        <v>84</v>
      </c>
      <c r="R72" s="7">
        <v>600</v>
      </c>
      <c r="S72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73" spans="2:19" x14ac:dyDescent="0.35">
      <c r="B73" s="35">
        <v>70</v>
      </c>
      <c r="C73" t="s">
        <v>717</v>
      </c>
      <c r="D73" s="7">
        <v>2014</v>
      </c>
      <c r="E73" t="s">
        <v>1554</v>
      </c>
      <c r="F73" t="s">
        <v>715</v>
      </c>
      <c r="G73" t="s">
        <v>1559</v>
      </c>
      <c r="H73" t="s">
        <v>718</v>
      </c>
      <c r="I73" s="7">
        <v>3.5</v>
      </c>
      <c r="J73" s="7">
        <v>3.5</v>
      </c>
      <c r="K73" s="7">
        <v>3.5</v>
      </c>
      <c r="L73" s="7">
        <v>3.5</v>
      </c>
      <c r="M73" s="7">
        <v>3.5</v>
      </c>
      <c r="N73" s="7">
        <v>3</v>
      </c>
      <c r="O73" s="7">
        <v>3.5</v>
      </c>
      <c r="P73" s="7">
        <v>4</v>
      </c>
      <c r="Q73" t="s">
        <v>84</v>
      </c>
      <c r="R73" s="7">
        <v>250</v>
      </c>
      <c r="S73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74" spans="2:19" x14ac:dyDescent="0.35">
      <c r="B74" s="35">
        <v>71</v>
      </c>
      <c r="C74" t="s">
        <v>719</v>
      </c>
      <c r="D74" s="7">
        <v>2014</v>
      </c>
      <c r="E74" t="s">
        <v>1554</v>
      </c>
      <c r="F74" t="s">
        <v>715</v>
      </c>
      <c r="G74" t="s">
        <v>1560</v>
      </c>
      <c r="H74" t="s">
        <v>718</v>
      </c>
      <c r="I74" s="7">
        <v>3.71</v>
      </c>
      <c r="J74" s="7">
        <v>3.5</v>
      </c>
      <c r="K74" s="7">
        <v>3.5</v>
      </c>
      <c r="L74" s="7">
        <v>3.5</v>
      </c>
      <c r="M74" s="7">
        <v>3.5</v>
      </c>
      <c r="N74" s="7">
        <v>4</v>
      </c>
      <c r="O74" s="7">
        <v>4</v>
      </c>
      <c r="P74" s="7">
        <v>4</v>
      </c>
      <c r="Q74" t="s">
        <v>85</v>
      </c>
      <c r="R74" s="7">
        <v>120</v>
      </c>
      <c r="S74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75" spans="2:19" x14ac:dyDescent="0.35">
      <c r="B75" s="35">
        <v>72</v>
      </c>
      <c r="C75" t="s">
        <v>720</v>
      </c>
      <c r="D75" s="7">
        <v>2017</v>
      </c>
      <c r="E75" t="s">
        <v>1554</v>
      </c>
      <c r="F75" t="s">
        <v>715</v>
      </c>
      <c r="G75" t="s">
        <v>1557</v>
      </c>
      <c r="H75" t="s">
        <v>718</v>
      </c>
      <c r="I75" s="7">
        <v>3.5</v>
      </c>
      <c r="J75" s="7">
        <v>3.5</v>
      </c>
      <c r="K75" s="7">
        <v>3.5</v>
      </c>
      <c r="L75" s="7">
        <v>3.5</v>
      </c>
      <c r="M75" s="7">
        <v>3.5</v>
      </c>
      <c r="N75" s="7">
        <v>2.5</v>
      </c>
      <c r="O75" s="7">
        <v>4.5</v>
      </c>
      <c r="P75" s="7">
        <v>3.5</v>
      </c>
      <c r="Q75" t="s">
        <v>338</v>
      </c>
      <c r="R75" s="7">
        <v>100</v>
      </c>
      <c r="S75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76" spans="2:19" x14ac:dyDescent="0.35">
      <c r="B76" s="35">
        <v>73</v>
      </c>
      <c r="C76" t="s">
        <v>721</v>
      </c>
      <c r="D76" s="7">
        <v>2010</v>
      </c>
      <c r="E76" t="s">
        <v>1554</v>
      </c>
      <c r="F76" t="s">
        <v>715</v>
      </c>
      <c r="G76" t="s">
        <v>1559</v>
      </c>
      <c r="H76" t="s">
        <v>722</v>
      </c>
      <c r="I76" s="7">
        <v>3.07</v>
      </c>
      <c r="J76" s="7">
        <v>2.5</v>
      </c>
      <c r="K76" s="7">
        <v>3</v>
      </c>
      <c r="L76" s="7">
        <v>3.5</v>
      </c>
      <c r="M76" s="7">
        <v>3.5</v>
      </c>
      <c r="N76" s="7">
        <v>2.5</v>
      </c>
      <c r="O76" s="7">
        <v>3.5</v>
      </c>
      <c r="P76" s="7">
        <v>3</v>
      </c>
      <c r="Q76" t="s">
        <v>86</v>
      </c>
      <c r="R76" s="7">
        <v>450</v>
      </c>
      <c r="S76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77" spans="2:19" x14ac:dyDescent="0.35">
      <c r="B77" s="35">
        <v>74</v>
      </c>
      <c r="C77" t="s">
        <v>723</v>
      </c>
      <c r="D77" s="7">
        <v>2006</v>
      </c>
      <c r="E77" t="s">
        <v>1554</v>
      </c>
      <c r="F77" t="s">
        <v>694</v>
      </c>
      <c r="G77" t="s">
        <v>1559</v>
      </c>
      <c r="H77" t="s">
        <v>724</v>
      </c>
      <c r="I77" s="7">
        <v>4.29</v>
      </c>
      <c r="J77" s="7">
        <v>3</v>
      </c>
      <c r="K77" s="7">
        <v>3.5</v>
      </c>
      <c r="L77" s="7">
        <v>4.5</v>
      </c>
      <c r="M77" s="7">
        <v>4.5</v>
      </c>
      <c r="N77" s="7">
        <v>5</v>
      </c>
      <c r="O77" s="7">
        <v>4.5</v>
      </c>
      <c r="P77" s="7">
        <v>5</v>
      </c>
      <c r="Q77" t="s">
        <v>87</v>
      </c>
      <c r="R77" s="7">
        <v>600</v>
      </c>
      <c r="S77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78" spans="2:19" x14ac:dyDescent="0.35">
      <c r="B78" s="35">
        <v>75</v>
      </c>
      <c r="C78" t="s">
        <v>725</v>
      </c>
      <c r="D78" s="7">
        <v>2010</v>
      </c>
      <c r="E78" t="s">
        <v>1554</v>
      </c>
      <c r="F78" t="s">
        <v>694</v>
      </c>
      <c r="G78" t="s">
        <v>1560</v>
      </c>
      <c r="H78" t="s">
        <v>724</v>
      </c>
      <c r="I78" s="7">
        <v>3.57</v>
      </c>
      <c r="J78" s="7">
        <v>3</v>
      </c>
      <c r="K78" s="7">
        <v>3</v>
      </c>
      <c r="L78" s="7">
        <v>4.5</v>
      </c>
      <c r="M78" s="7">
        <v>4.5</v>
      </c>
      <c r="N78" s="7">
        <v>2.5</v>
      </c>
      <c r="O78" s="7">
        <v>3.5</v>
      </c>
      <c r="P78" s="7">
        <v>4</v>
      </c>
      <c r="Q78" t="s">
        <v>87</v>
      </c>
      <c r="R78" s="7">
        <v>175</v>
      </c>
      <c r="S78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79" spans="2:19" x14ac:dyDescent="0.35">
      <c r="B79" s="35">
        <v>76</v>
      </c>
      <c r="C79" t="s">
        <v>2084</v>
      </c>
      <c r="D79" s="7">
        <v>2012</v>
      </c>
      <c r="E79" t="s">
        <v>1554</v>
      </c>
      <c r="F79" t="s">
        <v>2085</v>
      </c>
      <c r="G79" t="s">
        <v>1559</v>
      </c>
      <c r="H79" t="s">
        <v>2086</v>
      </c>
      <c r="I79" s="7">
        <v>3.57</v>
      </c>
      <c r="J79" s="7">
        <v>3.5</v>
      </c>
      <c r="K79" s="7">
        <v>4</v>
      </c>
      <c r="L79" s="7">
        <v>3.5</v>
      </c>
      <c r="M79" s="7">
        <v>3.5</v>
      </c>
      <c r="N79" s="7">
        <v>3.5</v>
      </c>
      <c r="O79" s="7">
        <v>3.5</v>
      </c>
      <c r="P79" s="7">
        <v>3.5</v>
      </c>
      <c r="Q79" t="s">
        <v>1336</v>
      </c>
      <c r="R79" s="7">
        <v>184</v>
      </c>
      <c r="S79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</row>
    <row r="80" spans="2:19" x14ac:dyDescent="0.35">
      <c r="B80" s="35">
        <v>77</v>
      </c>
      <c r="C80" t="s">
        <v>726</v>
      </c>
      <c r="D80" s="7">
        <v>2004</v>
      </c>
      <c r="E80" t="s">
        <v>1567</v>
      </c>
      <c r="F80" t="s">
        <v>88</v>
      </c>
      <c r="G80" t="s">
        <v>1557</v>
      </c>
      <c r="H80" t="s">
        <v>89</v>
      </c>
      <c r="I80" s="7">
        <v>1.57</v>
      </c>
      <c r="J80" s="7">
        <v>2</v>
      </c>
      <c r="K80" s="7">
        <v>2</v>
      </c>
      <c r="L80" s="7">
        <v>1.5</v>
      </c>
      <c r="M80" s="7">
        <v>1.5</v>
      </c>
      <c r="N80" s="7">
        <v>1.5</v>
      </c>
      <c r="O80" s="7">
        <v>1.5</v>
      </c>
      <c r="P80" s="7">
        <v>1</v>
      </c>
      <c r="Q80" t="s">
        <v>90</v>
      </c>
      <c r="R80" s="7">
        <v>87</v>
      </c>
      <c r="S80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81" spans="2:19" x14ac:dyDescent="0.35">
      <c r="B81" s="35">
        <v>78</v>
      </c>
      <c r="C81" t="s">
        <v>727</v>
      </c>
      <c r="D81" s="7">
        <v>2003</v>
      </c>
      <c r="E81" t="s">
        <v>1554</v>
      </c>
      <c r="F81" t="s">
        <v>728</v>
      </c>
      <c r="G81" t="s">
        <v>1568</v>
      </c>
      <c r="H81" t="s">
        <v>729</v>
      </c>
      <c r="I81" s="7">
        <v>2.5</v>
      </c>
      <c r="J81" s="7">
        <v>2</v>
      </c>
      <c r="K81" s="7">
        <v>2.5</v>
      </c>
      <c r="L81" s="7">
        <v>3.5</v>
      </c>
      <c r="M81" s="7">
        <v>2</v>
      </c>
      <c r="N81" s="7">
        <v>1.5</v>
      </c>
      <c r="O81" s="7">
        <v>2</v>
      </c>
      <c r="P81" s="7">
        <v>4</v>
      </c>
      <c r="Q81" t="s">
        <v>91</v>
      </c>
      <c r="R81" s="7">
        <v>42</v>
      </c>
      <c r="S81" t="str">
        <f xml:space="preserve"> HYPERLINK("ReviewHtml/review_Blame!.html", "https://2danicritic.github.io/ReviewHtml/review_Blame!.html")</f>
        <v>https://2danicritic.github.io/ReviewHtml/review_Blame!.html</v>
      </c>
    </row>
    <row r="82" spans="2:19" x14ac:dyDescent="0.35">
      <c r="B82" s="35">
        <v>79</v>
      </c>
      <c r="C82" t="s">
        <v>1368</v>
      </c>
      <c r="D82" s="7">
        <v>2013</v>
      </c>
      <c r="E82" t="s">
        <v>1554</v>
      </c>
      <c r="F82" t="s">
        <v>1422</v>
      </c>
      <c r="G82" t="s">
        <v>1559</v>
      </c>
      <c r="H82" t="s">
        <v>1436</v>
      </c>
      <c r="I82" s="7">
        <v>2.5</v>
      </c>
      <c r="J82" s="7">
        <v>2</v>
      </c>
      <c r="K82" s="7">
        <v>2</v>
      </c>
      <c r="L82" s="7">
        <v>3</v>
      </c>
      <c r="M82" s="7">
        <v>3.5</v>
      </c>
      <c r="N82" s="7">
        <v>2.5</v>
      </c>
      <c r="O82" s="7">
        <v>2.5</v>
      </c>
      <c r="P82" s="7">
        <v>2</v>
      </c>
      <c r="Q82" t="s">
        <v>1333</v>
      </c>
      <c r="R82" s="7">
        <v>300</v>
      </c>
      <c r="S82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83" spans="2:19" x14ac:dyDescent="0.35">
      <c r="B83" s="35">
        <v>80</v>
      </c>
      <c r="C83" t="s">
        <v>2418</v>
      </c>
      <c r="D83" s="7">
        <v>2022</v>
      </c>
      <c r="E83" t="s">
        <v>1558</v>
      </c>
      <c r="F83" t="s">
        <v>2419</v>
      </c>
      <c r="G83" t="s">
        <v>1557</v>
      </c>
      <c r="H83" t="s">
        <v>2420</v>
      </c>
      <c r="I83" s="7">
        <v>3.21</v>
      </c>
      <c r="J83" s="7">
        <v>3</v>
      </c>
      <c r="K83" s="7">
        <v>3</v>
      </c>
      <c r="L83" s="7">
        <v>3</v>
      </c>
      <c r="M83" s="7">
        <v>3.5</v>
      </c>
      <c r="N83" s="7">
        <v>3.5</v>
      </c>
      <c r="O83" s="7">
        <v>3</v>
      </c>
      <c r="P83" s="7">
        <v>3.5</v>
      </c>
      <c r="Q83" t="s">
        <v>2421</v>
      </c>
      <c r="R83" s="7">
        <v>100</v>
      </c>
      <c r="S83" t="str">
        <f xml:space="preserve"> HYPERLINK("ReviewHtml/review_Blind_Willow,_Sleeping_Woman.html", "https://2danicritic.github.io/ReviewHtml/review_Blind_Willow,_Sleeping_Woman.html")</f>
        <v>https://2danicritic.github.io/ReviewHtml/review_Blind_Willow,_Sleeping_Woman.html</v>
      </c>
    </row>
    <row r="84" spans="2:19" x14ac:dyDescent="0.35">
      <c r="B84" s="35">
        <v>81</v>
      </c>
      <c r="C84" t="s">
        <v>730</v>
      </c>
      <c r="D84" s="7">
        <v>2000</v>
      </c>
      <c r="E84" t="s">
        <v>1554</v>
      </c>
      <c r="F84" t="s">
        <v>731</v>
      </c>
      <c r="G84" t="s">
        <v>1557</v>
      </c>
      <c r="H84" t="s">
        <v>732</v>
      </c>
      <c r="I84" s="7">
        <v>2.57</v>
      </c>
      <c r="J84" s="7">
        <v>3</v>
      </c>
      <c r="K84" s="7">
        <v>2</v>
      </c>
      <c r="L84" s="7">
        <v>3</v>
      </c>
      <c r="M84" s="7">
        <v>2</v>
      </c>
      <c r="N84" s="7">
        <v>2</v>
      </c>
      <c r="O84" s="7">
        <v>3</v>
      </c>
      <c r="P84" s="7">
        <v>3</v>
      </c>
      <c r="Q84" t="s">
        <v>92</v>
      </c>
      <c r="R84" s="7">
        <v>45</v>
      </c>
      <c r="S8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85" spans="2:19" x14ac:dyDescent="0.35">
      <c r="B85" s="35">
        <v>82</v>
      </c>
      <c r="C85" t="s">
        <v>733</v>
      </c>
      <c r="D85" s="7">
        <v>2015</v>
      </c>
      <c r="E85" t="s">
        <v>1554</v>
      </c>
      <c r="F85" t="s">
        <v>734</v>
      </c>
      <c r="G85" t="s">
        <v>1559</v>
      </c>
      <c r="H85" t="s">
        <v>735</v>
      </c>
      <c r="I85" s="7">
        <v>4.1399999999999997</v>
      </c>
      <c r="J85" s="7">
        <v>3.5</v>
      </c>
      <c r="K85" s="7">
        <v>4</v>
      </c>
      <c r="L85" s="7">
        <v>4</v>
      </c>
      <c r="M85" s="7">
        <v>4</v>
      </c>
      <c r="N85" s="7">
        <v>4</v>
      </c>
      <c r="O85" s="7">
        <v>4.5</v>
      </c>
      <c r="P85" s="7">
        <v>5</v>
      </c>
      <c r="Q85" t="s">
        <v>93</v>
      </c>
      <c r="R85" s="7">
        <v>325</v>
      </c>
      <c r="S8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86" spans="2:19" x14ac:dyDescent="0.35">
      <c r="B86" s="35">
        <v>83</v>
      </c>
      <c r="C86" t="s">
        <v>736</v>
      </c>
      <c r="D86" s="7">
        <v>2017</v>
      </c>
      <c r="E86" t="s">
        <v>1554</v>
      </c>
      <c r="F86" t="s">
        <v>734</v>
      </c>
      <c r="G86" t="s">
        <v>1559</v>
      </c>
      <c r="H86" t="s">
        <v>111</v>
      </c>
      <c r="I86" s="7">
        <v>4.29</v>
      </c>
      <c r="J86" s="7">
        <v>4</v>
      </c>
      <c r="K86" s="7">
        <v>4</v>
      </c>
      <c r="L86" s="7">
        <v>4.5</v>
      </c>
      <c r="M86" s="7">
        <v>4</v>
      </c>
      <c r="N86" s="7">
        <v>4</v>
      </c>
      <c r="O86" s="7">
        <v>4.5</v>
      </c>
      <c r="P86" s="7">
        <v>5</v>
      </c>
      <c r="Q86" t="s">
        <v>339</v>
      </c>
      <c r="R86" s="7">
        <v>300</v>
      </c>
      <c r="S86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87" spans="2:19" x14ac:dyDescent="0.35">
      <c r="B87" s="35">
        <v>84</v>
      </c>
      <c r="C87" t="s">
        <v>737</v>
      </c>
      <c r="D87" s="7">
        <v>2012</v>
      </c>
      <c r="E87" t="s">
        <v>1554</v>
      </c>
      <c r="F87" t="s">
        <v>731</v>
      </c>
      <c r="G87" t="s">
        <v>1557</v>
      </c>
      <c r="H87" t="s">
        <v>738</v>
      </c>
      <c r="I87" s="7">
        <v>2.36</v>
      </c>
      <c r="J87" s="7">
        <v>3.5</v>
      </c>
      <c r="K87" s="7">
        <v>3.5</v>
      </c>
      <c r="L87" s="7">
        <v>2</v>
      </c>
      <c r="M87" s="7">
        <v>1.5</v>
      </c>
      <c r="N87" s="7">
        <v>2</v>
      </c>
      <c r="O87" s="7">
        <v>2</v>
      </c>
      <c r="P87" s="7">
        <v>2</v>
      </c>
      <c r="Q87" t="s">
        <v>94</v>
      </c>
      <c r="R87" s="7">
        <v>110</v>
      </c>
      <c r="S87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88" spans="2:19" x14ac:dyDescent="0.35">
      <c r="B88" s="35">
        <v>85</v>
      </c>
      <c r="C88" t="s">
        <v>1369</v>
      </c>
      <c r="D88" s="7">
        <v>2005</v>
      </c>
      <c r="E88" t="s">
        <v>1554</v>
      </c>
      <c r="F88" t="s">
        <v>1423</v>
      </c>
      <c r="G88" t="s">
        <v>1559</v>
      </c>
      <c r="H88" t="s">
        <v>1018</v>
      </c>
      <c r="I88" s="7">
        <v>2.21</v>
      </c>
      <c r="J88" s="7">
        <v>2.5</v>
      </c>
      <c r="K88" s="7">
        <v>2</v>
      </c>
      <c r="L88" s="7">
        <v>2.5</v>
      </c>
      <c r="M88" s="7">
        <v>2.5</v>
      </c>
      <c r="N88" s="7">
        <v>1.5</v>
      </c>
      <c r="O88" s="7">
        <v>2.5</v>
      </c>
      <c r="P88" s="7">
        <v>2</v>
      </c>
      <c r="Q88" t="s">
        <v>1334</v>
      </c>
      <c r="R88" s="7">
        <v>180</v>
      </c>
      <c r="S88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89" spans="2:19" x14ac:dyDescent="0.35">
      <c r="B89" s="35">
        <v>86</v>
      </c>
      <c r="C89" t="s">
        <v>1784</v>
      </c>
      <c r="D89" s="7">
        <v>2007</v>
      </c>
      <c r="E89" t="s">
        <v>1554</v>
      </c>
      <c r="F89" t="s">
        <v>1156</v>
      </c>
      <c r="G89" t="s">
        <v>1559</v>
      </c>
      <c r="H89" t="s">
        <v>1785</v>
      </c>
      <c r="I89" s="7">
        <v>2.57</v>
      </c>
      <c r="J89" s="7">
        <v>2.5</v>
      </c>
      <c r="K89" s="7">
        <v>2.5</v>
      </c>
      <c r="L89" s="7">
        <v>2.5</v>
      </c>
      <c r="M89" s="7">
        <v>3</v>
      </c>
      <c r="N89" s="7">
        <v>2.5</v>
      </c>
      <c r="O89" s="7">
        <v>2.5</v>
      </c>
      <c r="P89" s="7">
        <v>2.5</v>
      </c>
      <c r="Q89" t="s">
        <v>1757</v>
      </c>
      <c r="R89" s="7">
        <v>325</v>
      </c>
      <c r="S89" t="str">
        <f xml:space="preserve"> HYPERLINK("ReviewHtml/review_Blue_Drop.html", "https://2danicritic.github.io/ReviewHtml/review_Blue_Drop.html")</f>
        <v>https://2danicritic.github.io/ReviewHtml/review_Blue_Drop.html</v>
      </c>
    </row>
    <row r="90" spans="2:19" x14ac:dyDescent="0.35">
      <c r="B90" s="35">
        <v>87</v>
      </c>
      <c r="C90" t="s">
        <v>2503</v>
      </c>
      <c r="D90" s="7">
        <v>2022</v>
      </c>
      <c r="E90" t="s">
        <v>1554</v>
      </c>
      <c r="F90" t="s">
        <v>2526</v>
      </c>
      <c r="G90" t="s">
        <v>1557</v>
      </c>
      <c r="H90" t="s">
        <v>1713</v>
      </c>
      <c r="I90" s="7">
        <v>2.86</v>
      </c>
      <c r="J90" s="7">
        <v>2.5</v>
      </c>
      <c r="K90" s="7">
        <v>3</v>
      </c>
      <c r="L90" s="7">
        <v>3</v>
      </c>
      <c r="M90" s="7">
        <v>3</v>
      </c>
      <c r="N90" s="7">
        <v>3</v>
      </c>
      <c r="O90" s="7">
        <v>3</v>
      </c>
      <c r="P90" s="7">
        <v>2.5</v>
      </c>
      <c r="Q90" t="s">
        <v>2483</v>
      </c>
      <c r="R90" s="7">
        <v>103</v>
      </c>
      <c r="S90" t="str">
        <f xml:space="preserve"> HYPERLINK("ReviewHtml/review_Blue_Thermal.html", "https://2danicritic.github.io/ReviewHtml/review_Blue_Thermal.html")</f>
        <v>https://2danicritic.github.io/ReviewHtml/review_Blue_Thermal.html</v>
      </c>
    </row>
    <row r="91" spans="2:19" x14ac:dyDescent="0.35">
      <c r="B91" s="35">
        <v>88</v>
      </c>
      <c r="C91" t="s">
        <v>739</v>
      </c>
      <c r="D91" s="7">
        <v>2013</v>
      </c>
      <c r="E91" t="s">
        <v>1569</v>
      </c>
      <c r="F91" t="s">
        <v>740</v>
      </c>
      <c r="G91" t="s">
        <v>1557</v>
      </c>
      <c r="H91" t="s">
        <v>741</v>
      </c>
      <c r="I91" s="7">
        <v>2.93</v>
      </c>
      <c r="J91" s="7">
        <v>3</v>
      </c>
      <c r="K91" s="7">
        <v>4</v>
      </c>
      <c r="L91" s="7">
        <v>2.5</v>
      </c>
      <c r="M91" s="7">
        <v>2.5</v>
      </c>
      <c r="N91" s="7">
        <v>3.5</v>
      </c>
      <c r="O91" s="7">
        <v>2</v>
      </c>
      <c r="P91" s="7">
        <v>3</v>
      </c>
      <c r="Q91" t="s">
        <v>95</v>
      </c>
      <c r="R91" s="7">
        <v>80</v>
      </c>
      <c r="S91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92" spans="2:19" x14ac:dyDescent="0.35">
      <c r="B92" s="35">
        <v>89</v>
      </c>
      <c r="C92" t="s">
        <v>2271</v>
      </c>
      <c r="D92" s="7">
        <v>2003</v>
      </c>
      <c r="E92" t="s">
        <v>1556</v>
      </c>
      <c r="F92" t="s">
        <v>2260</v>
      </c>
      <c r="G92" t="s">
        <v>1557</v>
      </c>
      <c r="H92" t="s">
        <v>2209</v>
      </c>
      <c r="I92" s="7">
        <v>3.86</v>
      </c>
      <c r="J92" s="7">
        <v>4</v>
      </c>
      <c r="K92" s="7">
        <v>4</v>
      </c>
      <c r="L92" s="7">
        <v>4</v>
      </c>
      <c r="M92" s="7">
        <v>4</v>
      </c>
      <c r="N92" s="7">
        <v>3.5</v>
      </c>
      <c r="O92" s="7">
        <v>3.5</v>
      </c>
      <c r="P92" s="7">
        <v>4</v>
      </c>
      <c r="Q92" t="s">
        <v>2210</v>
      </c>
      <c r="R92" s="7">
        <v>85</v>
      </c>
      <c r="S92" t="str">
        <f xml:space="preserve"> HYPERLINK("ReviewHtml/review_Brother_Bear.html", "https://2danicritic.github.io/ReviewHtml/review_Brother_Bear.html")</f>
        <v>https://2danicritic.github.io/ReviewHtml/review_Brother_Bear.html</v>
      </c>
    </row>
    <row r="93" spans="2:19" x14ac:dyDescent="0.35">
      <c r="B93" s="35">
        <v>90</v>
      </c>
      <c r="C93" t="s">
        <v>742</v>
      </c>
      <c r="D93" s="7">
        <v>2012</v>
      </c>
      <c r="E93" t="s">
        <v>1554</v>
      </c>
      <c r="F93" t="s">
        <v>694</v>
      </c>
      <c r="G93" t="s">
        <v>1559</v>
      </c>
      <c r="H93" t="s">
        <v>743</v>
      </c>
      <c r="I93" s="7">
        <v>3.43</v>
      </c>
      <c r="J93" s="7">
        <v>3.5</v>
      </c>
      <c r="K93" s="7">
        <v>3.5</v>
      </c>
      <c r="L93" s="7">
        <v>3.5</v>
      </c>
      <c r="M93" s="7">
        <v>3</v>
      </c>
      <c r="N93" s="7">
        <v>3</v>
      </c>
      <c r="O93" s="7">
        <v>3.5</v>
      </c>
      <c r="P93" s="7">
        <v>4</v>
      </c>
      <c r="Q93" t="s">
        <v>92</v>
      </c>
      <c r="R93" s="7">
        <v>300</v>
      </c>
      <c r="S93" t="str">
        <f xml:space="preserve"> HYPERLINK("ReviewHtml/review_Btooom!.html", "https://2danicritic.github.io/ReviewHtml/review_Btooom!.html")</f>
        <v>https://2danicritic.github.io/ReviewHtml/review_Btooom!.html</v>
      </c>
    </row>
    <row r="94" spans="2:19" x14ac:dyDescent="0.35">
      <c r="B94" s="35">
        <v>91</v>
      </c>
      <c r="C94" t="s">
        <v>1714</v>
      </c>
      <c r="D94" s="7">
        <v>2018</v>
      </c>
      <c r="E94" t="s">
        <v>1566</v>
      </c>
      <c r="F94" t="s">
        <v>1715</v>
      </c>
      <c r="G94" t="s">
        <v>1557</v>
      </c>
      <c r="H94" t="s">
        <v>1716</v>
      </c>
      <c r="I94" s="7">
        <v>3.14</v>
      </c>
      <c r="J94" s="7">
        <v>2</v>
      </c>
      <c r="K94" s="7">
        <v>3</v>
      </c>
      <c r="L94" s="7">
        <v>3.5</v>
      </c>
      <c r="M94" s="7">
        <v>3.5</v>
      </c>
      <c r="N94" s="7">
        <v>3.5</v>
      </c>
      <c r="O94" s="7">
        <v>3.5</v>
      </c>
      <c r="P94" s="7">
        <v>3</v>
      </c>
      <c r="Q94" t="s">
        <v>336</v>
      </c>
      <c r="R94" s="7">
        <v>77</v>
      </c>
      <c r="S94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</row>
    <row r="95" spans="2:19" x14ac:dyDescent="0.35">
      <c r="B95" s="35">
        <v>92</v>
      </c>
      <c r="C95" t="s">
        <v>2422</v>
      </c>
      <c r="D95" s="7">
        <v>2020</v>
      </c>
      <c r="E95" t="s">
        <v>1554</v>
      </c>
      <c r="F95" t="s">
        <v>1150</v>
      </c>
      <c r="G95" t="s">
        <v>1560</v>
      </c>
      <c r="H95" t="s">
        <v>2423</v>
      </c>
      <c r="I95" s="7">
        <v>3</v>
      </c>
      <c r="J95" s="7">
        <v>3</v>
      </c>
      <c r="K95" s="7">
        <v>3.5</v>
      </c>
      <c r="L95" s="7">
        <v>3.5</v>
      </c>
      <c r="M95" s="7">
        <v>3</v>
      </c>
      <c r="N95" s="7">
        <v>2.5</v>
      </c>
      <c r="O95" s="7">
        <v>3</v>
      </c>
      <c r="P95" s="7">
        <v>2.5</v>
      </c>
      <c r="Q95" t="s">
        <v>123</v>
      </c>
      <c r="R95" s="7">
        <v>63</v>
      </c>
      <c r="S95" t="str">
        <f xml:space="preserve"> HYPERLINK("ReviewHtml/review_Burn_the_Witch.html", "https://2danicritic.github.io/ReviewHtml/review_Burn_the_Witch.html")</f>
        <v>https://2danicritic.github.io/ReviewHtml/review_Burn_the_Witch.html</v>
      </c>
    </row>
    <row r="96" spans="2:19" x14ac:dyDescent="0.35">
      <c r="B96" s="35">
        <v>93</v>
      </c>
      <c r="C96" t="s">
        <v>1370</v>
      </c>
      <c r="D96" s="7">
        <v>2011</v>
      </c>
      <c r="E96" t="s">
        <v>1554</v>
      </c>
      <c r="F96" t="s">
        <v>1010</v>
      </c>
      <c r="G96" t="s">
        <v>1559</v>
      </c>
      <c r="H96" t="s">
        <v>682</v>
      </c>
      <c r="I96" s="7">
        <v>3.14</v>
      </c>
      <c r="J96" s="7">
        <v>3</v>
      </c>
      <c r="K96" s="7">
        <v>3.5</v>
      </c>
      <c r="L96" s="7">
        <v>3.5</v>
      </c>
      <c r="M96" s="7">
        <v>3</v>
      </c>
      <c r="N96" s="7">
        <v>3</v>
      </c>
      <c r="O96" s="7">
        <v>3.5</v>
      </c>
      <c r="P96" s="7">
        <v>2.5</v>
      </c>
      <c r="Q96" t="s">
        <v>192</v>
      </c>
      <c r="R96" s="7">
        <v>275</v>
      </c>
      <c r="S96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97" spans="2:19" x14ac:dyDescent="0.35">
      <c r="B97" s="35">
        <v>94</v>
      </c>
      <c r="C97" t="s">
        <v>2017</v>
      </c>
      <c r="D97" s="7">
        <v>2020</v>
      </c>
      <c r="E97" t="s">
        <v>1558</v>
      </c>
      <c r="F97" t="s">
        <v>2018</v>
      </c>
      <c r="G97" t="s">
        <v>1557</v>
      </c>
      <c r="H97" t="s">
        <v>1446</v>
      </c>
      <c r="I97" s="7">
        <v>3.43</v>
      </c>
      <c r="J97" s="7">
        <v>3</v>
      </c>
      <c r="K97" s="7">
        <v>3.5</v>
      </c>
      <c r="L97" s="7">
        <v>3.5</v>
      </c>
      <c r="M97" s="7">
        <v>3.5</v>
      </c>
      <c r="N97" s="7">
        <v>3.5</v>
      </c>
      <c r="O97" s="7">
        <v>3.5</v>
      </c>
      <c r="P97" s="7">
        <v>3.5</v>
      </c>
      <c r="Q97" t="s">
        <v>1317</v>
      </c>
      <c r="R97" s="7">
        <v>82</v>
      </c>
      <c r="S97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</row>
    <row r="98" spans="2:19" x14ac:dyDescent="0.35">
      <c r="B98" s="35">
        <v>95</v>
      </c>
      <c r="C98" t="s">
        <v>2580</v>
      </c>
      <c r="D98" s="7">
        <v>2022</v>
      </c>
      <c r="E98" t="s">
        <v>1554</v>
      </c>
      <c r="F98" t="s">
        <v>1753</v>
      </c>
      <c r="G98" t="s">
        <v>1559</v>
      </c>
      <c r="H98" t="s">
        <v>2565</v>
      </c>
      <c r="I98" s="7">
        <v>3.79</v>
      </c>
      <c r="J98" s="7">
        <v>3</v>
      </c>
      <c r="K98" s="7">
        <v>4</v>
      </c>
      <c r="L98" s="7">
        <v>4.5</v>
      </c>
      <c r="M98" s="7">
        <v>3</v>
      </c>
      <c r="N98" s="7">
        <v>3.5</v>
      </c>
      <c r="O98" s="7">
        <v>4</v>
      </c>
      <c r="P98" s="7">
        <v>4.5</v>
      </c>
      <c r="Q98" t="s">
        <v>69</v>
      </c>
      <c r="R98" s="7">
        <v>325</v>
      </c>
      <c r="S98" t="str">
        <f xml:space="preserve"> HYPERLINK("ReviewHtml/review_Call_of_the_Night.html", "https://2danicritic.github.io/ReviewHtml/review_Call_of_the_Night.html")</f>
        <v>https://2danicritic.github.io/ReviewHtml/review_Call_of_the_Night.html</v>
      </c>
    </row>
    <row r="99" spans="2:19" x14ac:dyDescent="0.35">
      <c r="B99" s="35">
        <v>96</v>
      </c>
      <c r="C99" t="s">
        <v>744</v>
      </c>
      <c r="D99" s="7">
        <v>2009</v>
      </c>
      <c r="E99" t="s">
        <v>1554</v>
      </c>
      <c r="F99" t="s">
        <v>674</v>
      </c>
      <c r="G99" t="s">
        <v>1559</v>
      </c>
      <c r="H99" t="s">
        <v>745</v>
      </c>
      <c r="I99" s="7">
        <v>3.14</v>
      </c>
      <c r="J99" s="7">
        <v>3.5</v>
      </c>
      <c r="K99" s="7">
        <v>3.5</v>
      </c>
      <c r="L99" s="7">
        <v>3</v>
      </c>
      <c r="M99" s="7">
        <v>2.5</v>
      </c>
      <c r="N99" s="7">
        <v>2.5</v>
      </c>
      <c r="O99" s="7">
        <v>3</v>
      </c>
      <c r="P99" s="7">
        <v>4</v>
      </c>
      <c r="Q99" t="s">
        <v>96</v>
      </c>
      <c r="R99" s="7">
        <v>325</v>
      </c>
      <c r="S99" t="str">
        <f xml:space="preserve"> HYPERLINK("ReviewHtml/review_Canaan.html", "https://2danicritic.github.io/ReviewHtml/review_Canaan.html")</f>
        <v>https://2danicritic.github.io/ReviewHtml/review_Canaan.html</v>
      </c>
    </row>
    <row r="100" spans="2:19" x14ac:dyDescent="0.35">
      <c r="B100" s="35">
        <v>97</v>
      </c>
      <c r="C100" t="s">
        <v>746</v>
      </c>
      <c r="D100" s="7">
        <v>1986</v>
      </c>
      <c r="E100" t="s">
        <v>1554</v>
      </c>
      <c r="F100" t="s">
        <v>747</v>
      </c>
      <c r="G100" t="s">
        <v>1557</v>
      </c>
      <c r="H100" t="s">
        <v>748</v>
      </c>
      <c r="I100" s="7">
        <v>4</v>
      </c>
      <c r="J100" s="7">
        <v>3.5</v>
      </c>
      <c r="K100" s="7">
        <v>3.5</v>
      </c>
      <c r="L100" s="7">
        <v>4.5</v>
      </c>
      <c r="M100" s="7">
        <v>3.5</v>
      </c>
      <c r="N100" s="7">
        <v>4</v>
      </c>
      <c r="O100" s="7">
        <v>4</v>
      </c>
      <c r="P100" s="7">
        <v>5</v>
      </c>
      <c r="Q100" t="s">
        <v>97</v>
      </c>
      <c r="R100" s="7">
        <v>126</v>
      </c>
      <c r="S100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101" spans="2:19" x14ac:dyDescent="0.35">
      <c r="B101" s="35">
        <v>98</v>
      </c>
      <c r="C101" t="s">
        <v>1890</v>
      </c>
      <c r="D101" s="7">
        <v>2015</v>
      </c>
      <c r="E101" t="s">
        <v>1554</v>
      </c>
      <c r="F101" t="s">
        <v>1891</v>
      </c>
      <c r="G101" t="s">
        <v>1559</v>
      </c>
      <c r="H101" t="s">
        <v>1892</v>
      </c>
      <c r="I101" s="7">
        <v>3.21</v>
      </c>
      <c r="J101" s="7">
        <v>2.5</v>
      </c>
      <c r="K101" s="7">
        <v>3</v>
      </c>
      <c r="L101" s="7">
        <v>3.5</v>
      </c>
      <c r="M101" s="7">
        <v>3</v>
      </c>
      <c r="N101" s="7">
        <v>3</v>
      </c>
      <c r="O101" s="7">
        <v>4</v>
      </c>
      <c r="P101" s="7">
        <v>3.5</v>
      </c>
      <c r="Q101" t="s">
        <v>1867</v>
      </c>
      <c r="R101" s="7">
        <v>300</v>
      </c>
      <c r="S101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</row>
    <row r="102" spans="2:19" x14ac:dyDescent="0.35">
      <c r="B102" s="35">
        <v>99</v>
      </c>
      <c r="C102" t="s">
        <v>749</v>
      </c>
      <c r="D102" s="7">
        <v>2010</v>
      </c>
      <c r="E102" t="s">
        <v>1554</v>
      </c>
      <c r="F102" t="s">
        <v>750</v>
      </c>
      <c r="G102" t="s">
        <v>1559</v>
      </c>
      <c r="H102" t="s">
        <v>751</v>
      </c>
      <c r="I102" s="7">
        <v>3.43</v>
      </c>
      <c r="J102" s="7">
        <v>3</v>
      </c>
      <c r="K102" s="7">
        <v>3.5</v>
      </c>
      <c r="L102" s="7">
        <v>3.5</v>
      </c>
      <c r="M102" s="7">
        <v>3.5</v>
      </c>
      <c r="N102" s="7">
        <v>2.5</v>
      </c>
      <c r="O102" s="7">
        <v>4</v>
      </c>
      <c r="P102" s="7">
        <v>4</v>
      </c>
      <c r="Q102" t="s">
        <v>98</v>
      </c>
      <c r="R102" s="7">
        <v>325</v>
      </c>
      <c r="S102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103" spans="2:19" x14ac:dyDescent="0.35">
      <c r="B103" s="35">
        <v>100</v>
      </c>
      <c r="C103" t="s">
        <v>752</v>
      </c>
      <c r="D103" s="7">
        <v>2001</v>
      </c>
      <c r="E103" t="s">
        <v>1554</v>
      </c>
      <c r="F103" t="s">
        <v>670</v>
      </c>
      <c r="G103" t="s">
        <v>1560</v>
      </c>
      <c r="H103" t="s">
        <v>753</v>
      </c>
      <c r="I103" s="7">
        <v>3.5</v>
      </c>
      <c r="J103" s="7">
        <v>4</v>
      </c>
      <c r="K103" s="7">
        <v>4</v>
      </c>
      <c r="L103" s="7">
        <v>2</v>
      </c>
      <c r="M103" s="7">
        <v>3</v>
      </c>
      <c r="N103" s="7">
        <v>3</v>
      </c>
      <c r="O103" s="7">
        <v>4</v>
      </c>
      <c r="P103" s="7">
        <v>4.5</v>
      </c>
      <c r="Q103" t="s">
        <v>99</v>
      </c>
      <c r="R103" s="7">
        <v>34</v>
      </c>
      <c r="S103" t="str">
        <f xml:space="preserve"> HYPERLINK("ReviewHtml/review_Cat_Soup.html", "https://2danicritic.github.io/ReviewHtml/review_Cat_Soup.html")</f>
        <v>https://2danicritic.github.io/ReviewHtml/review_Cat_Soup.html</v>
      </c>
    </row>
    <row r="104" spans="2:19" x14ac:dyDescent="0.35">
      <c r="B104" s="35">
        <v>101</v>
      </c>
      <c r="C104" t="s">
        <v>2424</v>
      </c>
      <c r="D104" s="7">
        <v>1997</v>
      </c>
      <c r="E104" t="s">
        <v>1556</v>
      </c>
      <c r="F104" t="s">
        <v>2425</v>
      </c>
      <c r="G104" t="s">
        <v>1557</v>
      </c>
      <c r="H104" t="s">
        <v>2317</v>
      </c>
      <c r="I104" s="7">
        <v>3.71</v>
      </c>
      <c r="J104" s="7">
        <v>4</v>
      </c>
      <c r="K104" s="7">
        <v>3</v>
      </c>
      <c r="L104" s="7">
        <v>4</v>
      </c>
      <c r="M104" s="7">
        <v>4.5</v>
      </c>
      <c r="N104" s="7">
        <v>3.5</v>
      </c>
      <c r="O104" s="7">
        <v>4</v>
      </c>
      <c r="P104" s="7">
        <v>3</v>
      </c>
      <c r="Q104" t="s">
        <v>2426</v>
      </c>
      <c r="R104" s="7">
        <v>74</v>
      </c>
      <c r="S104" t="str">
        <f xml:space="preserve"> HYPERLINK("ReviewHtml/review_Cats_Don't_Dance.html", "https://2danicritic.github.io/ReviewHtml/review_Cats_Don't_Dance.html")</f>
        <v>https://2danicritic.github.io/ReviewHtml/review_Cats_Don't_Dance.html</v>
      </c>
    </row>
    <row r="105" spans="2:19" x14ac:dyDescent="0.35">
      <c r="B105" s="35">
        <v>102</v>
      </c>
      <c r="C105" t="s">
        <v>2637</v>
      </c>
      <c r="D105" s="7">
        <v>2021</v>
      </c>
      <c r="E105" t="s">
        <v>1607</v>
      </c>
      <c r="F105" t="s">
        <v>2638</v>
      </c>
      <c r="G105" t="s">
        <v>1557</v>
      </c>
      <c r="H105" t="s">
        <v>2622</v>
      </c>
      <c r="I105" s="7">
        <v>3</v>
      </c>
      <c r="J105" s="7">
        <v>2</v>
      </c>
      <c r="K105" s="7">
        <v>2.5</v>
      </c>
      <c r="L105" s="7">
        <v>3</v>
      </c>
      <c r="M105" s="7">
        <v>3.5</v>
      </c>
      <c r="N105" s="7">
        <v>3.5</v>
      </c>
      <c r="O105" s="7">
        <v>3</v>
      </c>
      <c r="P105" s="7">
        <v>3.5</v>
      </c>
      <c r="Q105" t="s">
        <v>2623</v>
      </c>
      <c r="R105" s="7">
        <v>92</v>
      </c>
      <c r="S105" t="str">
        <f xml:space="preserve"> HYPERLINK("ReviewHtml/review_Charlotte.html", "https://2danicritic.github.io/ReviewHtml/review_Charlotte.html")</f>
        <v>https://2danicritic.github.io/ReviewHtml/review_Charlotte.html</v>
      </c>
    </row>
    <row r="106" spans="2:19" x14ac:dyDescent="0.35">
      <c r="B106" s="35">
        <v>103</v>
      </c>
      <c r="C106" t="s">
        <v>2504</v>
      </c>
      <c r="D106" s="7">
        <v>2023</v>
      </c>
      <c r="E106" t="s">
        <v>1558</v>
      </c>
      <c r="F106" t="s">
        <v>2527</v>
      </c>
      <c r="G106" t="s">
        <v>1557</v>
      </c>
      <c r="H106" t="s">
        <v>2484</v>
      </c>
      <c r="I106" s="7">
        <v>3.57</v>
      </c>
      <c r="J106" s="7">
        <v>3</v>
      </c>
      <c r="K106" s="7">
        <v>3</v>
      </c>
      <c r="L106" s="7">
        <v>4</v>
      </c>
      <c r="M106" s="7">
        <v>3.5</v>
      </c>
      <c r="N106" s="7">
        <v>3.5</v>
      </c>
      <c r="O106" s="7">
        <v>4.5</v>
      </c>
      <c r="P106" s="7">
        <v>3.5</v>
      </c>
      <c r="Q106" t="s">
        <v>184</v>
      </c>
      <c r="R106" s="7">
        <v>73</v>
      </c>
      <c r="S106" t="str">
        <f xml:space="preserve"> HYPERLINK("ReviewHtml/review_Chicken_for_Linda!.html", "https://2danicritic.github.io/ReviewHtml/review_Chicken_for_Linda!.html")</f>
        <v>https://2danicritic.github.io/ReviewHtml/review_Chicken_for_Linda!.html</v>
      </c>
    </row>
    <row r="107" spans="2:19" x14ac:dyDescent="0.35">
      <c r="B107" s="35">
        <v>104</v>
      </c>
      <c r="C107" t="s">
        <v>754</v>
      </c>
      <c r="D107" s="7">
        <v>2010</v>
      </c>
      <c r="E107" t="s">
        <v>1566</v>
      </c>
      <c r="F107" t="s">
        <v>755</v>
      </c>
      <c r="G107" t="s">
        <v>1557</v>
      </c>
      <c r="H107" t="s">
        <v>756</v>
      </c>
      <c r="I107" s="7">
        <v>3.57</v>
      </c>
      <c r="J107" s="7">
        <v>4</v>
      </c>
      <c r="K107" s="7">
        <v>4</v>
      </c>
      <c r="L107" s="7">
        <v>4.5</v>
      </c>
      <c r="M107" s="7">
        <v>3.5</v>
      </c>
      <c r="N107" s="7">
        <v>3</v>
      </c>
      <c r="O107" s="7">
        <v>3</v>
      </c>
      <c r="P107" s="7">
        <v>3</v>
      </c>
      <c r="Q107" t="s">
        <v>100</v>
      </c>
      <c r="R107" s="7">
        <v>97</v>
      </c>
      <c r="S107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108" spans="2:19" x14ac:dyDescent="0.35">
      <c r="B108" s="35">
        <v>105</v>
      </c>
      <c r="C108" t="s">
        <v>1893</v>
      </c>
      <c r="D108" s="7">
        <v>2019</v>
      </c>
      <c r="E108" t="s">
        <v>1554</v>
      </c>
      <c r="F108" t="s">
        <v>702</v>
      </c>
      <c r="G108" t="s">
        <v>1557</v>
      </c>
      <c r="H108" t="s">
        <v>1894</v>
      </c>
      <c r="I108" s="7">
        <v>3.36</v>
      </c>
      <c r="J108" s="7">
        <v>3.5</v>
      </c>
      <c r="K108" s="7">
        <v>4.5</v>
      </c>
      <c r="L108" s="7">
        <v>4</v>
      </c>
      <c r="M108" s="7">
        <v>3</v>
      </c>
      <c r="N108" s="7">
        <v>2.5</v>
      </c>
      <c r="O108" s="7">
        <v>2.5</v>
      </c>
      <c r="P108" s="7">
        <v>3.5</v>
      </c>
      <c r="Q108" t="s">
        <v>1868</v>
      </c>
      <c r="R108" s="7">
        <v>111</v>
      </c>
      <c r="S108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</row>
    <row r="109" spans="2:19" x14ac:dyDescent="0.35">
      <c r="B109" s="35">
        <v>106</v>
      </c>
      <c r="C109" t="s">
        <v>757</v>
      </c>
      <c r="D109" s="7">
        <v>2011</v>
      </c>
      <c r="E109" t="s">
        <v>1554</v>
      </c>
      <c r="F109" t="s">
        <v>652</v>
      </c>
      <c r="G109" t="s">
        <v>1557</v>
      </c>
      <c r="H109" t="s">
        <v>653</v>
      </c>
      <c r="I109" s="7">
        <v>3.57</v>
      </c>
      <c r="J109" s="7">
        <v>3.5</v>
      </c>
      <c r="K109" s="7">
        <v>4</v>
      </c>
      <c r="L109" s="7">
        <v>3.5</v>
      </c>
      <c r="M109" s="7">
        <v>3</v>
      </c>
      <c r="N109" s="7">
        <v>3.5</v>
      </c>
      <c r="O109" s="7">
        <v>3.5</v>
      </c>
      <c r="P109" s="7">
        <v>4</v>
      </c>
      <c r="Q109" t="s">
        <v>101</v>
      </c>
      <c r="R109" s="7">
        <v>116</v>
      </c>
      <c r="S109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110" spans="2:19" x14ac:dyDescent="0.35">
      <c r="B110" s="35">
        <v>107</v>
      </c>
      <c r="C110" t="s">
        <v>1786</v>
      </c>
      <c r="D110" s="7">
        <v>2015</v>
      </c>
      <c r="E110" t="s">
        <v>1554</v>
      </c>
      <c r="F110" t="s">
        <v>798</v>
      </c>
      <c r="G110" t="s">
        <v>1559</v>
      </c>
      <c r="H110" t="s">
        <v>1758</v>
      </c>
      <c r="I110" s="7">
        <v>3.07</v>
      </c>
      <c r="J110" s="7">
        <v>3</v>
      </c>
      <c r="K110" s="7">
        <v>3</v>
      </c>
      <c r="L110" s="7">
        <v>3</v>
      </c>
      <c r="M110" s="7">
        <v>3</v>
      </c>
      <c r="N110" s="7">
        <v>3</v>
      </c>
      <c r="O110" s="7">
        <v>3.5</v>
      </c>
      <c r="P110" s="7">
        <v>3</v>
      </c>
      <c r="Q110" t="s">
        <v>156</v>
      </c>
      <c r="R110" s="7">
        <v>300</v>
      </c>
      <c r="S110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</row>
    <row r="111" spans="2:19" x14ac:dyDescent="0.35">
      <c r="B111" s="35">
        <v>108</v>
      </c>
      <c r="C111" t="s">
        <v>2152</v>
      </c>
      <c r="D111" s="7">
        <v>2021</v>
      </c>
      <c r="E111" t="s">
        <v>1567</v>
      </c>
      <c r="F111" t="s">
        <v>2153</v>
      </c>
      <c r="G111" t="s">
        <v>1557</v>
      </c>
      <c r="H111" t="s">
        <v>2154</v>
      </c>
      <c r="I111" s="7">
        <v>2.86</v>
      </c>
      <c r="J111" s="7">
        <v>3</v>
      </c>
      <c r="K111" s="7">
        <v>3.5</v>
      </c>
      <c r="L111" s="7">
        <v>3.5</v>
      </c>
      <c r="M111" s="7">
        <v>3</v>
      </c>
      <c r="N111" s="7">
        <v>2.5</v>
      </c>
      <c r="O111" s="7">
        <v>2.5</v>
      </c>
      <c r="P111" s="7">
        <v>2</v>
      </c>
      <c r="Q111" t="s">
        <v>1770</v>
      </c>
      <c r="R111" s="7">
        <v>109</v>
      </c>
      <c r="S111" t="str">
        <f xml:space="preserve"> HYPERLINK("ReviewHtml/review_Chun_Tae-il_-_A_Flame_That_Lives_On.html", "https://2danicritic.github.io/ReviewHtml/review_Chun_Tae-il_-_A_Flame_That_Lives_On.html")</f>
        <v>https://2danicritic.github.io/ReviewHtml/review_Chun_Tae-il_-_A_Flame_That_Lives_On.html</v>
      </c>
    </row>
    <row r="112" spans="2:19" x14ac:dyDescent="0.35">
      <c r="B112" s="35">
        <v>109</v>
      </c>
      <c r="C112" t="s">
        <v>2272</v>
      </c>
      <c r="D112" s="7">
        <v>1950</v>
      </c>
      <c r="E112" t="s">
        <v>1556</v>
      </c>
      <c r="F112" t="s">
        <v>2260</v>
      </c>
      <c r="G112" t="s">
        <v>1557</v>
      </c>
      <c r="H112" t="s">
        <v>2211</v>
      </c>
      <c r="I112" s="7">
        <v>3.64</v>
      </c>
      <c r="J112" s="7">
        <v>3.5</v>
      </c>
      <c r="K112" s="7">
        <v>4</v>
      </c>
      <c r="L112" s="7">
        <v>3.5</v>
      </c>
      <c r="M112" s="7">
        <v>4</v>
      </c>
      <c r="N112" s="7">
        <v>3.5</v>
      </c>
      <c r="O112" s="7">
        <v>3.5</v>
      </c>
      <c r="P112" s="7">
        <v>3.5</v>
      </c>
      <c r="Q112" t="s">
        <v>1762</v>
      </c>
      <c r="R112" s="7">
        <v>74</v>
      </c>
      <c r="S112" t="str">
        <f xml:space="preserve"> HYPERLINK("ReviewHtml/review_Cinderella.html", "https://2danicritic.github.io/ReviewHtml/review_Cinderella.html")</f>
        <v>https://2danicritic.github.io/ReviewHtml/review_Cinderella.html</v>
      </c>
    </row>
    <row r="113" spans="2:19" x14ac:dyDescent="0.35">
      <c r="B113" s="35">
        <v>110</v>
      </c>
      <c r="C113" t="s">
        <v>1895</v>
      </c>
      <c r="D113" s="7">
        <v>2019</v>
      </c>
      <c r="E113" t="s">
        <v>1554</v>
      </c>
      <c r="F113" t="s">
        <v>759</v>
      </c>
      <c r="G113" t="s">
        <v>1557</v>
      </c>
      <c r="H113" t="s">
        <v>1896</v>
      </c>
      <c r="I113" s="7">
        <v>3.07</v>
      </c>
      <c r="J113" s="7">
        <v>3</v>
      </c>
      <c r="K113" s="7">
        <v>3</v>
      </c>
      <c r="L113" s="7">
        <v>4</v>
      </c>
      <c r="M113" s="7">
        <v>3.5</v>
      </c>
      <c r="N113" s="7">
        <v>2</v>
      </c>
      <c r="O113" s="7">
        <v>3.5</v>
      </c>
      <c r="P113" s="7">
        <v>2.5</v>
      </c>
      <c r="Q113" t="s">
        <v>1869</v>
      </c>
      <c r="R113" s="7">
        <v>95</v>
      </c>
      <c r="S113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</row>
    <row r="114" spans="2:19" x14ac:dyDescent="0.35">
      <c r="B114" s="35">
        <v>111</v>
      </c>
      <c r="C114" t="s">
        <v>1958</v>
      </c>
      <c r="D114" s="7">
        <v>2007</v>
      </c>
      <c r="E114" t="s">
        <v>1554</v>
      </c>
      <c r="F114" t="s">
        <v>694</v>
      </c>
      <c r="G114" t="s">
        <v>1559</v>
      </c>
      <c r="H114" t="s">
        <v>1973</v>
      </c>
      <c r="I114" s="7">
        <v>3.14</v>
      </c>
      <c r="J114" s="7">
        <v>2</v>
      </c>
      <c r="K114" s="7">
        <v>3</v>
      </c>
      <c r="L114" s="7">
        <v>3.5</v>
      </c>
      <c r="M114" s="7">
        <v>3</v>
      </c>
      <c r="N114" s="7">
        <v>3.5</v>
      </c>
      <c r="O114" s="7">
        <v>3.5</v>
      </c>
      <c r="P114" s="7">
        <v>3.5</v>
      </c>
      <c r="Q114" t="s">
        <v>1341</v>
      </c>
      <c r="R114" s="7">
        <v>650</v>
      </c>
      <c r="S114" t="str">
        <f xml:space="preserve"> HYPERLINK("ReviewHtml/review_Claymore.html", "https://2danicritic.github.io/ReviewHtml/review_Claymore.html")</f>
        <v>https://2danicritic.github.io/ReviewHtml/review_Claymore.html</v>
      </c>
    </row>
    <row r="115" spans="2:19" x14ac:dyDescent="0.35">
      <c r="B115" s="35">
        <v>112</v>
      </c>
      <c r="C115" t="s">
        <v>1897</v>
      </c>
      <c r="D115" s="7">
        <v>1970</v>
      </c>
      <c r="E115" t="s">
        <v>1554</v>
      </c>
      <c r="F115" t="s">
        <v>1888</v>
      </c>
      <c r="G115" t="s">
        <v>1557</v>
      </c>
      <c r="H115" t="s">
        <v>1870</v>
      </c>
      <c r="I115" s="7">
        <v>2.5</v>
      </c>
      <c r="J115" s="7">
        <v>2</v>
      </c>
      <c r="K115" s="7">
        <v>2.5</v>
      </c>
      <c r="L115" s="7">
        <v>2.5</v>
      </c>
      <c r="M115" s="7">
        <v>3</v>
      </c>
      <c r="N115" s="7">
        <v>2.5</v>
      </c>
      <c r="O115" s="7">
        <v>2.5</v>
      </c>
      <c r="P115" s="7">
        <v>2.5</v>
      </c>
      <c r="Q115" t="s">
        <v>1871</v>
      </c>
      <c r="R115" s="7">
        <v>112</v>
      </c>
      <c r="S115" t="str">
        <f xml:space="preserve"> HYPERLINK("ReviewHtml/review_Cleopatra.html", "https://2danicritic.github.io/ReviewHtml/review_Cleopatra.html")</f>
        <v>https://2danicritic.github.io/ReviewHtml/review_Cleopatra.html</v>
      </c>
    </row>
    <row r="116" spans="2:19" x14ac:dyDescent="0.35">
      <c r="B116" s="35">
        <v>113</v>
      </c>
      <c r="C116" t="s">
        <v>758</v>
      </c>
      <c r="D116" s="7">
        <v>2015</v>
      </c>
      <c r="E116" t="s">
        <v>1554</v>
      </c>
      <c r="F116" t="s">
        <v>759</v>
      </c>
      <c r="G116" t="s">
        <v>1560</v>
      </c>
      <c r="H116" t="s">
        <v>760</v>
      </c>
      <c r="I116" s="7">
        <v>3.86</v>
      </c>
      <c r="J116" s="7">
        <v>4</v>
      </c>
      <c r="K116" s="7">
        <v>4</v>
      </c>
      <c r="L116" s="7">
        <v>4</v>
      </c>
      <c r="M116" s="7">
        <v>4</v>
      </c>
      <c r="N116" s="7">
        <v>3.5</v>
      </c>
      <c r="O116" s="7">
        <v>3.5</v>
      </c>
      <c r="P116" s="7">
        <v>4</v>
      </c>
      <c r="Q116" t="s">
        <v>102</v>
      </c>
      <c r="R116" s="7">
        <v>290</v>
      </c>
      <c r="S116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117" spans="2:19" x14ac:dyDescent="0.35">
      <c r="B117" s="35">
        <v>114</v>
      </c>
      <c r="C117" t="s">
        <v>761</v>
      </c>
      <c r="D117" s="7">
        <v>2006</v>
      </c>
      <c r="E117" t="s">
        <v>1554</v>
      </c>
      <c r="F117" t="s">
        <v>759</v>
      </c>
      <c r="G117" t="s">
        <v>1559</v>
      </c>
      <c r="H117" t="s">
        <v>762</v>
      </c>
      <c r="I117" s="7">
        <v>4.3600000000000003</v>
      </c>
      <c r="J117" s="7">
        <v>3.5</v>
      </c>
      <c r="K117" s="7">
        <v>4</v>
      </c>
      <c r="L117" s="7">
        <v>4.5</v>
      </c>
      <c r="M117" s="7">
        <v>4.5</v>
      </c>
      <c r="N117" s="7">
        <v>4.5</v>
      </c>
      <c r="O117" s="7">
        <v>4.5</v>
      </c>
      <c r="P117" s="7">
        <v>5</v>
      </c>
      <c r="Q117" t="s">
        <v>103</v>
      </c>
      <c r="R117" s="7">
        <v>1250</v>
      </c>
      <c r="S117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18" spans="2:19" x14ac:dyDescent="0.35">
      <c r="B118" s="35">
        <v>115</v>
      </c>
      <c r="C118" t="s">
        <v>1257</v>
      </c>
      <c r="D118" s="7">
        <v>2017</v>
      </c>
      <c r="E118" t="s">
        <v>1554</v>
      </c>
      <c r="F118" t="s">
        <v>759</v>
      </c>
      <c r="G118" t="s">
        <v>1557</v>
      </c>
      <c r="H118" t="s">
        <v>762</v>
      </c>
      <c r="I118" s="7">
        <v>3.64</v>
      </c>
      <c r="J118" s="7">
        <v>3.5</v>
      </c>
      <c r="K118" s="7">
        <v>3.5</v>
      </c>
      <c r="L118" s="7">
        <v>3.5</v>
      </c>
      <c r="M118" s="7">
        <v>3.5</v>
      </c>
      <c r="N118" s="7">
        <v>4</v>
      </c>
      <c r="O118" s="7">
        <v>4</v>
      </c>
      <c r="P118" s="7">
        <v>3.5</v>
      </c>
      <c r="Q118" t="s">
        <v>1187</v>
      </c>
      <c r="R118" s="7">
        <v>406</v>
      </c>
      <c r="S118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119" spans="2:19" x14ac:dyDescent="0.35">
      <c r="B119" s="35">
        <v>116</v>
      </c>
      <c r="C119" t="s">
        <v>1371</v>
      </c>
      <c r="D119" s="7">
        <v>2019</v>
      </c>
      <c r="E119" t="s">
        <v>1554</v>
      </c>
      <c r="F119" t="s">
        <v>759</v>
      </c>
      <c r="G119" t="s">
        <v>1557</v>
      </c>
      <c r="H119" t="s">
        <v>762</v>
      </c>
      <c r="I119" s="7">
        <v>3.07</v>
      </c>
      <c r="J119" s="7">
        <v>3.5</v>
      </c>
      <c r="K119" s="7">
        <v>3.5</v>
      </c>
      <c r="L119" s="7">
        <v>3.5</v>
      </c>
      <c r="M119" s="7">
        <v>4</v>
      </c>
      <c r="N119" s="7">
        <v>1.5</v>
      </c>
      <c r="O119" s="7">
        <v>3.5</v>
      </c>
      <c r="P119" s="7">
        <v>2</v>
      </c>
      <c r="Q119" t="s">
        <v>1306</v>
      </c>
      <c r="R119" s="7">
        <v>114</v>
      </c>
      <c r="S119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120" spans="2:19" x14ac:dyDescent="0.35">
      <c r="B120" s="35">
        <v>117</v>
      </c>
      <c r="C120" t="s">
        <v>763</v>
      </c>
      <c r="D120" s="7">
        <v>2006</v>
      </c>
      <c r="E120" t="s">
        <v>1554</v>
      </c>
      <c r="F120" t="s">
        <v>652</v>
      </c>
      <c r="G120" t="s">
        <v>1560</v>
      </c>
      <c r="H120" t="s">
        <v>104</v>
      </c>
      <c r="I120" s="7">
        <v>2.93</v>
      </c>
      <c r="J120" s="7">
        <v>2.5</v>
      </c>
      <c r="K120" s="7">
        <v>3</v>
      </c>
      <c r="L120" s="7">
        <v>3</v>
      </c>
      <c r="M120" s="7">
        <v>3</v>
      </c>
      <c r="N120" s="7">
        <v>3.5</v>
      </c>
      <c r="O120" s="7">
        <v>2.5</v>
      </c>
      <c r="P120" s="7">
        <v>3</v>
      </c>
      <c r="Q120" t="s">
        <v>105</v>
      </c>
      <c r="R120" s="7">
        <v>57</v>
      </c>
      <c r="S120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21" spans="2:19" x14ac:dyDescent="0.35">
      <c r="B121" s="35">
        <v>118</v>
      </c>
      <c r="C121" t="s">
        <v>764</v>
      </c>
      <c r="D121" s="7">
        <v>2011</v>
      </c>
      <c r="E121" t="s">
        <v>1554</v>
      </c>
      <c r="F121" t="s">
        <v>759</v>
      </c>
      <c r="G121" t="s">
        <v>1560</v>
      </c>
      <c r="H121" t="s">
        <v>106</v>
      </c>
      <c r="I121" s="7">
        <v>2.57</v>
      </c>
      <c r="J121" s="7">
        <v>3</v>
      </c>
      <c r="K121" s="7">
        <v>3</v>
      </c>
      <c r="L121" s="7">
        <v>2</v>
      </c>
      <c r="M121" s="7">
        <v>2</v>
      </c>
      <c r="N121" s="7">
        <v>3</v>
      </c>
      <c r="O121" s="7">
        <v>2</v>
      </c>
      <c r="P121" s="7">
        <v>3</v>
      </c>
      <c r="Q121" t="s">
        <v>107</v>
      </c>
      <c r="R121" s="7">
        <v>60</v>
      </c>
      <c r="S121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122" spans="2:19" x14ac:dyDescent="0.35">
      <c r="B122" s="35">
        <v>119</v>
      </c>
      <c r="C122" t="s">
        <v>765</v>
      </c>
      <c r="D122" s="7">
        <v>2010</v>
      </c>
      <c r="E122" t="s">
        <v>1554</v>
      </c>
      <c r="F122" t="s">
        <v>766</v>
      </c>
      <c r="G122" t="s">
        <v>1557</v>
      </c>
      <c r="H122" t="s">
        <v>767</v>
      </c>
      <c r="I122" s="7">
        <v>3.43</v>
      </c>
      <c r="J122" s="7">
        <v>3.5</v>
      </c>
      <c r="K122" s="7">
        <v>4</v>
      </c>
      <c r="L122" s="7">
        <v>3.5</v>
      </c>
      <c r="M122" s="7">
        <v>2.5</v>
      </c>
      <c r="N122" s="7">
        <v>4.5</v>
      </c>
      <c r="O122" s="7">
        <v>2.5</v>
      </c>
      <c r="P122" s="7">
        <v>3.5</v>
      </c>
      <c r="Q122" t="s">
        <v>108</v>
      </c>
      <c r="R122" s="7">
        <v>127</v>
      </c>
      <c r="S122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123" spans="2:19" x14ac:dyDescent="0.35">
      <c r="B123" s="35">
        <v>120</v>
      </c>
      <c r="C123" t="s">
        <v>768</v>
      </c>
      <c r="D123" s="7">
        <v>2008</v>
      </c>
      <c r="E123" t="s">
        <v>1554</v>
      </c>
      <c r="F123" t="s">
        <v>769</v>
      </c>
      <c r="G123" t="s">
        <v>1559</v>
      </c>
      <c r="H123" t="s">
        <v>770</v>
      </c>
      <c r="I123" s="7">
        <v>3.29</v>
      </c>
      <c r="J123" s="7">
        <v>3</v>
      </c>
      <c r="K123" s="7">
        <v>3.5</v>
      </c>
      <c r="L123" s="7">
        <v>3</v>
      </c>
      <c r="M123" s="7">
        <v>3</v>
      </c>
      <c r="N123" s="7">
        <v>4</v>
      </c>
      <c r="O123" s="7">
        <v>3.5</v>
      </c>
      <c r="P123" s="7">
        <v>3</v>
      </c>
      <c r="Q123" t="s">
        <v>109</v>
      </c>
      <c r="R123" s="7">
        <v>650</v>
      </c>
      <c r="S123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124" spans="2:19" x14ac:dyDescent="0.35">
      <c r="B124" s="35">
        <v>121</v>
      </c>
      <c r="C124" t="s">
        <v>1258</v>
      </c>
      <c r="D124" s="7">
        <v>2001</v>
      </c>
      <c r="E124" t="s">
        <v>1554</v>
      </c>
      <c r="F124" t="s">
        <v>734</v>
      </c>
      <c r="G124" t="s">
        <v>1557</v>
      </c>
      <c r="H124" t="s">
        <v>1298</v>
      </c>
      <c r="I124" s="7">
        <v>3.93</v>
      </c>
      <c r="J124" s="7">
        <v>4</v>
      </c>
      <c r="K124" s="7">
        <v>3.5</v>
      </c>
      <c r="L124" s="7">
        <v>4.5</v>
      </c>
      <c r="M124" s="7">
        <v>4.5</v>
      </c>
      <c r="N124" s="7">
        <v>3.5</v>
      </c>
      <c r="O124" s="7">
        <v>3.5</v>
      </c>
      <c r="P124" s="7">
        <v>4</v>
      </c>
      <c r="Q124" t="s">
        <v>1188</v>
      </c>
      <c r="R124" s="7">
        <v>115</v>
      </c>
      <c r="S124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125" spans="2:19" x14ac:dyDescent="0.35">
      <c r="B125" s="35">
        <v>122</v>
      </c>
      <c r="C125" t="s">
        <v>1570</v>
      </c>
      <c r="D125" s="7">
        <v>2006</v>
      </c>
      <c r="E125" t="s">
        <v>1554</v>
      </c>
      <c r="F125" t="s">
        <v>814</v>
      </c>
      <c r="G125" t="s">
        <v>1559</v>
      </c>
      <c r="H125" t="s">
        <v>1571</v>
      </c>
      <c r="I125" s="7">
        <v>2.79</v>
      </c>
      <c r="J125" s="7">
        <v>2.5</v>
      </c>
      <c r="K125" s="7">
        <v>2.5</v>
      </c>
      <c r="L125" s="7">
        <v>3.5</v>
      </c>
      <c r="M125" s="7">
        <v>3</v>
      </c>
      <c r="N125" s="7">
        <v>2.5</v>
      </c>
      <c r="O125" s="7">
        <v>3</v>
      </c>
      <c r="P125" s="7">
        <v>2.5</v>
      </c>
      <c r="Q125" t="s">
        <v>188</v>
      </c>
      <c r="R125" s="7">
        <v>300</v>
      </c>
      <c r="S125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</row>
    <row r="126" spans="2:19" x14ac:dyDescent="0.35">
      <c r="B126" s="35">
        <v>123</v>
      </c>
      <c r="C126" t="s">
        <v>771</v>
      </c>
      <c r="D126" s="7">
        <v>2011</v>
      </c>
      <c r="E126" t="s">
        <v>1554</v>
      </c>
      <c r="F126" t="s">
        <v>772</v>
      </c>
      <c r="G126" t="s">
        <v>1559</v>
      </c>
      <c r="H126" t="s">
        <v>773</v>
      </c>
      <c r="I126" s="7">
        <v>3.14</v>
      </c>
      <c r="J126" s="7">
        <v>2.5</v>
      </c>
      <c r="K126" s="7">
        <v>3.5</v>
      </c>
      <c r="L126" s="7">
        <v>3.5</v>
      </c>
      <c r="M126" s="7">
        <v>2.5</v>
      </c>
      <c r="N126" s="7">
        <v>3</v>
      </c>
      <c r="O126" s="7">
        <v>3</v>
      </c>
      <c r="P126" s="7">
        <v>4</v>
      </c>
      <c r="Q126" t="s">
        <v>110</v>
      </c>
      <c r="R126" s="7">
        <v>325</v>
      </c>
      <c r="S126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127" spans="2:19" x14ac:dyDescent="0.35">
      <c r="B127" s="35">
        <v>124</v>
      </c>
      <c r="C127" t="s">
        <v>2087</v>
      </c>
      <c r="D127" s="7">
        <v>2014</v>
      </c>
      <c r="E127" t="s">
        <v>1554</v>
      </c>
      <c r="F127" t="s">
        <v>759</v>
      </c>
      <c r="G127" t="s">
        <v>1559</v>
      </c>
      <c r="H127" t="s">
        <v>2088</v>
      </c>
      <c r="I127" s="7">
        <v>2.71</v>
      </c>
      <c r="J127" s="7">
        <v>2.5</v>
      </c>
      <c r="K127" s="7">
        <v>3.5</v>
      </c>
      <c r="L127" s="7">
        <v>3</v>
      </c>
      <c r="M127" s="7">
        <v>3</v>
      </c>
      <c r="N127" s="7">
        <v>2.5</v>
      </c>
      <c r="O127" s="7">
        <v>2.5</v>
      </c>
      <c r="P127" s="7">
        <v>2</v>
      </c>
      <c r="Q127" t="s">
        <v>2089</v>
      </c>
      <c r="R127" s="7">
        <v>625</v>
      </c>
      <c r="S127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</row>
    <row r="128" spans="2:19" x14ac:dyDescent="0.35">
      <c r="B128" s="35">
        <v>125</v>
      </c>
      <c r="C128" t="s">
        <v>2019</v>
      </c>
      <c r="D128" s="7">
        <v>2021</v>
      </c>
      <c r="E128" t="s">
        <v>1556</v>
      </c>
      <c r="F128" t="s">
        <v>960</v>
      </c>
      <c r="G128" t="s">
        <v>1557</v>
      </c>
      <c r="H128" t="s">
        <v>961</v>
      </c>
      <c r="I128" s="7">
        <v>2.5</v>
      </c>
      <c r="J128" s="7">
        <v>1.5</v>
      </c>
      <c r="K128" s="7">
        <v>2</v>
      </c>
      <c r="L128" s="7">
        <v>2.5</v>
      </c>
      <c r="M128" s="7">
        <v>2.5</v>
      </c>
      <c r="N128" s="7">
        <v>3.5</v>
      </c>
      <c r="O128" s="7">
        <v>3</v>
      </c>
      <c r="P128" s="7">
        <v>2.5</v>
      </c>
      <c r="Q128" t="s">
        <v>2004</v>
      </c>
      <c r="R128" s="7">
        <v>95</v>
      </c>
      <c r="S128" t="str">
        <f xml:space="preserve"> HYPERLINK("ReviewHtml/review_Cryptozoo.html", "https://2danicritic.github.io/ReviewHtml/review_Cryptozoo.html")</f>
        <v>https://2danicritic.github.io/ReviewHtml/review_Cryptozoo.html</v>
      </c>
    </row>
    <row r="129" spans="2:19" x14ac:dyDescent="0.35">
      <c r="B129" s="35">
        <v>126</v>
      </c>
      <c r="C129" t="s">
        <v>2090</v>
      </c>
      <c r="D129" s="7">
        <v>2018</v>
      </c>
      <c r="E129" t="s">
        <v>1554</v>
      </c>
      <c r="F129" t="s">
        <v>2091</v>
      </c>
      <c r="G129" t="s">
        <v>1559</v>
      </c>
      <c r="H129" t="s">
        <v>2092</v>
      </c>
      <c r="I129" s="7">
        <v>2.79</v>
      </c>
      <c r="J129" s="7">
        <v>2.5</v>
      </c>
      <c r="K129" s="7">
        <v>2.5</v>
      </c>
      <c r="L129" s="7">
        <v>4</v>
      </c>
      <c r="M129" s="7">
        <v>2.5</v>
      </c>
      <c r="N129" s="7">
        <v>2.5</v>
      </c>
      <c r="O129" s="7">
        <v>3</v>
      </c>
      <c r="P129" s="7">
        <v>2.5</v>
      </c>
      <c r="Q129" t="s">
        <v>2093</v>
      </c>
      <c r="R129" s="7">
        <v>300</v>
      </c>
      <c r="S129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</row>
    <row r="130" spans="2:19" x14ac:dyDescent="0.35">
      <c r="B130" s="35">
        <v>127</v>
      </c>
      <c r="C130" t="s">
        <v>774</v>
      </c>
      <c r="D130" s="7">
        <v>2016</v>
      </c>
      <c r="E130" t="s">
        <v>1554</v>
      </c>
      <c r="F130" t="s">
        <v>775</v>
      </c>
      <c r="G130" t="s">
        <v>1559</v>
      </c>
      <c r="H130" t="s">
        <v>111</v>
      </c>
      <c r="I130" s="7">
        <v>2.57</v>
      </c>
      <c r="J130" s="7">
        <v>2.5</v>
      </c>
      <c r="K130" s="7">
        <v>3</v>
      </c>
      <c r="L130" s="7">
        <v>2.5</v>
      </c>
      <c r="M130" s="7">
        <v>2</v>
      </c>
      <c r="N130" s="7">
        <v>2</v>
      </c>
      <c r="O130" s="7">
        <v>3</v>
      </c>
      <c r="P130" s="7">
        <v>3</v>
      </c>
      <c r="Q130" t="s">
        <v>112</v>
      </c>
      <c r="R130" s="7">
        <v>300</v>
      </c>
      <c r="S130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131" spans="2:19" x14ac:dyDescent="0.35">
      <c r="B131" s="35">
        <v>128</v>
      </c>
      <c r="C131" t="s">
        <v>2696</v>
      </c>
      <c r="D131" s="7">
        <v>2024</v>
      </c>
      <c r="E131" t="s">
        <v>1554</v>
      </c>
      <c r="F131" t="s">
        <v>787</v>
      </c>
      <c r="G131" t="s">
        <v>1559</v>
      </c>
      <c r="H131" t="s">
        <v>2710</v>
      </c>
      <c r="I131" s="7">
        <v>3.86</v>
      </c>
      <c r="J131" s="7">
        <v>4</v>
      </c>
      <c r="K131" s="7">
        <v>3.5</v>
      </c>
      <c r="L131" s="7">
        <v>4</v>
      </c>
      <c r="M131" s="7">
        <v>3.5</v>
      </c>
      <c r="N131" s="7">
        <v>3.5</v>
      </c>
      <c r="O131" s="7">
        <v>4.5</v>
      </c>
      <c r="P131" s="7">
        <v>4</v>
      </c>
      <c r="Q131" t="s">
        <v>2684</v>
      </c>
      <c r="R131" s="7">
        <v>300</v>
      </c>
      <c r="S131" t="str">
        <f xml:space="preserve"> HYPERLINK("ReviewHtml/review_Dan_Da_Dan.html", "https://2danicritic.github.io/ReviewHtml/review_Dan_Da_Dan.html")</f>
        <v>https://2danicritic.github.io/ReviewHtml/review_Dan_Da_Dan.html</v>
      </c>
    </row>
    <row r="132" spans="2:19" x14ac:dyDescent="0.35">
      <c r="B132" s="35">
        <v>129</v>
      </c>
      <c r="C132" t="s">
        <v>776</v>
      </c>
      <c r="D132" s="7">
        <v>2010</v>
      </c>
      <c r="E132" t="s">
        <v>1554</v>
      </c>
      <c r="F132" t="s">
        <v>689</v>
      </c>
      <c r="G132" t="s">
        <v>1559</v>
      </c>
      <c r="H132" t="s">
        <v>777</v>
      </c>
      <c r="I132" s="7">
        <v>3.14</v>
      </c>
      <c r="J132" s="7">
        <v>3</v>
      </c>
      <c r="K132" s="7">
        <v>3.5</v>
      </c>
      <c r="L132" s="7">
        <v>2</v>
      </c>
      <c r="M132" s="7">
        <v>3</v>
      </c>
      <c r="N132" s="7">
        <v>4</v>
      </c>
      <c r="O132" s="7">
        <v>3.5</v>
      </c>
      <c r="P132" s="7">
        <v>3</v>
      </c>
      <c r="Q132" t="s">
        <v>113</v>
      </c>
      <c r="R132" s="7">
        <v>300</v>
      </c>
      <c r="S132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133" spans="2:19" x14ac:dyDescent="0.35">
      <c r="B133" s="35">
        <v>130</v>
      </c>
      <c r="C133" t="s">
        <v>2094</v>
      </c>
      <c r="D133" s="7">
        <v>2013</v>
      </c>
      <c r="E133" t="s">
        <v>1554</v>
      </c>
      <c r="F133" t="s">
        <v>948</v>
      </c>
      <c r="G133" t="s">
        <v>1559</v>
      </c>
      <c r="H133" t="s">
        <v>675</v>
      </c>
      <c r="I133" s="7">
        <v>3.36</v>
      </c>
      <c r="J133" s="7">
        <v>2.5</v>
      </c>
      <c r="K133" s="7">
        <v>3.5</v>
      </c>
      <c r="L133" s="7">
        <v>3.5</v>
      </c>
      <c r="M133" s="7">
        <v>3.5</v>
      </c>
      <c r="N133" s="7">
        <v>3.5</v>
      </c>
      <c r="O133" s="7">
        <v>3.5</v>
      </c>
      <c r="P133" s="7">
        <v>3.5</v>
      </c>
      <c r="Q133" t="s">
        <v>2095</v>
      </c>
      <c r="R133" s="7">
        <v>335</v>
      </c>
      <c r="S133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</row>
    <row r="134" spans="2:19" x14ac:dyDescent="0.35">
      <c r="B134" s="35">
        <v>131</v>
      </c>
      <c r="C134" t="s">
        <v>778</v>
      </c>
      <c r="D134" s="7">
        <v>2010</v>
      </c>
      <c r="E134" t="s">
        <v>1554</v>
      </c>
      <c r="F134" t="s">
        <v>114</v>
      </c>
      <c r="G134" t="s">
        <v>1557</v>
      </c>
      <c r="H134" t="s">
        <v>115</v>
      </c>
      <c r="I134" s="7">
        <v>2.4300000000000002</v>
      </c>
      <c r="J134" s="7">
        <v>2</v>
      </c>
      <c r="K134" s="7">
        <v>3.5</v>
      </c>
      <c r="L134" s="7">
        <v>3</v>
      </c>
      <c r="M134" s="7">
        <v>2.5</v>
      </c>
      <c r="N134" s="7">
        <v>2</v>
      </c>
      <c r="O134" s="7">
        <v>2</v>
      </c>
      <c r="P134" s="7">
        <v>2</v>
      </c>
      <c r="Q134" t="s">
        <v>116</v>
      </c>
      <c r="R134" s="7">
        <v>88</v>
      </c>
      <c r="S134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135" spans="2:19" x14ac:dyDescent="0.35">
      <c r="B135" s="35">
        <v>132</v>
      </c>
      <c r="C135" t="s">
        <v>1572</v>
      </c>
      <c r="D135" s="7">
        <v>2013</v>
      </c>
      <c r="E135" t="s">
        <v>1554</v>
      </c>
      <c r="F135" t="s">
        <v>750</v>
      </c>
      <c r="G135" t="s">
        <v>1559</v>
      </c>
      <c r="H135" t="s">
        <v>880</v>
      </c>
      <c r="I135" s="7">
        <v>2.86</v>
      </c>
      <c r="J135" s="7">
        <v>2.5</v>
      </c>
      <c r="K135" s="7">
        <v>2.5</v>
      </c>
      <c r="L135" s="7">
        <v>3</v>
      </c>
      <c r="M135" s="7">
        <v>3.5</v>
      </c>
      <c r="N135" s="7">
        <v>2</v>
      </c>
      <c r="O135" s="7">
        <v>3.5</v>
      </c>
      <c r="P135" s="7">
        <v>3</v>
      </c>
      <c r="Q135" t="s">
        <v>199</v>
      </c>
      <c r="R135" s="7">
        <v>325</v>
      </c>
      <c r="S135" t="str">
        <f xml:space="preserve"> HYPERLINK("ReviewHtml/review_Date_A_Live.html", "https://2danicritic.github.io/ReviewHtml/review_Date_A_Live.html")</f>
        <v>https://2danicritic.github.io/ReviewHtml/review_Date_A_Live.html</v>
      </c>
    </row>
    <row r="136" spans="2:19" x14ac:dyDescent="0.35">
      <c r="B136" s="35">
        <v>133</v>
      </c>
      <c r="C136" t="s">
        <v>779</v>
      </c>
      <c r="D136" s="7">
        <v>2011</v>
      </c>
      <c r="E136" t="s">
        <v>1554</v>
      </c>
      <c r="F136" t="s">
        <v>780</v>
      </c>
      <c r="G136" t="s">
        <v>1559</v>
      </c>
      <c r="H136" t="s">
        <v>781</v>
      </c>
      <c r="I136" s="7">
        <v>3.86</v>
      </c>
      <c r="J136" s="7">
        <v>3.5</v>
      </c>
      <c r="K136" s="7">
        <v>3.5</v>
      </c>
      <c r="L136" s="7">
        <v>4</v>
      </c>
      <c r="M136" s="7">
        <v>4</v>
      </c>
      <c r="N136" s="7">
        <v>3</v>
      </c>
      <c r="O136" s="7">
        <v>4</v>
      </c>
      <c r="P136" s="7">
        <v>5</v>
      </c>
      <c r="Q136" t="s">
        <v>117</v>
      </c>
      <c r="R136" s="7">
        <v>300</v>
      </c>
      <c r="S13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137" spans="2:19" x14ac:dyDescent="0.35">
      <c r="B137" s="35">
        <v>134</v>
      </c>
      <c r="C137" t="s">
        <v>782</v>
      </c>
      <c r="D137" s="7">
        <v>2006</v>
      </c>
      <c r="E137" t="s">
        <v>1554</v>
      </c>
      <c r="F137" t="s">
        <v>694</v>
      </c>
      <c r="G137" t="s">
        <v>1559</v>
      </c>
      <c r="H137" t="s">
        <v>783</v>
      </c>
      <c r="I137" s="7">
        <v>4.71</v>
      </c>
      <c r="J137" s="7">
        <v>4</v>
      </c>
      <c r="K137" s="7">
        <v>4.5</v>
      </c>
      <c r="L137" s="7">
        <v>5</v>
      </c>
      <c r="M137" s="7">
        <v>5</v>
      </c>
      <c r="N137" s="7">
        <v>4.5</v>
      </c>
      <c r="O137" s="7">
        <v>5</v>
      </c>
      <c r="P137" s="7">
        <v>5</v>
      </c>
      <c r="Q137" t="s">
        <v>118</v>
      </c>
      <c r="R137" s="7">
        <v>925</v>
      </c>
      <c r="S137" t="str">
        <f xml:space="preserve"> HYPERLINK("ReviewHtml/review_Death_Note.html", "https://2danicritic.github.io/ReviewHtml/review_Death_Note.html")</f>
        <v>https://2danicritic.github.io/ReviewHtml/review_Death_Note.html</v>
      </c>
    </row>
    <row r="138" spans="2:19" x14ac:dyDescent="0.35">
      <c r="B138" s="35">
        <v>135</v>
      </c>
      <c r="C138" t="s">
        <v>1529</v>
      </c>
      <c r="D138" s="7">
        <v>2007</v>
      </c>
      <c r="E138" t="s">
        <v>1554</v>
      </c>
      <c r="F138" t="s">
        <v>694</v>
      </c>
      <c r="G138" t="s">
        <v>1557</v>
      </c>
      <c r="H138" t="s">
        <v>783</v>
      </c>
      <c r="I138" s="7">
        <v>3.71</v>
      </c>
      <c r="J138" s="7">
        <v>3.5</v>
      </c>
      <c r="K138" s="7">
        <v>4</v>
      </c>
      <c r="L138" s="7">
        <v>4</v>
      </c>
      <c r="M138" s="7">
        <v>4.5</v>
      </c>
      <c r="N138" s="7">
        <v>3.5</v>
      </c>
      <c r="O138" s="7">
        <v>3.5</v>
      </c>
      <c r="P138" s="7">
        <v>3</v>
      </c>
      <c r="Q138" t="s">
        <v>118</v>
      </c>
      <c r="R138" s="7">
        <v>230</v>
      </c>
      <c r="S138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</row>
    <row r="139" spans="2:19" x14ac:dyDescent="0.35">
      <c r="B139" s="35">
        <v>136</v>
      </c>
      <c r="C139" t="s">
        <v>784</v>
      </c>
      <c r="D139" s="7">
        <v>2015</v>
      </c>
      <c r="E139" t="s">
        <v>1554</v>
      </c>
      <c r="F139" t="s">
        <v>694</v>
      </c>
      <c r="G139" t="s">
        <v>1559</v>
      </c>
      <c r="H139" t="s">
        <v>785</v>
      </c>
      <c r="I139" s="7">
        <v>3.64</v>
      </c>
      <c r="J139" s="7">
        <v>3.5</v>
      </c>
      <c r="K139" s="7">
        <v>4</v>
      </c>
      <c r="L139" s="7">
        <v>3.5</v>
      </c>
      <c r="M139" s="7">
        <v>3.5</v>
      </c>
      <c r="N139" s="7">
        <v>3.5</v>
      </c>
      <c r="O139" s="7">
        <v>3.5</v>
      </c>
      <c r="P139" s="7">
        <v>4</v>
      </c>
      <c r="Q139" t="s">
        <v>119</v>
      </c>
      <c r="R139" s="7">
        <v>300</v>
      </c>
      <c r="S139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40" spans="2:19" x14ac:dyDescent="0.35">
      <c r="B140" s="35">
        <v>137</v>
      </c>
      <c r="C140" t="s">
        <v>2427</v>
      </c>
      <c r="D140" s="7">
        <v>2020</v>
      </c>
      <c r="E140" t="s">
        <v>1554</v>
      </c>
      <c r="F140" t="s">
        <v>1916</v>
      </c>
      <c r="G140" t="s">
        <v>1559</v>
      </c>
      <c r="H140" t="s">
        <v>785</v>
      </c>
      <c r="I140" s="7">
        <v>3.43</v>
      </c>
      <c r="J140" s="7">
        <v>3</v>
      </c>
      <c r="K140" s="7">
        <v>3</v>
      </c>
      <c r="L140" s="7">
        <v>4</v>
      </c>
      <c r="M140" s="7">
        <v>3.5</v>
      </c>
      <c r="N140" s="7">
        <v>3.5</v>
      </c>
      <c r="O140" s="7">
        <v>3.5</v>
      </c>
      <c r="P140" s="7">
        <v>3.5</v>
      </c>
      <c r="Q140" t="s">
        <v>2428</v>
      </c>
      <c r="R140" s="7">
        <v>300</v>
      </c>
      <c r="S140" t="str">
        <f xml:space="preserve"> HYPERLINK("ReviewHtml/review_Deca-Dence.html", "https://2danicritic.github.io/ReviewHtml/review_Deca-Dence.html")</f>
        <v>https://2danicritic.github.io/ReviewHtml/review_Deca-Dence.html</v>
      </c>
    </row>
    <row r="141" spans="2:19" x14ac:dyDescent="0.35">
      <c r="B141" s="35">
        <v>138</v>
      </c>
      <c r="C141" t="s">
        <v>2155</v>
      </c>
      <c r="D141" s="7">
        <v>1984</v>
      </c>
      <c r="E141" t="s">
        <v>2156</v>
      </c>
      <c r="F141" t="s">
        <v>2157</v>
      </c>
      <c r="G141" t="s">
        <v>1557</v>
      </c>
      <c r="H141" t="s">
        <v>2141</v>
      </c>
      <c r="I141" s="7">
        <v>2.14</v>
      </c>
      <c r="J141" s="7">
        <v>2</v>
      </c>
      <c r="K141" s="7">
        <v>2.5</v>
      </c>
      <c r="L141" s="7">
        <v>2</v>
      </c>
      <c r="M141" s="7">
        <v>2</v>
      </c>
      <c r="N141" s="7">
        <v>2</v>
      </c>
      <c r="O141" s="7">
        <v>2</v>
      </c>
      <c r="P141" s="7">
        <v>2.5</v>
      </c>
      <c r="Q141" t="s">
        <v>2142</v>
      </c>
      <c r="R141" s="7">
        <v>71</v>
      </c>
      <c r="S141" t="str">
        <f xml:space="preserve"> HYPERLINK("ReviewHtml/review_Delta_Space_Mission.html", "https://2danicritic.github.io/ReviewHtml/review_Delta_Space_Mission.html")</f>
        <v>https://2danicritic.github.io/ReviewHtml/review_Delta_Space_Mission.html</v>
      </c>
    </row>
    <row r="142" spans="2:19" x14ac:dyDescent="0.35">
      <c r="B142" s="35">
        <v>139</v>
      </c>
      <c r="C142" t="s">
        <v>1898</v>
      </c>
      <c r="D142" s="7">
        <v>2019</v>
      </c>
      <c r="E142" t="s">
        <v>1554</v>
      </c>
      <c r="F142" t="s">
        <v>814</v>
      </c>
      <c r="G142" t="s">
        <v>1559</v>
      </c>
      <c r="H142" t="s">
        <v>1899</v>
      </c>
      <c r="I142" s="7">
        <v>3.79</v>
      </c>
      <c r="J142" s="7">
        <v>4</v>
      </c>
      <c r="K142" s="7">
        <v>4</v>
      </c>
      <c r="L142" s="7">
        <v>4</v>
      </c>
      <c r="M142" s="7">
        <v>3</v>
      </c>
      <c r="N142" s="7">
        <v>3</v>
      </c>
      <c r="O142" s="7">
        <v>4.5</v>
      </c>
      <c r="P142" s="7">
        <v>4</v>
      </c>
      <c r="Q142" t="s">
        <v>248</v>
      </c>
      <c r="R142" s="7">
        <v>650</v>
      </c>
      <c r="S142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</row>
    <row r="143" spans="2:19" x14ac:dyDescent="0.35">
      <c r="B143" s="35">
        <v>140</v>
      </c>
      <c r="C143" t="s">
        <v>1959</v>
      </c>
      <c r="D143" s="7">
        <v>2020</v>
      </c>
      <c r="E143" t="s">
        <v>1554</v>
      </c>
      <c r="F143" t="s">
        <v>814</v>
      </c>
      <c r="G143" t="s">
        <v>1557</v>
      </c>
      <c r="H143" t="s">
        <v>1899</v>
      </c>
      <c r="I143" s="7">
        <v>3.5</v>
      </c>
      <c r="J143" s="7">
        <v>4</v>
      </c>
      <c r="K143" s="7">
        <v>4</v>
      </c>
      <c r="L143" s="7">
        <v>4</v>
      </c>
      <c r="M143" s="7">
        <v>3</v>
      </c>
      <c r="N143" s="7">
        <v>2.5</v>
      </c>
      <c r="O143" s="7">
        <v>4</v>
      </c>
      <c r="P143" s="7">
        <v>3</v>
      </c>
      <c r="Q143" t="s">
        <v>1945</v>
      </c>
      <c r="R143" s="7">
        <v>117</v>
      </c>
      <c r="S143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</row>
    <row r="144" spans="2:19" x14ac:dyDescent="0.35">
      <c r="B144" s="35">
        <v>141</v>
      </c>
      <c r="C144" t="s">
        <v>786</v>
      </c>
      <c r="D144" s="7">
        <v>2018</v>
      </c>
      <c r="E144" t="s">
        <v>1554</v>
      </c>
      <c r="F144" t="s">
        <v>787</v>
      </c>
      <c r="G144" t="s">
        <v>1568</v>
      </c>
      <c r="H144" t="s">
        <v>788</v>
      </c>
      <c r="I144" s="7">
        <v>3.29</v>
      </c>
      <c r="J144" s="7">
        <v>2.5</v>
      </c>
      <c r="K144" s="7">
        <v>3</v>
      </c>
      <c r="L144" s="7">
        <v>3.5</v>
      </c>
      <c r="M144" s="7">
        <v>3</v>
      </c>
      <c r="N144" s="7">
        <v>3.5</v>
      </c>
      <c r="O144" s="7">
        <v>3.5</v>
      </c>
      <c r="P144" s="7">
        <v>4</v>
      </c>
      <c r="Q144" t="s">
        <v>120</v>
      </c>
      <c r="R144" s="7">
        <v>250</v>
      </c>
      <c r="S144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145" spans="2:19" x14ac:dyDescent="0.35">
      <c r="B145" s="35">
        <v>142</v>
      </c>
      <c r="C145" t="s">
        <v>789</v>
      </c>
      <c r="D145" s="7">
        <v>1987</v>
      </c>
      <c r="E145" t="s">
        <v>1554</v>
      </c>
      <c r="F145" t="s">
        <v>790</v>
      </c>
      <c r="G145" t="s">
        <v>1560</v>
      </c>
      <c r="H145" t="s">
        <v>791</v>
      </c>
      <c r="I145" s="7">
        <v>2.14</v>
      </c>
      <c r="J145" s="7">
        <v>2</v>
      </c>
      <c r="K145" s="7">
        <v>2.5</v>
      </c>
      <c r="L145" s="7">
        <v>2</v>
      </c>
      <c r="M145" s="7">
        <v>1.5</v>
      </c>
      <c r="N145" s="7">
        <v>1.5</v>
      </c>
      <c r="O145" s="7">
        <v>3</v>
      </c>
      <c r="P145" s="7">
        <v>2.5</v>
      </c>
      <c r="Q145" t="s">
        <v>121</v>
      </c>
      <c r="R145" s="7">
        <v>110</v>
      </c>
      <c r="S145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46" spans="2:19" x14ac:dyDescent="0.35">
      <c r="B146" s="35">
        <v>143</v>
      </c>
      <c r="C146" t="s">
        <v>1717</v>
      </c>
      <c r="D146" s="7">
        <v>2014</v>
      </c>
      <c r="E146" t="s">
        <v>1554</v>
      </c>
      <c r="F146" t="s">
        <v>686</v>
      </c>
      <c r="G146" t="s">
        <v>1559</v>
      </c>
      <c r="H146" t="s">
        <v>1718</v>
      </c>
      <c r="I146" s="7">
        <v>3.21</v>
      </c>
      <c r="J146" s="7">
        <v>3</v>
      </c>
      <c r="K146" s="7">
        <v>3</v>
      </c>
      <c r="L146" s="7">
        <v>3.5</v>
      </c>
      <c r="M146" s="7">
        <v>3.5</v>
      </c>
      <c r="N146" s="7">
        <v>2</v>
      </c>
      <c r="O146" s="7">
        <v>4</v>
      </c>
      <c r="P146" s="7">
        <v>3.5</v>
      </c>
      <c r="Q146" t="s">
        <v>144</v>
      </c>
      <c r="R146" s="7">
        <v>300</v>
      </c>
      <c r="S146" t="str">
        <f xml:space="preserve"> HYPERLINK("ReviewHtml/review_D-Frag!.html", "https://2danicritic.github.io/ReviewHtml/review_D-Frag!.html")</f>
        <v>https://2danicritic.github.io/ReviewHtml/review_D-Frag!.html</v>
      </c>
    </row>
    <row r="147" spans="2:19" x14ac:dyDescent="0.35">
      <c r="B147" s="35">
        <v>144</v>
      </c>
      <c r="C147" t="s">
        <v>2639</v>
      </c>
      <c r="D147" s="7">
        <v>2000</v>
      </c>
      <c r="E147" t="s">
        <v>1554</v>
      </c>
      <c r="F147" t="s">
        <v>681</v>
      </c>
      <c r="G147" t="s">
        <v>1557</v>
      </c>
      <c r="H147" t="s">
        <v>2624</v>
      </c>
      <c r="I147" s="7">
        <v>3.43</v>
      </c>
      <c r="J147" s="7">
        <v>3</v>
      </c>
      <c r="K147" s="7">
        <v>3</v>
      </c>
      <c r="L147" s="7">
        <v>4</v>
      </c>
      <c r="M147" s="7">
        <v>3.5</v>
      </c>
      <c r="N147" s="7">
        <v>2</v>
      </c>
      <c r="O147" s="7">
        <v>4</v>
      </c>
      <c r="P147" s="7">
        <v>4.5</v>
      </c>
      <c r="Q147" t="s">
        <v>2625</v>
      </c>
      <c r="R147" s="7">
        <v>88</v>
      </c>
      <c r="S147" t="str">
        <f xml:space="preserve"> HYPERLINK("ReviewHtml/review_Digimon_-_The_Movie.html", "https://2danicritic.github.io/ReviewHtml/review_Digimon_-_The_Movie.html")</f>
        <v>https://2danicritic.github.io/ReviewHtml/review_Digimon_-_The_Movie.html</v>
      </c>
    </row>
    <row r="148" spans="2:19" x14ac:dyDescent="0.35">
      <c r="B148" s="35">
        <v>145</v>
      </c>
      <c r="C148" t="s">
        <v>1960</v>
      </c>
      <c r="D148" s="7">
        <v>2020</v>
      </c>
      <c r="E148" t="s">
        <v>1554</v>
      </c>
      <c r="F148" t="s">
        <v>681</v>
      </c>
      <c r="G148" t="s">
        <v>1557</v>
      </c>
      <c r="H148" t="s">
        <v>1974</v>
      </c>
      <c r="I148" s="7">
        <v>2.93</v>
      </c>
      <c r="J148" s="7">
        <v>3</v>
      </c>
      <c r="K148" s="7">
        <v>3</v>
      </c>
      <c r="L148" s="7">
        <v>2.5</v>
      </c>
      <c r="M148" s="7">
        <v>3</v>
      </c>
      <c r="N148" s="7">
        <v>3</v>
      </c>
      <c r="O148" s="7">
        <v>3</v>
      </c>
      <c r="P148" s="7">
        <v>3</v>
      </c>
      <c r="Q148" t="s">
        <v>1946</v>
      </c>
      <c r="R148" s="7">
        <v>94</v>
      </c>
      <c r="S148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</row>
    <row r="149" spans="2:19" x14ac:dyDescent="0.35">
      <c r="B149" s="35">
        <v>146</v>
      </c>
      <c r="C149" t="s">
        <v>1900</v>
      </c>
      <c r="D149" s="7">
        <v>2015</v>
      </c>
      <c r="E149" t="s">
        <v>1554</v>
      </c>
      <c r="F149" t="s">
        <v>681</v>
      </c>
      <c r="G149" t="s">
        <v>1557</v>
      </c>
      <c r="H149" t="s">
        <v>880</v>
      </c>
      <c r="I149" s="7">
        <v>2.57</v>
      </c>
      <c r="J149" s="7">
        <v>2</v>
      </c>
      <c r="K149" s="7">
        <v>3</v>
      </c>
      <c r="L149" s="7">
        <v>2.5</v>
      </c>
      <c r="M149" s="7">
        <v>3.5</v>
      </c>
      <c r="N149" s="7">
        <v>2</v>
      </c>
      <c r="O149" s="7">
        <v>3</v>
      </c>
      <c r="P149" s="7">
        <v>2</v>
      </c>
      <c r="Q149" t="s">
        <v>1872</v>
      </c>
      <c r="R149" s="7">
        <v>531</v>
      </c>
      <c r="S149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</row>
    <row r="150" spans="2:19" x14ac:dyDescent="0.35">
      <c r="B150" s="35">
        <v>147</v>
      </c>
      <c r="C150" t="s">
        <v>792</v>
      </c>
      <c r="D150" s="7">
        <v>2013</v>
      </c>
      <c r="E150" t="s">
        <v>1554</v>
      </c>
      <c r="F150" t="s">
        <v>664</v>
      </c>
      <c r="G150" t="s">
        <v>1559</v>
      </c>
      <c r="H150" t="s">
        <v>793</v>
      </c>
      <c r="I150" s="7">
        <v>2.29</v>
      </c>
      <c r="J150" s="7">
        <v>2.5</v>
      </c>
      <c r="K150" s="7">
        <v>2.5</v>
      </c>
      <c r="L150" s="7">
        <v>2.5</v>
      </c>
      <c r="M150" s="7">
        <v>2.5</v>
      </c>
      <c r="N150" s="7">
        <v>2.5</v>
      </c>
      <c r="O150" s="7">
        <v>2.5</v>
      </c>
      <c r="P150" s="7">
        <v>1</v>
      </c>
      <c r="Q150" t="s">
        <v>122</v>
      </c>
      <c r="R150" s="7">
        <v>300</v>
      </c>
      <c r="S150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151" spans="2:19" x14ac:dyDescent="0.35">
      <c r="B151" s="35">
        <v>148</v>
      </c>
      <c r="C151" t="s">
        <v>1719</v>
      </c>
      <c r="D151" s="7">
        <v>2018</v>
      </c>
      <c r="E151" t="s">
        <v>1554</v>
      </c>
      <c r="F151" t="s">
        <v>1720</v>
      </c>
      <c r="G151" t="s">
        <v>1559</v>
      </c>
      <c r="H151" t="s">
        <v>1721</v>
      </c>
      <c r="I151" s="7">
        <v>2.57</v>
      </c>
      <c r="J151" s="7">
        <v>2.5</v>
      </c>
      <c r="K151" s="7">
        <v>2.5</v>
      </c>
      <c r="L151" s="7">
        <v>3</v>
      </c>
      <c r="M151" s="7">
        <v>3</v>
      </c>
      <c r="N151" s="7">
        <v>2</v>
      </c>
      <c r="O151" s="7">
        <v>2.5</v>
      </c>
      <c r="P151" s="7">
        <v>2.5</v>
      </c>
      <c r="Q151" t="s">
        <v>1664</v>
      </c>
      <c r="R151" s="7">
        <v>300</v>
      </c>
      <c r="S151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</row>
    <row r="152" spans="2:19" x14ac:dyDescent="0.35">
      <c r="B152" s="35">
        <v>149</v>
      </c>
      <c r="C152" t="s">
        <v>2273</v>
      </c>
      <c r="D152" s="7">
        <v>2021</v>
      </c>
      <c r="E152" t="s">
        <v>1554</v>
      </c>
      <c r="F152" t="s">
        <v>2274</v>
      </c>
      <c r="G152" t="s">
        <v>1557</v>
      </c>
      <c r="H152" t="s">
        <v>2275</v>
      </c>
      <c r="I152" s="7">
        <v>2.36</v>
      </c>
      <c r="J152" s="7">
        <v>2</v>
      </c>
      <c r="K152" s="7">
        <v>3.5</v>
      </c>
      <c r="L152" s="7">
        <v>2.5</v>
      </c>
      <c r="M152" s="7">
        <v>2.5</v>
      </c>
      <c r="N152" s="7">
        <v>1</v>
      </c>
      <c r="O152" s="7">
        <v>2.5</v>
      </c>
      <c r="P152" s="7">
        <v>2.5</v>
      </c>
      <c r="Q152" t="s">
        <v>2212</v>
      </c>
      <c r="R152" s="7">
        <v>64</v>
      </c>
      <c r="S152" t="str">
        <f xml:space="preserve"> HYPERLINK("ReviewHtml/review_Dozens_of_Norths.html", "https://2danicritic.github.io/ReviewHtml/review_Dozens_of_Norths.html")</f>
        <v>https://2danicritic.github.io/ReviewHtml/review_Dozens_of_Norths.html</v>
      </c>
    </row>
    <row r="153" spans="2:19" x14ac:dyDescent="0.35">
      <c r="B153" s="35">
        <v>150</v>
      </c>
      <c r="C153" t="s">
        <v>1787</v>
      </c>
      <c r="D153" s="7">
        <v>2018</v>
      </c>
      <c r="E153" t="s">
        <v>1554</v>
      </c>
      <c r="F153" t="s">
        <v>681</v>
      </c>
      <c r="G153" t="s">
        <v>1557</v>
      </c>
      <c r="H153" t="s">
        <v>1450</v>
      </c>
      <c r="I153" s="7">
        <v>3.36</v>
      </c>
      <c r="J153" s="7">
        <v>3.5</v>
      </c>
      <c r="K153" s="7">
        <v>3.5</v>
      </c>
      <c r="L153" s="7">
        <v>3.5</v>
      </c>
      <c r="M153" s="7">
        <v>3.5</v>
      </c>
      <c r="N153" s="7">
        <v>2.5</v>
      </c>
      <c r="O153" s="7">
        <v>4</v>
      </c>
      <c r="P153" s="7">
        <v>3</v>
      </c>
      <c r="Q153" t="s">
        <v>1759</v>
      </c>
      <c r="R153" s="7">
        <v>100</v>
      </c>
      <c r="S153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</row>
    <row r="154" spans="2:19" x14ac:dyDescent="0.35">
      <c r="B154" s="35">
        <v>151</v>
      </c>
      <c r="C154" t="s">
        <v>1372</v>
      </c>
      <c r="D154" s="7">
        <v>2013</v>
      </c>
      <c r="E154" t="s">
        <v>1554</v>
      </c>
      <c r="F154" t="s">
        <v>681</v>
      </c>
      <c r="G154" t="s">
        <v>1557</v>
      </c>
      <c r="H154" t="s">
        <v>1437</v>
      </c>
      <c r="I154" s="7">
        <v>3.07</v>
      </c>
      <c r="J154" s="7">
        <v>3</v>
      </c>
      <c r="K154" s="7">
        <v>3</v>
      </c>
      <c r="L154" s="7">
        <v>3.5</v>
      </c>
      <c r="M154" s="7">
        <v>4</v>
      </c>
      <c r="N154" s="7">
        <v>1.5</v>
      </c>
      <c r="O154" s="7">
        <v>4</v>
      </c>
      <c r="P154" s="7">
        <v>2.5</v>
      </c>
      <c r="Q154" t="s">
        <v>1307</v>
      </c>
      <c r="R154" s="7">
        <v>105</v>
      </c>
      <c r="S154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155" spans="2:19" x14ac:dyDescent="0.35">
      <c r="B155" s="35">
        <v>152</v>
      </c>
      <c r="C155" t="s">
        <v>794</v>
      </c>
      <c r="D155" s="7">
        <v>2016</v>
      </c>
      <c r="E155" t="s">
        <v>1554</v>
      </c>
      <c r="F155" t="s">
        <v>795</v>
      </c>
      <c r="G155" t="s">
        <v>1559</v>
      </c>
      <c r="H155" t="s">
        <v>796</v>
      </c>
      <c r="I155" s="7">
        <v>3.71</v>
      </c>
      <c r="J155" s="7">
        <v>3</v>
      </c>
      <c r="K155" s="7">
        <v>4</v>
      </c>
      <c r="L155" s="7">
        <v>3.5</v>
      </c>
      <c r="M155" s="7">
        <v>4</v>
      </c>
      <c r="N155" s="7">
        <v>3</v>
      </c>
      <c r="O155" s="7">
        <v>4.5</v>
      </c>
      <c r="P155" s="7">
        <v>4</v>
      </c>
      <c r="Q155" t="s">
        <v>123</v>
      </c>
      <c r="R155" s="7">
        <v>300</v>
      </c>
      <c r="S155" t="str">
        <f xml:space="preserve"> HYPERLINK("ReviewHtml/review_Drifters.html", "https://2danicritic.github.io/ReviewHtml/review_Drifters.html")</f>
        <v>https://2danicritic.github.io/ReviewHtml/review_Drifters.html</v>
      </c>
    </row>
    <row r="156" spans="2:19" x14ac:dyDescent="0.35">
      <c r="B156" s="35">
        <v>153</v>
      </c>
      <c r="C156" t="s">
        <v>2276</v>
      </c>
      <c r="D156" s="7">
        <v>1941</v>
      </c>
      <c r="E156" t="s">
        <v>1556</v>
      </c>
      <c r="F156" t="s">
        <v>2260</v>
      </c>
      <c r="G156" t="s">
        <v>1557</v>
      </c>
      <c r="H156" t="s">
        <v>2277</v>
      </c>
      <c r="I156" s="7">
        <v>3.43</v>
      </c>
      <c r="J156" s="7">
        <v>3.5</v>
      </c>
      <c r="K156" s="7">
        <v>3.5</v>
      </c>
      <c r="L156" s="7">
        <v>3.5</v>
      </c>
      <c r="M156" s="7">
        <v>4</v>
      </c>
      <c r="N156" s="7">
        <v>3</v>
      </c>
      <c r="O156" s="7">
        <v>3</v>
      </c>
      <c r="P156" s="7">
        <v>3.5</v>
      </c>
      <c r="Q156" t="s">
        <v>2213</v>
      </c>
      <c r="R156" s="7">
        <v>64</v>
      </c>
      <c r="S156" t="str">
        <f xml:space="preserve"> HYPERLINK("ReviewHtml/review_Dumbo.html", "https://2danicritic.github.io/ReviewHtml/review_Dumbo.html")</f>
        <v>https://2danicritic.github.io/ReviewHtml/review_Dumbo.html</v>
      </c>
    </row>
    <row r="157" spans="2:19" x14ac:dyDescent="0.35">
      <c r="B157" s="35">
        <v>154</v>
      </c>
      <c r="C157" t="s">
        <v>797</v>
      </c>
      <c r="D157" s="7">
        <v>2012</v>
      </c>
      <c r="E157" t="s">
        <v>1554</v>
      </c>
      <c r="F157" t="s">
        <v>798</v>
      </c>
      <c r="G157" t="s">
        <v>1559</v>
      </c>
      <c r="H157" t="s">
        <v>799</v>
      </c>
      <c r="I157" s="7">
        <v>3.57</v>
      </c>
      <c r="J157" s="7">
        <v>3</v>
      </c>
      <c r="K157" s="7">
        <v>3.5</v>
      </c>
      <c r="L157" s="7">
        <v>4</v>
      </c>
      <c r="M157" s="7">
        <v>3</v>
      </c>
      <c r="N157" s="7">
        <v>3.5</v>
      </c>
      <c r="O157" s="7">
        <v>4</v>
      </c>
      <c r="P157" s="7">
        <v>4</v>
      </c>
      <c r="Q157" t="s">
        <v>124</v>
      </c>
      <c r="R157" s="7">
        <v>325</v>
      </c>
      <c r="S15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158" spans="2:19" x14ac:dyDescent="0.35">
      <c r="B158" s="35">
        <v>155</v>
      </c>
      <c r="C158" t="s">
        <v>800</v>
      </c>
      <c r="D158" s="7">
        <v>2009</v>
      </c>
      <c r="E158" t="s">
        <v>1554</v>
      </c>
      <c r="F158" t="s">
        <v>731</v>
      </c>
      <c r="G158" t="s">
        <v>1559</v>
      </c>
      <c r="H158" t="s">
        <v>801</v>
      </c>
      <c r="I158" s="7">
        <v>4.21</v>
      </c>
      <c r="J158" s="7">
        <v>3.5</v>
      </c>
      <c r="K158" s="7">
        <v>4</v>
      </c>
      <c r="L158" s="7">
        <v>4.5</v>
      </c>
      <c r="M158" s="7">
        <v>3.5</v>
      </c>
      <c r="N158" s="7">
        <v>4.5</v>
      </c>
      <c r="O158" s="7">
        <v>4.5</v>
      </c>
      <c r="P158" s="7">
        <v>5</v>
      </c>
      <c r="Q158" t="s">
        <v>125</v>
      </c>
      <c r="R158" s="7">
        <v>275</v>
      </c>
      <c r="S158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159" spans="2:19" x14ac:dyDescent="0.35">
      <c r="B159" s="35">
        <v>156</v>
      </c>
      <c r="C159" t="s">
        <v>802</v>
      </c>
      <c r="D159" s="7">
        <v>2009</v>
      </c>
      <c r="E159" t="s">
        <v>1554</v>
      </c>
      <c r="F159" t="s">
        <v>731</v>
      </c>
      <c r="G159" t="s">
        <v>1557</v>
      </c>
      <c r="H159" t="s">
        <v>801</v>
      </c>
      <c r="I159" s="7">
        <v>3.29</v>
      </c>
      <c r="J159" s="7">
        <v>3.5</v>
      </c>
      <c r="K159" s="7">
        <v>3.5</v>
      </c>
      <c r="L159" s="7">
        <v>4</v>
      </c>
      <c r="M159" s="7">
        <v>3.5</v>
      </c>
      <c r="N159" s="7">
        <v>2.5</v>
      </c>
      <c r="O159" s="7">
        <v>3</v>
      </c>
      <c r="P159" s="7">
        <v>3</v>
      </c>
      <c r="Q159" t="s">
        <v>125</v>
      </c>
      <c r="R159" s="7">
        <v>180</v>
      </c>
      <c r="S159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160" spans="2:19" x14ac:dyDescent="0.35">
      <c r="B160" s="35">
        <v>157</v>
      </c>
      <c r="C160" t="s">
        <v>1722</v>
      </c>
      <c r="D160" s="7">
        <v>2009</v>
      </c>
      <c r="E160" t="s">
        <v>1556</v>
      </c>
      <c r="F160" t="s">
        <v>1723</v>
      </c>
      <c r="G160" t="s">
        <v>1557</v>
      </c>
      <c r="H160" t="s">
        <v>1724</v>
      </c>
      <c r="I160" s="7">
        <v>2.21</v>
      </c>
      <c r="J160" s="7">
        <v>2.5</v>
      </c>
      <c r="K160" s="7">
        <v>2.5</v>
      </c>
      <c r="L160" s="7">
        <v>2.5</v>
      </c>
      <c r="M160" s="7">
        <v>2</v>
      </c>
      <c r="N160" s="7">
        <v>2</v>
      </c>
      <c r="O160" s="7">
        <v>2</v>
      </c>
      <c r="P160" s="7">
        <v>2</v>
      </c>
      <c r="Q160" t="s">
        <v>195</v>
      </c>
      <c r="R160" s="7">
        <v>80</v>
      </c>
      <c r="S160" t="str">
        <f xml:space="preserve"> HYPERLINK("ReviewHtml/review_Eleanor's_Secret.html", "https://2danicritic.github.io/ReviewHtml/review_Eleanor's_Secret.html")</f>
        <v>https://2danicritic.github.io/ReviewHtml/review_Eleanor's_Secret.html</v>
      </c>
    </row>
    <row r="161" spans="2:19" x14ac:dyDescent="0.35">
      <c r="B161" s="35">
        <v>158</v>
      </c>
      <c r="C161" t="s">
        <v>2020</v>
      </c>
      <c r="D161" s="7">
        <v>2020</v>
      </c>
      <c r="E161" t="s">
        <v>1607</v>
      </c>
      <c r="F161" t="s">
        <v>988</v>
      </c>
      <c r="G161" t="s">
        <v>1557</v>
      </c>
      <c r="H161" t="s">
        <v>989</v>
      </c>
      <c r="I161" s="7">
        <v>2.21</v>
      </c>
      <c r="J161" s="7">
        <v>2.5</v>
      </c>
      <c r="K161" s="7">
        <v>2.5</v>
      </c>
      <c r="L161" s="7">
        <v>2</v>
      </c>
      <c r="M161" s="7">
        <v>1.5</v>
      </c>
      <c r="N161" s="7">
        <v>2</v>
      </c>
      <c r="O161" s="7">
        <v>2.5</v>
      </c>
      <c r="P161" s="7">
        <v>2.5</v>
      </c>
      <c r="Q161" t="s">
        <v>1213</v>
      </c>
      <c r="R161" s="7">
        <v>68</v>
      </c>
      <c r="S161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</row>
    <row r="162" spans="2:19" x14ac:dyDescent="0.35">
      <c r="B162" s="35">
        <v>159</v>
      </c>
      <c r="C162" t="s">
        <v>2697</v>
      </c>
      <c r="D162" s="7">
        <v>2025</v>
      </c>
      <c r="E162" t="s">
        <v>1607</v>
      </c>
      <c r="F162" t="s">
        <v>2711</v>
      </c>
      <c r="G162" t="s">
        <v>1557</v>
      </c>
      <c r="H162" t="s">
        <v>2711</v>
      </c>
      <c r="I162" s="7">
        <v>2.36</v>
      </c>
      <c r="J162" s="7">
        <v>2</v>
      </c>
      <c r="K162" s="7">
        <v>1.5</v>
      </c>
      <c r="L162" s="7">
        <v>2</v>
      </c>
      <c r="M162" s="7">
        <v>2.5</v>
      </c>
      <c r="N162" s="7">
        <v>2.5</v>
      </c>
      <c r="O162" s="7">
        <v>3</v>
      </c>
      <c r="P162" s="7">
        <v>3</v>
      </c>
      <c r="Q162" t="s">
        <v>2685</v>
      </c>
      <c r="R162" s="7">
        <v>98</v>
      </c>
      <c r="S162" t="str">
        <f xml:space="preserve"> HYPERLINK("ReviewHtml/review_Endless_Cookie.html", "https://2danicritic.github.io/ReviewHtml/review_Endless_Cookie.html")</f>
        <v>https://2danicritic.github.io/ReviewHtml/review_Endless_Cookie.html</v>
      </c>
    </row>
    <row r="163" spans="2:19" x14ac:dyDescent="0.35">
      <c r="B163" s="35">
        <v>160</v>
      </c>
      <c r="C163" t="s">
        <v>1328</v>
      </c>
      <c r="D163" s="7">
        <v>2016</v>
      </c>
      <c r="E163" t="s">
        <v>1554</v>
      </c>
      <c r="F163" t="s">
        <v>715</v>
      </c>
      <c r="G163" t="s">
        <v>1559</v>
      </c>
      <c r="H163" t="s">
        <v>1438</v>
      </c>
      <c r="I163" s="7">
        <v>3.79</v>
      </c>
      <c r="J163" s="7">
        <v>3.5</v>
      </c>
      <c r="K163" s="7">
        <v>3.5</v>
      </c>
      <c r="L163" s="7">
        <v>3.5</v>
      </c>
      <c r="M163" s="7">
        <v>4</v>
      </c>
      <c r="N163" s="7">
        <v>4</v>
      </c>
      <c r="O163" s="7">
        <v>4</v>
      </c>
      <c r="P163" s="7">
        <v>4</v>
      </c>
      <c r="Q163" t="s">
        <v>1308</v>
      </c>
      <c r="R163" s="7">
        <v>300</v>
      </c>
      <c r="S163" t="str">
        <f xml:space="preserve"> HYPERLINK("ReviewHtml/review_Erased.html", "https://2danicritic.github.io/ReviewHtml/review_Erased.html")</f>
        <v>https://2danicritic.github.io/ReviewHtml/review_Erased.html</v>
      </c>
    </row>
    <row r="164" spans="2:19" x14ac:dyDescent="0.35">
      <c r="B164" s="35">
        <v>161</v>
      </c>
      <c r="C164" t="s">
        <v>1326</v>
      </c>
      <c r="D164" s="7">
        <v>2006</v>
      </c>
      <c r="E164" t="s">
        <v>1554</v>
      </c>
      <c r="F164" t="s">
        <v>780</v>
      </c>
      <c r="G164" t="s">
        <v>1559</v>
      </c>
      <c r="H164" t="s">
        <v>826</v>
      </c>
      <c r="I164" s="7">
        <v>3.5</v>
      </c>
      <c r="J164" s="7">
        <v>3.5</v>
      </c>
      <c r="K164" s="7">
        <v>4</v>
      </c>
      <c r="L164" s="7">
        <v>4</v>
      </c>
      <c r="M164" s="7">
        <v>3.5</v>
      </c>
      <c r="N164" s="7">
        <v>3</v>
      </c>
      <c r="O164" s="7">
        <v>3</v>
      </c>
      <c r="P164" s="7">
        <v>3.5</v>
      </c>
      <c r="Q164" t="s">
        <v>1309</v>
      </c>
      <c r="R164" s="7">
        <v>575</v>
      </c>
      <c r="S164" t="str">
        <f xml:space="preserve"> HYPERLINK("ReviewHtml/review_Ergo_Proxy.html", "https://2danicritic.github.io/ReviewHtml/review_Ergo_Proxy.html")</f>
        <v>https://2danicritic.github.io/ReviewHtml/review_Ergo_Proxy.html</v>
      </c>
    </row>
    <row r="165" spans="2:19" x14ac:dyDescent="0.35">
      <c r="B165" s="35">
        <v>162</v>
      </c>
      <c r="C165" t="s">
        <v>803</v>
      </c>
      <c r="D165" s="7">
        <v>2012</v>
      </c>
      <c r="E165" t="s">
        <v>1558</v>
      </c>
      <c r="F165" t="s">
        <v>804</v>
      </c>
      <c r="G165" t="s">
        <v>1557</v>
      </c>
      <c r="H165" t="s">
        <v>126</v>
      </c>
      <c r="I165" s="7">
        <v>3.93</v>
      </c>
      <c r="J165" s="7">
        <v>4</v>
      </c>
      <c r="K165" s="7">
        <v>4</v>
      </c>
      <c r="L165" s="7">
        <v>4</v>
      </c>
      <c r="M165" s="7">
        <v>3.5</v>
      </c>
      <c r="N165" s="7">
        <v>4</v>
      </c>
      <c r="O165" s="7">
        <v>4</v>
      </c>
      <c r="P165" s="7">
        <v>4</v>
      </c>
      <c r="Q165" t="s">
        <v>127</v>
      </c>
      <c r="R165" s="7">
        <v>79</v>
      </c>
      <c r="S165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166" spans="2:19" x14ac:dyDescent="0.35">
      <c r="B166" s="35">
        <v>163</v>
      </c>
      <c r="C166" t="s">
        <v>2581</v>
      </c>
      <c r="D166" s="7">
        <v>2022</v>
      </c>
      <c r="E166" t="s">
        <v>1558</v>
      </c>
      <c r="F166" t="s">
        <v>1073</v>
      </c>
      <c r="G166" t="s">
        <v>1557</v>
      </c>
      <c r="H166" t="s">
        <v>2566</v>
      </c>
      <c r="I166" s="7">
        <v>3.64</v>
      </c>
      <c r="J166" s="7">
        <v>3.5</v>
      </c>
      <c r="K166" s="7">
        <v>4</v>
      </c>
      <c r="L166" s="7">
        <v>3.5</v>
      </c>
      <c r="M166" s="7">
        <v>3.5</v>
      </c>
      <c r="N166" s="7">
        <v>3.5</v>
      </c>
      <c r="O166" s="7">
        <v>4</v>
      </c>
      <c r="P166" s="7">
        <v>3.5</v>
      </c>
      <c r="Q166" t="s">
        <v>342</v>
      </c>
      <c r="R166" s="7">
        <v>80</v>
      </c>
      <c r="S166" t="str">
        <f xml:space="preserve"> HYPERLINK("ReviewHtml/review_Ernest_and_Celestine_-_A_Trip_to_Gibberitia.html", "https://2danicritic.github.io/ReviewHtml/review_Ernest_and_Celestine_-_A_Trip_to_Gibberitia.html")</f>
        <v>https://2danicritic.github.io/ReviewHtml/review_Ernest_and_Celestine_-_A_Trip_to_Gibberitia.html</v>
      </c>
    </row>
    <row r="167" spans="2:19" x14ac:dyDescent="0.35">
      <c r="B167" s="35">
        <v>164</v>
      </c>
      <c r="C167" t="s">
        <v>805</v>
      </c>
      <c r="D167" s="7">
        <v>2016</v>
      </c>
      <c r="E167" t="s">
        <v>56</v>
      </c>
      <c r="F167" t="s">
        <v>806</v>
      </c>
      <c r="G167" t="s">
        <v>1557</v>
      </c>
      <c r="H167" t="s">
        <v>807</v>
      </c>
      <c r="I167" s="7">
        <v>3.43</v>
      </c>
      <c r="J167" s="7">
        <v>4</v>
      </c>
      <c r="K167" s="7">
        <v>4</v>
      </c>
      <c r="L167" s="7">
        <v>3.5</v>
      </c>
      <c r="M167" s="7">
        <v>3.5</v>
      </c>
      <c r="N167" s="7">
        <v>2</v>
      </c>
      <c r="O167" s="7">
        <v>3</v>
      </c>
      <c r="P167" s="7">
        <v>4</v>
      </c>
      <c r="Q167" t="s">
        <v>128</v>
      </c>
      <c r="R167" s="7">
        <v>86</v>
      </c>
      <c r="S16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168" spans="2:19" x14ac:dyDescent="0.35">
      <c r="B168" s="35">
        <v>165</v>
      </c>
      <c r="C168" t="s">
        <v>1259</v>
      </c>
      <c r="D168" s="7">
        <v>2007</v>
      </c>
      <c r="E168" t="s">
        <v>1554</v>
      </c>
      <c r="F168" t="s">
        <v>1286</v>
      </c>
      <c r="G168" t="s">
        <v>1557</v>
      </c>
      <c r="H168" t="s">
        <v>1189</v>
      </c>
      <c r="I168" s="7">
        <v>3.64</v>
      </c>
      <c r="J168" s="7">
        <v>3.5</v>
      </c>
      <c r="K168" s="7">
        <v>3.5</v>
      </c>
      <c r="L168" s="7">
        <v>4</v>
      </c>
      <c r="M168" s="7">
        <v>3.5</v>
      </c>
      <c r="N168" s="7">
        <v>3.5</v>
      </c>
      <c r="O168" s="7">
        <v>3.5</v>
      </c>
      <c r="P168" s="7">
        <v>4</v>
      </c>
      <c r="Q168" t="s">
        <v>1190</v>
      </c>
      <c r="R168" s="7">
        <v>101</v>
      </c>
      <c r="S16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169" spans="2:19" x14ac:dyDescent="0.35">
      <c r="B169" s="35">
        <v>166</v>
      </c>
      <c r="C169" t="s">
        <v>1260</v>
      </c>
      <c r="D169" s="7">
        <v>2009</v>
      </c>
      <c r="E169" t="s">
        <v>1554</v>
      </c>
      <c r="F169" t="s">
        <v>1286</v>
      </c>
      <c r="G169" t="s">
        <v>1557</v>
      </c>
      <c r="H169" t="s">
        <v>1191</v>
      </c>
      <c r="I169" s="7">
        <v>4.57</v>
      </c>
      <c r="J169" s="7">
        <v>4.5</v>
      </c>
      <c r="K169" s="7">
        <v>4.5</v>
      </c>
      <c r="L169" s="7">
        <v>4.5</v>
      </c>
      <c r="M169" s="7">
        <v>4</v>
      </c>
      <c r="N169" s="7">
        <v>4.5</v>
      </c>
      <c r="O169" s="7">
        <v>5</v>
      </c>
      <c r="P169" s="7">
        <v>5</v>
      </c>
      <c r="Q169" t="s">
        <v>1192</v>
      </c>
      <c r="R169" s="7">
        <v>112</v>
      </c>
      <c r="S16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170" spans="2:19" x14ac:dyDescent="0.35">
      <c r="B170" s="35">
        <v>167</v>
      </c>
      <c r="C170" t="s">
        <v>2021</v>
      </c>
      <c r="D170" s="7">
        <v>2021</v>
      </c>
      <c r="E170" t="s">
        <v>1554</v>
      </c>
      <c r="F170" t="s">
        <v>1286</v>
      </c>
      <c r="G170" t="s">
        <v>1557</v>
      </c>
      <c r="H170" t="s">
        <v>1299</v>
      </c>
      <c r="I170" s="7">
        <v>3.71</v>
      </c>
      <c r="J170" s="7">
        <v>3.5</v>
      </c>
      <c r="K170" s="7">
        <v>4</v>
      </c>
      <c r="L170" s="7">
        <v>4</v>
      </c>
      <c r="M170" s="7">
        <v>3.5</v>
      </c>
      <c r="N170" s="7">
        <v>3.5</v>
      </c>
      <c r="O170" s="7">
        <v>3.5</v>
      </c>
      <c r="P170" s="7">
        <v>4</v>
      </c>
      <c r="Q170" t="s">
        <v>1761</v>
      </c>
      <c r="R170" s="7">
        <v>155</v>
      </c>
      <c r="S170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</row>
    <row r="171" spans="2:19" x14ac:dyDescent="0.35">
      <c r="B171" s="35">
        <v>168</v>
      </c>
      <c r="C171" t="s">
        <v>1261</v>
      </c>
      <c r="D171" s="7">
        <v>2012</v>
      </c>
      <c r="E171" t="s">
        <v>1554</v>
      </c>
      <c r="F171" t="s">
        <v>1286</v>
      </c>
      <c r="G171" t="s">
        <v>1557</v>
      </c>
      <c r="H171" t="s">
        <v>1193</v>
      </c>
      <c r="I171" s="7">
        <v>3.57</v>
      </c>
      <c r="J171" s="7">
        <v>4.5</v>
      </c>
      <c r="K171" s="7">
        <v>4</v>
      </c>
      <c r="L171" s="7">
        <v>3.5</v>
      </c>
      <c r="M171" s="7">
        <v>3.5</v>
      </c>
      <c r="N171" s="7">
        <v>3</v>
      </c>
      <c r="O171" s="7">
        <v>3</v>
      </c>
      <c r="P171" s="7">
        <v>3.5</v>
      </c>
      <c r="Q171" t="s">
        <v>223</v>
      </c>
      <c r="R171" s="7">
        <v>96</v>
      </c>
      <c r="S17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172" spans="2:19" x14ac:dyDescent="0.35">
      <c r="B172" s="35">
        <v>169</v>
      </c>
      <c r="C172" t="s">
        <v>808</v>
      </c>
      <c r="D172" s="7">
        <v>2017</v>
      </c>
      <c r="E172" t="s">
        <v>1554</v>
      </c>
      <c r="F172" t="s">
        <v>715</v>
      </c>
      <c r="G172" t="s">
        <v>1557</v>
      </c>
      <c r="H172" t="s">
        <v>809</v>
      </c>
      <c r="I172" s="7">
        <v>2.71</v>
      </c>
      <c r="J172" s="7">
        <v>2.5</v>
      </c>
      <c r="K172" s="7">
        <v>2.5</v>
      </c>
      <c r="L172" s="7">
        <v>3</v>
      </c>
      <c r="M172" s="7">
        <v>2.5</v>
      </c>
      <c r="N172" s="7">
        <v>2</v>
      </c>
      <c r="O172" s="7">
        <v>3.5</v>
      </c>
      <c r="P172" s="7">
        <v>3</v>
      </c>
      <c r="Q172" t="s">
        <v>129</v>
      </c>
      <c r="R172" s="7">
        <v>85</v>
      </c>
      <c r="S17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173" spans="2:19" x14ac:dyDescent="0.35">
      <c r="B173" s="35">
        <v>170</v>
      </c>
      <c r="C173" t="s">
        <v>1373</v>
      </c>
      <c r="D173" s="7">
        <v>2012</v>
      </c>
      <c r="E173" t="s">
        <v>1554</v>
      </c>
      <c r="F173" t="s">
        <v>715</v>
      </c>
      <c r="G173" t="s">
        <v>1557</v>
      </c>
      <c r="H173" t="s">
        <v>1439</v>
      </c>
      <c r="I173" s="7">
        <v>3.21</v>
      </c>
      <c r="J173" s="7">
        <v>3</v>
      </c>
      <c r="K173" s="7">
        <v>3</v>
      </c>
      <c r="L173" s="7">
        <v>3</v>
      </c>
      <c r="M173" s="7">
        <v>3</v>
      </c>
      <c r="N173" s="7">
        <v>3.5</v>
      </c>
      <c r="O173" s="7">
        <v>4</v>
      </c>
      <c r="P173" s="7">
        <v>3</v>
      </c>
      <c r="Q173" t="s">
        <v>230</v>
      </c>
      <c r="R173" s="7">
        <v>86</v>
      </c>
      <c r="S173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174" spans="2:19" x14ac:dyDescent="0.35">
      <c r="B174" s="35">
        <v>171</v>
      </c>
      <c r="C174" t="s">
        <v>2278</v>
      </c>
      <c r="D174" s="7">
        <v>1940</v>
      </c>
      <c r="E174" t="s">
        <v>1556</v>
      </c>
      <c r="F174" t="s">
        <v>2260</v>
      </c>
      <c r="G174" t="s">
        <v>1555</v>
      </c>
      <c r="H174" t="s">
        <v>2214</v>
      </c>
      <c r="I174" s="7">
        <v>4.29</v>
      </c>
      <c r="J174" s="7">
        <v>4.5</v>
      </c>
      <c r="K174" s="7">
        <v>5</v>
      </c>
      <c r="L174" s="7">
        <v>5</v>
      </c>
      <c r="M174" s="7">
        <v>3.5</v>
      </c>
      <c r="N174" s="7">
        <v>3.5</v>
      </c>
      <c r="O174" s="7">
        <v>3.5</v>
      </c>
      <c r="P174" s="7">
        <v>5</v>
      </c>
      <c r="Q174" t="s">
        <v>2215</v>
      </c>
      <c r="R174" s="7">
        <v>126</v>
      </c>
      <c r="S174" t="str">
        <f xml:space="preserve"> HYPERLINK("ReviewHtml/review_Fantasia.html", "https://2danicritic.github.io/ReviewHtml/review_Fantasia.html")</f>
        <v>https://2danicritic.github.io/ReviewHtml/review_Fantasia.html</v>
      </c>
    </row>
    <row r="175" spans="2:19" x14ac:dyDescent="0.35">
      <c r="B175" s="35">
        <v>172</v>
      </c>
      <c r="C175" t="s">
        <v>2279</v>
      </c>
      <c r="D175" s="7">
        <v>1999</v>
      </c>
      <c r="E175" t="s">
        <v>1556</v>
      </c>
      <c r="F175" t="s">
        <v>2260</v>
      </c>
      <c r="G175" t="s">
        <v>1555</v>
      </c>
      <c r="H175" t="s">
        <v>2216</v>
      </c>
      <c r="I175" s="7">
        <v>4.1399999999999997</v>
      </c>
      <c r="J175" s="7">
        <v>4.5</v>
      </c>
      <c r="K175" s="7">
        <v>5</v>
      </c>
      <c r="L175" s="7">
        <v>5</v>
      </c>
      <c r="M175" s="7">
        <v>3.5</v>
      </c>
      <c r="N175" s="7">
        <v>3</v>
      </c>
      <c r="O175" s="7">
        <v>4</v>
      </c>
      <c r="P175" s="7">
        <v>4</v>
      </c>
      <c r="Q175" t="s">
        <v>2217</v>
      </c>
      <c r="R175" s="7">
        <v>75</v>
      </c>
      <c r="S175" t="str">
        <f xml:space="preserve"> HYPERLINK("ReviewHtml/review_Fantasia_2000.html", "https://2danicritic.github.io/ReviewHtml/review_Fantasia_2000.html")</f>
        <v>https://2danicritic.github.io/ReviewHtml/review_Fantasia_2000.html</v>
      </c>
    </row>
    <row r="176" spans="2:19" x14ac:dyDescent="0.35">
      <c r="B176" s="35">
        <v>173</v>
      </c>
      <c r="C176" t="s">
        <v>1573</v>
      </c>
      <c r="D176" s="7">
        <v>2017</v>
      </c>
      <c r="E176" t="s">
        <v>1554</v>
      </c>
      <c r="F176" t="s">
        <v>715</v>
      </c>
      <c r="G176" t="s">
        <v>1559</v>
      </c>
      <c r="H176" t="s">
        <v>1574</v>
      </c>
      <c r="I176" s="7">
        <v>3.5</v>
      </c>
      <c r="J176" s="7">
        <v>3.5</v>
      </c>
      <c r="K176" s="7">
        <v>3.5</v>
      </c>
      <c r="L176" s="7">
        <v>4</v>
      </c>
      <c r="M176" s="7">
        <v>3</v>
      </c>
      <c r="N176" s="7">
        <v>3</v>
      </c>
      <c r="O176" s="7">
        <v>4</v>
      </c>
      <c r="P176" s="7">
        <v>3.5</v>
      </c>
      <c r="Q176" t="s">
        <v>146</v>
      </c>
      <c r="R176" s="7">
        <v>625</v>
      </c>
      <c r="S176" t="str">
        <f xml:space="preserve"> HYPERLINK("ReviewHtml/review_Fate_-_Apocrypha.html", "https://2danicritic.github.io/ReviewHtml/review_Fate_-_Apocrypha.html")</f>
        <v>https://2danicritic.github.io/ReviewHtml/review_Fate_-_Apocrypha.html</v>
      </c>
    </row>
    <row r="177" spans="2:19" x14ac:dyDescent="0.35">
      <c r="B177" s="35">
        <v>174</v>
      </c>
      <c r="C177" t="s">
        <v>1575</v>
      </c>
      <c r="D177" s="7">
        <v>2018</v>
      </c>
      <c r="E177" t="s">
        <v>1554</v>
      </c>
      <c r="F177" t="s">
        <v>689</v>
      </c>
      <c r="G177" t="s">
        <v>1559</v>
      </c>
      <c r="H177" t="s">
        <v>777</v>
      </c>
      <c r="I177" s="7">
        <v>3.21</v>
      </c>
      <c r="J177" s="7">
        <v>3.5</v>
      </c>
      <c r="K177" s="7">
        <v>3.5</v>
      </c>
      <c r="L177" s="7">
        <v>3.5</v>
      </c>
      <c r="M177" s="7">
        <v>4</v>
      </c>
      <c r="N177" s="7">
        <v>2</v>
      </c>
      <c r="O177" s="7">
        <v>3</v>
      </c>
      <c r="P177" s="7">
        <v>3</v>
      </c>
      <c r="Q177" t="s">
        <v>1530</v>
      </c>
      <c r="R177" s="7">
        <v>339</v>
      </c>
      <c r="S177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</row>
    <row r="178" spans="2:19" x14ac:dyDescent="0.35">
      <c r="B178" s="35">
        <v>175</v>
      </c>
      <c r="C178" t="s">
        <v>810</v>
      </c>
      <c r="D178" s="7">
        <v>2006</v>
      </c>
      <c r="E178" t="s">
        <v>1554</v>
      </c>
      <c r="F178" t="s">
        <v>811</v>
      </c>
      <c r="G178" t="s">
        <v>1559</v>
      </c>
      <c r="H178" t="s">
        <v>812</v>
      </c>
      <c r="I178" s="7">
        <v>2.64</v>
      </c>
      <c r="J178" s="7">
        <v>3</v>
      </c>
      <c r="K178" s="7">
        <v>3</v>
      </c>
      <c r="L178" s="7">
        <v>3</v>
      </c>
      <c r="M178" s="7">
        <v>3</v>
      </c>
      <c r="N178" s="7">
        <v>2</v>
      </c>
      <c r="O178" s="7">
        <v>2.5</v>
      </c>
      <c r="P178" s="7">
        <v>2</v>
      </c>
      <c r="Q178" t="s">
        <v>130</v>
      </c>
      <c r="R178" s="7">
        <v>600</v>
      </c>
      <c r="S178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79" spans="2:19" x14ac:dyDescent="0.35">
      <c r="B179" s="35">
        <v>176</v>
      </c>
      <c r="C179" t="s">
        <v>2096</v>
      </c>
      <c r="D179" s="7">
        <v>2017</v>
      </c>
      <c r="E179" t="s">
        <v>1554</v>
      </c>
      <c r="F179" t="s">
        <v>814</v>
      </c>
      <c r="G179" t="s">
        <v>1557</v>
      </c>
      <c r="H179" t="s">
        <v>2097</v>
      </c>
      <c r="I179" s="7">
        <v>4</v>
      </c>
      <c r="J179" s="7">
        <v>4.5</v>
      </c>
      <c r="K179" s="7">
        <v>4</v>
      </c>
      <c r="L179" s="7">
        <v>5</v>
      </c>
      <c r="M179" s="7">
        <v>3.5</v>
      </c>
      <c r="N179" s="7">
        <v>3.5</v>
      </c>
      <c r="O179" s="7">
        <v>4</v>
      </c>
      <c r="P179" s="7">
        <v>3.5</v>
      </c>
      <c r="Q179" t="s">
        <v>2098</v>
      </c>
      <c r="R179" s="7">
        <v>359</v>
      </c>
      <c r="S179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</row>
    <row r="180" spans="2:19" x14ac:dyDescent="0.35">
      <c r="B180" s="35">
        <v>177</v>
      </c>
      <c r="C180" t="s">
        <v>1374</v>
      </c>
      <c r="D180" s="7">
        <v>2010</v>
      </c>
      <c r="E180" t="s">
        <v>1554</v>
      </c>
      <c r="F180" t="s">
        <v>811</v>
      </c>
      <c r="G180" t="s">
        <v>1557</v>
      </c>
      <c r="H180" t="s">
        <v>812</v>
      </c>
      <c r="I180" s="7">
        <v>3.57</v>
      </c>
      <c r="J180" s="7">
        <v>3.5</v>
      </c>
      <c r="K180" s="7">
        <v>3.5</v>
      </c>
      <c r="L180" s="7">
        <v>4</v>
      </c>
      <c r="M180" s="7">
        <v>3.5</v>
      </c>
      <c r="N180" s="7">
        <v>3.5</v>
      </c>
      <c r="O180" s="7">
        <v>3.5</v>
      </c>
      <c r="P180" s="7">
        <v>3.5</v>
      </c>
      <c r="Q180" t="s">
        <v>1335</v>
      </c>
      <c r="R180" s="7">
        <v>105</v>
      </c>
      <c r="S180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181" spans="2:19" x14ac:dyDescent="0.35">
      <c r="B181" s="35">
        <v>178</v>
      </c>
      <c r="C181" t="s">
        <v>1375</v>
      </c>
      <c r="D181" s="7">
        <v>2014</v>
      </c>
      <c r="E181" t="s">
        <v>1554</v>
      </c>
      <c r="F181" t="s">
        <v>814</v>
      </c>
      <c r="G181" t="s">
        <v>1559</v>
      </c>
      <c r="H181" t="s">
        <v>1440</v>
      </c>
      <c r="I181" s="7">
        <v>3.86</v>
      </c>
      <c r="J181" s="7">
        <v>4</v>
      </c>
      <c r="K181" s="7">
        <v>4.5</v>
      </c>
      <c r="L181" s="7">
        <v>4.5</v>
      </c>
      <c r="M181" s="7">
        <v>3.5</v>
      </c>
      <c r="N181" s="7">
        <v>3.5</v>
      </c>
      <c r="O181" s="7">
        <v>3.5</v>
      </c>
      <c r="P181" s="7">
        <v>3.5</v>
      </c>
      <c r="Q181" t="s">
        <v>1336</v>
      </c>
      <c r="R181" s="7">
        <v>735</v>
      </c>
      <c r="S181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182" spans="2:19" x14ac:dyDescent="0.35">
      <c r="B182" s="35">
        <v>179</v>
      </c>
      <c r="C182" t="s">
        <v>813</v>
      </c>
      <c r="D182" s="7">
        <v>2011</v>
      </c>
      <c r="E182" t="s">
        <v>1554</v>
      </c>
      <c r="F182" t="s">
        <v>814</v>
      </c>
      <c r="G182" t="s">
        <v>1559</v>
      </c>
      <c r="H182" t="s">
        <v>815</v>
      </c>
      <c r="I182" s="7">
        <v>4.93</v>
      </c>
      <c r="J182" s="7">
        <v>5</v>
      </c>
      <c r="K182" s="7">
        <v>5</v>
      </c>
      <c r="L182" s="7">
        <v>5</v>
      </c>
      <c r="M182" s="7">
        <v>4.5</v>
      </c>
      <c r="N182" s="7">
        <v>5</v>
      </c>
      <c r="O182" s="7">
        <v>5</v>
      </c>
      <c r="P182" s="7">
        <v>5</v>
      </c>
      <c r="Q182" t="s">
        <v>131</v>
      </c>
      <c r="R182" s="7">
        <v>620</v>
      </c>
      <c r="S182" t="str">
        <f xml:space="preserve"> HYPERLINK("ReviewHtml/review_Fate_-_Zero.html", "https://2danicritic.github.io/ReviewHtml/review_Fate_-_Zero.html")</f>
        <v>https://2danicritic.github.io/ReviewHtml/review_Fate_-_Zero.html</v>
      </c>
    </row>
    <row r="183" spans="2:19" x14ac:dyDescent="0.35">
      <c r="B183" s="35">
        <v>180</v>
      </c>
      <c r="C183" t="s">
        <v>1576</v>
      </c>
      <c r="D183" s="7">
        <v>2007</v>
      </c>
      <c r="E183" t="s">
        <v>1558</v>
      </c>
      <c r="F183" t="s">
        <v>1577</v>
      </c>
      <c r="G183" t="s">
        <v>1555</v>
      </c>
      <c r="H183" t="s">
        <v>1531</v>
      </c>
      <c r="I183" s="7">
        <v>2.86</v>
      </c>
      <c r="J183" s="7">
        <v>2.5</v>
      </c>
      <c r="K183" s="7">
        <v>3.5</v>
      </c>
      <c r="L183" s="7">
        <v>3</v>
      </c>
      <c r="M183" s="7">
        <v>2.5</v>
      </c>
      <c r="N183" s="7">
        <v>3</v>
      </c>
      <c r="O183" s="7">
        <v>3</v>
      </c>
      <c r="P183" s="7">
        <v>2.5</v>
      </c>
      <c r="Q183" t="s">
        <v>1532</v>
      </c>
      <c r="R183" s="7">
        <v>85</v>
      </c>
      <c r="S183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</row>
    <row r="184" spans="2:19" x14ac:dyDescent="0.35">
      <c r="B184" s="35">
        <v>181</v>
      </c>
      <c r="C184" t="s">
        <v>2698</v>
      </c>
      <c r="D184" s="7">
        <v>1994</v>
      </c>
      <c r="E184" t="s">
        <v>2712</v>
      </c>
      <c r="F184" t="s">
        <v>2713</v>
      </c>
      <c r="G184" t="s">
        <v>1557</v>
      </c>
      <c r="H184" t="s">
        <v>2714</v>
      </c>
      <c r="I184" s="7">
        <v>3.64</v>
      </c>
      <c r="J184" s="7">
        <v>3.5</v>
      </c>
      <c r="K184" s="7">
        <v>3.5</v>
      </c>
      <c r="L184" s="7">
        <v>3.5</v>
      </c>
      <c r="M184" s="7">
        <v>3.5</v>
      </c>
      <c r="N184" s="7">
        <v>3.5</v>
      </c>
      <c r="O184" s="7">
        <v>3.5</v>
      </c>
      <c r="P184" s="7">
        <v>4.5</v>
      </c>
      <c r="Q184" t="s">
        <v>2686</v>
      </c>
      <c r="R184" s="7">
        <v>78</v>
      </c>
      <c r="S184" t="str">
        <f xml:space="preserve"> HYPERLINK("ReviewHtml/review_Felidae.html", "https://2danicritic.github.io/ReviewHtml/review_Felidae.html")</f>
        <v>https://2danicritic.github.io/ReviewHtml/review_Felidae.html</v>
      </c>
    </row>
    <row r="185" spans="2:19" x14ac:dyDescent="0.35">
      <c r="B185" s="35">
        <v>182</v>
      </c>
      <c r="C185" t="s">
        <v>1262</v>
      </c>
      <c r="D185" s="7">
        <v>1983</v>
      </c>
      <c r="E185" t="s">
        <v>1556</v>
      </c>
      <c r="F185" t="s">
        <v>1287</v>
      </c>
      <c r="G185" t="s">
        <v>1557</v>
      </c>
      <c r="H185" t="s">
        <v>1173</v>
      </c>
      <c r="I185" s="7">
        <v>2.93</v>
      </c>
      <c r="J185" s="7">
        <v>2.5</v>
      </c>
      <c r="K185" s="7">
        <v>2.5</v>
      </c>
      <c r="L185" s="7">
        <v>3</v>
      </c>
      <c r="M185" s="7">
        <v>2.5</v>
      </c>
      <c r="N185" s="7">
        <v>3</v>
      </c>
      <c r="O185" s="7">
        <v>3.5</v>
      </c>
      <c r="P185" s="7">
        <v>3.5</v>
      </c>
      <c r="Q185" t="s">
        <v>1194</v>
      </c>
      <c r="R185" s="7">
        <v>81</v>
      </c>
      <c r="S185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186" spans="2:19" x14ac:dyDescent="0.35">
      <c r="B186" s="35">
        <v>183</v>
      </c>
      <c r="C186" t="s">
        <v>2505</v>
      </c>
      <c r="D186" s="7">
        <v>2019</v>
      </c>
      <c r="E186" t="s">
        <v>1554</v>
      </c>
      <c r="F186" t="s">
        <v>1429</v>
      </c>
      <c r="G186" t="s">
        <v>1559</v>
      </c>
      <c r="H186" t="s">
        <v>2528</v>
      </c>
      <c r="I186" s="7">
        <v>3.79</v>
      </c>
      <c r="J186" s="7">
        <v>4</v>
      </c>
      <c r="K186" s="7">
        <v>4</v>
      </c>
      <c r="L186" s="7">
        <v>3.5</v>
      </c>
      <c r="M186" s="7">
        <v>3.5</v>
      </c>
      <c r="N186" s="7">
        <v>3.5</v>
      </c>
      <c r="O186" s="7">
        <v>4</v>
      </c>
      <c r="P186" s="7">
        <v>4</v>
      </c>
      <c r="Q186" t="s">
        <v>1954</v>
      </c>
      <c r="R186" s="7">
        <v>600</v>
      </c>
      <c r="S186" t="str">
        <f xml:space="preserve"> HYPERLINK("ReviewHtml/review_Fire_Force.html", "https://2danicritic.github.io/ReviewHtml/review_Fire_Force.html")</f>
        <v>https://2danicritic.github.io/ReviewHtml/review_Fire_Force.html</v>
      </c>
    </row>
    <row r="187" spans="2:19" x14ac:dyDescent="0.35">
      <c r="B187" s="35">
        <v>184</v>
      </c>
      <c r="C187" t="s">
        <v>816</v>
      </c>
      <c r="D187" s="7">
        <v>2017</v>
      </c>
      <c r="E187" t="s">
        <v>1554</v>
      </c>
      <c r="F187" t="s">
        <v>689</v>
      </c>
      <c r="G187" t="s">
        <v>1557</v>
      </c>
      <c r="H187" t="s">
        <v>132</v>
      </c>
      <c r="I187" s="7">
        <v>2.5</v>
      </c>
      <c r="J187" s="7">
        <v>3</v>
      </c>
      <c r="K187" s="7">
        <v>3</v>
      </c>
      <c r="L187" s="7">
        <v>3.5</v>
      </c>
      <c r="M187" s="7">
        <v>2.5</v>
      </c>
      <c r="N187" s="7">
        <v>1.5</v>
      </c>
      <c r="O187" s="7">
        <v>2.5</v>
      </c>
      <c r="P187" s="7">
        <v>1.5</v>
      </c>
      <c r="Q187" t="s">
        <v>133</v>
      </c>
      <c r="R187" s="7">
        <v>90</v>
      </c>
      <c r="S187" t="str">
        <f xml:space="preserve"> HYPERLINK("ReviewHtml/review_Fireworks.html", "https://2danicritic.github.io/ReviewHtml/review_Fireworks.html")</f>
        <v>https://2danicritic.github.io/ReviewHtml/review_Fireworks.html</v>
      </c>
    </row>
    <row r="188" spans="2:19" x14ac:dyDescent="0.35">
      <c r="B188" s="35">
        <v>185</v>
      </c>
      <c r="C188" t="s">
        <v>2699</v>
      </c>
      <c r="D188" s="7">
        <v>2025</v>
      </c>
      <c r="E188" t="s">
        <v>1556</v>
      </c>
      <c r="F188" t="s">
        <v>2715</v>
      </c>
      <c r="G188" t="s">
        <v>1557</v>
      </c>
      <c r="H188" t="s">
        <v>2716</v>
      </c>
      <c r="I188" s="7">
        <v>3.07</v>
      </c>
      <c r="J188" s="7">
        <v>3</v>
      </c>
      <c r="K188" s="7">
        <v>2.5</v>
      </c>
      <c r="L188" s="7">
        <v>3</v>
      </c>
      <c r="M188" s="7">
        <v>4</v>
      </c>
      <c r="N188" s="7">
        <v>3</v>
      </c>
      <c r="O188" s="7">
        <v>3.5</v>
      </c>
      <c r="P188" s="7">
        <v>2.5</v>
      </c>
      <c r="Q188" t="s">
        <v>2687</v>
      </c>
      <c r="R188" s="7">
        <v>86</v>
      </c>
      <c r="S188" t="str">
        <f xml:space="preserve"> HYPERLINK("ReviewHtml/review_Fixed.html", "https://2danicritic.github.io/ReviewHtml/review_Fixed.html")</f>
        <v>https://2danicritic.github.io/ReviewHtml/review_Fixed.html</v>
      </c>
    </row>
    <row r="189" spans="2:19" x14ac:dyDescent="0.35">
      <c r="B189" s="35">
        <v>186</v>
      </c>
      <c r="C189" t="s">
        <v>1788</v>
      </c>
      <c r="D189" s="7">
        <v>2006</v>
      </c>
      <c r="E189" t="s">
        <v>1554</v>
      </c>
      <c r="F189" t="s">
        <v>1789</v>
      </c>
      <c r="G189" t="s">
        <v>1559</v>
      </c>
      <c r="H189" t="s">
        <v>1760</v>
      </c>
      <c r="I189" s="7">
        <v>3.29</v>
      </c>
      <c r="J189" s="7">
        <v>3</v>
      </c>
      <c r="K189" s="7">
        <v>3.5</v>
      </c>
      <c r="L189" s="7">
        <v>3</v>
      </c>
      <c r="M189" s="7">
        <v>3.5</v>
      </c>
      <c r="N189" s="7">
        <v>4</v>
      </c>
      <c r="O189" s="7">
        <v>2</v>
      </c>
      <c r="P189" s="7">
        <v>4</v>
      </c>
      <c r="Q189" t="s">
        <v>1761</v>
      </c>
      <c r="R189" s="7">
        <v>325</v>
      </c>
      <c r="S189" t="str">
        <f xml:space="preserve"> HYPERLINK("ReviewHtml/review_FLAG.html", "https://2danicritic.github.io/ReviewHtml/review_FLAG.html")</f>
        <v>https://2danicritic.github.io/ReviewHtml/review_FLAG.html</v>
      </c>
    </row>
    <row r="190" spans="2:19" x14ac:dyDescent="0.35">
      <c r="B190" s="35">
        <v>187</v>
      </c>
      <c r="C190" t="s">
        <v>817</v>
      </c>
      <c r="D190" s="7">
        <v>2000</v>
      </c>
      <c r="E190" t="s">
        <v>1554</v>
      </c>
      <c r="F190" t="s">
        <v>818</v>
      </c>
      <c r="G190" t="s">
        <v>1560</v>
      </c>
      <c r="H190" t="s">
        <v>819</v>
      </c>
      <c r="I190" s="7">
        <v>4.57</v>
      </c>
      <c r="J190" s="7">
        <v>4</v>
      </c>
      <c r="K190" s="7">
        <v>4</v>
      </c>
      <c r="L190" s="7">
        <v>5</v>
      </c>
      <c r="M190" s="7">
        <v>4</v>
      </c>
      <c r="N190" s="7">
        <v>5</v>
      </c>
      <c r="O190" s="7">
        <v>5</v>
      </c>
      <c r="P190" s="7">
        <v>5</v>
      </c>
      <c r="Q190" t="s">
        <v>134</v>
      </c>
      <c r="R190" s="7">
        <v>150</v>
      </c>
      <c r="S190" t="str">
        <f xml:space="preserve"> HYPERLINK("ReviewHtml/review_FLCL.html", "https://2danicritic.github.io/ReviewHtml/review_FLCL.html")</f>
        <v>https://2danicritic.github.io/ReviewHtml/review_FLCL.html</v>
      </c>
    </row>
    <row r="191" spans="2:19" x14ac:dyDescent="0.35">
      <c r="B191" s="35">
        <v>188</v>
      </c>
      <c r="C191" t="s">
        <v>1725</v>
      </c>
      <c r="D191" s="7">
        <v>2018</v>
      </c>
      <c r="E191" t="s">
        <v>1554</v>
      </c>
      <c r="F191" t="s">
        <v>731</v>
      </c>
      <c r="G191" t="s">
        <v>1559</v>
      </c>
      <c r="H191" t="s">
        <v>1726</v>
      </c>
      <c r="I191" s="7">
        <v>4</v>
      </c>
      <c r="J191" s="7">
        <v>3.5</v>
      </c>
      <c r="K191" s="7">
        <v>4</v>
      </c>
      <c r="L191" s="7">
        <v>4.5</v>
      </c>
      <c r="M191" s="7">
        <v>4</v>
      </c>
      <c r="N191" s="7">
        <v>3.5</v>
      </c>
      <c r="O191" s="7">
        <v>4.5</v>
      </c>
      <c r="P191" s="7">
        <v>4</v>
      </c>
      <c r="Q191" t="s">
        <v>1665</v>
      </c>
      <c r="R191" s="7">
        <v>264</v>
      </c>
      <c r="S191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</row>
    <row r="192" spans="2:19" x14ac:dyDescent="0.35">
      <c r="B192" s="35">
        <v>189</v>
      </c>
      <c r="C192" t="s">
        <v>2099</v>
      </c>
      <c r="D192" s="7">
        <v>2021</v>
      </c>
      <c r="E192" t="s">
        <v>2100</v>
      </c>
      <c r="F192" t="s">
        <v>2101</v>
      </c>
      <c r="G192" t="s">
        <v>1557</v>
      </c>
      <c r="H192" t="s">
        <v>2102</v>
      </c>
      <c r="I192" s="7">
        <v>3.43</v>
      </c>
      <c r="J192" s="7">
        <v>2</v>
      </c>
      <c r="K192" s="7">
        <v>2.5</v>
      </c>
      <c r="L192" s="7">
        <v>4</v>
      </c>
      <c r="M192" s="7">
        <v>4</v>
      </c>
      <c r="N192" s="7">
        <v>4</v>
      </c>
      <c r="O192" s="7">
        <v>3.5</v>
      </c>
      <c r="P192" s="7">
        <v>4</v>
      </c>
      <c r="Q192" t="s">
        <v>2103</v>
      </c>
      <c r="R192" s="7">
        <v>90</v>
      </c>
      <c r="S192" t="str">
        <f xml:space="preserve"> HYPERLINK("ReviewHtml/review_Flee.html", "https://2danicritic.github.io/ReviewHtml/review_Flee.html")</f>
        <v>https://2danicritic.github.io/ReviewHtml/review_Flee.html</v>
      </c>
    </row>
    <row r="193" spans="2:19" x14ac:dyDescent="0.35">
      <c r="B193" s="35">
        <v>190</v>
      </c>
      <c r="C193" t="s">
        <v>820</v>
      </c>
      <c r="D193" s="7">
        <v>2016</v>
      </c>
      <c r="E193" t="s">
        <v>1554</v>
      </c>
      <c r="F193" t="s">
        <v>821</v>
      </c>
      <c r="G193" t="s">
        <v>1559</v>
      </c>
      <c r="H193" t="s">
        <v>822</v>
      </c>
      <c r="I193" s="7">
        <v>3.71</v>
      </c>
      <c r="J193" s="7">
        <v>4</v>
      </c>
      <c r="K193" s="7">
        <v>4</v>
      </c>
      <c r="L193" s="7">
        <v>3.5</v>
      </c>
      <c r="M193" s="7">
        <v>3</v>
      </c>
      <c r="N193" s="7">
        <v>3.5</v>
      </c>
      <c r="O193" s="7">
        <v>4</v>
      </c>
      <c r="P193" s="7">
        <v>4</v>
      </c>
      <c r="Q193" t="s">
        <v>135</v>
      </c>
      <c r="R193" s="7">
        <v>325</v>
      </c>
      <c r="S193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94" spans="2:19" x14ac:dyDescent="0.35">
      <c r="B194" s="35">
        <v>191</v>
      </c>
      <c r="C194" t="s">
        <v>2158</v>
      </c>
      <c r="D194" s="7">
        <v>2021</v>
      </c>
      <c r="E194" t="s">
        <v>1554</v>
      </c>
      <c r="F194" t="s">
        <v>702</v>
      </c>
      <c r="G194" t="s">
        <v>1557</v>
      </c>
      <c r="H194" t="s">
        <v>1894</v>
      </c>
      <c r="I194" s="7">
        <v>3.43</v>
      </c>
      <c r="J194" s="7">
        <v>3.5</v>
      </c>
      <c r="K194" s="7">
        <v>3.5</v>
      </c>
      <c r="L194" s="7">
        <v>3</v>
      </c>
      <c r="M194" s="7">
        <v>3.5</v>
      </c>
      <c r="N194" s="7">
        <v>3</v>
      </c>
      <c r="O194" s="7">
        <v>4</v>
      </c>
      <c r="P194" s="7">
        <v>3.5</v>
      </c>
      <c r="Q194" t="s">
        <v>110</v>
      </c>
      <c r="R194" s="7">
        <v>120</v>
      </c>
      <c r="S194" t="str">
        <f xml:space="preserve"> HYPERLINK("ReviewHtml/review_Fortune_Favors_Lady_Nikuko.html", "https://2danicritic.github.io/ReviewHtml/review_Fortune_Favors_Lady_Nikuko.html")</f>
        <v>https://2danicritic.github.io/ReviewHtml/review_Fortune_Favors_Lady_Nikuko.html</v>
      </c>
    </row>
    <row r="195" spans="2:19" x14ac:dyDescent="0.35">
      <c r="B195" s="35">
        <v>192</v>
      </c>
      <c r="C195" t="s">
        <v>2104</v>
      </c>
      <c r="D195" s="7">
        <v>2019</v>
      </c>
      <c r="E195" t="s">
        <v>1554</v>
      </c>
      <c r="F195" t="s">
        <v>2105</v>
      </c>
      <c r="G195" t="s">
        <v>1560</v>
      </c>
      <c r="H195" t="s">
        <v>1907</v>
      </c>
      <c r="I195" s="7">
        <v>2.57</v>
      </c>
      <c r="J195" s="7">
        <v>2.5</v>
      </c>
      <c r="K195" s="7">
        <v>2.5</v>
      </c>
      <c r="L195" s="7">
        <v>3</v>
      </c>
      <c r="M195" s="7">
        <v>2.5</v>
      </c>
      <c r="N195" s="7">
        <v>2.5</v>
      </c>
      <c r="O195" s="7">
        <v>2.5</v>
      </c>
      <c r="P195" s="7">
        <v>2.5</v>
      </c>
      <c r="Q195" t="s">
        <v>2106</v>
      </c>
      <c r="R195" s="7">
        <v>60</v>
      </c>
      <c r="S195" t="str">
        <f xml:space="preserve"> HYPERLINK("ReviewHtml/review_Fragtime.html", "https://2danicritic.github.io/ReviewHtml/review_Fragtime.html")</f>
        <v>https://2danicritic.github.io/ReviewHtml/review_Fragtime.html</v>
      </c>
    </row>
    <row r="196" spans="2:19" x14ac:dyDescent="0.35">
      <c r="B196" s="35">
        <v>193</v>
      </c>
      <c r="C196" t="s">
        <v>2280</v>
      </c>
      <c r="D196" s="7">
        <v>1972</v>
      </c>
      <c r="E196" t="s">
        <v>1556</v>
      </c>
      <c r="F196" t="s">
        <v>2281</v>
      </c>
      <c r="G196" t="s">
        <v>1557</v>
      </c>
      <c r="H196" t="s">
        <v>1173</v>
      </c>
      <c r="I196" s="7">
        <v>2.86</v>
      </c>
      <c r="J196" s="7">
        <v>2.5</v>
      </c>
      <c r="K196" s="7">
        <v>2.5</v>
      </c>
      <c r="L196" s="7">
        <v>2.5</v>
      </c>
      <c r="M196" s="7">
        <v>2.5</v>
      </c>
      <c r="N196" s="7">
        <v>2.5</v>
      </c>
      <c r="O196" s="7">
        <v>3.5</v>
      </c>
      <c r="P196" s="7">
        <v>4</v>
      </c>
      <c r="Q196" t="s">
        <v>245</v>
      </c>
      <c r="R196" s="7">
        <v>80</v>
      </c>
      <c r="S196" t="str">
        <f xml:space="preserve"> HYPERLINK("ReviewHtml/review_Fritz_the_Cat.html", "https://2danicritic.github.io/ReviewHtml/review_Fritz_the_Cat.html")</f>
        <v>https://2danicritic.github.io/ReviewHtml/review_Fritz_the_Cat.html</v>
      </c>
    </row>
    <row r="197" spans="2:19" x14ac:dyDescent="0.35">
      <c r="B197" s="35">
        <v>194</v>
      </c>
      <c r="C197" t="s">
        <v>1961</v>
      </c>
      <c r="D197" s="7">
        <v>2012</v>
      </c>
      <c r="E197" t="s">
        <v>1554</v>
      </c>
      <c r="F197" t="s">
        <v>715</v>
      </c>
      <c r="G197" t="s">
        <v>1559</v>
      </c>
      <c r="H197" t="s">
        <v>1975</v>
      </c>
      <c r="I197" s="7">
        <v>4</v>
      </c>
      <c r="J197" s="7">
        <v>3</v>
      </c>
      <c r="K197" s="7">
        <v>4</v>
      </c>
      <c r="L197" s="7">
        <v>4.5</v>
      </c>
      <c r="M197" s="7">
        <v>3</v>
      </c>
      <c r="N197" s="7">
        <v>4.5</v>
      </c>
      <c r="O197" s="7">
        <v>4</v>
      </c>
      <c r="P197" s="7">
        <v>5</v>
      </c>
      <c r="Q197" t="s">
        <v>1947</v>
      </c>
      <c r="R197" s="7">
        <v>625</v>
      </c>
      <c r="S197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</row>
    <row r="198" spans="2:19" x14ac:dyDescent="0.35">
      <c r="B198" s="35">
        <v>195</v>
      </c>
      <c r="C198" t="s">
        <v>823</v>
      </c>
      <c r="D198" s="7">
        <v>2011</v>
      </c>
      <c r="E198" t="s">
        <v>1554</v>
      </c>
      <c r="F198" t="s">
        <v>747</v>
      </c>
      <c r="G198" t="s">
        <v>1557</v>
      </c>
      <c r="H198" t="s">
        <v>824</v>
      </c>
      <c r="I198" s="7">
        <v>3.43</v>
      </c>
      <c r="J198" s="7">
        <v>3</v>
      </c>
      <c r="K198" s="7">
        <v>3.5</v>
      </c>
      <c r="L198" s="7">
        <v>3.5</v>
      </c>
      <c r="M198" s="7">
        <v>3.5</v>
      </c>
      <c r="N198" s="7">
        <v>3.5</v>
      </c>
      <c r="O198" s="7">
        <v>3</v>
      </c>
      <c r="P198" s="7">
        <v>4</v>
      </c>
      <c r="Q198" t="s">
        <v>136</v>
      </c>
      <c r="R198" s="7">
        <v>92</v>
      </c>
      <c r="S198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99" spans="2:19" x14ac:dyDescent="0.35">
      <c r="B199" s="35">
        <v>196</v>
      </c>
      <c r="C199" t="s">
        <v>1376</v>
      </c>
      <c r="D199" s="7">
        <v>2003</v>
      </c>
      <c r="E199" t="s">
        <v>1554</v>
      </c>
      <c r="F199" t="s">
        <v>658</v>
      </c>
      <c r="G199" t="s">
        <v>1559</v>
      </c>
      <c r="H199" t="s">
        <v>672</v>
      </c>
      <c r="I199" s="7">
        <v>3.07</v>
      </c>
      <c r="J199" s="7">
        <v>2.5</v>
      </c>
      <c r="K199" s="7">
        <v>2.5</v>
      </c>
      <c r="L199" s="7">
        <v>3</v>
      </c>
      <c r="M199" s="7">
        <v>3</v>
      </c>
      <c r="N199" s="7">
        <v>3</v>
      </c>
      <c r="O199" s="7">
        <v>4</v>
      </c>
      <c r="P199" s="7">
        <v>3.5</v>
      </c>
      <c r="Q199" t="s">
        <v>1310</v>
      </c>
      <c r="R199" s="7">
        <v>300</v>
      </c>
      <c r="S199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200" spans="2:19" x14ac:dyDescent="0.35">
      <c r="B200" s="35">
        <v>197</v>
      </c>
      <c r="C200" t="s">
        <v>1377</v>
      </c>
      <c r="D200" s="7">
        <v>2002</v>
      </c>
      <c r="E200" t="s">
        <v>1554</v>
      </c>
      <c r="F200" t="s">
        <v>664</v>
      </c>
      <c r="G200" t="s">
        <v>1559</v>
      </c>
      <c r="H200" t="s">
        <v>1441</v>
      </c>
      <c r="I200" s="7">
        <v>3</v>
      </c>
      <c r="J200" s="7">
        <v>2</v>
      </c>
      <c r="K200" s="7">
        <v>2.5</v>
      </c>
      <c r="L200" s="7">
        <v>3.5</v>
      </c>
      <c r="M200" s="7">
        <v>3</v>
      </c>
      <c r="N200" s="7">
        <v>3.5</v>
      </c>
      <c r="O200" s="7">
        <v>3</v>
      </c>
      <c r="P200" s="7">
        <v>3.5</v>
      </c>
      <c r="Q200" t="s">
        <v>1311</v>
      </c>
      <c r="R200" s="7">
        <v>600</v>
      </c>
      <c r="S200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201" spans="2:19" x14ac:dyDescent="0.35">
      <c r="B201" s="35">
        <v>198</v>
      </c>
      <c r="C201" t="s">
        <v>1378</v>
      </c>
      <c r="D201" s="7">
        <v>2005</v>
      </c>
      <c r="E201" t="s">
        <v>1554</v>
      </c>
      <c r="F201" t="s">
        <v>658</v>
      </c>
      <c r="G201" t="s">
        <v>1559</v>
      </c>
      <c r="H201" t="s">
        <v>672</v>
      </c>
      <c r="I201" s="7">
        <v>3.43</v>
      </c>
      <c r="J201" s="7">
        <v>3.5</v>
      </c>
      <c r="K201" s="7">
        <v>3</v>
      </c>
      <c r="L201" s="7">
        <v>3.5</v>
      </c>
      <c r="M201" s="7">
        <v>3</v>
      </c>
      <c r="N201" s="7">
        <v>3.5</v>
      </c>
      <c r="O201" s="7">
        <v>3.5</v>
      </c>
      <c r="P201" s="7">
        <v>4</v>
      </c>
      <c r="Q201" t="s">
        <v>1312</v>
      </c>
      <c r="R201" s="7">
        <v>375</v>
      </c>
      <c r="S201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202" spans="2:19" x14ac:dyDescent="0.35">
      <c r="B202" s="35">
        <v>199</v>
      </c>
      <c r="C202" t="s">
        <v>2282</v>
      </c>
      <c r="D202" s="7">
        <v>1947</v>
      </c>
      <c r="E202" t="s">
        <v>1556</v>
      </c>
      <c r="F202" t="s">
        <v>2260</v>
      </c>
      <c r="G202" t="s">
        <v>1555</v>
      </c>
      <c r="H202" t="s">
        <v>2218</v>
      </c>
      <c r="I202" s="7">
        <v>3.14</v>
      </c>
      <c r="J202" s="7">
        <v>3</v>
      </c>
      <c r="K202" s="7">
        <v>3</v>
      </c>
      <c r="L202" s="7">
        <v>3.5</v>
      </c>
      <c r="M202" s="7">
        <v>4</v>
      </c>
      <c r="N202" s="7">
        <v>2</v>
      </c>
      <c r="O202" s="7">
        <v>4</v>
      </c>
      <c r="P202" s="7">
        <v>2.5</v>
      </c>
      <c r="Q202" t="s">
        <v>71</v>
      </c>
      <c r="R202" s="7">
        <v>73</v>
      </c>
      <c r="S202" t="str">
        <f xml:space="preserve"> HYPERLINK("ReviewHtml/review_Fun_and_Fancy_Free.html", "https://2danicritic.github.io/ReviewHtml/review_Fun_and_Fancy_Free.html")</f>
        <v>https://2danicritic.github.io/ReviewHtml/review_Fun_and_Fancy_Free.html</v>
      </c>
    </row>
    <row r="203" spans="2:19" x14ac:dyDescent="0.35">
      <c r="B203" s="35">
        <v>200</v>
      </c>
      <c r="C203" t="s">
        <v>1379</v>
      </c>
      <c r="D203" s="7">
        <v>2018</v>
      </c>
      <c r="E203" t="s">
        <v>1558</v>
      </c>
      <c r="F203" t="s">
        <v>1424</v>
      </c>
      <c r="G203" t="s">
        <v>1557</v>
      </c>
      <c r="H203" t="s">
        <v>1442</v>
      </c>
      <c r="I203" s="7">
        <v>3.43</v>
      </c>
      <c r="J203" s="7">
        <v>2.5</v>
      </c>
      <c r="K203" s="7">
        <v>3</v>
      </c>
      <c r="L203" s="7">
        <v>3.5</v>
      </c>
      <c r="M203" s="7">
        <v>3.5</v>
      </c>
      <c r="N203" s="7">
        <v>4</v>
      </c>
      <c r="O203" s="7">
        <v>3.5</v>
      </c>
      <c r="P203" s="7">
        <v>4</v>
      </c>
      <c r="Q203" t="s">
        <v>1313</v>
      </c>
      <c r="R203" s="7">
        <v>84</v>
      </c>
      <c r="S203" t="str">
        <f xml:space="preserve"> HYPERLINK("ReviewHtml/review_Funan.html", "https://2danicritic.github.io/ReviewHtml/review_Funan.html")</f>
        <v>https://2danicritic.github.io/ReviewHtml/review_Funan.html</v>
      </c>
    </row>
    <row r="204" spans="2:19" x14ac:dyDescent="0.35">
      <c r="B204" s="35">
        <v>201</v>
      </c>
      <c r="C204" t="s">
        <v>825</v>
      </c>
      <c r="D204" s="7">
        <v>2015</v>
      </c>
      <c r="E204" t="s">
        <v>1554</v>
      </c>
      <c r="F204" t="s">
        <v>780</v>
      </c>
      <c r="G204" t="s">
        <v>1559</v>
      </c>
      <c r="H204" t="s">
        <v>826</v>
      </c>
      <c r="I204" s="7">
        <v>3.5</v>
      </c>
      <c r="J204" s="7">
        <v>3</v>
      </c>
      <c r="K204" s="7">
        <v>3.5</v>
      </c>
      <c r="L204" s="7">
        <v>4</v>
      </c>
      <c r="M204" s="7">
        <v>3.5</v>
      </c>
      <c r="N204" s="7">
        <v>3</v>
      </c>
      <c r="O204" s="7">
        <v>3.5</v>
      </c>
      <c r="P204" s="7">
        <v>4</v>
      </c>
      <c r="Q204" t="s">
        <v>137</v>
      </c>
      <c r="R204" s="7">
        <v>300</v>
      </c>
      <c r="S204" t="str">
        <f xml:space="preserve"> HYPERLINK("ReviewHtml/review_Gangsta.html", "https://2danicritic.github.io/ReviewHtml/review_Gangsta.html")</f>
        <v>https://2danicritic.github.io/ReviewHtml/review_Gangsta.html</v>
      </c>
    </row>
    <row r="205" spans="2:19" x14ac:dyDescent="0.35">
      <c r="B205" s="35">
        <v>202</v>
      </c>
      <c r="C205" t="s">
        <v>827</v>
      </c>
      <c r="D205" s="7">
        <v>2004</v>
      </c>
      <c r="E205" t="s">
        <v>1554</v>
      </c>
      <c r="F205" t="s">
        <v>664</v>
      </c>
      <c r="G205" t="s">
        <v>1559</v>
      </c>
      <c r="H205" t="s">
        <v>828</v>
      </c>
      <c r="I205" s="7">
        <v>4.29</v>
      </c>
      <c r="J205" s="7">
        <v>3</v>
      </c>
      <c r="K205" s="7">
        <v>4.5</v>
      </c>
      <c r="L205" s="7">
        <v>5</v>
      </c>
      <c r="M205" s="7">
        <v>4</v>
      </c>
      <c r="N205" s="7">
        <v>4.5</v>
      </c>
      <c r="O205" s="7">
        <v>4</v>
      </c>
      <c r="P205" s="7">
        <v>5</v>
      </c>
      <c r="Q205" t="s">
        <v>138</v>
      </c>
      <c r="R205" s="7">
        <v>600</v>
      </c>
      <c r="S205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206" spans="2:19" x14ac:dyDescent="0.35">
      <c r="B206" s="35">
        <v>203</v>
      </c>
      <c r="C206" t="s">
        <v>829</v>
      </c>
      <c r="D206" s="7">
        <v>2004</v>
      </c>
      <c r="E206" t="s">
        <v>1554</v>
      </c>
      <c r="F206" t="s">
        <v>664</v>
      </c>
      <c r="G206" t="s">
        <v>1559</v>
      </c>
      <c r="H206" t="s">
        <v>830</v>
      </c>
      <c r="I206" s="7">
        <v>3.29</v>
      </c>
      <c r="J206" s="7">
        <v>2.5</v>
      </c>
      <c r="K206" s="7">
        <v>2.5</v>
      </c>
      <c r="L206" s="7">
        <v>3</v>
      </c>
      <c r="M206" s="7">
        <v>2.5</v>
      </c>
      <c r="N206" s="7">
        <v>4</v>
      </c>
      <c r="O206" s="7">
        <v>4.5</v>
      </c>
      <c r="P206" s="7">
        <v>4</v>
      </c>
      <c r="Q206" t="s">
        <v>139</v>
      </c>
      <c r="R206" s="7">
        <v>650</v>
      </c>
      <c r="S206" t="str">
        <f xml:space="preserve"> HYPERLINK("ReviewHtml/review_Gantz.html", "https://2danicritic.github.io/ReviewHtml/review_Gantz.html")</f>
        <v>https://2danicritic.github.io/ReviewHtml/review_Gantz.html</v>
      </c>
    </row>
    <row r="207" spans="2:19" x14ac:dyDescent="0.35">
      <c r="B207" s="35">
        <v>204</v>
      </c>
      <c r="C207" t="s">
        <v>831</v>
      </c>
      <c r="D207" s="7">
        <v>2013</v>
      </c>
      <c r="E207" t="s">
        <v>1554</v>
      </c>
      <c r="F207" t="s">
        <v>731</v>
      </c>
      <c r="G207" t="s">
        <v>1559</v>
      </c>
      <c r="H207" t="s">
        <v>832</v>
      </c>
      <c r="I207" s="7">
        <v>3.14</v>
      </c>
      <c r="J207" s="7">
        <v>3.5</v>
      </c>
      <c r="K207" s="7">
        <v>3.5</v>
      </c>
      <c r="L207" s="7">
        <v>2.5</v>
      </c>
      <c r="M207" s="7">
        <v>3</v>
      </c>
      <c r="N207" s="7">
        <v>3.5</v>
      </c>
      <c r="O207" s="7">
        <v>3</v>
      </c>
      <c r="P207" s="7">
        <v>3</v>
      </c>
      <c r="Q207" t="s">
        <v>140</v>
      </c>
      <c r="R207" s="7">
        <v>365</v>
      </c>
      <c r="S20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208" spans="2:19" x14ac:dyDescent="0.35">
      <c r="B208" s="35">
        <v>205</v>
      </c>
      <c r="C208" t="s">
        <v>2159</v>
      </c>
      <c r="D208" s="7">
        <v>2017</v>
      </c>
      <c r="E208" t="s">
        <v>1554</v>
      </c>
      <c r="F208" t="s">
        <v>868</v>
      </c>
      <c r="G208" t="s">
        <v>1559</v>
      </c>
      <c r="H208" t="s">
        <v>2160</v>
      </c>
      <c r="I208" s="7">
        <v>3.43</v>
      </c>
      <c r="J208" s="7">
        <v>3</v>
      </c>
      <c r="K208" s="7">
        <v>3.5</v>
      </c>
      <c r="L208" s="7">
        <v>4</v>
      </c>
      <c r="M208" s="7">
        <v>3.5</v>
      </c>
      <c r="N208" s="7">
        <v>3.5</v>
      </c>
      <c r="O208" s="7">
        <v>3.5</v>
      </c>
      <c r="P208" s="7">
        <v>3</v>
      </c>
      <c r="Q208" t="s">
        <v>2143</v>
      </c>
      <c r="R208" s="7">
        <v>600</v>
      </c>
      <c r="S208" t="str">
        <f xml:space="preserve"> HYPERLINK("ReviewHtml/review_Garo_-_Vanishing_Line.html", "https://2danicritic.github.io/ReviewHtml/review_Garo_-_Vanishing_Line.html")</f>
        <v>https://2danicritic.github.io/ReviewHtml/review_Garo_-_Vanishing_Line.html</v>
      </c>
    </row>
    <row r="209" spans="2:19" x14ac:dyDescent="0.35">
      <c r="B209" s="35">
        <v>206</v>
      </c>
      <c r="C209" t="s">
        <v>1578</v>
      </c>
      <c r="D209" s="7">
        <v>2007</v>
      </c>
      <c r="E209" t="s">
        <v>1554</v>
      </c>
      <c r="F209" t="s">
        <v>702</v>
      </c>
      <c r="G209" t="s">
        <v>1555</v>
      </c>
      <c r="H209" t="s">
        <v>1533</v>
      </c>
      <c r="I209" s="7">
        <v>3.57</v>
      </c>
      <c r="J209" s="7">
        <v>4</v>
      </c>
      <c r="K209" s="7">
        <v>4</v>
      </c>
      <c r="L209" s="7">
        <v>3</v>
      </c>
      <c r="M209" s="7">
        <v>3</v>
      </c>
      <c r="N209" s="7">
        <v>3.5</v>
      </c>
      <c r="O209" s="7">
        <v>3.5</v>
      </c>
      <c r="P209" s="7">
        <v>4</v>
      </c>
      <c r="Q209" t="s">
        <v>1534</v>
      </c>
      <c r="R209" s="7">
        <v>183</v>
      </c>
      <c r="S209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</row>
    <row r="210" spans="2:19" x14ac:dyDescent="0.35">
      <c r="B210" s="35">
        <v>207</v>
      </c>
      <c r="C210" t="s">
        <v>833</v>
      </c>
      <c r="D210" s="7">
        <v>2016</v>
      </c>
      <c r="E210" t="s">
        <v>1554</v>
      </c>
      <c r="F210" t="s">
        <v>834</v>
      </c>
      <c r="G210" t="s">
        <v>1557</v>
      </c>
      <c r="H210" t="s">
        <v>826</v>
      </c>
      <c r="I210" s="7">
        <v>3.57</v>
      </c>
      <c r="J210" s="7">
        <v>3.5</v>
      </c>
      <c r="K210" s="7">
        <v>4</v>
      </c>
      <c r="L210" s="7">
        <v>3.5</v>
      </c>
      <c r="M210" s="7">
        <v>3</v>
      </c>
      <c r="N210" s="7">
        <v>4</v>
      </c>
      <c r="O210" s="7">
        <v>3</v>
      </c>
      <c r="P210" s="7">
        <v>4</v>
      </c>
      <c r="Q210" t="s">
        <v>141</v>
      </c>
      <c r="R210" s="7">
        <v>115</v>
      </c>
      <c r="S210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211" spans="2:19" x14ac:dyDescent="0.35">
      <c r="B211" s="35">
        <v>208</v>
      </c>
      <c r="C211" t="s">
        <v>2582</v>
      </c>
      <c r="D211" s="7">
        <v>2024</v>
      </c>
      <c r="E211" t="s">
        <v>1554</v>
      </c>
      <c r="F211" t="s">
        <v>2567</v>
      </c>
      <c r="G211" t="s">
        <v>1557</v>
      </c>
      <c r="H211" t="s">
        <v>2568</v>
      </c>
      <c r="I211" s="7">
        <v>3</v>
      </c>
      <c r="J211" s="7">
        <v>3</v>
      </c>
      <c r="K211" s="7">
        <v>3</v>
      </c>
      <c r="L211" s="7">
        <v>3</v>
      </c>
      <c r="M211" s="7">
        <v>3.5</v>
      </c>
      <c r="N211" s="7">
        <v>2.5</v>
      </c>
      <c r="O211" s="7">
        <v>3.5</v>
      </c>
      <c r="P211" s="7">
        <v>2.5</v>
      </c>
      <c r="Q211" t="s">
        <v>2569</v>
      </c>
      <c r="R211" s="7">
        <v>97</v>
      </c>
      <c r="S211" t="str">
        <f xml:space="preserve"> HYPERLINK("ReviewHtml/review_Ghost_Cat_Anzu.html", "https://2danicritic.github.io/ReviewHtml/review_Ghost_Cat_Anzu.html")</f>
        <v>https://2danicritic.github.io/ReviewHtml/review_Ghost_Cat_Anzu.html</v>
      </c>
    </row>
    <row r="212" spans="2:19" x14ac:dyDescent="0.35">
      <c r="B212" s="35">
        <v>209</v>
      </c>
      <c r="C212" t="s">
        <v>835</v>
      </c>
      <c r="D212" s="7">
        <v>1995</v>
      </c>
      <c r="E212" t="s">
        <v>1554</v>
      </c>
      <c r="F212" t="s">
        <v>731</v>
      </c>
      <c r="G212" t="s">
        <v>1557</v>
      </c>
      <c r="H212" t="s">
        <v>836</v>
      </c>
      <c r="I212" s="7">
        <v>3.71</v>
      </c>
      <c r="J212" s="7">
        <v>3.5</v>
      </c>
      <c r="K212" s="7">
        <v>4</v>
      </c>
      <c r="L212" s="7">
        <v>4.5</v>
      </c>
      <c r="M212" s="7">
        <v>2</v>
      </c>
      <c r="N212" s="7">
        <v>4.5</v>
      </c>
      <c r="O212" s="7">
        <v>3</v>
      </c>
      <c r="P212" s="7">
        <v>4.5</v>
      </c>
      <c r="Q212" t="s">
        <v>142</v>
      </c>
      <c r="R212" s="7">
        <v>82</v>
      </c>
      <c r="S212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213" spans="2:19" x14ac:dyDescent="0.35">
      <c r="B213" s="35">
        <v>210</v>
      </c>
      <c r="C213" t="s">
        <v>837</v>
      </c>
      <c r="D213" s="7">
        <v>2006</v>
      </c>
      <c r="E213" t="s">
        <v>1554</v>
      </c>
      <c r="F213" t="s">
        <v>731</v>
      </c>
      <c r="G213" t="s">
        <v>1557</v>
      </c>
      <c r="H213" t="s">
        <v>801</v>
      </c>
      <c r="I213" s="7">
        <v>3.64</v>
      </c>
      <c r="J213" s="7">
        <v>4</v>
      </c>
      <c r="K213" s="7">
        <v>3.5</v>
      </c>
      <c r="L213" s="7">
        <v>4.5</v>
      </c>
      <c r="M213" s="7">
        <v>4</v>
      </c>
      <c r="N213" s="7">
        <v>3.5</v>
      </c>
      <c r="O213" s="7">
        <v>3</v>
      </c>
      <c r="P213" s="7">
        <v>3</v>
      </c>
      <c r="Q213" t="s">
        <v>143</v>
      </c>
      <c r="R213" s="7">
        <v>105</v>
      </c>
      <c r="S213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214" spans="2:19" x14ac:dyDescent="0.35">
      <c r="B214" s="35">
        <v>211</v>
      </c>
      <c r="C214" t="s">
        <v>838</v>
      </c>
      <c r="D214" s="7">
        <v>2002</v>
      </c>
      <c r="E214" t="s">
        <v>1554</v>
      </c>
      <c r="F214" t="s">
        <v>731</v>
      </c>
      <c r="G214" t="s">
        <v>1559</v>
      </c>
      <c r="H214" t="s">
        <v>801</v>
      </c>
      <c r="I214" s="7">
        <v>4.1399999999999997</v>
      </c>
      <c r="J214" s="7">
        <v>3.5</v>
      </c>
      <c r="K214" s="7">
        <v>3.5</v>
      </c>
      <c r="L214" s="7">
        <v>4.5</v>
      </c>
      <c r="M214" s="7">
        <v>4</v>
      </c>
      <c r="N214" s="7">
        <v>4.5</v>
      </c>
      <c r="O214" s="7">
        <v>4</v>
      </c>
      <c r="P214" s="7">
        <v>5</v>
      </c>
      <c r="Q214" t="s">
        <v>141</v>
      </c>
      <c r="R214" s="7">
        <v>1300</v>
      </c>
      <c r="S214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215" spans="2:19" x14ac:dyDescent="0.35">
      <c r="B215" s="35">
        <v>212</v>
      </c>
      <c r="C215" t="s">
        <v>2022</v>
      </c>
      <c r="D215" s="7">
        <v>2015</v>
      </c>
      <c r="E215" t="s">
        <v>1554</v>
      </c>
      <c r="F215" t="s">
        <v>731</v>
      </c>
      <c r="G215" t="s">
        <v>1557</v>
      </c>
      <c r="H215" t="s">
        <v>1798</v>
      </c>
      <c r="I215" s="7">
        <v>3.21</v>
      </c>
      <c r="J215" s="7">
        <v>3.5</v>
      </c>
      <c r="K215" s="7">
        <v>3.5</v>
      </c>
      <c r="L215" s="7">
        <v>3.5</v>
      </c>
      <c r="M215" s="7">
        <v>4</v>
      </c>
      <c r="N215" s="7">
        <v>3</v>
      </c>
      <c r="O215" s="7">
        <v>2.5</v>
      </c>
      <c r="P215" s="7">
        <v>2.5</v>
      </c>
      <c r="Q215" t="s">
        <v>1188</v>
      </c>
      <c r="R215" s="7">
        <v>100</v>
      </c>
      <c r="S215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</row>
    <row r="216" spans="2:19" x14ac:dyDescent="0.35">
      <c r="B216" s="35">
        <v>213</v>
      </c>
      <c r="C216" t="s">
        <v>839</v>
      </c>
      <c r="D216" s="7">
        <v>2004</v>
      </c>
      <c r="E216" t="s">
        <v>1554</v>
      </c>
      <c r="F216" t="s">
        <v>731</v>
      </c>
      <c r="G216" t="s">
        <v>1557</v>
      </c>
      <c r="H216" t="s">
        <v>836</v>
      </c>
      <c r="I216" s="7">
        <v>3.79</v>
      </c>
      <c r="J216" s="7">
        <v>4.5</v>
      </c>
      <c r="K216" s="7">
        <v>4</v>
      </c>
      <c r="L216" s="7">
        <v>4.5</v>
      </c>
      <c r="M216" s="7">
        <v>3.5</v>
      </c>
      <c r="N216" s="7">
        <v>3.5</v>
      </c>
      <c r="O216" s="7">
        <v>2.5</v>
      </c>
      <c r="P216" s="7">
        <v>4</v>
      </c>
      <c r="Q216" t="s">
        <v>91</v>
      </c>
      <c r="R216" s="7">
        <v>98</v>
      </c>
      <c r="S216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217" spans="2:19" x14ac:dyDescent="0.35">
      <c r="B217" s="35">
        <v>214</v>
      </c>
      <c r="C217" t="s">
        <v>1790</v>
      </c>
      <c r="D217" s="7">
        <v>2020</v>
      </c>
      <c r="E217" t="s">
        <v>1791</v>
      </c>
      <c r="F217" t="s">
        <v>1792</v>
      </c>
      <c r="G217" t="s">
        <v>1557</v>
      </c>
      <c r="H217" t="s">
        <v>1793</v>
      </c>
      <c r="I217" s="7">
        <v>3</v>
      </c>
      <c r="J217" s="7">
        <v>3.5</v>
      </c>
      <c r="K217" s="7">
        <v>3</v>
      </c>
      <c r="L217" s="7">
        <v>3.5</v>
      </c>
      <c r="M217" s="7">
        <v>3</v>
      </c>
      <c r="N217" s="7">
        <v>2.5</v>
      </c>
      <c r="O217" s="7">
        <v>3</v>
      </c>
      <c r="P217" s="7">
        <v>2.5</v>
      </c>
      <c r="Q217" t="s">
        <v>1762</v>
      </c>
      <c r="R217" s="7">
        <v>88</v>
      </c>
      <c r="S217" t="str">
        <f xml:space="preserve"> HYPERLINK("ReviewHtml/review_Ginger's_Tale.html", "https://2danicritic.github.io/ReviewHtml/review_Ginger's_Tale.html")</f>
        <v>https://2danicritic.github.io/ReviewHtml/review_Ginger's_Tale.html</v>
      </c>
    </row>
    <row r="218" spans="2:19" x14ac:dyDescent="0.35">
      <c r="B218" s="35">
        <v>215</v>
      </c>
      <c r="C218" t="s">
        <v>1727</v>
      </c>
      <c r="D218" s="7">
        <v>2017</v>
      </c>
      <c r="E218" t="s">
        <v>1554</v>
      </c>
      <c r="F218" t="s">
        <v>879</v>
      </c>
      <c r="G218" t="s">
        <v>1559</v>
      </c>
      <c r="H218" t="s">
        <v>1728</v>
      </c>
      <c r="I218" s="7">
        <v>3.86</v>
      </c>
      <c r="J218" s="7">
        <v>3</v>
      </c>
      <c r="K218" s="7">
        <v>3.5</v>
      </c>
      <c r="L218" s="7">
        <v>4.5</v>
      </c>
      <c r="M218" s="7">
        <v>3</v>
      </c>
      <c r="N218" s="7">
        <v>4</v>
      </c>
      <c r="O218" s="7">
        <v>4</v>
      </c>
      <c r="P218" s="7">
        <v>5</v>
      </c>
      <c r="Q218" t="s">
        <v>1666</v>
      </c>
      <c r="R218" s="7">
        <v>300</v>
      </c>
      <c r="S218" t="str">
        <f xml:space="preserve"> HYPERLINK("ReviewHtml/review_Girls'_Last_Tour.html", "https://2danicritic.github.io/ReviewHtml/review_Girls'_Last_Tour.html")</f>
        <v>https://2danicritic.github.io/ReviewHtml/review_Girls'_Last_Tour.html</v>
      </c>
    </row>
    <row r="219" spans="2:19" x14ac:dyDescent="0.35">
      <c r="B219" s="35">
        <v>216</v>
      </c>
      <c r="C219" t="s">
        <v>1327</v>
      </c>
      <c r="D219" s="7">
        <v>2012</v>
      </c>
      <c r="E219" t="s">
        <v>1554</v>
      </c>
      <c r="F219" t="s">
        <v>1425</v>
      </c>
      <c r="G219" t="s">
        <v>1559</v>
      </c>
      <c r="H219" t="s">
        <v>1018</v>
      </c>
      <c r="I219" s="7">
        <v>3.21</v>
      </c>
      <c r="J219" s="7">
        <v>3.5</v>
      </c>
      <c r="K219" s="7">
        <v>3</v>
      </c>
      <c r="L219" s="7">
        <v>4</v>
      </c>
      <c r="M219" s="7">
        <v>2.5</v>
      </c>
      <c r="N219" s="7">
        <v>2.5</v>
      </c>
      <c r="O219" s="7">
        <v>3.5</v>
      </c>
      <c r="P219" s="7">
        <v>3.5</v>
      </c>
      <c r="Q219" t="s">
        <v>1314</v>
      </c>
      <c r="R219" s="7">
        <v>300</v>
      </c>
      <c r="S219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220" spans="2:19" x14ac:dyDescent="0.35">
      <c r="B220" s="35">
        <v>217</v>
      </c>
      <c r="C220" t="s">
        <v>1380</v>
      </c>
      <c r="D220" s="7">
        <v>2015</v>
      </c>
      <c r="E220" t="s">
        <v>1554</v>
      </c>
      <c r="F220" t="s">
        <v>1425</v>
      </c>
      <c r="G220" t="s">
        <v>1557</v>
      </c>
      <c r="H220" t="s">
        <v>1018</v>
      </c>
      <c r="I220" s="7">
        <v>3.43</v>
      </c>
      <c r="J220" s="7">
        <v>4</v>
      </c>
      <c r="K220" s="7">
        <v>3.5</v>
      </c>
      <c r="L220" s="7">
        <v>4</v>
      </c>
      <c r="M220" s="7">
        <v>3</v>
      </c>
      <c r="N220" s="7">
        <v>2</v>
      </c>
      <c r="O220" s="7">
        <v>4</v>
      </c>
      <c r="P220" s="7">
        <v>3.5</v>
      </c>
      <c r="Q220" t="s">
        <v>1314</v>
      </c>
      <c r="R220" s="7">
        <v>119</v>
      </c>
      <c r="S220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221" spans="2:19" x14ac:dyDescent="0.35">
      <c r="B221" s="35">
        <v>218</v>
      </c>
      <c r="C221" t="s">
        <v>1381</v>
      </c>
      <c r="D221" s="7">
        <v>2012</v>
      </c>
      <c r="E221" t="s">
        <v>1554</v>
      </c>
      <c r="F221" t="s">
        <v>1425</v>
      </c>
      <c r="G221" t="s">
        <v>1560</v>
      </c>
      <c r="H221" t="s">
        <v>1018</v>
      </c>
      <c r="I221" s="7">
        <v>3.07</v>
      </c>
      <c r="J221" s="7">
        <v>3.5</v>
      </c>
      <c r="K221" s="7">
        <v>3</v>
      </c>
      <c r="L221" s="7">
        <v>3.5</v>
      </c>
      <c r="M221" s="7">
        <v>3</v>
      </c>
      <c r="N221" s="7">
        <v>2</v>
      </c>
      <c r="O221" s="7">
        <v>3.5</v>
      </c>
      <c r="P221" s="7">
        <v>3</v>
      </c>
      <c r="Q221" t="s">
        <v>1315</v>
      </c>
      <c r="R221" s="7">
        <v>112</v>
      </c>
      <c r="S221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222" spans="2:19" x14ac:dyDescent="0.35">
      <c r="B222" s="35">
        <v>219</v>
      </c>
      <c r="C222" t="s">
        <v>2429</v>
      </c>
      <c r="D222" s="7">
        <v>2020</v>
      </c>
      <c r="E222" t="s">
        <v>1554</v>
      </c>
      <c r="F222" t="s">
        <v>2430</v>
      </c>
      <c r="G222" t="s">
        <v>1559</v>
      </c>
      <c r="H222" t="s">
        <v>2431</v>
      </c>
      <c r="I222" s="7">
        <v>3.21</v>
      </c>
      <c r="J222" s="7">
        <v>2.5</v>
      </c>
      <c r="K222" s="7">
        <v>3.5</v>
      </c>
      <c r="L222" s="7">
        <v>3.5</v>
      </c>
      <c r="M222" s="7">
        <v>3</v>
      </c>
      <c r="N222" s="7">
        <v>2.5</v>
      </c>
      <c r="O222" s="7">
        <v>4</v>
      </c>
      <c r="P222" s="7">
        <v>3.5</v>
      </c>
      <c r="Q222" t="s">
        <v>2432</v>
      </c>
      <c r="R222" s="7">
        <v>325</v>
      </c>
      <c r="S222" t="str">
        <f xml:space="preserve"> HYPERLINK("ReviewHtml/review_Gleipnir.html", "https://2danicritic.github.io/ReviewHtml/review_Gleipnir.html")</f>
        <v>https://2danicritic.github.io/ReviewHtml/review_Gleipnir.html</v>
      </c>
    </row>
    <row r="223" spans="2:19" x14ac:dyDescent="0.35">
      <c r="B223" s="35">
        <v>220</v>
      </c>
      <c r="C223" t="s">
        <v>1579</v>
      </c>
      <c r="D223" s="7">
        <v>2007</v>
      </c>
      <c r="E223" t="s">
        <v>1558</v>
      </c>
      <c r="F223" t="s">
        <v>1580</v>
      </c>
      <c r="G223" t="s">
        <v>1557</v>
      </c>
      <c r="H223" t="s">
        <v>1581</v>
      </c>
      <c r="I223" s="7">
        <v>3.36</v>
      </c>
      <c r="J223" s="7">
        <v>4</v>
      </c>
      <c r="K223" s="7">
        <v>3.5</v>
      </c>
      <c r="L223" s="7">
        <v>4</v>
      </c>
      <c r="M223" s="7">
        <v>2.5</v>
      </c>
      <c r="N223" s="7">
        <v>3</v>
      </c>
      <c r="O223" s="7">
        <v>3.5</v>
      </c>
      <c r="P223" s="7">
        <v>3</v>
      </c>
      <c r="Q223" t="s">
        <v>184</v>
      </c>
      <c r="R223" s="7">
        <v>90</v>
      </c>
      <c r="S223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</row>
    <row r="224" spans="2:19" x14ac:dyDescent="0.35">
      <c r="B224" s="35">
        <v>221</v>
      </c>
      <c r="C224" t="s">
        <v>1962</v>
      </c>
      <c r="D224" s="7">
        <v>2018</v>
      </c>
      <c r="E224" t="s">
        <v>1554</v>
      </c>
      <c r="F224" t="s">
        <v>879</v>
      </c>
      <c r="G224" t="s">
        <v>1559</v>
      </c>
      <c r="H224" t="s">
        <v>1728</v>
      </c>
      <c r="I224" s="7">
        <v>2.5</v>
      </c>
      <c r="J224" s="7">
        <v>2.5</v>
      </c>
      <c r="K224" s="7">
        <v>2.5</v>
      </c>
      <c r="L224" s="7">
        <v>3</v>
      </c>
      <c r="M224" s="7">
        <v>3</v>
      </c>
      <c r="N224" s="7">
        <v>2.5</v>
      </c>
      <c r="O224" s="7">
        <v>2</v>
      </c>
      <c r="P224" s="7">
        <v>2</v>
      </c>
      <c r="Q224" t="s">
        <v>63</v>
      </c>
      <c r="R224" s="7">
        <v>300</v>
      </c>
      <c r="S224" t="str">
        <f xml:space="preserve"> HYPERLINK("ReviewHtml/review_Goblin_Slayer.html", "https://2danicritic.github.io/ReviewHtml/review_Goblin_Slayer.html")</f>
        <v>https://2danicritic.github.io/ReviewHtml/review_Goblin_Slayer.html</v>
      </c>
    </row>
    <row r="225" spans="2:19" x14ac:dyDescent="0.35">
      <c r="B225" s="35">
        <v>222</v>
      </c>
      <c r="C225" t="s">
        <v>840</v>
      </c>
      <c r="D225" s="7">
        <v>2012</v>
      </c>
      <c r="E225" t="s">
        <v>1554</v>
      </c>
      <c r="F225" t="s">
        <v>759</v>
      </c>
      <c r="G225" t="s">
        <v>1559</v>
      </c>
      <c r="H225" t="s">
        <v>841</v>
      </c>
      <c r="I225" s="7">
        <v>2.14</v>
      </c>
      <c r="J225" s="7">
        <v>1.5</v>
      </c>
      <c r="K225" s="7">
        <v>2</v>
      </c>
      <c r="L225" s="7">
        <v>2</v>
      </c>
      <c r="M225" s="7">
        <v>4</v>
      </c>
      <c r="N225" s="7">
        <v>1.5</v>
      </c>
      <c r="O225" s="7">
        <v>3</v>
      </c>
      <c r="P225" s="7">
        <v>1</v>
      </c>
      <c r="Q225" t="s">
        <v>144</v>
      </c>
      <c r="R225" s="7">
        <v>325</v>
      </c>
      <c r="S225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226" spans="2:19" x14ac:dyDescent="0.35">
      <c r="B226" s="35">
        <v>223</v>
      </c>
      <c r="C226" t="s">
        <v>2433</v>
      </c>
      <c r="D226" s="7">
        <v>2022</v>
      </c>
      <c r="E226" t="s">
        <v>1554</v>
      </c>
      <c r="F226" t="s">
        <v>694</v>
      </c>
      <c r="G226" t="s">
        <v>1557</v>
      </c>
      <c r="H226" t="s">
        <v>983</v>
      </c>
      <c r="I226" s="7">
        <v>3.21</v>
      </c>
      <c r="J226" s="7">
        <v>3</v>
      </c>
      <c r="K226" s="7">
        <v>3.5</v>
      </c>
      <c r="L226" s="7">
        <v>3.5</v>
      </c>
      <c r="M226" s="7">
        <v>3.5</v>
      </c>
      <c r="N226" s="7">
        <v>3.5</v>
      </c>
      <c r="O226" s="7">
        <v>3</v>
      </c>
      <c r="P226" s="7">
        <v>2.5</v>
      </c>
      <c r="Q226" t="s">
        <v>296</v>
      </c>
      <c r="R226" s="7">
        <v>98</v>
      </c>
      <c r="S226" t="str">
        <f xml:space="preserve"> HYPERLINK("ReviewHtml/review_Goodbye,_Don_Glees.html", "https://2danicritic.github.io/ReviewHtml/review_Goodbye,_Don_Glees.html")</f>
        <v>https://2danicritic.github.io/ReviewHtml/review_Goodbye,_Don_Glees.html</v>
      </c>
    </row>
    <row r="227" spans="2:19" x14ac:dyDescent="0.35">
      <c r="B227" s="35">
        <v>224</v>
      </c>
      <c r="C227" t="s">
        <v>842</v>
      </c>
      <c r="D227" s="7">
        <v>1988</v>
      </c>
      <c r="E227" t="s">
        <v>1554</v>
      </c>
      <c r="F227" t="s">
        <v>747</v>
      </c>
      <c r="G227" t="s">
        <v>1557</v>
      </c>
      <c r="H227" t="s">
        <v>843</v>
      </c>
      <c r="I227" s="7">
        <v>3.29</v>
      </c>
      <c r="J227" s="7">
        <v>3</v>
      </c>
      <c r="K227" s="7">
        <v>2.5</v>
      </c>
      <c r="L227" s="7">
        <v>4</v>
      </c>
      <c r="M227" s="7">
        <v>4</v>
      </c>
      <c r="N227" s="7">
        <v>4</v>
      </c>
      <c r="O227" s="7">
        <v>1.5</v>
      </c>
      <c r="P227" s="7">
        <v>4</v>
      </c>
      <c r="Q227" t="s">
        <v>145</v>
      </c>
      <c r="R227" s="7">
        <v>89</v>
      </c>
      <c r="S227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228" spans="2:19" x14ac:dyDescent="0.35">
      <c r="B228" s="35">
        <v>225</v>
      </c>
      <c r="C228" t="s">
        <v>1901</v>
      </c>
      <c r="D228" s="7">
        <v>2020</v>
      </c>
      <c r="E228" t="s">
        <v>1554</v>
      </c>
      <c r="F228" t="s">
        <v>1085</v>
      </c>
      <c r="G228" t="s">
        <v>1559</v>
      </c>
      <c r="H228" t="s">
        <v>1708</v>
      </c>
      <c r="I228" s="7">
        <v>4.1399999999999997</v>
      </c>
      <c r="J228" s="7">
        <v>3</v>
      </c>
      <c r="K228" s="7">
        <v>4.5</v>
      </c>
      <c r="L228" s="7">
        <v>4</v>
      </c>
      <c r="M228" s="7">
        <v>4</v>
      </c>
      <c r="N228" s="7">
        <v>4.5</v>
      </c>
      <c r="O228" s="7">
        <v>4.5</v>
      </c>
      <c r="P228" s="7">
        <v>4.5</v>
      </c>
      <c r="Q228" t="s">
        <v>1873</v>
      </c>
      <c r="R228" s="7">
        <v>575</v>
      </c>
      <c r="S228" t="str">
        <f xml:space="preserve"> HYPERLINK("ReviewHtml/review_Great_Pretender.html", "https://2danicritic.github.io/ReviewHtml/review_Great_Pretender.html")</f>
        <v>https://2danicritic.github.io/ReviewHtml/review_Great_Pretender.html</v>
      </c>
    </row>
    <row r="229" spans="2:19" x14ac:dyDescent="0.35">
      <c r="B229" s="35">
        <v>226</v>
      </c>
      <c r="C229" t="s">
        <v>844</v>
      </c>
      <c r="D229" s="7">
        <v>2016</v>
      </c>
      <c r="E229" t="s">
        <v>1554</v>
      </c>
      <c r="F229" t="s">
        <v>715</v>
      </c>
      <c r="G229" t="s">
        <v>1559</v>
      </c>
      <c r="H229" t="s">
        <v>845</v>
      </c>
      <c r="I229" s="7">
        <v>3.64</v>
      </c>
      <c r="J229" s="7">
        <v>3.5</v>
      </c>
      <c r="K229" s="7">
        <v>4.5</v>
      </c>
      <c r="L229" s="7">
        <v>3.5</v>
      </c>
      <c r="M229" s="7">
        <v>3.5</v>
      </c>
      <c r="N229" s="7">
        <v>3</v>
      </c>
      <c r="O229" s="7">
        <v>3.5</v>
      </c>
      <c r="P229" s="7">
        <v>4</v>
      </c>
      <c r="Q229" t="s">
        <v>146</v>
      </c>
      <c r="R229" s="7">
        <v>300</v>
      </c>
      <c r="S229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230" spans="2:19" x14ac:dyDescent="0.35">
      <c r="B230" s="35">
        <v>227</v>
      </c>
      <c r="C230" t="s">
        <v>846</v>
      </c>
      <c r="D230" s="7">
        <v>2011</v>
      </c>
      <c r="E230" t="s">
        <v>1554</v>
      </c>
      <c r="F230" t="s">
        <v>689</v>
      </c>
      <c r="G230" t="s">
        <v>1559</v>
      </c>
      <c r="H230" t="s">
        <v>147</v>
      </c>
      <c r="I230" s="7">
        <v>3.07</v>
      </c>
      <c r="J230" s="7">
        <v>3.5</v>
      </c>
      <c r="K230" s="7">
        <v>3.5</v>
      </c>
      <c r="L230" s="7">
        <v>3</v>
      </c>
      <c r="M230" s="7">
        <v>3</v>
      </c>
      <c r="N230" s="7">
        <v>3</v>
      </c>
      <c r="O230" s="7">
        <v>3.5</v>
      </c>
      <c r="P230" s="7">
        <v>2</v>
      </c>
      <c r="Q230" t="s">
        <v>148</v>
      </c>
      <c r="R230" s="7">
        <v>300</v>
      </c>
      <c r="S230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231" spans="2:19" x14ac:dyDescent="0.35">
      <c r="B231" s="35">
        <v>228</v>
      </c>
      <c r="C231" t="s">
        <v>847</v>
      </c>
      <c r="D231" s="7">
        <v>2011</v>
      </c>
      <c r="E231" t="s">
        <v>1554</v>
      </c>
      <c r="F231" t="s">
        <v>731</v>
      </c>
      <c r="G231" t="s">
        <v>1559</v>
      </c>
      <c r="H231" t="s">
        <v>783</v>
      </c>
      <c r="I231" s="7">
        <v>3.21</v>
      </c>
      <c r="J231" s="7">
        <v>3.5</v>
      </c>
      <c r="K231" s="7">
        <v>3.5</v>
      </c>
      <c r="L231" s="7">
        <v>4</v>
      </c>
      <c r="M231" s="7">
        <v>3.5</v>
      </c>
      <c r="N231" s="7">
        <v>1.5</v>
      </c>
      <c r="O231" s="7">
        <v>2.5</v>
      </c>
      <c r="P231" s="7">
        <v>4</v>
      </c>
      <c r="Q231" t="s">
        <v>149</v>
      </c>
      <c r="R231" s="7">
        <v>550</v>
      </c>
      <c r="S231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232" spans="2:19" x14ac:dyDescent="0.35">
      <c r="B232" s="35">
        <v>229</v>
      </c>
      <c r="C232" t="s">
        <v>1794</v>
      </c>
      <c r="D232" s="7">
        <v>2005</v>
      </c>
      <c r="E232" t="s">
        <v>1554</v>
      </c>
      <c r="F232" t="s">
        <v>679</v>
      </c>
      <c r="G232" t="s">
        <v>1559</v>
      </c>
      <c r="H232" t="s">
        <v>762</v>
      </c>
      <c r="I232" s="7">
        <v>3.07</v>
      </c>
      <c r="J232" s="7">
        <v>3</v>
      </c>
      <c r="K232" s="7">
        <v>3.5</v>
      </c>
      <c r="L232" s="7">
        <v>3.5</v>
      </c>
      <c r="M232" s="7">
        <v>3</v>
      </c>
      <c r="N232" s="7">
        <v>2.5</v>
      </c>
      <c r="O232" s="7">
        <v>3</v>
      </c>
      <c r="P232" s="7">
        <v>3</v>
      </c>
      <c r="Q232" t="s">
        <v>300</v>
      </c>
      <c r="R232" s="7">
        <v>650</v>
      </c>
      <c r="S232" t="str">
        <f xml:space="preserve"> HYPERLINK("ReviewHtml/review_Gun_X_Sword.html", "https://2danicritic.github.io/ReviewHtml/review_Gun_X_Sword.html")</f>
        <v>https://2danicritic.github.io/ReviewHtml/review_Gun_X_Sword.html</v>
      </c>
    </row>
    <row r="233" spans="2:19" x14ac:dyDescent="0.35">
      <c r="B233" s="35">
        <v>230</v>
      </c>
      <c r="C233" t="s">
        <v>1382</v>
      </c>
      <c r="D233" s="7">
        <v>2004</v>
      </c>
      <c r="E233" t="s">
        <v>1554</v>
      </c>
      <c r="F233" t="s">
        <v>965</v>
      </c>
      <c r="G233" t="s">
        <v>1560</v>
      </c>
      <c r="H233" t="s">
        <v>819</v>
      </c>
      <c r="I233" s="7">
        <v>3.43</v>
      </c>
      <c r="J233" s="7">
        <v>3</v>
      </c>
      <c r="K233" s="7">
        <v>3.5</v>
      </c>
      <c r="L233" s="7">
        <v>3.5</v>
      </c>
      <c r="M233" s="7">
        <v>3.5</v>
      </c>
      <c r="N233" s="7">
        <v>3</v>
      </c>
      <c r="O233" s="7">
        <v>4</v>
      </c>
      <c r="P233" s="7">
        <v>3.5</v>
      </c>
      <c r="Q233" t="s">
        <v>1337</v>
      </c>
      <c r="R233" s="7">
        <v>175</v>
      </c>
      <c r="S233" t="str">
        <f xml:space="preserve"> HYPERLINK("ReviewHtml/review_Gunbuster_2.html", "https://2danicritic.github.io/ReviewHtml/review_Gunbuster_2.html")</f>
        <v>https://2danicritic.github.io/ReviewHtml/review_Gunbuster_2.html</v>
      </c>
    </row>
    <row r="234" spans="2:19" x14ac:dyDescent="0.35">
      <c r="B234" s="35">
        <v>231</v>
      </c>
      <c r="C234" t="s">
        <v>1902</v>
      </c>
      <c r="D234" s="7">
        <v>2018</v>
      </c>
      <c r="E234" t="s">
        <v>1554</v>
      </c>
      <c r="F234" t="s">
        <v>948</v>
      </c>
      <c r="G234" t="s">
        <v>1559</v>
      </c>
      <c r="H234" t="s">
        <v>1826</v>
      </c>
      <c r="I234" s="7">
        <v>3.43</v>
      </c>
      <c r="J234" s="7">
        <v>2.5</v>
      </c>
      <c r="K234" s="7">
        <v>4</v>
      </c>
      <c r="L234" s="7">
        <v>4</v>
      </c>
      <c r="M234" s="7">
        <v>3</v>
      </c>
      <c r="N234" s="7">
        <v>3</v>
      </c>
      <c r="O234" s="7">
        <v>3.5</v>
      </c>
      <c r="P234" s="7">
        <v>4</v>
      </c>
      <c r="Q234" t="s">
        <v>195</v>
      </c>
      <c r="R234" s="7">
        <v>325</v>
      </c>
      <c r="S234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</row>
    <row r="235" spans="2:19" x14ac:dyDescent="0.35">
      <c r="B235" s="35">
        <v>232</v>
      </c>
      <c r="C235" t="s">
        <v>848</v>
      </c>
      <c r="D235" s="7">
        <v>2015</v>
      </c>
      <c r="E235" t="s">
        <v>1554</v>
      </c>
      <c r="F235" t="s">
        <v>702</v>
      </c>
      <c r="G235" t="s">
        <v>1557</v>
      </c>
      <c r="H235" t="s">
        <v>150</v>
      </c>
      <c r="I235" s="7">
        <v>4.1399999999999997</v>
      </c>
      <c r="J235" s="7">
        <v>4</v>
      </c>
      <c r="K235" s="7">
        <v>4.5</v>
      </c>
      <c r="L235" s="7">
        <v>4</v>
      </c>
      <c r="M235" s="7">
        <v>4</v>
      </c>
      <c r="N235" s="7">
        <v>4.5</v>
      </c>
      <c r="O235" s="7">
        <v>3.5</v>
      </c>
      <c r="P235" s="7">
        <v>4.5</v>
      </c>
      <c r="Q235" t="s">
        <v>151</v>
      </c>
      <c r="R235" s="7">
        <v>119</v>
      </c>
      <c r="S235" t="str">
        <f xml:space="preserve"> HYPERLINK("ReviewHtml/review_Harmony.html", "https://2danicritic.github.io/ReviewHtml/review_Harmony.html")</f>
        <v>https://2danicritic.github.io/ReviewHtml/review_Harmony.html</v>
      </c>
    </row>
    <row r="236" spans="2:19" x14ac:dyDescent="0.35">
      <c r="B236" s="35">
        <v>233</v>
      </c>
      <c r="C236" t="s">
        <v>849</v>
      </c>
      <c r="D236" s="7">
        <v>2017</v>
      </c>
      <c r="E236" t="s">
        <v>1565</v>
      </c>
      <c r="F236" t="s">
        <v>850</v>
      </c>
      <c r="G236" t="s">
        <v>1557</v>
      </c>
      <c r="H236" t="s">
        <v>851</v>
      </c>
      <c r="I236" s="7">
        <v>3.57</v>
      </c>
      <c r="J236" s="7">
        <v>1</v>
      </c>
      <c r="K236" s="7">
        <v>4</v>
      </c>
      <c r="L236" s="7">
        <v>4</v>
      </c>
      <c r="M236" s="7">
        <v>4</v>
      </c>
      <c r="N236" s="7">
        <v>4</v>
      </c>
      <c r="O236" s="7">
        <v>4</v>
      </c>
      <c r="P236" s="7">
        <v>4</v>
      </c>
      <c r="Q236" t="s">
        <v>152</v>
      </c>
      <c r="R236" s="7">
        <v>75</v>
      </c>
      <c r="S236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237" spans="2:19" x14ac:dyDescent="0.35">
      <c r="B237" s="35">
        <v>234</v>
      </c>
      <c r="C237" t="s">
        <v>2023</v>
      </c>
      <c r="D237" s="7">
        <v>2020</v>
      </c>
      <c r="E237" t="s">
        <v>2024</v>
      </c>
      <c r="F237" t="s">
        <v>2025</v>
      </c>
      <c r="G237" t="s">
        <v>1557</v>
      </c>
      <c r="H237" t="s">
        <v>2026</v>
      </c>
      <c r="I237" s="7">
        <v>3.14</v>
      </c>
      <c r="J237" s="7">
        <v>3</v>
      </c>
      <c r="K237" s="7">
        <v>3</v>
      </c>
      <c r="L237" s="7">
        <v>3</v>
      </c>
      <c r="M237" s="7">
        <v>3.5</v>
      </c>
      <c r="N237" s="7">
        <v>3</v>
      </c>
      <c r="O237" s="7">
        <v>3.5</v>
      </c>
      <c r="P237" s="7">
        <v>3</v>
      </c>
      <c r="Q237" t="s">
        <v>349</v>
      </c>
      <c r="R237" s="7">
        <v>73</v>
      </c>
      <c r="S237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</row>
    <row r="238" spans="2:19" x14ac:dyDescent="0.35">
      <c r="B238" s="35">
        <v>235</v>
      </c>
      <c r="C238" t="s">
        <v>852</v>
      </c>
      <c r="D238" s="7">
        <v>2009</v>
      </c>
      <c r="E238" t="s">
        <v>1554</v>
      </c>
      <c r="F238" t="s">
        <v>750</v>
      </c>
      <c r="G238" t="s">
        <v>1559</v>
      </c>
      <c r="H238" t="s">
        <v>853</v>
      </c>
      <c r="I238" s="7">
        <v>2.86</v>
      </c>
      <c r="J238" s="7">
        <v>3</v>
      </c>
      <c r="K238" s="7">
        <v>3.5</v>
      </c>
      <c r="L238" s="7">
        <v>3</v>
      </c>
      <c r="M238" s="7">
        <v>2.5</v>
      </c>
      <c r="N238" s="7">
        <v>2.5</v>
      </c>
      <c r="O238" s="7">
        <v>2.5</v>
      </c>
      <c r="P238" s="7">
        <v>3</v>
      </c>
      <c r="Q238" t="s">
        <v>153</v>
      </c>
      <c r="R238" s="7">
        <v>650</v>
      </c>
      <c r="S238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239" spans="2:19" x14ac:dyDescent="0.35">
      <c r="B239" s="35">
        <v>236</v>
      </c>
      <c r="C239" t="s">
        <v>154</v>
      </c>
      <c r="D239" s="7">
        <v>2011</v>
      </c>
      <c r="E239" t="s">
        <v>1554</v>
      </c>
      <c r="F239" t="s">
        <v>750</v>
      </c>
      <c r="G239" t="s">
        <v>1557</v>
      </c>
      <c r="H239" t="s">
        <v>155</v>
      </c>
      <c r="I239" s="7">
        <v>2.21</v>
      </c>
      <c r="J239" s="7">
        <v>2.5</v>
      </c>
      <c r="K239" s="7">
        <v>3.5</v>
      </c>
      <c r="L239" s="7">
        <v>2.5</v>
      </c>
      <c r="M239" s="7">
        <v>2.5</v>
      </c>
      <c r="N239" s="7">
        <v>1.5</v>
      </c>
      <c r="O239" s="7">
        <v>2</v>
      </c>
      <c r="P239" s="7">
        <v>1</v>
      </c>
      <c r="Q239" t="s">
        <v>156</v>
      </c>
      <c r="R239" s="7">
        <v>97</v>
      </c>
      <c r="S239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240" spans="2:19" x14ac:dyDescent="0.35">
      <c r="B240" s="35">
        <v>237</v>
      </c>
      <c r="C240" t="s">
        <v>854</v>
      </c>
      <c r="D240" s="7">
        <v>2011</v>
      </c>
      <c r="E240" t="s">
        <v>1554</v>
      </c>
      <c r="F240" t="s">
        <v>670</v>
      </c>
      <c r="G240" t="s">
        <v>1559</v>
      </c>
      <c r="H240" t="s">
        <v>855</v>
      </c>
      <c r="I240" s="7">
        <v>2.93</v>
      </c>
      <c r="J240" s="7">
        <v>3</v>
      </c>
      <c r="K240" s="7">
        <v>3.5</v>
      </c>
      <c r="L240" s="7">
        <v>3</v>
      </c>
      <c r="M240" s="7">
        <v>3</v>
      </c>
      <c r="N240" s="7">
        <v>2.5</v>
      </c>
      <c r="O240" s="7">
        <v>3</v>
      </c>
      <c r="P240" s="7">
        <v>2.5</v>
      </c>
      <c r="Q240" t="s">
        <v>157</v>
      </c>
      <c r="R240" s="7">
        <v>325</v>
      </c>
      <c r="S240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241" spans="2:19" x14ac:dyDescent="0.35">
      <c r="B241" s="35">
        <v>238</v>
      </c>
      <c r="C241" t="s">
        <v>2027</v>
      </c>
      <c r="D241" s="7">
        <v>1973</v>
      </c>
      <c r="E241" t="s">
        <v>1556</v>
      </c>
      <c r="F241" t="s">
        <v>2028</v>
      </c>
      <c r="G241" t="s">
        <v>1557</v>
      </c>
      <c r="H241" t="s">
        <v>1173</v>
      </c>
      <c r="I241" s="7">
        <v>3.5</v>
      </c>
      <c r="J241" s="7">
        <v>3</v>
      </c>
      <c r="K241" s="7">
        <v>3.5</v>
      </c>
      <c r="L241" s="7">
        <v>3.5</v>
      </c>
      <c r="M241" s="7">
        <v>3</v>
      </c>
      <c r="N241" s="7">
        <v>4</v>
      </c>
      <c r="O241" s="7">
        <v>3</v>
      </c>
      <c r="P241" s="7">
        <v>4.5</v>
      </c>
      <c r="Q241" t="s">
        <v>2005</v>
      </c>
      <c r="R241" s="7">
        <v>76</v>
      </c>
      <c r="S241" t="str">
        <f xml:space="preserve"> HYPERLINK("ReviewHtml/review_Heavy_Traffic.html", "https://2danicritic.github.io/ReviewHtml/review_Heavy_Traffic.html")</f>
        <v>https://2danicritic.github.io/ReviewHtml/review_Heavy_Traffic.html</v>
      </c>
    </row>
    <row r="242" spans="2:19" x14ac:dyDescent="0.35">
      <c r="B242" s="35">
        <v>239</v>
      </c>
      <c r="C242" t="s">
        <v>1263</v>
      </c>
      <c r="D242" s="7">
        <v>2008</v>
      </c>
      <c r="E242" t="s">
        <v>1554</v>
      </c>
      <c r="F242" t="s">
        <v>694</v>
      </c>
      <c r="G242" t="s">
        <v>1557</v>
      </c>
      <c r="H242" t="s">
        <v>874</v>
      </c>
      <c r="I242" s="7">
        <v>3.5</v>
      </c>
      <c r="J242" s="7">
        <v>3</v>
      </c>
      <c r="K242" s="7">
        <v>4</v>
      </c>
      <c r="L242" s="7">
        <v>3</v>
      </c>
      <c r="M242" s="7">
        <v>3.5</v>
      </c>
      <c r="N242" s="7">
        <v>3</v>
      </c>
      <c r="O242" s="7">
        <v>4</v>
      </c>
      <c r="P242" s="7">
        <v>4</v>
      </c>
      <c r="Q242" t="s">
        <v>1195</v>
      </c>
      <c r="R242" s="7">
        <v>117</v>
      </c>
      <c r="S242" t="str">
        <f xml:space="preserve"> HYPERLINK("ReviewHtml/review_Hells.html", "https://2danicritic.github.io/ReviewHtml/review_Hells.html")</f>
        <v>https://2danicritic.github.io/ReviewHtml/review_Hells.html</v>
      </c>
    </row>
    <row r="243" spans="2:19" x14ac:dyDescent="0.35">
      <c r="B243" s="35">
        <v>240</v>
      </c>
      <c r="C243" t="s">
        <v>856</v>
      </c>
      <c r="D243" s="7">
        <v>2006</v>
      </c>
      <c r="E243" t="s">
        <v>1554</v>
      </c>
      <c r="F243" t="s">
        <v>158</v>
      </c>
      <c r="G243" t="s">
        <v>1560</v>
      </c>
      <c r="H243" t="s">
        <v>159</v>
      </c>
      <c r="I243" s="7">
        <v>4.21</v>
      </c>
      <c r="J243" s="7">
        <v>3</v>
      </c>
      <c r="K243" s="7">
        <v>5</v>
      </c>
      <c r="L243" s="7">
        <v>3.5</v>
      </c>
      <c r="M243" s="7">
        <v>5</v>
      </c>
      <c r="N243" s="7">
        <v>3</v>
      </c>
      <c r="O243" s="7">
        <v>5</v>
      </c>
      <c r="P243" s="7">
        <v>5</v>
      </c>
      <c r="Q243" t="s">
        <v>160</v>
      </c>
      <c r="R243" s="7">
        <v>472</v>
      </c>
      <c r="S243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244" spans="2:19" x14ac:dyDescent="0.35">
      <c r="B244" s="35">
        <v>241</v>
      </c>
      <c r="C244" t="s">
        <v>2283</v>
      </c>
      <c r="D244" s="7">
        <v>1997</v>
      </c>
      <c r="E244" t="s">
        <v>1556</v>
      </c>
      <c r="F244" t="s">
        <v>2260</v>
      </c>
      <c r="G244" t="s">
        <v>1557</v>
      </c>
      <c r="H244" t="s">
        <v>2202</v>
      </c>
      <c r="I244" s="7">
        <v>3.79</v>
      </c>
      <c r="J244" s="7">
        <v>4</v>
      </c>
      <c r="K244" s="7">
        <v>4.5</v>
      </c>
      <c r="L244" s="7">
        <v>4</v>
      </c>
      <c r="M244" s="7">
        <v>4</v>
      </c>
      <c r="N244" s="7">
        <v>3</v>
      </c>
      <c r="O244" s="7">
        <v>4</v>
      </c>
      <c r="P244" s="7">
        <v>3</v>
      </c>
      <c r="Q244" t="s">
        <v>2219</v>
      </c>
      <c r="R244" s="7">
        <v>93</v>
      </c>
      <c r="S244" t="str">
        <f xml:space="preserve"> HYPERLINK("ReviewHtml/review_Hercules.html", "https://2danicritic.github.io/ReviewHtml/review_Hercules.html")</f>
        <v>https://2danicritic.github.io/ReviewHtml/review_Hercules.html</v>
      </c>
    </row>
    <row r="245" spans="2:19" x14ac:dyDescent="0.35">
      <c r="B245" s="35">
        <v>242</v>
      </c>
      <c r="C245" t="s">
        <v>857</v>
      </c>
      <c r="D245" s="7">
        <v>2009</v>
      </c>
      <c r="E245" t="s">
        <v>1554</v>
      </c>
      <c r="F245" t="s">
        <v>811</v>
      </c>
      <c r="G245" t="s">
        <v>1568</v>
      </c>
      <c r="H245" t="s">
        <v>858</v>
      </c>
      <c r="I245" s="7">
        <v>1.79</v>
      </c>
      <c r="J245" s="7">
        <v>1.5</v>
      </c>
      <c r="K245" s="7">
        <v>2</v>
      </c>
      <c r="L245" s="7">
        <v>2</v>
      </c>
      <c r="M245" s="7">
        <v>3</v>
      </c>
      <c r="N245" s="7">
        <v>1</v>
      </c>
      <c r="O245" s="7">
        <v>2</v>
      </c>
      <c r="P245" s="7">
        <v>1</v>
      </c>
      <c r="Q245" t="s">
        <v>161</v>
      </c>
      <c r="R245" s="7">
        <v>520</v>
      </c>
      <c r="S245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246" spans="2:19" x14ac:dyDescent="0.35">
      <c r="B246" s="35">
        <v>243</v>
      </c>
      <c r="C246" t="s">
        <v>859</v>
      </c>
      <c r="D246" s="7">
        <v>2012</v>
      </c>
      <c r="E246" t="s">
        <v>1554</v>
      </c>
      <c r="F246" t="s">
        <v>860</v>
      </c>
      <c r="G246" t="s">
        <v>1559</v>
      </c>
      <c r="H246" t="s">
        <v>861</v>
      </c>
      <c r="I246" s="7">
        <v>3.43</v>
      </c>
      <c r="J246" s="7">
        <v>2.5</v>
      </c>
      <c r="K246" s="7">
        <v>3.5</v>
      </c>
      <c r="L246" s="7">
        <v>3.5</v>
      </c>
      <c r="M246" s="7">
        <v>3.5</v>
      </c>
      <c r="N246" s="7">
        <v>2.5</v>
      </c>
      <c r="O246" s="7">
        <v>4.5</v>
      </c>
      <c r="P246" s="7">
        <v>4</v>
      </c>
      <c r="Q246" t="s">
        <v>156</v>
      </c>
      <c r="R246" s="7">
        <v>900</v>
      </c>
      <c r="S246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247" spans="2:19" x14ac:dyDescent="0.35">
      <c r="B247" s="35">
        <v>244</v>
      </c>
      <c r="C247" t="s">
        <v>862</v>
      </c>
      <c r="D247" s="7">
        <v>2010</v>
      </c>
      <c r="E247" t="s">
        <v>1554</v>
      </c>
      <c r="F247" t="s">
        <v>694</v>
      </c>
      <c r="G247" t="s">
        <v>1559</v>
      </c>
      <c r="H247" t="s">
        <v>783</v>
      </c>
      <c r="I247" s="7">
        <v>4.07</v>
      </c>
      <c r="J247" s="7">
        <v>3.5</v>
      </c>
      <c r="K247" s="7">
        <v>4.5</v>
      </c>
      <c r="L247" s="7">
        <v>3.5</v>
      </c>
      <c r="M247" s="7">
        <v>4</v>
      </c>
      <c r="N247" s="7">
        <v>3</v>
      </c>
      <c r="O247" s="7">
        <v>5</v>
      </c>
      <c r="P247" s="7">
        <v>5</v>
      </c>
      <c r="Q247" t="s">
        <v>162</v>
      </c>
      <c r="R247" s="7">
        <v>300</v>
      </c>
      <c r="S247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248" spans="2:19" x14ac:dyDescent="0.35">
      <c r="B248" s="35">
        <v>245</v>
      </c>
      <c r="C248" t="s">
        <v>1383</v>
      </c>
      <c r="D248" s="7">
        <v>2015</v>
      </c>
      <c r="E248" t="s">
        <v>1554</v>
      </c>
      <c r="F248" t="s">
        <v>1426</v>
      </c>
      <c r="G248" t="s">
        <v>1559</v>
      </c>
      <c r="H248" t="s">
        <v>1443</v>
      </c>
      <c r="I248" s="7">
        <v>2.93</v>
      </c>
      <c r="J248" s="7">
        <v>3</v>
      </c>
      <c r="K248" s="7">
        <v>3</v>
      </c>
      <c r="L248" s="7">
        <v>3</v>
      </c>
      <c r="M248" s="7">
        <v>3</v>
      </c>
      <c r="N248" s="7">
        <v>2</v>
      </c>
      <c r="O248" s="7">
        <v>3.5</v>
      </c>
      <c r="P248" s="7">
        <v>3</v>
      </c>
      <c r="Q248" t="s">
        <v>71</v>
      </c>
      <c r="R248" s="7">
        <v>300</v>
      </c>
      <c r="S248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249" spans="2:19" x14ac:dyDescent="0.35">
      <c r="B249" s="35">
        <v>246</v>
      </c>
      <c r="C249" t="s">
        <v>2284</v>
      </c>
      <c r="D249" s="7">
        <v>2004</v>
      </c>
      <c r="E249" t="s">
        <v>1556</v>
      </c>
      <c r="F249" t="s">
        <v>2260</v>
      </c>
      <c r="G249" t="s">
        <v>1557</v>
      </c>
      <c r="H249" t="s">
        <v>2220</v>
      </c>
      <c r="I249" s="7">
        <v>3.36</v>
      </c>
      <c r="J249" s="7">
        <v>3.5</v>
      </c>
      <c r="K249" s="7">
        <v>3</v>
      </c>
      <c r="L249" s="7">
        <v>4</v>
      </c>
      <c r="M249" s="7">
        <v>4</v>
      </c>
      <c r="N249" s="7">
        <v>3</v>
      </c>
      <c r="O249" s="7">
        <v>3.5</v>
      </c>
      <c r="P249" s="7">
        <v>2.5</v>
      </c>
      <c r="Q249" t="s">
        <v>259</v>
      </c>
      <c r="R249" s="7">
        <v>76</v>
      </c>
      <c r="S249" t="str">
        <f xml:space="preserve"> HYPERLINK("ReviewHtml/review_Home_on_the_Range.html", "https://2danicritic.github.io/ReviewHtml/review_Home_on_the_Range.html")</f>
        <v>https://2danicritic.github.io/ReviewHtml/review_Home_on_the_Range.html</v>
      </c>
    </row>
    <row r="250" spans="2:19" x14ac:dyDescent="0.35">
      <c r="B250" s="35">
        <v>247</v>
      </c>
      <c r="C250" t="s">
        <v>863</v>
      </c>
      <c r="D250" s="7">
        <v>2004</v>
      </c>
      <c r="E250" t="s">
        <v>1554</v>
      </c>
      <c r="F250" t="s">
        <v>747</v>
      </c>
      <c r="G250" t="s">
        <v>1557</v>
      </c>
      <c r="H250" t="s">
        <v>748</v>
      </c>
      <c r="I250" s="7">
        <v>4.1399999999999997</v>
      </c>
      <c r="J250" s="7">
        <v>4</v>
      </c>
      <c r="K250" s="7">
        <v>4.5</v>
      </c>
      <c r="L250" s="7">
        <v>3.5</v>
      </c>
      <c r="M250" s="7">
        <v>4</v>
      </c>
      <c r="N250" s="7">
        <v>4</v>
      </c>
      <c r="O250" s="7">
        <v>4</v>
      </c>
      <c r="P250" s="7">
        <v>5</v>
      </c>
      <c r="Q250" t="s">
        <v>163</v>
      </c>
      <c r="R250" s="7">
        <v>119</v>
      </c>
      <c r="S250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251" spans="2:19" x14ac:dyDescent="0.35">
      <c r="B251" s="35">
        <v>248</v>
      </c>
      <c r="C251" t="s">
        <v>1903</v>
      </c>
      <c r="D251" s="7">
        <v>2012</v>
      </c>
      <c r="E251" t="s">
        <v>1554</v>
      </c>
      <c r="F251" t="s">
        <v>658</v>
      </c>
      <c r="G251" t="s">
        <v>1559</v>
      </c>
      <c r="H251" t="s">
        <v>672</v>
      </c>
      <c r="I251" s="7">
        <v>3.14</v>
      </c>
      <c r="J251" s="7">
        <v>3.5</v>
      </c>
      <c r="K251" s="7">
        <v>4</v>
      </c>
      <c r="L251" s="7">
        <v>3.5</v>
      </c>
      <c r="M251" s="7">
        <v>3.5</v>
      </c>
      <c r="N251" s="7">
        <v>2.5</v>
      </c>
      <c r="O251" s="7">
        <v>2.5</v>
      </c>
      <c r="P251" s="7">
        <v>2.5</v>
      </c>
      <c r="Q251" t="s">
        <v>1874</v>
      </c>
      <c r="R251" s="7">
        <v>575</v>
      </c>
      <c r="S251" t="str">
        <f xml:space="preserve"> HYPERLINK("ReviewHtml/review_Hyouka.html", "https://2danicritic.github.io/ReviewHtml/review_Hyouka.html")</f>
        <v>https://2danicritic.github.io/ReviewHtml/review_Hyouka.html</v>
      </c>
    </row>
    <row r="252" spans="2:19" x14ac:dyDescent="0.35">
      <c r="B252" s="35">
        <v>249</v>
      </c>
      <c r="C252" t="s">
        <v>1582</v>
      </c>
      <c r="D252" s="7">
        <v>2019</v>
      </c>
      <c r="E252" t="s">
        <v>1558</v>
      </c>
      <c r="F252" t="s">
        <v>1583</v>
      </c>
      <c r="G252" t="s">
        <v>1557</v>
      </c>
      <c r="H252" t="s">
        <v>1584</v>
      </c>
      <c r="I252" s="7">
        <v>2.79</v>
      </c>
      <c r="J252" s="7">
        <v>3</v>
      </c>
      <c r="K252" s="7">
        <v>3</v>
      </c>
      <c r="L252" s="7">
        <v>3</v>
      </c>
      <c r="M252" s="7">
        <v>3</v>
      </c>
      <c r="N252" s="7">
        <v>2.5</v>
      </c>
      <c r="O252" s="7">
        <v>2.5</v>
      </c>
      <c r="P252" s="7">
        <v>2.5</v>
      </c>
      <c r="Q252" t="s">
        <v>1535</v>
      </c>
      <c r="R252" s="7">
        <v>81</v>
      </c>
      <c r="S252" t="str">
        <f xml:space="preserve"> HYPERLINK("ReviewHtml/review_I_Lost_My_Body.html", "https://2danicritic.github.io/ReviewHtml/review_I_Lost_My_Body.html")</f>
        <v>https://2danicritic.github.io/ReviewHtml/review_I_Lost_My_Body.html</v>
      </c>
    </row>
    <row r="253" spans="2:19" x14ac:dyDescent="0.35">
      <c r="B253" s="35">
        <v>250</v>
      </c>
      <c r="C253" t="s">
        <v>1264</v>
      </c>
      <c r="D253" s="7">
        <v>2018</v>
      </c>
      <c r="E253" t="s">
        <v>1554</v>
      </c>
      <c r="F253" t="s">
        <v>1288</v>
      </c>
      <c r="G253" t="s">
        <v>1557</v>
      </c>
      <c r="H253" t="s">
        <v>1196</v>
      </c>
      <c r="I253" s="7">
        <v>3.5</v>
      </c>
      <c r="J253" s="7">
        <v>3.5</v>
      </c>
      <c r="K253" s="7">
        <v>3</v>
      </c>
      <c r="L253" s="7">
        <v>3.5</v>
      </c>
      <c r="M253" s="7">
        <v>3.5</v>
      </c>
      <c r="N253" s="7">
        <v>3.5</v>
      </c>
      <c r="O253" s="7">
        <v>4</v>
      </c>
      <c r="P253" s="7">
        <v>3.5</v>
      </c>
      <c r="Q253" t="s">
        <v>100</v>
      </c>
      <c r="R253" s="7">
        <v>108</v>
      </c>
      <c r="S253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254" spans="2:19" x14ac:dyDescent="0.35">
      <c r="B254" s="35">
        <v>251</v>
      </c>
      <c r="C254" t="s">
        <v>864</v>
      </c>
      <c r="D254" s="7">
        <v>2017</v>
      </c>
      <c r="E254" t="s">
        <v>1567</v>
      </c>
      <c r="F254" t="s">
        <v>865</v>
      </c>
      <c r="G254" t="s">
        <v>1557</v>
      </c>
      <c r="H254" t="s">
        <v>866</v>
      </c>
      <c r="I254" s="7">
        <v>3.43</v>
      </c>
      <c r="J254" s="7">
        <v>3</v>
      </c>
      <c r="K254" s="7">
        <v>3</v>
      </c>
      <c r="L254" s="7">
        <v>3</v>
      </c>
      <c r="M254" s="7">
        <v>4</v>
      </c>
      <c r="N254" s="7">
        <v>4</v>
      </c>
      <c r="O254" s="7">
        <v>4</v>
      </c>
      <c r="P254" s="7">
        <v>3</v>
      </c>
      <c r="Q254" t="s">
        <v>164</v>
      </c>
      <c r="R254" s="7">
        <v>85</v>
      </c>
      <c r="S254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255" spans="2:19" x14ac:dyDescent="0.35">
      <c r="B255" s="35">
        <v>252</v>
      </c>
      <c r="C255" t="s">
        <v>867</v>
      </c>
      <c r="D255" s="7">
        <v>2016</v>
      </c>
      <c r="E255" t="s">
        <v>1554</v>
      </c>
      <c r="F255" t="s">
        <v>868</v>
      </c>
      <c r="G255" t="s">
        <v>1557</v>
      </c>
      <c r="H255" t="s">
        <v>724</v>
      </c>
      <c r="I255" s="7">
        <v>3.71</v>
      </c>
      <c r="J255" s="7">
        <v>3</v>
      </c>
      <c r="K255" s="7">
        <v>4</v>
      </c>
      <c r="L255" s="7">
        <v>4</v>
      </c>
      <c r="M255" s="7">
        <v>2.5</v>
      </c>
      <c r="N255" s="7">
        <v>4</v>
      </c>
      <c r="O255" s="7">
        <v>3.5</v>
      </c>
      <c r="P255" s="7">
        <v>5</v>
      </c>
      <c r="Q255" t="s">
        <v>165</v>
      </c>
      <c r="R255" s="7">
        <v>129</v>
      </c>
      <c r="S255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256" spans="2:19" x14ac:dyDescent="0.35">
      <c r="B256" s="35">
        <v>253</v>
      </c>
      <c r="C256" t="s">
        <v>869</v>
      </c>
      <c r="D256" s="7">
        <v>2007</v>
      </c>
      <c r="E256" t="s">
        <v>1554</v>
      </c>
      <c r="F256" t="s">
        <v>870</v>
      </c>
      <c r="G256" t="s">
        <v>1560</v>
      </c>
      <c r="H256" t="s">
        <v>871</v>
      </c>
      <c r="I256" s="7">
        <v>1.5</v>
      </c>
      <c r="J256" s="7">
        <v>1.5</v>
      </c>
      <c r="K256" s="7">
        <v>2</v>
      </c>
      <c r="L256" s="7">
        <v>1.5</v>
      </c>
      <c r="M256" s="7">
        <v>2</v>
      </c>
      <c r="N256" s="7">
        <v>1</v>
      </c>
      <c r="O256" s="7">
        <v>1.5</v>
      </c>
      <c r="P256" s="7">
        <v>1</v>
      </c>
      <c r="Q256" t="s">
        <v>171</v>
      </c>
      <c r="R256" s="7">
        <v>90</v>
      </c>
      <c r="S256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257" spans="2:19" x14ac:dyDescent="0.35">
      <c r="B257" s="35">
        <v>254</v>
      </c>
      <c r="C257" t="s">
        <v>2161</v>
      </c>
      <c r="D257" s="7">
        <v>2020</v>
      </c>
      <c r="E257" t="s">
        <v>1554</v>
      </c>
      <c r="F257" t="s">
        <v>1026</v>
      </c>
      <c r="G257" t="s">
        <v>1559</v>
      </c>
      <c r="H257" t="s">
        <v>2162</v>
      </c>
      <c r="I257" s="7">
        <v>2.86</v>
      </c>
      <c r="J257" s="7">
        <v>2</v>
      </c>
      <c r="K257" s="7">
        <v>3</v>
      </c>
      <c r="L257" s="7">
        <v>3.5</v>
      </c>
      <c r="M257" s="7">
        <v>3</v>
      </c>
      <c r="N257" s="7">
        <v>2</v>
      </c>
      <c r="O257" s="7">
        <v>3.5</v>
      </c>
      <c r="P257" s="7">
        <v>3</v>
      </c>
      <c r="Q257" t="s">
        <v>2144</v>
      </c>
      <c r="R257" s="7">
        <v>300</v>
      </c>
      <c r="S257" t="str">
        <f xml:space="preserve"> HYPERLINK("ReviewHtml/review_Interspecies_Reviewers.html", "https://2danicritic.github.io/ReviewHtml/review_Interspecies_Reviewers.html")</f>
        <v>https://2danicritic.github.io/ReviewHtml/review_Interspecies_Reviewers.html</v>
      </c>
    </row>
    <row r="258" spans="2:19" x14ac:dyDescent="0.35">
      <c r="B258" s="35">
        <v>255</v>
      </c>
      <c r="C258" t="s">
        <v>2163</v>
      </c>
      <c r="D258" s="7">
        <v>2017</v>
      </c>
      <c r="E258" t="s">
        <v>1554</v>
      </c>
      <c r="F258" t="s">
        <v>715</v>
      </c>
      <c r="G258" t="s">
        <v>1559</v>
      </c>
      <c r="H258" t="s">
        <v>2164</v>
      </c>
      <c r="I258" s="7">
        <v>2.93</v>
      </c>
      <c r="J258" s="7">
        <v>2.5</v>
      </c>
      <c r="K258" s="7">
        <v>3</v>
      </c>
      <c r="L258" s="7">
        <v>3</v>
      </c>
      <c r="M258" s="7">
        <v>3.5</v>
      </c>
      <c r="N258" s="7">
        <v>2.5</v>
      </c>
      <c r="O258" s="7">
        <v>3.5</v>
      </c>
      <c r="P258" s="7">
        <v>2.5</v>
      </c>
      <c r="Q258" t="s">
        <v>181</v>
      </c>
      <c r="R258" s="7">
        <v>325</v>
      </c>
      <c r="S258" t="str">
        <f xml:space="preserve"> HYPERLINK("ReviewHtml/review_Interviews_with_Monster_Girls.html", "https://2danicritic.github.io/ReviewHtml/review_Interviews_with_Monster_Girls.html")</f>
        <v>https://2danicritic.github.io/ReviewHtml/review_Interviews_with_Monster_Girls.html</v>
      </c>
    </row>
    <row r="259" spans="2:19" x14ac:dyDescent="0.35">
      <c r="B259" s="35">
        <v>256</v>
      </c>
      <c r="C259" t="s">
        <v>1795</v>
      </c>
      <c r="D259" s="7">
        <v>2012</v>
      </c>
      <c r="E259" t="s">
        <v>1554</v>
      </c>
      <c r="F259" t="s">
        <v>1429</v>
      </c>
      <c r="G259" t="s">
        <v>1559</v>
      </c>
      <c r="H259" t="s">
        <v>1453</v>
      </c>
      <c r="I259" s="7">
        <v>2.4300000000000002</v>
      </c>
      <c r="J259" s="7">
        <v>2</v>
      </c>
      <c r="K259" s="7">
        <v>3</v>
      </c>
      <c r="L259" s="7">
        <v>3</v>
      </c>
      <c r="M259" s="7">
        <v>2.5</v>
      </c>
      <c r="N259" s="7">
        <v>2</v>
      </c>
      <c r="O259" s="7">
        <v>2.5</v>
      </c>
      <c r="P259" s="7">
        <v>2</v>
      </c>
      <c r="Q259" t="s">
        <v>343</v>
      </c>
      <c r="R259" s="7">
        <v>325</v>
      </c>
      <c r="S259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</row>
    <row r="260" spans="2:19" x14ac:dyDescent="0.35">
      <c r="B260" s="35">
        <v>257</v>
      </c>
      <c r="C260" t="s">
        <v>2165</v>
      </c>
      <c r="D260" s="7">
        <v>2021</v>
      </c>
      <c r="E260" t="s">
        <v>1554</v>
      </c>
      <c r="F260" t="s">
        <v>787</v>
      </c>
      <c r="G260" t="s">
        <v>1557</v>
      </c>
      <c r="H260" t="s">
        <v>788</v>
      </c>
      <c r="I260" s="7">
        <v>3.71</v>
      </c>
      <c r="J260" s="7">
        <v>3.5</v>
      </c>
      <c r="K260" s="7">
        <v>3.5</v>
      </c>
      <c r="L260" s="7">
        <v>4</v>
      </c>
      <c r="M260" s="7">
        <v>4</v>
      </c>
      <c r="N260" s="7">
        <v>3.5</v>
      </c>
      <c r="O260" s="7">
        <v>3.5</v>
      </c>
      <c r="P260" s="7">
        <v>4</v>
      </c>
      <c r="Q260" t="s">
        <v>2145</v>
      </c>
      <c r="R260" s="7">
        <v>98</v>
      </c>
      <c r="S260" t="str">
        <f xml:space="preserve"> HYPERLINK("ReviewHtml/review_Inu-Oh.html", "https://2danicritic.github.io/ReviewHtml/review_Inu-Oh.html")</f>
        <v>https://2danicritic.github.io/ReviewHtml/review_Inu-Oh.html</v>
      </c>
    </row>
    <row r="261" spans="2:19" x14ac:dyDescent="0.35">
      <c r="B261" s="35">
        <v>258</v>
      </c>
      <c r="C261" t="s">
        <v>1338</v>
      </c>
      <c r="D261" s="7">
        <v>2019</v>
      </c>
      <c r="E261" t="s">
        <v>1554</v>
      </c>
      <c r="F261" t="s">
        <v>670</v>
      </c>
      <c r="G261" t="s">
        <v>1557</v>
      </c>
      <c r="H261" t="s">
        <v>855</v>
      </c>
      <c r="I261" s="7">
        <v>3.07</v>
      </c>
      <c r="J261" s="7">
        <v>3</v>
      </c>
      <c r="K261" s="7">
        <v>3</v>
      </c>
      <c r="L261" s="7">
        <v>3.5</v>
      </c>
      <c r="M261" s="7">
        <v>3.5</v>
      </c>
      <c r="N261" s="7">
        <v>2.5</v>
      </c>
      <c r="O261" s="7">
        <v>3.5</v>
      </c>
      <c r="P261" s="7">
        <v>2.5</v>
      </c>
      <c r="Q261" t="s">
        <v>219</v>
      </c>
      <c r="R261" s="7">
        <v>82</v>
      </c>
      <c r="S261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262" spans="2:19" x14ac:dyDescent="0.35">
      <c r="B262" s="35">
        <v>259</v>
      </c>
      <c r="C262" t="s">
        <v>872</v>
      </c>
      <c r="D262" s="7">
        <v>2015</v>
      </c>
      <c r="E262" t="s">
        <v>1554</v>
      </c>
      <c r="F262" t="s">
        <v>873</v>
      </c>
      <c r="G262" t="s">
        <v>1559</v>
      </c>
      <c r="H262" t="s">
        <v>874</v>
      </c>
      <c r="I262" s="7">
        <v>3.5</v>
      </c>
      <c r="J262" s="7">
        <v>3.5</v>
      </c>
      <c r="K262" s="7">
        <v>3.5</v>
      </c>
      <c r="L262" s="7">
        <v>3.5</v>
      </c>
      <c r="M262" s="7">
        <v>3.5</v>
      </c>
      <c r="N262" s="7">
        <v>3</v>
      </c>
      <c r="O262" s="7">
        <v>3.5</v>
      </c>
      <c r="P262" s="7">
        <v>4</v>
      </c>
      <c r="Q262" t="s">
        <v>129</v>
      </c>
      <c r="R262" s="7">
        <v>325</v>
      </c>
      <c r="S262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263" spans="2:19" x14ac:dyDescent="0.35">
      <c r="B263" s="35">
        <v>260</v>
      </c>
      <c r="C263" t="s">
        <v>1763</v>
      </c>
      <c r="D263" s="7">
        <v>2017</v>
      </c>
      <c r="E263" t="s">
        <v>1554</v>
      </c>
      <c r="F263" t="s">
        <v>670</v>
      </c>
      <c r="G263" t="s">
        <v>1559</v>
      </c>
      <c r="H263" t="s">
        <v>1796</v>
      </c>
      <c r="I263" s="7">
        <v>2.79</v>
      </c>
      <c r="J263" s="7">
        <v>2.5</v>
      </c>
      <c r="K263" s="7">
        <v>3</v>
      </c>
      <c r="L263" s="7">
        <v>3</v>
      </c>
      <c r="M263" s="7">
        <v>3</v>
      </c>
      <c r="N263" s="7">
        <v>2</v>
      </c>
      <c r="O263" s="7">
        <v>3.5</v>
      </c>
      <c r="P263" s="7">
        <v>2.5</v>
      </c>
      <c r="Q263" t="s">
        <v>1764</v>
      </c>
      <c r="R263" s="7">
        <v>300</v>
      </c>
      <c r="S263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</row>
    <row r="264" spans="2:19" x14ac:dyDescent="0.35">
      <c r="B264" s="35">
        <v>261</v>
      </c>
      <c r="C264" t="s">
        <v>875</v>
      </c>
      <c r="D264" s="7">
        <v>2012</v>
      </c>
      <c r="E264" t="s">
        <v>1556</v>
      </c>
      <c r="F264" t="s">
        <v>876</v>
      </c>
      <c r="G264" t="s">
        <v>1557</v>
      </c>
      <c r="H264" t="s">
        <v>877</v>
      </c>
      <c r="I264" s="7">
        <v>3.57</v>
      </c>
      <c r="J264" s="7">
        <v>3.5</v>
      </c>
      <c r="K264" s="7">
        <v>3</v>
      </c>
      <c r="L264" s="7">
        <v>2.5</v>
      </c>
      <c r="M264" s="7">
        <v>3</v>
      </c>
      <c r="N264" s="7">
        <v>4.5</v>
      </c>
      <c r="O264" s="7">
        <v>3.5</v>
      </c>
      <c r="P264" s="7">
        <v>5</v>
      </c>
      <c r="Q264" t="s">
        <v>166</v>
      </c>
      <c r="R264" s="7">
        <v>62</v>
      </c>
      <c r="S264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265" spans="2:19" x14ac:dyDescent="0.35">
      <c r="B265" s="35">
        <v>262</v>
      </c>
      <c r="C265" t="s">
        <v>1384</v>
      </c>
      <c r="D265" s="7">
        <v>2014</v>
      </c>
      <c r="E265" t="s">
        <v>1554</v>
      </c>
      <c r="F265" t="s">
        <v>1339</v>
      </c>
      <c r="G265" t="s">
        <v>1555</v>
      </c>
      <c r="H265" t="s">
        <v>1444</v>
      </c>
      <c r="I265" s="7">
        <v>3.29</v>
      </c>
      <c r="J265" s="7">
        <v>3.5</v>
      </c>
      <c r="K265" s="7">
        <v>3.5</v>
      </c>
      <c r="L265" s="7">
        <v>3.5</v>
      </c>
      <c r="M265" s="7">
        <v>3</v>
      </c>
      <c r="N265" s="7">
        <v>2.5</v>
      </c>
      <c r="O265" s="7">
        <v>3.5</v>
      </c>
      <c r="P265" s="7">
        <v>3.5</v>
      </c>
      <c r="Q265" t="s">
        <v>1340</v>
      </c>
      <c r="R265" s="7">
        <v>248</v>
      </c>
      <c r="S265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266" spans="2:19" x14ac:dyDescent="0.35">
      <c r="B266" s="35">
        <v>263</v>
      </c>
      <c r="C266" t="s">
        <v>1385</v>
      </c>
      <c r="D266" s="7">
        <v>1999</v>
      </c>
      <c r="E266" t="s">
        <v>1554</v>
      </c>
      <c r="F266" t="s">
        <v>731</v>
      </c>
      <c r="G266" t="s">
        <v>1557</v>
      </c>
      <c r="H266" t="s">
        <v>1445</v>
      </c>
      <c r="I266" s="7">
        <v>3.64</v>
      </c>
      <c r="J266" s="7">
        <v>4</v>
      </c>
      <c r="K266" s="7">
        <v>4</v>
      </c>
      <c r="L266" s="7">
        <v>4</v>
      </c>
      <c r="M266" s="7">
        <v>3.5</v>
      </c>
      <c r="N266" s="7">
        <v>4</v>
      </c>
      <c r="O266" s="7">
        <v>2.5</v>
      </c>
      <c r="P266" s="7">
        <v>4</v>
      </c>
      <c r="Q266" t="s">
        <v>137</v>
      </c>
      <c r="R266" s="7">
        <v>102</v>
      </c>
      <c r="S266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267" spans="2:19" x14ac:dyDescent="0.35">
      <c r="B267" s="35">
        <v>264</v>
      </c>
      <c r="C267" t="s">
        <v>1875</v>
      </c>
      <c r="D267" s="7">
        <v>2012</v>
      </c>
      <c r="E267" t="s">
        <v>1554</v>
      </c>
      <c r="F267" t="s">
        <v>1429</v>
      </c>
      <c r="G267" t="s">
        <v>1559</v>
      </c>
      <c r="H267" t="s">
        <v>1876</v>
      </c>
      <c r="I267" s="7">
        <v>3.36</v>
      </c>
      <c r="J267" s="7">
        <v>3</v>
      </c>
      <c r="K267" s="7">
        <v>3.5</v>
      </c>
      <c r="L267" s="7">
        <v>4.5</v>
      </c>
      <c r="M267" s="7">
        <v>3.5</v>
      </c>
      <c r="N267" s="7">
        <v>2.5</v>
      </c>
      <c r="O267" s="7">
        <v>3.5</v>
      </c>
      <c r="P267" s="7">
        <v>3</v>
      </c>
      <c r="Q267" t="s">
        <v>1877</v>
      </c>
      <c r="R267" s="7">
        <v>1776</v>
      </c>
      <c r="S267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</row>
    <row r="268" spans="2:19" x14ac:dyDescent="0.35">
      <c r="B268" s="35">
        <v>265</v>
      </c>
      <c r="C268" t="s">
        <v>1797</v>
      </c>
      <c r="D268" s="7">
        <v>2016</v>
      </c>
      <c r="E268" t="s">
        <v>1554</v>
      </c>
      <c r="F268" t="s">
        <v>731</v>
      </c>
      <c r="G268" t="s">
        <v>1559</v>
      </c>
      <c r="H268" t="s">
        <v>1798</v>
      </c>
      <c r="I268" s="7">
        <v>4</v>
      </c>
      <c r="J268" s="7">
        <v>3</v>
      </c>
      <c r="K268" s="7">
        <v>4</v>
      </c>
      <c r="L268" s="7">
        <v>4</v>
      </c>
      <c r="M268" s="7">
        <v>4</v>
      </c>
      <c r="N268" s="7">
        <v>4.5</v>
      </c>
      <c r="O268" s="7">
        <v>4</v>
      </c>
      <c r="P268" s="7">
        <v>4.5</v>
      </c>
      <c r="Q268" t="s">
        <v>1765</v>
      </c>
      <c r="R268" s="7">
        <v>300</v>
      </c>
      <c r="S268" t="str">
        <f xml:space="preserve"> HYPERLINK("ReviewHtml/review_Joker_Game.html", "https://2danicritic.github.io/ReviewHtml/review_Joker_Game.html")</f>
        <v>https://2danicritic.github.io/ReviewHtml/review_Joker_Game.html</v>
      </c>
    </row>
    <row r="269" spans="2:19" x14ac:dyDescent="0.35">
      <c r="B269" s="35">
        <v>266</v>
      </c>
      <c r="C269" t="s">
        <v>878</v>
      </c>
      <c r="D269" s="7">
        <v>2012</v>
      </c>
      <c r="E269" t="s">
        <v>1554</v>
      </c>
      <c r="F269" t="s">
        <v>879</v>
      </c>
      <c r="G269" t="s">
        <v>1559</v>
      </c>
      <c r="H269" t="s">
        <v>880</v>
      </c>
      <c r="I269" s="7">
        <v>3.71</v>
      </c>
      <c r="J269" s="7">
        <v>3.5</v>
      </c>
      <c r="K269" s="7">
        <v>3</v>
      </c>
      <c r="L269" s="7">
        <v>5</v>
      </c>
      <c r="M269" s="7">
        <v>3</v>
      </c>
      <c r="N269" s="7">
        <v>3.5</v>
      </c>
      <c r="O269" s="7">
        <v>4</v>
      </c>
      <c r="P269" s="7">
        <v>4</v>
      </c>
      <c r="Q269" t="s">
        <v>167</v>
      </c>
      <c r="R269" s="7">
        <v>600</v>
      </c>
      <c r="S269" t="str">
        <f xml:space="preserve"> HYPERLINK("ReviewHtml/review_Jormungand.html", "https://2danicritic.github.io/ReviewHtml/review_Jormungand.html")</f>
        <v>https://2danicritic.github.io/ReviewHtml/review_Jormungand.html</v>
      </c>
    </row>
    <row r="270" spans="2:19" x14ac:dyDescent="0.35">
      <c r="B270" s="35">
        <v>267</v>
      </c>
      <c r="C270" t="s">
        <v>2029</v>
      </c>
      <c r="D270" s="7">
        <v>2020</v>
      </c>
      <c r="E270" t="s">
        <v>1554</v>
      </c>
      <c r="F270" t="s">
        <v>734</v>
      </c>
      <c r="G270" t="s">
        <v>1557</v>
      </c>
      <c r="H270" t="s">
        <v>986</v>
      </c>
      <c r="I270" s="7">
        <v>3.07</v>
      </c>
      <c r="J270" s="7">
        <v>3</v>
      </c>
      <c r="K270" s="7">
        <v>3</v>
      </c>
      <c r="L270" s="7">
        <v>3</v>
      </c>
      <c r="M270" s="7">
        <v>3</v>
      </c>
      <c r="N270" s="7">
        <v>3</v>
      </c>
      <c r="O270" s="7">
        <v>3.5</v>
      </c>
      <c r="P270" s="7">
        <v>3</v>
      </c>
      <c r="Q270" t="s">
        <v>170</v>
      </c>
      <c r="R270" s="7">
        <v>98</v>
      </c>
      <c r="S270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</row>
    <row r="271" spans="2:19" x14ac:dyDescent="0.35">
      <c r="B271" s="35">
        <v>268</v>
      </c>
      <c r="C271" t="s">
        <v>1265</v>
      </c>
      <c r="D271" s="7">
        <v>2000</v>
      </c>
      <c r="E271" t="s">
        <v>1556</v>
      </c>
      <c r="F271" t="s">
        <v>1289</v>
      </c>
      <c r="G271" t="s">
        <v>1557</v>
      </c>
      <c r="H271" t="s">
        <v>1197</v>
      </c>
      <c r="I271" s="7">
        <v>2.64</v>
      </c>
      <c r="J271" s="7">
        <v>2.5</v>
      </c>
      <c r="K271" s="7">
        <v>3</v>
      </c>
      <c r="L271" s="7">
        <v>3</v>
      </c>
      <c r="M271" s="7">
        <v>3</v>
      </c>
      <c r="N271" s="7">
        <v>2.5</v>
      </c>
      <c r="O271" s="7">
        <v>2.5</v>
      </c>
      <c r="P271" s="7">
        <v>2</v>
      </c>
      <c r="Q271" t="s">
        <v>202</v>
      </c>
      <c r="R271" s="7">
        <v>75</v>
      </c>
      <c r="S27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272" spans="2:19" x14ac:dyDescent="0.35">
      <c r="B272" s="35">
        <v>269</v>
      </c>
      <c r="C272" t="s">
        <v>2107</v>
      </c>
      <c r="D272" s="7">
        <v>2012</v>
      </c>
      <c r="E272" t="s">
        <v>1554</v>
      </c>
      <c r="F272" t="s">
        <v>670</v>
      </c>
      <c r="G272" t="s">
        <v>1559</v>
      </c>
      <c r="H272" t="s">
        <v>1018</v>
      </c>
      <c r="I272" s="7">
        <v>3.21</v>
      </c>
      <c r="J272" s="7">
        <v>3</v>
      </c>
      <c r="K272" s="7">
        <v>2.5</v>
      </c>
      <c r="L272" s="7">
        <v>4</v>
      </c>
      <c r="M272" s="7">
        <v>3.5</v>
      </c>
      <c r="N272" s="7">
        <v>2</v>
      </c>
      <c r="O272" s="7">
        <v>4</v>
      </c>
      <c r="P272" s="7">
        <v>3.5</v>
      </c>
      <c r="Q272" t="s">
        <v>144</v>
      </c>
      <c r="R272" s="7">
        <v>325</v>
      </c>
      <c r="S272" t="str">
        <f xml:space="preserve"> HYPERLINK("ReviewHtml/review_Joshiraku.html", "https://2danicritic.github.io/ReviewHtml/review_Joshiraku.html")</f>
        <v>https://2danicritic.github.io/ReviewHtml/review_Joshiraku.html</v>
      </c>
    </row>
    <row r="273" spans="2:19" x14ac:dyDescent="0.35">
      <c r="B273" s="35">
        <v>270</v>
      </c>
      <c r="C273" t="s">
        <v>2166</v>
      </c>
      <c r="D273" s="7">
        <v>2021</v>
      </c>
      <c r="E273" t="s">
        <v>1554</v>
      </c>
      <c r="F273" t="s">
        <v>868</v>
      </c>
      <c r="G273" t="s">
        <v>1557</v>
      </c>
      <c r="H273" t="s">
        <v>2160</v>
      </c>
      <c r="I273" s="7">
        <v>2.79</v>
      </c>
      <c r="J273" s="7">
        <v>3.5</v>
      </c>
      <c r="K273" s="7">
        <v>3</v>
      </c>
      <c r="L273" s="7">
        <v>3.5</v>
      </c>
      <c r="M273" s="7">
        <v>3</v>
      </c>
      <c r="N273" s="7">
        <v>1.5</v>
      </c>
      <c r="O273" s="7">
        <v>3</v>
      </c>
      <c r="P273" s="7">
        <v>2</v>
      </c>
      <c r="Q273" t="s">
        <v>339</v>
      </c>
      <c r="R273" s="7">
        <v>105</v>
      </c>
      <c r="S273" t="str">
        <f xml:space="preserve"> HYPERLINK("ReviewHtml/review_Jujutsu_Kaisen_0.html", "https://2danicritic.github.io/ReviewHtml/review_Jujutsu_Kaisen_0.html")</f>
        <v>https://2danicritic.github.io/ReviewHtml/review_Jujutsu_Kaisen_0.html</v>
      </c>
    </row>
    <row r="274" spans="2:19" x14ac:dyDescent="0.35">
      <c r="B274" s="35">
        <v>271</v>
      </c>
      <c r="C274" t="s">
        <v>1904</v>
      </c>
      <c r="D274" s="7">
        <v>2017</v>
      </c>
      <c r="E274" t="s">
        <v>1554</v>
      </c>
      <c r="F274" t="s">
        <v>1905</v>
      </c>
      <c r="G274" t="s">
        <v>1559</v>
      </c>
      <c r="H274" t="s">
        <v>1092</v>
      </c>
      <c r="I274" s="7">
        <v>3.07</v>
      </c>
      <c r="J274" s="7">
        <v>3.5</v>
      </c>
      <c r="K274" s="7">
        <v>3.5</v>
      </c>
      <c r="L274" s="7">
        <v>3</v>
      </c>
      <c r="M274" s="7">
        <v>3</v>
      </c>
      <c r="N274" s="7">
        <v>3</v>
      </c>
      <c r="O274" s="7">
        <v>3</v>
      </c>
      <c r="P274" s="7">
        <v>2.5</v>
      </c>
      <c r="Q274" t="s">
        <v>1878</v>
      </c>
      <c r="R274" s="7">
        <v>300</v>
      </c>
      <c r="S274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</row>
    <row r="275" spans="2:19" x14ac:dyDescent="0.35">
      <c r="B275" s="35">
        <v>272</v>
      </c>
      <c r="C275" t="s">
        <v>881</v>
      </c>
      <c r="D275" s="7">
        <v>2012</v>
      </c>
      <c r="E275" t="s">
        <v>1554</v>
      </c>
      <c r="F275" t="s">
        <v>882</v>
      </c>
      <c r="G275" t="s">
        <v>1559</v>
      </c>
      <c r="H275" t="s">
        <v>883</v>
      </c>
      <c r="I275" s="7">
        <v>3.71</v>
      </c>
      <c r="J275" s="7">
        <v>4</v>
      </c>
      <c r="K275" s="7">
        <v>4.5</v>
      </c>
      <c r="L275" s="7">
        <v>4</v>
      </c>
      <c r="M275" s="7">
        <v>3</v>
      </c>
      <c r="N275" s="7">
        <v>3</v>
      </c>
      <c r="O275" s="7">
        <v>3.5</v>
      </c>
      <c r="P275" s="7">
        <v>4</v>
      </c>
      <c r="Q275" t="s">
        <v>168</v>
      </c>
      <c r="R275" s="7">
        <v>325</v>
      </c>
      <c r="S275" t="str">
        <f xml:space="preserve"> HYPERLINK("ReviewHtml/review_K.html", "https://2danicritic.github.io/ReviewHtml/review_K.html")</f>
        <v>https://2danicritic.github.io/ReviewHtml/review_K.html</v>
      </c>
    </row>
    <row r="276" spans="2:19" x14ac:dyDescent="0.35">
      <c r="B276" s="35">
        <v>273</v>
      </c>
      <c r="C276" t="s">
        <v>1386</v>
      </c>
      <c r="D276" s="7">
        <v>2014</v>
      </c>
      <c r="E276" t="s">
        <v>1554</v>
      </c>
      <c r="F276" t="s">
        <v>882</v>
      </c>
      <c r="G276" t="s">
        <v>1557</v>
      </c>
      <c r="H276" t="s">
        <v>883</v>
      </c>
      <c r="I276" s="7">
        <v>3.14</v>
      </c>
      <c r="J276" s="7">
        <v>4</v>
      </c>
      <c r="K276" s="7">
        <v>4</v>
      </c>
      <c r="L276" s="7">
        <v>3.5</v>
      </c>
      <c r="M276" s="7">
        <v>3</v>
      </c>
      <c r="N276" s="7">
        <v>2.5</v>
      </c>
      <c r="O276" s="7">
        <v>2.5</v>
      </c>
      <c r="P276" s="7">
        <v>2.5</v>
      </c>
      <c r="Q276" t="s">
        <v>1316</v>
      </c>
      <c r="R276" s="7">
        <v>73</v>
      </c>
      <c r="S276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277" spans="2:19" x14ac:dyDescent="0.35">
      <c r="B277" s="35">
        <v>274</v>
      </c>
      <c r="C277" t="s">
        <v>1729</v>
      </c>
      <c r="D277" s="7">
        <v>2014</v>
      </c>
      <c r="E277" t="s">
        <v>1667</v>
      </c>
      <c r="F277" t="s">
        <v>1730</v>
      </c>
      <c r="G277" t="s">
        <v>1557</v>
      </c>
      <c r="H277" t="s">
        <v>1731</v>
      </c>
      <c r="I277" s="7">
        <v>3.36</v>
      </c>
      <c r="J277" s="7">
        <v>3.5</v>
      </c>
      <c r="K277" s="7">
        <v>4</v>
      </c>
      <c r="L277" s="7">
        <v>3.5</v>
      </c>
      <c r="M277" s="7">
        <v>3.5</v>
      </c>
      <c r="N277" s="7">
        <v>3</v>
      </c>
      <c r="O277" s="7">
        <v>3</v>
      </c>
      <c r="P277" s="7">
        <v>3</v>
      </c>
      <c r="Q277" t="s">
        <v>1668</v>
      </c>
      <c r="R277" s="7">
        <v>85</v>
      </c>
      <c r="S277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</row>
    <row r="278" spans="2:19" x14ac:dyDescent="0.35">
      <c r="B278" s="35">
        <v>275</v>
      </c>
      <c r="C278" t="s">
        <v>884</v>
      </c>
      <c r="D278" s="7">
        <v>2008</v>
      </c>
      <c r="E278" t="s">
        <v>1554</v>
      </c>
      <c r="F278" t="s">
        <v>694</v>
      </c>
      <c r="G278" t="s">
        <v>1559</v>
      </c>
      <c r="H278" t="s">
        <v>788</v>
      </c>
      <c r="I278" s="7">
        <v>2.93</v>
      </c>
      <c r="J278" s="7">
        <v>3</v>
      </c>
      <c r="K278" s="7">
        <v>2.5</v>
      </c>
      <c r="L278" s="7">
        <v>2.5</v>
      </c>
      <c r="M278" s="7">
        <v>2</v>
      </c>
      <c r="N278" s="7">
        <v>4</v>
      </c>
      <c r="O278" s="7">
        <v>2.5</v>
      </c>
      <c r="P278" s="7">
        <v>4</v>
      </c>
      <c r="Q278" t="s">
        <v>169</v>
      </c>
      <c r="R278" s="7">
        <v>300</v>
      </c>
      <c r="S278" t="str">
        <f xml:space="preserve"> HYPERLINK("ReviewHtml/review_Kaiba.html", "https://2danicritic.github.io/ReviewHtml/review_Kaiba.html")</f>
        <v>https://2danicritic.github.io/ReviewHtml/review_Kaiba.html</v>
      </c>
    </row>
    <row r="279" spans="2:19" x14ac:dyDescent="0.35">
      <c r="B279" s="35">
        <v>276</v>
      </c>
      <c r="C279" t="s">
        <v>885</v>
      </c>
      <c r="D279" s="7">
        <v>2008</v>
      </c>
      <c r="E279" t="s">
        <v>1554</v>
      </c>
      <c r="F279" t="s">
        <v>715</v>
      </c>
      <c r="G279" t="s">
        <v>1559</v>
      </c>
      <c r="H279" t="s">
        <v>886</v>
      </c>
      <c r="I279" s="7">
        <v>2.29</v>
      </c>
      <c r="J279" s="7">
        <v>3</v>
      </c>
      <c r="K279" s="7">
        <v>2</v>
      </c>
      <c r="L279" s="7">
        <v>2</v>
      </c>
      <c r="M279" s="7">
        <v>2</v>
      </c>
      <c r="N279" s="7">
        <v>2</v>
      </c>
      <c r="O279" s="7">
        <v>3</v>
      </c>
      <c r="P279" s="7">
        <v>2</v>
      </c>
      <c r="Q279" t="s">
        <v>170</v>
      </c>
      <c r="R279" s="7">
        <v>340</v>
      </c>
      <c r="S279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280" spans="2:19" x14ac:dyDescent="0.35">
      <c r="B280" s="35">
        <v>277</v>
      </c>
      <c r="C280" t="s">
        <v>887</v>
      </c>
      <c r="D280" s="7">
        <v>2008</v>
      </c>
      <c r="E280" t="s">
        <v>1554</v>
      </c>
      <c r="F280" t="s">
        <v>888</v>
      </c>
      <c r="G280" t="s">
        <v>1559</v>
      </c>
      <c r="H280" t="s">
        <v>889</v>
      </c>
      <c r="I280" s="7">
        <v>1.29</v>
      </c>
      <c r="J280" s="7">
        <v>1</v>
      </c>
      <c r="K280" s="7">
        <v>1</v>
      </c>
      <c r="L280" s="7">
        <v>2</v>
      </c>
      <c r="M280" s="7">
        <v>1</v>
      </c>
      <c r="N280" s="7">
        <v>1</v>
      </c>
      <c r="O280" s="7">
        <v>2</v>
      </c>
      <c r="P280" s="7">
        <v>1</v>
      </c>
      <c r="Q280" t="s">
        <v>171</v>
      </c>
      <c r="R280" s="7">
        <v>300</v>
      </c>
      <c r="S280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281" spans="2:19" x14ac:dyDescent="0.35">
      <c r="B281" s="35">
        <v>278</v>
      </c>
      <c r="C281" t="s">
        <v>1387</v>
      </c>
      <c r="D281" s="7">
        <v>2005</v>
      </c>
      <c r="E281" t="s">
        <v>1554</v>
      </c>
      <c r="F281" t="s">
        <v>1010</v>
      </c>
      <c r="G281" t="s">
        <v>1560</v>
      </c>
      <c r="H281" t="s">
        <v>1024</v>
      </c>
      <c r="I281" s="7">
        <v>3</v>
      </c>
      <c r="J281" s="7">
        <v>3.5</v>
      </c>
      <c r="K281" s="7">
        <v>3.5</v>
      </c>
      <c r="L281" s="7">
        <v>2</v>
      </c>
      <c r="M281" s="7">
        <v>3.5</v>
      </c>
      <c r="N281" s="7">
        <v>1.5</v>
      </c>
      <c r="O281" s="7">
        <v>4</v>
      </c>
      <c r="P281" s="7">
        <v>3</v>
      </c>
      <c r="Q281" t="s">
        <v>1341</v>
      </c>
      <c r="R281" s="7">
        <v>170</v>
      </c>
      <c r="S281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282" spans="2:19" x14ac:dyDescent="0.35">
      <c r="B282" s="35">
        <v>279</v>
      </c>
      <c r="C282" t="s">
        <v>1906</v>
      </c>
      <c r="D282" s="7">
        <v>2018</v>
      </c>
      <c r="E282" t="s">
        <v>1554</v>
      </c>
      <c r="F282" t="s">
        <v>1292</v>
      </c>
      <c r="G282" t="s">
        <v>1560</v>
      </c>
      <c r="H282" t="s">
        <v>1907</v>
      </c>
      <c r="I282" s="7">
        <v>3.43</v>
      </c>
      <c r="J282" s="7">
        <v>3</v>
      </c>
      <c r="K282" s="7">
        <v>3.5</v>
      </c>
      <c r="L282" s="7">
        <v>3.5</v>
      </c>
      <c r="M282" s="7">
        <v>3.5</v>
      </c>
      <c r="N282" s="7">
        <v>3</v>
      </c>
      <c r="O282" s="7">
        <v>4</v>
      </c>
      <c r="P282" s="7">
        <v>3.5</v>
      </c>
      <c r="Q282" t="s">
        <v>170</v>
      </c>
      <c r="R282" s="7">
        <v>58</v>
      </c>
      <c r="S282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</row>
    <row r="283" spans="2:19" x14ac:dyDescent="0.35">
      <c r="B283" s="35">
        <v>280</v>
      </c>
      <c r="C283" t="s">
        <v>2506</v>
      </c>
      <c r="D283" s="7">
        <v>2020</v>
      </c>
      <c r="E283" t="s">
        <v>1554</v>
      </c>
      <c r="F283" t="s">
        <v>787</v>
      </c>
      <c r="G283" t="s">
        <v>1559</v>
      </c>
      <c r="H283" t="s">
        <v>788</v>
      </c>
      <c r="I283" s="7">
        <v>4.07</v>
      </c>
      <c r="J283" s="7">
        <v>3</v>
      </c>
      <c r="K283" s="7">
        <v>4</v>
      </c>
      <c r="L283" s="7">
        <v>4.5</v>
      </c>
      <c r="M283" s="7">
        <v>4</v>
      </c>
      <c r="N283" s="7">
        <v>4</v>
      </c>
      <c r="O283" s="7">
        <v>4.5</v>
      </c>
      <c r="P283" s="7">
        <v>4.5</v>
      </c>
      <c r="Q283" t="s">
        <v>2485</v>
      </c>
      <c r="R283" s="7">
        <v>300</v>
      </c>
      <c r="S283" t="str">
        <f xml:space="preserve"> HYPERLINK("ReviewHtml/review_Keep_Your_Hands_Off_Eizouken.html", "https://2danicritic.github.io/ReviewHtml/review_Keep_Your_Hands_Off_Eizouken.html")</f>
        <v>https://2danicritic.github.io/ReviewHtml/review_Keep_Your_Hands_Off_Eizouken.html</v>
      </c>
    </row>
    <row r="284" spans="2:19" x14ac:dyDescent="0.35">
      <c r="B284" s="35">
        <v>281</v>
      </c>
      <c r="C284" t="s">
        <v>890</v>
      </c>
      <c r="D284" s="7">
        <v>2016</v>
      </c>
      <c r="E284" t="s">
        <v>1554</v>
      </c>
      <c r="F284" t="s">
        <v>888</v>
      </c>
      <c r="G284" t="s">
        <v>1559</v>
      </c>
      <c r="H284" t="s">
        <v>891</v>
      </c>
      <c r="I284" s="7">
        <v>3.43</v>
      </c>
      <c r="J284" s="7">
        <v>3.5</v>
      </c>
      <c r="K284" s="7">
        <v>3.5</v>
      </c>
      <c r="L284" s="7">
        <v>3.5</v>
      </c>
      <c r="M284" s="7">
        <v>3</v>
      </c>
      <c r="N284" s="7">
        <v>2</v>
      </c>
      <c r="O284" s="7">
        <v>4.5</v>
      </c>
      <c r="P284" s="7">
        <v>4</v>
      </c>
      <c r="Q284" t="s">
        <v>172</v>
      </c>
      <c r="R284" s="7">
        <v>300</v>
      </c>
      <c r="S284" t="str">
        <f xml:space="preserve"> HYPERLINK("ReviewHtml/review_Keijo.html", "https://2danicritic.github.io/ReviewHtml/review_Keijo.html")</f>
        <v>https://2danicritic.github.io/ReviewHtml/review_Keijo.html</v>
      </c>
    </row>
    <row r="285" spans="2:19" x14ac:dyDescent="0.35">
      <c r="B285" s="35">
        <v>282</v>
      </c>
      <c r="C285" t="s">
        <v>2640</v>
      </c>
      <c r="D285" s="7">
        <v>2023</v>
      </c>
      <c r="E285" t="s">
        <v>56</v>
      </c>
      <c r="F285" t="s">
        <v>806</v>
      </c>
      <c r="G285" t="s">
        <v>1557</v>
      </c>
      <c r="H285" t="s">
        <v>2626</v>
      </c>
      <c r="I285" s="7">
        <v>3.21</v>
      </c>
      <c r="J285" s="7">
        <v>3.5</v>
      </c>
      <c r="K285" s="7">
        <v>3</v>
      </c>
      <c r="L285" s="7">
        <v>3</v>
      </c>
      <c r="M285" s="7">
        <v>3.5</v>
      </c>
      <c r="N285" s="7">
        <v>3.5</v>
      </c>
      <c r="O285" s="7">
        <v>3</v>
      </c>
      <c r="P285" s="7">
        <v>3</v>
      </c>
      <c r="Q285" t="s">
        <v>1345</v>
      </c>
      <c r="R285" s="7">
        <v>85</v>
      </c>
      <c r="S285" t="str">
        <f xml:space="preserve"> HYPERLINK("ReviewHtml/review_Kensuke's_Kingdom.html", "https://2danicritic.github.io/ReviewHtml/review_Kensuke's_Kingdom.html")</f>
        <v>https://2danicritic.github.io/ReviewHtml/review_Kensuke's_Kingdom.html</v>
      </c>
    </row>
    <row r="286" spans="2:19" x14ac:dyDescent="0.35">
      <c r="B286" s="35">
        <v>283</v>
      </c>
      <c r="C286" t="s">
        <v>892</v>
      </c>
      <c r="D286" s="7">
        <v>1989</v>
      </c>
      <c r="E286" t="s">
        <v>1554</v>
      </c>
      <c r="F286" t="s">
        <v>747</v>
      </c>
      <c r="G286" t="s">
        <v>1557</v>
      </c>
      <c r="H286" t="s">
        <v>748</v>
      </c>
      <c r="I286" s="7">
        <v>3.71</v>
      </c>
      <c r="J286" s="7">
        <v>3.5</v>
      </c>
      <c r="K286" s="7">
        <v>3.5</v>
      </c>
      <c r="L286" s="7">
        <v>3.5</v>
      </c>
      <c r="M286" s="7">
        <v>4</v>
      </c>
      <c r="N286" s="7">
        <v>3.5</v>
      </c>
      <c r="O286" s="7">
        <v>3.5</v>
      </c>
      <c r="P286" s="7">
        <v>4.5</v>
      </c>
      <c r="Q286" t="s">
        <v>173</v>
      </c>
      <c r="R286" s="7">
        <v>102</v>
      </c>
      <c r="S286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287" spans="2:19" x14ac:dyDescent="0.35">
      <c r="B287" s="35">
        <v>284</v>
      </c>
      <c r="C287" t="s">
        <v>893</v>
      </c>
      <c r="D287" s="7">
        <v>2013</v>
      </c>
      <c r="E287" t="s">
        <v>1554</v>
      </c>
      <c r="F287" t="s">
        <v>894</v>
      </c>
      <c r="G287" t="s">
        <v>1559</v>
      </c>
      <c r="H287" t="s">
        <v>895</v>
      </c>
      <c r="I287" s="7">
        <v>4.1399999999999997</v>
      </c>
      <c r="J287" s="7">
        <v>3.5</v>
      </c>
      <c r="K287" s="7">
        <v>4.5</v>
      </c>
      <c r="L287" s="7">
        <v>4</v>
      </c>
      <c r="M287" s="7">
        <v>4</v>
      </c>
      <c r="N287" s="7">
        <v>3.5</v>
      </c>
      <c r="O287" s="7">
        <v>5</v>
      </c>
      <c r="P287" s="7">
        <v>4.5</v>
      </c>
      <c r="Q287" t="s">
        <v>188</v>
      </c>
      <c r="R287" s="7">
        <v>625</v>
      </c>
      <c r="S287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288" spans="2:19" x14ac:dyDescent="0.35">
      <c r="B288" s="35">
        <v>285</v>
      </c>
      <c r="C288" t="s">
        <v>896</v>
      </c>
      <c r="D288" s="7">
        <v>2003</v>
      </c>
      <c r="E288" t="s">
        <v>1554</v>
      </c>
      <c r="F288" t="s">
        <v>897</v>
      </c>
      <c r="G288" t="s">
        <v>1559</v>
      </c>
      <c r="H288" t="s">
        <v>898</v>
      </c>
      <c r="I288" s="7">
        <v>3.43</v>
      </c>
      <c r="J288" s="7">
        <v>2.5</v>
      </c>
      <c r="K288" s="7">
        <v>2.5</v>
      </c>
      <c r="L288" s="7">
        <v>3.5</v>
      </c>
      <c r="M288" s="7">
        <v>3</v>
      </c>
      <c r="N288" s="7">
        <v>4.5</v>
      </c>
      <c r="O288" s="7">
        <v>4</v>
      </c>
      <c r="P288" s="7">
        <v>4</v>
      </c>
      <c r="Q288" t="s">
        <v>174</v>
      </c>
      <c r="R288" s="7">
        <v>325</v>
      </c>
      <c r="S288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289" spans="2:19" x14ac:dyDescent="0.35">
      <c r="B289" s="35">
        <v>286</v>
      </c>
      <c r="C289" t="s">
        <v>2030</v>
      </c>
      <c r="D289" s="7">
        <v>2017</v>
      </c>
      <c r="E289" t="s">
        <v>1554</v>
      </c>
      <c r="F289" t="s">
        <v>948</v>
      </c>
      <c r="G289" t="s">
        <v>1559</v>
      </c>
      <c r="H289" t="s">
        <v>1974</v>
      </c>
      <c r="I289" s="7">
        <v>3.5</v>
      </c>
      <c r="J289" s="7">
        <v>2.5</v>
      </c>
      <c r="K289" s="7">
        <v>3</v>
      </c>
      <c r="L289" s="7">
        <v>3.5</v>
      </c>
      <c r="M289" s="7">
        <v>3.5</v>
      </c>
      <c r="N289" s="7">
        <v>4</v>
      </c>
      <c r="O289" s="7">
        <v>4</v>
      </c>
      <c r="P289" s="7">
        <v>4</v>
      </c>
      <c r="Q289" t="s">
        <v>2006</v>
      </c>
      <c r="R289" s="7">
        <v>300</v>
      </c>
      <c r="S289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</row>
    <row r="290" spans="2:19" x14ac:dyDescent="0.35">
      <c r="B290" s="35">
        <v>287</v>
      </c>
      <c r="C290" t="s">
        <v>1799</v>
      </c>
      <c r="D290" s="7">
        <v>2016</v>
      </c>
      <c r="E290" t="s">
        <v>1554</v>
      </c>
      <c r="F290" t="s">
        <v>894</v>
      </c>
      <c r="G290" t="s">
        <v>1559</v>
      </c>
      <c r="H290" t="s">
        <v>1800</v>
      </c>
      <c r="I290" s="7">
        <v>3.21</v>
      </c>
      <c r="J290" s="7">
        <v>3.5</v>
      </c>
      <c r="K290" s="7">
        <v>4</v>
      </c>
      <c r="L290" s="7">
        <v>3.5</v>
      </c>
      <c r="M290" s="7">
        <v>2.5</v>
      </c>
      <c r="N290" s="7">
        <v>2.5</v>
      </c>
      <c r="O290" s="7">
        <v>3.5</v>
      </c>
      <c r="P290" s="7">
        <v>3</v>
      </c>
      <c r="Q290" t="s">
        <v>1766</v>
      </c>
      <c r="R290" s="7">
        <v>300</v>
      </c>
      <c r="S290" t="str">
        <f xml:space="preserve"> HYPERLINK("ReviewHtml/review_Kiznaiver.html", "https://2danicritic.github.io/ReviewHtml/review_Kiznaiver.html")</f>
        <v>https://2danicritic.github.io/ReviewHtml/review_Kiznaiver.html</v>
      </c>
    </row>
    <row r="291" spans="2:19" x14ac:dyDescent="0.35">
      <c r="B291" s="35">
        <v>288</v>
      </c>
      <c r="C291" t="s">
        <v>899</v>
      </c>
      <c r="D291" s="7">
        <v>2016</v>
      </c>
      <c r="E291" t="s">
        <v>1554</v>
      </c>
      <c r="F291" t="s">
        <v>689</v>
      </c>
      <c r="G291" t="s">
        <v>1557</v>
      </c>
      <c r="H291" t="s">
        <v>73</v>
      </c>
      <c r="I291" s="7">
        <v>4.57</v>
      </c>
      <c r="J291" s="7">
        <v>5</v>
      </c>
      <c r="K291" s="7">
        <v>4.5</v>
      </c>
      <c r="L291" s="7">
        <v>4.5</v>
      </c>
      <c r="M291" s="7">
        <v>4</v>
      </c>
      <c r="N291" s="7">
        <v>4</v>
      </c>
      <c r="O291" s="7">
        <v>5</v>
      </c>
      <c r="P291" s="7">
        <v>5</v>
      </c>
      <c r="Q291" t="s">
        <v>175</v>
      </c>
      <c r="R291" s="7">
        <v>216</v>
      </c>
      <c r="S291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292" spans="2:19" x14ac:dyDescent="0.35">
      <c r="B292" s="35">
        <v>289</v>
      </c>
      <c r="C292" t="s">
        <v>1585</v>
      </c>
      <c r="D292" s="7">
        <v>2019</v>
      </c>
      <c r="E292" t="s">
        <v>1566</v>
      </c>
      <c r="F292" t="s">
        <v>1586</v>
      </c>
      <c r="G292" t="s">
        <v>1557</v>
      </c>
      <c r="H292" t="s">
        <v>1587</v>
      </c>
      <c r="I292" s="7">
        <v>3.71</v>
      </c>
      <c r="J292" s="7">
        <v>4</v>
      </c>
      <c r="K292" s="7">
        <v>4</v>
      </c>
      <c r="L292" s="7">
        <v>3.5</v>
      </c>
      <c r="M292" s="7">
        <v>3.5</v>
      </c>
      <c r="N292" s="7">
        <v>3.5</v>
      </c>
      <c r="O292" s="7">
        <v>4</v>
      </c>
      <c r="P292" s="7">
        <v>3.5</v>
      </c>
      <c r="Q292" t="s">
        <v>1536</v>
      </c>
      <c r="R292" s="7">
        <v>96</v>
      </c>
      <c r="S292" t="str">
        <f xml:space="preserve"> HYPERLINK("ReviewHtml/review_Klaus.html", "https://2danicritic.github.io/ReviewHtml/review_Klaus.html")</f>
        <v>https://2danicritic.github.io/ReviewHtml/review_Klaus.html</v>
      </c>
    </row>
    <row r="293" spans="2:19" x14ac:dyDescent="0.35">
      <c r="B293" s="35">
        <v>290</v>
      </c>
      <c r="C293" t="s">
        <v>900</v>
      </c>
      <c r="D293" s="7">
        <v>2012</v>
      </c>
      <c r="E293" t="s">
        <v>1554</v>
      </c>
      <c r="F293" t="s">
        <v>798</v>
      </c>
      <c r="G293" t="s">
        <v>1559</v>
      </c>
      <c r="H293" t="s">
        <v>176</v>
      </c>
      <c r="I293" s="7">
        <v>3.29</v>
      </c>
      <c r="J293" s="7">
        <v>2.5</v>
      </c>
      <c r="K293" s="7">
        <v>3</v>
      </c>
      <c r="L293" s="7">
        <v>3</v>
      </c>
      <c r="M293" s="7">
        <v>3</v>
      </c>
      <c r="N293" s="7">
        <v>4</v>
      </c>
      <c r="O293" s="7">
        <v>3.5</v>
      </c>
      <c r="P293" s="7">
        <v>4</v>
      </c>
      <c r="Q293" t="s">
        <v>177</v>
      </c>
      <c r="R293" s="7">
        <v>425</v>
      </c>
      <c r="S293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294" spans="2:19" x14ac:dyDescent="0.35">
      <c r="B294" s="35">
        <v>291</v>
      </c>
      <c r="C294" t="s">
        <v>1801</v>
      </c>
      <c r="D294" s="7">
        <v>2016</v>
      </c>
      <c r="E294" t="s">
        <v>1554</v>
      </c>
      <c r="F294" t="s">
        <v>811</v>
      </c>
      <c r="G294" t="s">
        <v>1559</v>
      </c>
      <c r="H294" t="s">
        <v>1802</v>
      </c>
      <c r="I294" s="7">
        <v>3.36</v>
      </c>
      <c r="J294" s="7">
        <v>3</v>
      </c>
      <c r="K294" s="7">
        <v>3</v>
      </c>
      <c r="L294" s="7">
        <v>3.5</v>
      </c>
      <c r="M294" s="7">
        <v>3.5</v>
      </c>
      <c r="N294" s="7">
        <v>3</v>
      </c>
      <c r="O294" s="7">
        <v>4</v>
      </c>
      <c r="P294" s="7">
        <v>3.5</v>
      </c>
      <c r="Q294" t="s">
        <v>1767</v>
      </c>
      <c r="R294" s="7">
        <v>275</v>
      </c>
      <c r="S294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</row>
    <row r="295" spans="2:19" x14ac:dyDescent="0.35">
      <c r="B295" s="35">
        <v>292</v>
      </c>
      <c r="C295" t="s">
        <v>1803</v>
      </c>
      <c r="D295" s="7">
        <v>2016</v>
      </c>
      <c r="E295" t="s">
        <v>1554</v>
      </c>
      <c r="F295" t="s">
        <v>1594</v>
      </c>
      <c r="G295" t="s">
        <v>1559</v>
      </c>
      <c r="H295" t="s">
        <v>1804</v>
      </c>
      <c r="I295" s="7">
        <v>3.21</v>
      </c>
      <c r="J295" s="7">
        <v>3</v>
      </c>
      <c r="K295" s="7">
        <v>3.5</v>
      </c>
      <c r="L295" s="7">
        <v>3.5</v>
      </c>
      <c r="M295" s="7">
        <v>3.5</v>
      </c>
      <c r="N295" s="7">
        <v>2.5</v>
      </c>
      <c r="O295" s="7">
        <v>3.5</v>
      </c>
      <c r="P295" s="7">
        <v>3</v>
      </c>
      <c r="Q295" t="s">
        <v>144</v>
      </c>
      <c r="R295" s="7">
        <v>330</v>
      </c>
      <c r="S295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</row>
    <row r="296" spans="2:19" x14ac:dyDescent="0.35">
      <c r="B296" s="35">
        <v>293</v>
      </c>
      <c r="C296" t="s">
        <v>2507</v>
      </c>
      <c r="D296" s="7">
        <v>2023</v>
      </c>
      <c r="E296" t="s">
        <v>1554</v>
      </c>
      <c r="F296" t="s">
        <v>2529</v>
      </c>
      <c r="G296" t="s">
        <v>1557</v>
      </c>
      <c r="H296" t="s">
        <v>2486</v>
      </c>
      <c r="I296" s="7">
        <v>3.14</v>
      </c>
      <c r="J296" s="7">
        <v>2.5</v>
      </c>
      <c r="K296" s="7">
        <v>3.5</v>
      </c>
      <c r="L296" s="7">
        <v>3.5</v>
      </c>
      <c r="M296" s="7">
        <v>3.5</v>
      </c>
      <c r="N296" s="7">
        <v>3</v>
      </c>
      <c r="O296" s="7">
        <v>3</v>
      </c>
      <c r="P296" s="7">
        <v>3</v>
      </c>
      <c r="Q296" t="s">
        <v>241</v>
      </c>
      <c r="R296" s="7">
        <v>62</v>
      </c>
      <c r="S296" t="str">
        <f xml:space="preserve"> HYPERLINK("ReviewHtml/review_Kurayukaba.html", "https://2danicritic.github.io/ReviewHtml/review_Kurayukaba.html")</f>
        <v>https://2danicritic.github.io/ReviewHtml/review_Kurayukaba.html</v>
      </c>
    </row>
    <row r="297" spans="2:19" x14ac:dyDescent="0.35">
      <c r="B297" s="35">
        <v>294</v>
      </c>
      <c r="C297" t="s">
        <v>901</v>
      </c>
      <c r="D297" s="7">
        <v>2013</v>
      </c>
      <c r="E297" t="s">
        <v>1554</v>
      </c>
      <c r="F297" t="s">
        <v>681</v>
      </c>
      <c r="G297" t="s">
        <v>1559</v>
      </c>
      <c r="H297" t="s">
        <v>735</v>
      </c>
      <c r="I297" s="7">
        <v>4.71</v>
      </c>
      <c r="J297" s="7">
        <v>4.5</v>
      </c>
      <c r="K297" s="7">
        <v>5</v>
      </c>
      <c r="L297" s="7">
        <v>4</v>
      </c>
      <c r="M297" s="7">
        <v>5</v>
      </c>
      <c r="N297" s="7">
        <v>4.5</v>
      </c>
      <c r="O297" s="7">
        <v>5</v>
      </c>
      <c r="P297" s="7">
        <v>5</v>
      </c>
      <c r="Q297" t="s">
        <v>178</v>
      </c>
      <c r="R297" s="7">
        <v>325</v>
      </c>
      <c r="S297" t="str">
        <f xml:space="preserve"> HYPERLINK("ReviewHtml/review_Kyousougiga.html", "https://2danicritic.github.io/ReviewHtml/review_Kyousougiga.html")</f>
        <v>https://2danicritic.github.io/ReviewHtml/review_Kyousougiga.html</v>
      </c>
    </row>
    <row r="298" spans="2:19" x14ac:dyDescent="0.35">
      <c r="B298" s="35">
        <v>295</v>
      </c>
      <c r="C298" t="s">
        <v>2285</v>
      </c>
      <c r="D298" s="7">
        <v>1955</v>
      </c>
      <c r="E298" t="s">
        <v>1556</v>
      </c>
      <c r="F298" t="s">
        <v>2260</v>
      </c>
      <c r="G298" t="s">
        <v>1557</v>
      </c>
      <c r="H298" t="s">
        <v>2203</v>
      </c>
      <c r="I298" s="7">
        <v>3.43</v>
      </c>
      <c r="J298" s="7">
        <v>3.5</v>
      </c>
      <c r="K298" s="7">
        <v>4.5</v>
      </c>
      <c r="L298" s="7">
        <v>3.5</v>
      </c>
      <c r="M298" s="7">
        <v>4</v>
      </c>
      <c r="N298" s="7">
        <v>3</v>
      </c>
      <c r="O298" s="7">
        <v>2.5</v>
      </c>
      <c r="P298" s="7">
        <v>3</v>
      </c>
      <c r="Q298" t="s">
        <v>2221</v>
      </c>
      <c r="R298" s="7">
        <v>76</v>
      </c>
      <c r="S298" t="str">
        <f xml:space="preserve"> HYPERLINK("ReviewHtml/review_Lady_and_the_Tramp.html", "https://2danicritic.github.io/ReviewHtml/review_Lady_and_the_Tramp.html")</f>
        <v>https://2danicritic.github.io/ReviewHtml/review_Lady_and_the_Tramp.html</v>
      </c>
    </row>
    <row r="299" spans="2:19" x14ac:dyDescent="0.35">
      <c r="B299" s="35">
        <v>296</v>
      </c>
      <c r="C299" t="s">
        <v>2167</v>
      </c>
      <c r="D299" s="7">
        <v>2019</v>
      </c>
      <c r="E299" t="s">
        <v>1554</v>
      </c>
      <c r="F299" t="s">
        <v>2168</v>
      </c>
      <c r="G299" t="s">
        <v>1557</v>
      </c>
      <c r="H299" t="s">
        <v>2169</v>
      </c>
      <c r="I299" s="7">
        <v>2.64</v>
      </c>
      <c r="J299" s="7">
        <v>2.5</v>
      </c>
      <c r="K299" s="7">
        <v>2.5</v>
      </c>
      <c r="L299" s="7">
        <v>3.5</v>
      </c>
      <c r="M299" s="7">
        <v>3</v>
      </c>
      <c r="N299" s="7">
        <v>2.5</v>
      </c>
      <c r="O299" s="7">
        <v>2.5</v>
      </c>
      <c r="P299" s="7">
        <v>2</v>
      </c>
      <c r="Q299" t="s">
        <v>1354</v>
      </c>
      <c r="R299" s="7">
        <v>60</v>
      </c>
      <c r="S299" t="str">
        <f xml:space="preserve"> HYPERLINK("ReviewHtml/review_Laidbackers.html", "https://2danicritic.github.io/ReviewHtml/review_Laidbackers.html")</f>
        <v>https://2danicritic.github.io/ReviewHtml/review_Laidbackers.html</v>
      </c>
    </row>
    <row r="300" spans="2:19" x14ac:dyDescent="0.35">
      <c r="B300" s="35">
        <v>297</v>
      </c>
      <c r="C300" t="s">
        <v>1325</v>
      </c>
      <c r="D300" s="7">
        <v>2003</v>
      </c>
      <c r="E300" t="s">
        <v>1554</v>
      </c>
      <c r="F300" t="s">
        <v>664</v>
      </c>
      <c r="G300" t="s">
        <v>1559</v>
      </c>
      <c r="H300" t="s">
        <v>1441</v>
      </c>
      <c r="I300" s="7">
        <v>2.93</v>
      </c>
      <c r="J300" s="7">
        <v>3.5</v>
      </c>
      <c r="K300" s="7">
        <v>3.5</v>
      </c>
      <c r="L300" s="7">
        <v>3.5</v>
      </c>
      <c r="M300" s="7">
        <v>3</v>
      </c>
      <c r="N300" s="7">
        <v>2.5</v>
      </c>
      <c r="O300" s="7">
        <v>2</v>
      </c>
      <c r="P300" s="7">
        <v>2.5</v>
      </c>
      <c r="Q300" t="s">
        <v>1316</v>
      </c>
      <c r="R300" s="7">
        <v>625</v>
      </c>
      <c r="S300" t="str">
        <f xml:space="preserve"> HYPERLINK("ReviewHtml/review_Last_Exile.html", "https://2danicritic.github.io/ReviewHtml/review_Last_Exile.html")</f>
        <v>https://2danicritic.github.io/ReviewHtml/review_Last_Exile.html</v>
      </c>
    </row>
    <row r="301" spans="2:19" x14ac:dyDescent="0.35">
      <c r="B301" s="35">
        <v>298</v>
      </c>
      <c r="C301" t="s">
        <v>1805</v>
      </c>
      <c r="D301" s="7">
        <v>2019</v>
      </c>
      <c r="E301" t="s">
        <v>1806</v>
      </c>
      <c r="F301" t="s">
        <v>1807</v>
      </c>
      <c r="G301" t="s">
        <v>1557</v>
      </c>
      <c r="H301" t="s">
        <v>1808</v>
      </c>
      <c r="I301" s="7">
        <v>1.64</v>
      </c>
      <c r="J301" s="7">
        <v>1.5</v>
      </c>
      <c r="K301" s="7">
        <v>1.5</v>
      </c>
      <c r="L301" s="7">
        <v>1.5</v>
      </c>
      <c r="M301" s="7">
        <v>1.5</v>
      </c>
      <c r="N301" s="7">
        <v>2</v>
      </c>
      <c r="O301" s="7">
        <v>2</v>
      </c>
      <c r="P301" s="7">
        <v>1.5</v>
      </c>
      <c r="Q301" t="s">
        <v>1768</v>
      </c>
      <c r="R301" s="7">
        <v>67</v>
      </c>
      <c r="S301" t="str">
        <f xml:space="preserve"> HYPERLINK("ReviewHtml/review_LAVA.html", "https://2danicritic.github.io/ReviewHtml/review_LAVA.html")</f>
        <v>https://2danicritic.github.io/ReviewHtml/review_LAVA.html</v>
      </c>
    </row>
    <row r="302" spans="2:19" x14ac:dyDescent="0.35">
      <c r="B302" s="35">
        <v>299</v>
      </c>
      <c r="C302" t="s">
        <v>1588</v>
      </c>
      <c r="D302" s="7">
        <v>1990</v>
      </c>
      <c r="E302" t="s">
        <v>1554</v>
      </c>
      <c r="F302" t="s">
        <v>1104</v>
      </c>
      <c r="G302" t="s">
        <v>1557</v>
      </c>
      <c r="H302" t="s">
        <v>1589</v>
      </c>
      <c r="I302" s="7">
        <v>3.43</v>
      </c>
      <c r="J302" s="7">
        <v>3.5</v>
      </c>
      <c r="K302" s="7">
        <v>3</v>
      </c>
      <c r="L302" s="7">
        <v>3.5</v>
      </c>
      <c r="M302" s="7">
        <v>3.5</v>
      </c>
      <c r="N302" s="7">
        <v>3.5</v>
      </c>
      <c r="O302" s="7">
        <v>3.5</v>
      </c>
      <c r="P302" s="7">
        <v>3.5</v>
      </c>
      <c r="Q302" t="s">
        <v>1537</v>
      </c>
      <c r="R302" s="7">
        <v>80</v>
      </c>
      <c r="S302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</row>
    <row r="303" spans="2:19" x14ac:dyDescent="0.35">
      <c r="B303" s="35">
        <v>300</v>
      </c>
      <c r="C303" t="s">
        <v>2286</v>
      </c>
      <c r="D303" s="7">
        <v>2002</v>
      </c>
      <c r="E303" t="s">
        <v>1556</v>
      </c>
      <c r="F303" t="s">
        <v>2260</v>
      </c>
      <c r="G303" t="s">
        <v>1557</v>
      </c>
      <c r="H303" t="s">
        <v>2222</v>
      </c>
      <c r="I303" s="7">
        <v>3.71</v>
      </c>
      <c r="J303" s="7">
        <v>3.5</v>
      </c>
      <c r="K303" s="7">
        <v>3.5</v>
      </c>
      <c r="L303" s="7">
        <v>4</v>
      </c>
      <c r="M303" s="7">
        <v>4</v>
      </c>
      <c r="N303" s="7">
        <v>4</v>
      </c>
      <c r="O303" s="7">
        <v>4</v>
      </c>
      <c r="P303" s="7">
        <v>3</v>
      </c>
      <c r="Q303" t="s">
        <v>2223</v>
      </c>
      <c r="R303" s="7">
        <v>85</v>
      </c>
      <c r="S303" t="str">
        <f xml:space="preserve"> HYPERLINK("ReviewHtml/review_Lilo_&amp;_Stitch.html", "https://2danicritic.github.io/ReviewHtml/review_Lilo_&amp;_Stitch.html")</f>
        <v>https://2danicritic.github.io/ReviewHtml/review_Lilo_&amp;_Stitch.html</v>
      </c>
    </row>
    <row r="304" spans="2:19" x14ac:dyDescent="0.35">
      <c r="B304" s="35">
        <v>301</v>
      </c>
      <c r="C304" t="s">
        <v>2170</v>
      </c>
      <c r="D304" s="7">
        <v>2020</v>
      </c>
      <c r="E304" t="s">
        <v>1558</v>
      </c>
      <c r="F304" t="s">
        <v>2171</v>
      </c>
      <c r="G304" t="s">
        <v>1557</v>
      </c>
      <c r="H304" t="s">
        <v>2172</v>
      </c>
      <c r="I304" s="7">
        <v>3.14</v>
      </c>
      <c r="J304" s="7">
        <v>3</v>
      </c>
      <c r="K304" s="7">
        <v>3.5</v>
      </c>
      <c r="L304" s="7">
        <v>3.5</v>
      </c>
      <c r="M304" s="7">
        <v>2.5</v>
      </c>
      <c r="N304" s="7">
        <v>3</v>
      </c>
      <c r="O304" s="7">
        <v>3.5</v>
      </c>
      <c r="P304" s="7">
        <v>3</v>
      </c>
      <c r="Q304" t="s">
        <v>1536</v>
      </c>
      <c r="R304" s="7">
        <v>82</v>
      </c>
      <c r="S304" t="str">
        <f xml:space="preserve"> HYPERLINK("ReviewHtml/review_Little_Vampire.html", "https://2danicritic.github.io/ReviewHtml/review_Little_Vampire.html")</f>
        <v>https://2danicritic.github.io/ReviewHtml/review_Little_Vampire.html</v>
      </c>
    </row>
    <row r="305" spans="2:19" x14ac:dyDescent="0.35">
      <c r="B305" s="35">
        <v>302</v>
      </c>
      <c r="C305" t="s">
        <v>902</v>
      </c>
      <c r="D305" s="7">
        <v>2018</v>
      </c>
      <c r="E305" t="s">
        <v>1554</v>
      </c>
      <c r="F305" t="s">
        <v>658</v>
      </c>
      <c r="G305" t="s">
        <v>1557</v>
      </c>
      <c r="H305" t="s">
        <v>659</v>
      </c>
      <c r="I305" s="7">
        <v>3.64</v>
      </c>
      <c r="J305" s="7">
        <v>3.5</v>
      </c>
      <c r="K305" s="7">
        <v>4</v>
      </c>
      <c r="L305" s="7">
        <v>4</v>
      </c>
      <c r="M305" s="7">
        <v>4</v>
      </c>
      <c r="N305" s="7">
        <v>3.5</v>
      </c>
      <c r="O305" s="7">
        <v>3</v>
      </c>
      <c r="P305" s="7">
        <v>3.5</v>
      </c>
      <c r="Q305" t="s">
        <v>136</v>
      </c>
      <c r="R305" s="7">
        <v>90</v>
      </c>
      <c r="S305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306" spans="2:19" x14ac:dyDescent="0.35">
      <c r="B306" s="35">
        <v>303</v>
      </c>
      <c r="C306" t="s">
        <v>2508</v>
      </c>
      <c r="D306" s="7">
        <v>2022</v>
      </c>
      <c r="E306" t="s">
        <v>1554</v>
      </c>
      <c r="F306" t="s">
        <v>715</v>
      </c>
      <c r="G306" t="s">
        <v>1557</v>
      </c>
      <c r="H306" t="s">
        <v>767</v>
      </c>
      <c r="I306" s="7">
        <v>2.93</v>
      </c>
      <c r="J306" s="7">
        <v>2.5</v>
      </c>
      <c r="K306" s="7">
        <v>3</v>
      </c>
      <c r="L306" s="7">
        <v>3</v>
      </c>
      <c r="M306" s="7">
        <v>2.5</v>
      </c>
      <c r="N306" s="7">
        <v>3.5</v>
      </c>
      <c r="O306" s="7">
        <v>3</v>
      </c>
      <c r="P306" s="7">
        <v>3</v>
      </c>
      <c r="Q306" t="s">
        <v>2487</v>
      </c>
      <c r="R306" s="7">
        <v>116</v>
      </c>
      <c r="S306" t="str">
        <f xml:space="preserve"> HYPERLINK("ReviewHtml/review_Lonely_Castle_in_the_Mirror.html", "https://2danicritic.github.io/ReviewHtml/review_Lonely_Castle_in_the_Mirror.html")</f>
        <v>https://2danicritic.github.io/ReviewHtml/review_Lonely_Castle_in_the_Mirror.html</v>
      </c>
    </row>
    <row r="307" spans="2:19" x14ac:dyDescent="0.35">
      <c r="B307" s="35">
        <v>304</v>
      </c>
      <c r="C307" t="s">
        <v>1388</v>
      </c>
      <c r="D307" s="7">
        <v>2015</v>
      </c>
      <c r="E307" t="s">
        <v>1558</v>
      </c>
      <c r="F307" t="s">
        <v>1427</v>
      </c>
      <c r="G307" t="s">
        <v>1557</v>
      </c>
      <c r="H307" t="s">
        <v>1446</v>
      </c>
      <c r="I307" s="7">
        <v>3.79</v>
      </c>
      <c r="J307" s="7">
        <v>3.5</v>
      </c>
      <c r="K307" s="7">
        <v>4</v>
      </c>
      <c r="L307" s="7">
        <v>3.5</v>
      </c>
      <c r="M307" s="7">
        <v>3.5</v>
      </c>
      <c r="N307" s="7">
        <v>4</v>
      </c>
      <c r="O307" s="7">
        <v>3.5</v>
      </c>
      <c r="P307" s="7">
        <v>4.5</v>
      </c>
      <c r="Q307" t="s">
        <v>1317</v>
      </c>
      <c r="R307" s="7">
        <v>80</v>
      </c>
      <c r="S307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308" spans="2:19" x14ac:dyDescent="0.35">
      <c r="B308" s="35">
        <v>305</v>
      </c>
      <c r="C308" t="s">
        <v>2641</v>
      </c>
      <c r="D308" s="7">
        <v>2024</v>
      </c>
      <c r="E308" t="s">
        <v>1554</v>
      </c>
      <c r="F308" t="s">
        <v>2642</v>
      </c>
      <c r="G308" t="s">
        <v>1557</v>
      </c>
      <c r="H308" t="s">
        <v>822</v>
      </c>
      <c r="I308" s="7">
        <v>3.93</v>
      </c>
      <c r="J308" s="7">
        <v>4</v>
      </c>
      <c r="K308" s="7">
        <v>3.5</v>
      </c>
      <c r="L308" s="7">
        <v>3.5</v>
      </c>
      <c r="M308" s="7">
        <v>4</v>
      </c>
      <c r="N308" s="7">
        <v>4.5</v>
      </c>
      <c r="O308" s="7">
        <v>3.5</v>
      </c>
      <c r="P308" s="7">
        <v>4.5</v>
      </c>
      <c r="Q308" t="s">
        <v>246</v>
      </c>
      <c r="R308" s="7">
        <v>58</v>
      </c>
      <c r="S308" t="str">
        <f xml:space="preserve"> HYPERLINK("ReviewHtml/review_Look_Back.html", "https://2danicritic.github.io/ReviewHtml/review_Look_Back.html")</f>
        <v>https://2danicritic.github.io/ReviewHtml/review_Look_Back.html</v>
      </c>
    </row>
    <row r="309" spans="2:19" x14ac:dyDescent="0.35">
      <c r="B309" s="35">
        <v>306</v>
      </c>
      <c r="C309" t="s">
        <v>1963</v>
      </c>
      <c r="D309" s="7">
        <v>2019</v>
      </c>
      <c r="E309" t="s">
        <v>1554</v>
      </c>
      <c r="F309" t="s">
        <v>1782</v>
      </c>
      <c r="G309" t="s">
        <v>1559</v>
      </c>
      <c r="H309" t="s">
        <v>1783</v>
      </c>
      <c r="I309" s="7">
        <v>3.14</v>
      </c>
      <c r="J309" s="7">
        <v>3</v>
      </c>
      <c r="K309" s="7">
        <v>4</v>
      </c>
      <c r="L309" s="7">
        <v>3.5</v>
      </c>
      <c r="M309" s="7">
        <v>3.5</v>
      </c>
      <c r="N309" s="7">
        <v>2.5</v>
      </c>
      <c r="O309" s="7">
        <v>3</v>
      </c>
      <c r="P309" s="7">
        <v>2.5</v>
      </c>
      <c r="Q309" t="s">
        <v>1948</v>
      </c>
      <c r="R309" s="7">
        <v>350</v>
      </c>
      <c r="S309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</row>
    <row r="310" spans="2:19" x14ac:dyDescent="0.35">
      <c r="B310" s="35">
        <v>307</v>
      </c>
      <c r="C310" t="s">
        <v>903</v>
      </c>
      <c r="D310" s="7">
        <v>2016</v>
      </c>
      <c r="E310" t="s">
        <v>1558</v>
      </c>
      <c r="F310" t="s">
        <v>904</v>
      </c>
      <c r="G310" t="s">
        <v>1557</v>
      </c>
      <c r="H310" t="s">
        <v>179</v>
      </c>
      <c r="I310" s="7">
        <v>3.14</v>
      </c>
      <c r="J310" s="7">
        <v>3</v>
      </c>
      <c r="K310" s="7">
        <v>3.5</v>
      </c>
      <c r="L310" s="7">
        <v>4</v>
      </c>
      <c r="M310" s="7">
        <v>2.5</v>
      </c>
      <c r="N310" s="7">
        <v>3.5</v>
      </c>
      <c r="O310" s="7">
        <v>2.5</v>
      </c>
      <c r="P310" s="7">
        <v>3</v>
      </c>
      <c r="Q310" t="s">
        <v>180</v>
      </c>
      <c r="R310" s="7">
        <v>75</v>
      </c>
      <c r="S310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311" spans="2:19" x14ac:dyDescent="0.35">
      <c r="B311" s="35">
        <v>308</v>
      </c>
      <c r="C311" t="s">
        <v>905</v>
      </c>
      <c r="D311" s="7">
        <v>2010</v>
      </c>
      <c r="E311" t="s">
        <v>1554</v>
      </c>
      <c r="F311" t="s">
        <v>906</v>
      </c>
      <c r="G311" t="s">
        <v>1557</v>
      </c>
      <c r="H311" t="s">
        <v>907</v>
      </c>
      <c r="I311" s="7">
        <v>2.4300000000000002</v>
      </c>
      <c r="J311" s="7">
        <v>2.5</v>
      </c>
      <c r="K311" s="7">
        <v>3</v>
      </c>
      <c r="L311" s="7">
        <v>2.5</v>
      </c>
      <c r="M311" s="7">
        <v>2</v>
      </c>
      <c r="N311" s="7">
        <v>2</v>
      </c>
      <c r="O311" s="7">
        <v>3</v>
      </c>
      <c r="P311" s="7">
        <v>2</v>
      </c>
      <c r="Q311" t="s">
        <v>139</v>
      </c>
      <c r="R311" s="7">
        <v>99</v>
      </c>
      <c r="S311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312" spans="2:19" x14ac:dyDescent="0.35">
      <c r="B312" s="35">
        <v>309</v>
      </c>
      <c r="C312" t="s">
        <v>908</v>
      </c>
      <c r="D312" s="7">
        <v>2012</v>
      </c>
      <c r="E312" t="s">
        <v>1554</v>
      </c>
      <c r="F312" t="s">
        <v>658</v>
      </c>
      <c r="G312" t="s">
        <v>1559</v>
      </c>
      <c r="H312" t="s">
        <v>909</v>
      </c>
      <c r="I312" s="7">
        <v>2.71</v>
      </c>
      <c r="J312" s="7">
        <v>4</v>
      </c>
      <c r="K312" s="7">
        <v>3</v>
      </c>
      <c r="L312" s="7">
        <v>3</v>
      </c>
      <c r="M312" s="7">
        <v>2.5</v>
      </c>
      <c r="N312" s="7">
        <v>2.5</v>
      </c>
      <c r="O312" s="7">
        <v>2</v>
      </c>
      <c r="P312" s="7">
        <v>2</v>
      </c>
      <c r="Q312" t="s">
        <v>181</v>
      </c>
      <c r="R312" s="7">
        <v>325</v>
      </c>
      <c r="S312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313" spans="2:19" x14ac:dyDescent="0.35">
      <c r="B313" s="35">
        <v>310</v>
      </c>
      <c r="C313" t="s">
        <v>910</v>
      </c>
      <c r="D313" s="7">
        <v>2017</v>
      </c>
      <c r="E313" t="s">
        <v>1590</v>
      </c>
      <c r="F313" t="s">
        <v>911</v>
      </c>
      <c r="G313" t="s">
        <v>1557</v>
      </c>
      <c r="H313" t="s">
        <v>182</v>
      </c>
      <c r="I313" s="7">
        <v>4.07</v>
      </c>
      <c r="J313" s="7">
        <v>4</v>
      </c>
      <c r="K313" s="7">
        <v>4.5</v>
      </c>
      <c r="L313" s="7">
        <v>4</v>
      </c>
      <c r="M313" s="7">
        <v>4.5</v>
      </c>
      <c r="N313" s="7">
        <v>3.5</v>
      </c>
      <c r="O313" s="7">
        <v>3</v>
      </c>
      <c r="P313" s="7">
        <v>5</v>
      </c>
      <c r="Q313" t="s">
        <v>183</v>
      </c>
      <c r="R313" s="7">
        <v>95</v>
      </c>
      <c r="S313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314" spans="2:19" x14ac:dyDescent="0.35">
      <c r="B314" s="35">
        <v>311</v>
      </c>
      <c r="C314" t="s">
        <v>912</v>
      </c>
      <c r="D314" s="7">
        <v>2017</v>
      </c>
      <c r="E314" t="s">
        <v>1554</v>
      </c>
      <c r="F314" t="s">
        <v>787</v>
      </c>
      <c r="G314" t="s">
        <v>1557</v>
      </c>
      <c r="H314" t="s">
        <v>788</v>
      </c>
      <c r="I314" s="7">
        <v>4.29</v>
      </c>
      <c r="J314" s="7">
        <v>4</v>
      </c>
      <c r="K314" s="7">
        <v>4</v>
      </c>
      <c r="L314" s="7">
        <v>5</v>
      </c>
      <c r="M314" s="7">
        <v>3.5</v>
      </c>
      <c r="N314" s="7">
        <v>4</v>
      </c>
      <c r="O314" s="7">
        <v>4.5</v>
      </c>
      <c r="P314" s="7">
        <v>5</v>
      </c>
      <c r="Q314" t="s">
        <v>184</v>
      </c>
      <c r="R314" s="7">
        <v>112</v>
      </c>
      <c r="S314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315" spans="2:19" x14ac:dyDescent="0.35">
      <c r="B315" s="35">
        <v>312</v>
      </c>
      <c r="C315" t="s">
        <v>913</v>
      </c>
      <c r="D315" s="7">
        <v>2003</v>
      </c>
      <c r="E315" t="s">
        <v>1554</v>
      </c>
      <c r="F315" t="s">
        <v>670</v>
      </c>
      <c r="G315" t="s">
        <v>1559</v>
      </c>
      <c r="H315" t="s">
        <v>855</v>
      </c>
      <c r="I315" s="7">
        <v>1.93</v>
      </c>
      <c r="J315" s="7">
        <v>1.5</v>
      </c>
      <c r="K315" s="7">
        <v>2</v>
      </c>
      <c r="L315" s="7">
        <v>3</v>
      </c>
      <c r="M315" s="7">
        <v>2</v>
      </c>
      <c r="N315" s="7">
        <v>1.5</v>
      </c>
      <c r="O315" s="7">
        <v>1.5</v>
      </c>
      <c r="P315" s="7">
        <v>2</v>
      </c>
      <c r="Q315" t="s">
        <v>78</v>
      </c>
      <c r="R315" s="7">
        <v>300</v>
      </c>
      <c r="S315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316" spans="2:19" x14ac:dyDescent="0.35">
      <c r="B316" s="35">
        <v>313</v>
      </c>
      <c r="C316" t="s">
        <v>1389</v>
      </c>
      <c r="D316" s="7">
        <v>2011</v>
      </c>
      <c r="E316" t="s">
        <v>1554</v>
      </c>
      <c r="F316" t="s">
        <v>915</v>
      </c>
      <c r="G316" t="s">
        <v>1557</v>
      </c>
      <c r="H316" t="s">
        <v>1447</v>
      </c>
      <c r="I316" s="7">
        <v>3.21</v>
      </c>
      <c r="J316" s="7">
        <v>4</v>
      </c>
      <c r="K316" s="7">
        <v>3</v>
      </c>
      <c r="L316" s="7">
        <v>3</v>
      </c>
      <c r="M316" s="7">
        <v>3</v>
      </c>
      <c r="N316" s="7">
        <v>3</v>
      </c>
      <c r="O316" s="7">
        <v>3.5</v>
      </c>
      <c r="P316" s="7">
        <v>3</v>
      </c>
      <c r="Q316" t="s">
        <v>1342</v>
      </c>
      <c r="R316" s="7">
        <v>90</v>
      </c>
      <c r="S316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317" spans="2:19" x14ac:dyDescent="0.35">
      <c r="B317" s="35">
        <v>314</v>
      </c>
      <c r="C317" t="s">
        <v>2287</v>
      </c>
      <c r="D317" s="7">
        <v>1989</v>
      </c>
      <c r="E317" t="s">
        <v>1554</v>
      </c>
      <c r="F317" t="s">
        <v>915</v>
      </c>
      <c r="G317" t="s">
        <v>1557</v>
      </c>
      <c r="H317" t="s">
        <v>2288</v>
      </c>
      <c r="I317" s="7">
        <v>2.93</v>
      </c>
      <c r="J317" s="7">
        <v>2.5</v>
      </c>
      <c r="K317" s="7">
        <v>2.5</v>
      </c>
      <c r="L317" s="7">
        <v>3</v>
      </c>
      <c r="M317" s="7">
        <v>3.5</v>
      </c>
      <c r="N317" s="7">
        <v>3</v>
      </c>
      <c r="O317" s="7">
        <v>3</v>
      </c>
      <c r="P317" s="7">
        <v>3</v>
      </c>
      <c r="Q317" t="s">
        <v>2224</v>
      </c>
      <c r="R317" s="7">
        <v>97</v>
      </c>
      <c r="S317" t="str">
        <f xml:space="preserve"> HYPERLINK("ReviewHtml/review_Lupin_the_Third_-_Bye_Bye,_Lady_Liberty.html", "https://2danicritic.github.io/ReviewHtml/review_Lupin_the_Third_-_Bye_Bye,_Lady_Liberty.html")</f>
        <v>https://2danicritic.github.io/ReviewHtml/review_Lupin_the_Third_-_Bye_Bye,_Lady_Liberty.html</v>
      </c>
    </row>
    <row r="318" spans="2:19" x14ac:dyDescent="0.35">
      <c r="B318" s="35">
        <v>315</v>
      </c>
      <c r="C318" t="s">
        <v>2643</v>
      </c>
      <c r="D318" s="7">
        <v>1996</v>
      </c>
      <c r="E318" t="s">
        <v>1554</v>
      </c>
      <c r="F318" t="s">
        <v>915</v>
      </c>
      <c r="G318" t="s">
        <v>1557</v>
      </c>
      <c r="H318" t="s">
        <v>2644</v>
      </c>
      <c r="I318" s="7">
        <v>2.93</v>
      </c>
      <c r="J318" s="7">
        <v>3</v>
      </c>
      <c r="K318" s="7">
        <v>3</v>
      </c>
      <c r="L318" s="7">
        <v>3</v>
      </c>
      <c r="M318" s="7">
        <v>2.5</v>
      </c>
      <c r="N318" s="7">
        <v>3</v>
      </c>
      <c r="O318" s="7">
        <v>3</v>
      </c>
      <c r="P318" s="7">
        <v>3</v>
      </c>
      <c r="Q318" t="s">
        <v>2627</v>
      </c>
      <c r="R318" s="7">
        <v>97</v>
      </c>
      <c r="S318" t="str">
        <f xml:space="preserve"> HYPERLINK("ReviewHtml/review_Lupin_the_Third_-_Dead_or_Alive.html", "https://2danicritic.github.io/ReviewHtml/review_Lupin_the_Third_-_Dead_or_Alive.html")</f>
        <v>https://2danicritic.github.io/ReviewHtml/review_Lupin_the_Third_-_Dead_or_Alive.html</v>
      </c>
    </row>
    <row r="319" spans="2:19" x14ac:dyDescent="0.35">
      <c r="B319" s="35">
        <v>316</v>
      </c>
      <c r="C319" t="s">
        <v>914</v>
      </c>
      <c r="D319" s="7">
        <v>2002</v>
      </c>
      <c r="E319" t="s">
        <v>1554</v>
      </c>
      <c r="F319" t="s">
        <v>915</v>
      </c>
      <c r="G319" t="s">
        <v>1557</v>
      </c>
      <c r="H319" t="s">
        <v>916</v>
      </c>
      <c r="I319" s="7">
        <v>2.79</v>
      </c>
      <c r="J319" s="7">
        <v>2.5</v>
      </c>
      <c r="K319" s="7">
        <v>2.5</v>
      </c>
      <c r="L319" s="7">
        <v>3</v>
      </c>
      <c r="M319" s="7">
        <v>2</v>
      </c>
      <c r="N319" s="7">
        <v>3</v>
      </c>
      <c r="O319" s="7">
        <v>4.5</v>
      </c>
      <c r="P319" s="7">
        <v>2</v>
      </c>
      <c r="Q319" t="s">
        <v>185</v>
      </c>
      <c r="R319" s="7">
        <v>92</v>
      </c>
      <c r="S319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320" spans="2:19" x14ac:dyDescent="0.35">
      <c r="B320" s="35">
        <v>317</v>
      </c>
      <c r="C320" t="s">
        <v>2645</v>
      </c>
      <c r="D320" s="7">
        <v>1995</v>
      </c>
      <c r="E320" t="s">
        <v>1554</v>
      </c>
      <c r="F320" t="s">
        <v>915</v>
      </c>
      <c r="G320" t="s">
        <v>1557</v>
      </c>
      <c r="H320" t="s">
        <v>2628</v>
      </c>
      <c r="I320" s="7">
        <v>3.29</v>
      </c>
      <c r="J320" s="7">
        <v>3</v>
      </c>
      <c r="K320" s="7">
        <v>3</v>
      </c>
      <c r="L320" s="7">
        <v>3</v>
      </c>
      <c r="M320" s="7">
        <v>3.5</v>
      </c>
      <c r="N320" s="7">
        <v>3</v>
      </c>
      <c r="O320" s="7">
        <v>4</v>
      </c>
      <c r="P320" s="7">
        <v>3.5</v>
      </c>
      <c r="Q320" t="s">
        <v>1342</v>
      </c>
      <c r="R320" s="7">
        <v>98</v>
      </c>
      <c r="S320" t="str">
        <f xml:space="preserve"> HYPERLINK("ReviewHtml/review_Lupin_the_Third_-_Farewell_to_Nostradamus.html", "https://2danicritic.github.io/ReviewHtml/review_Lupin_the_Third_-_Farewell_to_Nostradamus.html")</f>
        <v>https://2danicritic.github.io/ReviewHtml/review_Lupin_the_Third_-_Farewell_to_Nostradamus.html</v>
      </c>
    </row>
    <row r="321" spans="2:19" x14ac:dyDescent="0.35">
      <c r="B321" s="35">
        <v>318</v>
      </c>
      <c r="C321" t="s">
        <v>1732</v>
      </c>
      <c r="D321" s="7">
        <v>2019</v>
      </c>
      <c r="E321" t="s">
        <v>1554</v>
      </c>
      <c r="F321" t="s">
        <v>915</v>
      </c>
      <c r="G321" t="s">
        <v>1557</v>
      </c>
      <c r="H321" t="s">
        <v>1030</v>
      </c>
      <c r="I321" s="7">
        <v>3.93</v>
      </c>
      <c r="J321" s="7">
        <v>3.5</v>
      </c>
      <c r="K321" s="7">
        <v>4</v>
      </c>
      <c r="L321" s="7">
        <v>4.5</v>
      </c>
      <c r="M321" s="7">
        <v>4</v>
      </c>
      <c r="N321" s="7">
        <v>3.5</v>
      </c>
      <c r="O321" s="7">
        <v>4</v>
      </c>
      <c r="P321" s="7">
        <v>4</v>
      </c>
      <c r="Q321" t="s">
        <v>1198</v>
      </c>
      <c r="R321" s="7">
        <v>57</v>
      </c>
      <c r="S321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</row>
    <row r="322" spans="2:19" x14ac:dyDescent="0.35">
      <c r="B322" s="35">
        <v>319</v>
      </c>
      <c r="C322" t="s">
        <v>1591</v>
      </c>
      <c r="D322" s="7">
        <v>2017</v>
      </c>
      <c r="E322" t="s">
        <v>1554</v>
      </c>
      <c r="F322" t="s">
        <v>915</v>
      </c>
      <c r="G322" t="s">
        <v>1557</v>
      </c>
      <c r="H322" t="s">
        <v>1030</v>
      </c>
      <c r="I322" s="7">
        <v>4</v>
      </c>
      <c r="J322" s="7">
        <v>3.5</v>
      </c>
      <c r="K322" s="7">
        <v>4.5</v>
      </c>
      <c r="L322" s="7">
        <v>4.5</v>
      </c>
      <c r="M322" s="7">
        <v>3.5</v>
      </c>
      <c r="N322" s="7">
        <v>3</v>
      </c>
      <c r="O322" s="7">
        <v>4.5</v>
      </c>
      <c r="P322" s="7">
        <v>4.5</v>
      </c>
      <c r="Q322" t="s">
        <v>87</v>
      </c>
      <c r="R322" s="7">
        <v>52</v>
      </c>
      <c r="S322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</row>
    <row r="323" spans="2:19" x14ac:dyDescent="0.35">
      <c r="B323" s="35">
        <v>320</v>
      </c>
      <c r="C323" t="s">
        <v>917</v>
      </c>
      <c r="D323" s="7">
        <v>2008</v>
      </c>
      <c r="E323" t="s">
        <v>1554</v>
      </c>
      <c r="F323" t="s">
        <v>915</v>
      </c>
      <c r="G323" t="s">
        <v>1560</v>
      </c>
      <c r="H323" t="s">
        <v>918</v>
      </c>
      <c r="I323" s="7">
        <v>2.4300000000000002</v>
      </c>
      <c r="J323" s="7">
        <v>3</v>
      </c>
      <c r="K323" s="7">
        <v>3</v>
      </c>
      <c r="L323" s="7">
        <v>3</v>
      </c>
      <c r="M323" s="7">
        <v>1.5</v>
      </c>
      <c r="N323" s="7">
        <v>2</v>
      </c>
      <c r="O323" s="7">
        <v>1.5</v>
      </c>
      <c r="P323" s="7">
        <v>3</v>
      </c>
      <c r="Q323" t="s">
        <v>186</v>
      </c>
      <c r="R323" s="7">
        <v>80</v>
      </c>
      <c r="S323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324" spans="2:19" x14ac:dyDescent="0.35">
      <c r="B324" s="35">
        <v>321</v>
      </c>
      <c r="C324" t="s">
        <v>1592</v>
      </c>
      <c r="D324" s="7">
        <v>1997</v>
      </c>
      <c r="E324" t="s">
        <v>1554</v>
      </c>
      <c r="F324" t="s">
        <v>915</v>
      </c>
      <c r="G324" t="s">
        <v>1557</v>
      </c>
      <c r="H324" t="s">
        <v>1538</v>
      </c>
      <c r="I324" s="7">
        <v>3.14</v>
      </c>
      <c r="J324" s="7">
        <v>3</v>
      </c>
      <c r="K324" s="7">
        <v>2.5</v>
      </c>
      <c r="L324" s="7">
        <v>3.5</v>
      </c>
      <c r="M324" s="7">
        <v>3.5</v>
      </c>
      <c r="N324" s="7">
        <v>3</v>
      </c>
      <c r="O324" s="7">
        <v>3.5</v>
      </c>
      <c r="P324" s="7">
        <v>3</v>
      </c>
      <c r="Q324" t="s">
        <v>1539</v>
      </c>
      <c r="R324" s="7">
        <v>93</v>
      </c>
      <c r="S324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</row>
    <row r="325" spans="2:19" x14ac:dyDescent="0.35">
      <c r="B325" s="35">
        <v>322</v>
      </c>
      <c r="C325" t="s">
        <v>1266</v>
      </c>
      <c r="D325" s="7">
        <v>2014</v>
      </c>
      <c r="E325" t="s">
        <v>1554</v>
      </c>
      <c r="F325" t="s">
        <v>915</v>
      </c>
      <c r="G325" t="s">
        <v>1557</v>
      </c>
      <c r="H325" t="s">
        <v>1030</v>
      </c>
      <c r="I325" s="7">
        <v>4.21</v>
      </c>
      <c r="J325" s="7">
        <v>4</v>
      </c>
      <c r="K325" s="7">
        <v>4.5</v>
      </c>
      <c r="L325" s="7">
        <v>4.5</v>
      </c>
      <c r="M325" s="7">
        <v>3.5</v>
      </c>
      <c r="N325" s="7">
        <v>3.5</v>
      </c>
      <c r="O325" s="7">
        <v>4.5</v>
      </c>
      <c r="P325" s="7">
        <v>5</v>
      </c>
      <c r="Q325" t="s">
        <v>1198</v>
      </c>
      <c r="R325" s="7">
        <v>51</v>
      </c>
      <c r="S325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326" spans="2:19" x14ac:dyDescent="0.35">
      <c r="B326" s="35">
        <v>323</v>
      </c>
      <c r="C326" t="s">
        <v>2289</v>
      </c>
      <c r="D326" s="7">
        <v>2000</v>
      </c>
      <c r="E326" t="s">
        <v>1554</v>
      </c>
      <c r="F326" t="s">
        <v>915</v>
      </c>
      <c r="G326" t="s">
        <v>1557</v>
      </c>
      <c r="H326" t="s">
        <v>2290</v>
      </c>
      <c r="I326" s="7">
        <v>3.21</v>
      </c>
      <c r="J326" s="7">
        <v>3</v>
      </c>
      <c r="K326" s="7">
        <v>3</v>
      </c>
      <c r="L326" s="7">
        <v>3</v>
      </c>
      <c r="M326" s="7">
        <v>3</v>
      </c>
      <c r="N326" s="7">
        <v>3.5</v>
      </c>
      <c r="O326" s="7">
        <v>3.5</v>
      </c>
      <c r="P326" s="7">
        <v>3.5</v>
      </c>
      <c r="Q326" t="s">
        <v>2225</v>
      </c>
      <c r="R326" s="7">
        <v>90</v>
      </c>
      <c r="S326" t="str">
        <f xml:space="preserve"> HYPERLINK("ReviewHtml/review_Lupin_the_Third_-_Missed_by_a_Dollar.html", "https://2danicritic.github.io/ReviewHtml/review_Lupin_the_Third_-_Missed_by_a_Dollar.html")</f>
        <v>https://2danicritic.github.io/ReviewHtml/review_Lupin_the_Third_-_Missed_by_a_Dollar.html</v>
      </c>
    </row>
    <row r="327" spans="2:19" x14ac:dyDescent="0.35">
      <c r="B327" s="35">
        <v>324</v>
      </c>
      <c r="C327" t="s">
        <v>1390</v>
      </c>
      <c r="D327" s="7">
        <v>1971</v>
      </c>
      <c r="E327" t="s">
        <v>1554</v>
      </c>
      <c r="F327" t="s">
        <v>915</v>
      </c>
      <c r="G327" t="s">
        <v>1559</v>
      </c>
      <c r="H327" t="s">
        <v>1343</v>
      </c>
      <c r="I327" s="7">
        <v>2.79</v>
      </c>
      <c r="J327" s="7">
        <v>2</v>
      </c>
      <c r="K327" s="7">
        <v>2.5</v>
      </c>
      <c r="L327" s="7">
        <v>3.5</v>
      </c>
      <c r="M327" s="7">
        <v>2.5</v>
      </c>
      <c r="N327" s="7">
        <v>3</v>
      </c>
      <c r="O327" s="7">
        <v>3</v>
      </c>
      <c r="P327" s="7">
        <v>3</v>
      </c>
      <c r="Q327" t="s">
        <v>54</v>
      </c>
      <c r="R327" s="7">
        <v>588</v>
      </c>
      <c r="S327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328" spans="2:19" x14ac:dyDescent="0.35">
      <c r="B328" s="35">
        <v>325</v>
      </c>
      <c r="C328" t="s">
        <v>1964</v>
      </c>
      <c r="D328" s="7">
        <v>2015</v>
      </c>
      <c r="E328" t="s">
        <v>1554</v>
      </c>
      <c r="F328" t="s">
        <v>915</v>
      </c>
      <c r="G328" t="s">
        <v>1559</v>
      </c>
      <c r="H328" t="s">
        <v>1949</v>
      </c>
      <c r="I328" s="7">
        <v>3.43</v>
      </c>
      <c r="J328" s="7">
        <v>3</v>
      </c>
      <c r="K328" s="7">
        <v>3.5</v>
      </c>
      <c r="L328" s="7">
        <v>3.5</v>
      </c>
      <c r="M328" s="7">
        <v>3.5</v>
      </c>
      <c r="N328" s="7">
        <v>3.5</v>
      </c>
      <c r="O328" s="7">
        <v>3.5</v>
      </c>
      <c r="P328" s="7">
        <v>3.5</v>
      </c>
      <c r="Q328" t="s">
        <v>1950</v>
      </c>
      <c r="R328" s="7">
        <v>650</v>
      </c>
      <c r="S328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</row>
    <row r="329" spans="2:19" x14ac:dyDescent="0.35">
      <c r="B329" s="35">
        <v>326</v>
      </c>
      <c r="C329" t="s">
        <v>2108</v>
      </c>
      <c r="D329" s="7">
        <v>2002</v>
      </c>
      <c r="E329" t="s">
        <v>1554</v>
      </c>
      <c r="F329" t="s">
        <v>915</v>
      </c>
      <c r="G329" t="s">
        <v>1560</v>
      </c>
      <c r="H329" t="s">
        <v>2109</v>
      </c>
      <c r="I329" s="7">
        <v>2.29</v>
      </c>
      <c r="J329" s="7">
        <v>2</v>
      </c>
      <c r="K329" s="7">
        <v>2.5</v>
      </c>
      <c r="L329" s="7">
        <v>2.5</v>
      </c>
      <c r="M329" s="7">
        <v>2.5</v>
      </c>
      <c r="N329" s="7">
        <v>2</v>
      </c>
      <c r="O329" s="7">
        <v>2.5</v>
      </c>
      <c r="P329" s="7">
        <v>2</v>
      </c>
      <c r="Q329" t="s">
        <v>1342</v>
      </c>
      <c r="R329" s="7">
        <v>57</v>
      </c>
      <c r="S329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</row>
    <row r="330" spans="2:19" x14ac:dyDescent="0.35">
      <c r="B330" s="35">
        <v>327</v>
      </c>
      <c r="C330" t="s">
        <v>919</v>
      </c>
      <c r="D330" s="7">
        <v>1979</v>
      </c>
      <c r="E330" t="s">
        <v>1554</v>
      </c>
      <c r="F330" t="s">
        <v>915</v>
      </c>
      <c r="G330" t="s">
        <v>1557</v>
      </c>
      <c r="H330" t="s">
        <v>748</v>
      </c>
      <c r="I330" s="7">
        <v>4</v>
      </c>
      <c r="J330" s="7">
        <v>3.5</v>
      </c>
      <c r="K330" s="7">
        <v>3.5</v>
      </c>
      <c r="L330" s="7">
        <v>3.5</v>
      </c>
      <c r="M330" s="7">
        <v>3.5</v>
      </c>
      <c r="N330" s="7">
        <v>4.5</v>
      </c>
      <c r="O330" s="7">
        <v>4.5</v>
      </c>
      <c r="P330" s="7">
        <v>5</v>
      </c>
      <c r="Q330" t="s">
        <v>187</v>
      </c>
      <c r="R330" s="7">
        <v>100</v>
      </c>
      <c r="S33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331" spans="2:19" x14ac:dyDescent="0.35">
      <c r="B331" s="35">
        <v>328</v>
      </c>
      <c r="C331" t="s">
        <v>920</v>
      </c>
      <c r="D331" s="7">
        <v>1987</v>
      </c>
      <c r="E331" t="s">
        <v>1554</v>
      </c>
      <c r="F331" t="s">
        <v>915</v>
      </c>
      <c r="G331" t="s">
        <v>1557</v>
      </c>
      <c r="H331" t="s">
        <v>921</v>
      </c>
      <c r="I331" s="7">
        <v>3</v>
      </c>
      <c r="J331" s="7">
        <v>3.5</v>
      </c>
      <c r="K331" s="7">
        <v>3</v>
      </c>
      <c r="L331" s="7">
        <v>3.5</v>
      </c>
      <c r="M331" s="7">
        <v>2</v>
      </c>
      <c r="N331" s="7">
        <v>2.5</v>
      </c>
      <c r="O331" s="7">
        <v>3.5</v>
      </c>
      <c r="P331" s="7">
        <v>3</v>
      </c>
      <c r="Q331" t="s">
        <v>185</v>
      </c>
      <c r="R331" s="7">
        <v>73</v>
      </c>
      <c r="S33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332" spans="2:19" x14ac:dyDescent="0.35">
      <c r="B332" s="35">
        <v>329</v>
      </c>
      <c r="C332" t="s">
        <v>2291</v>
      </c>
      <c r="D332" s="7">
        <v>1990</v>
      </c>
      <c r="E332" t="s">
        <v>1554</v>
      </c>
      <c r="F332" t="s">
        <v>915</v>
      </c>
      <c r="G332" t="s">
        <v>1557</v>
      </c>
      <c r="H332" t="s">
        <v>2288</v>
      </c>
      <c r="I332" s="7">
        <v>3.14</v>
      </c>
      <c r="J332" s="7">
        <v>2.5</v>
      </c>
      <c r="K332" s="7">
        <v>2.5</v>
      </c>
      <c r="L332" s="7">
        <v>3.5</v>
      </c>
      <c r="M332" s="7">
        <v>3.5</v>
      </c>
      <c r="N332" s="7">
        <v>3.5</v>
      </c>
      <c r="O332" s="7">
        <v>3</v>
      </c>
      <c r="P332" s="7">
        <v>3.5</v>
      </c>
      <c r="Q332" t="s">
        <v>2226</v>
      </c>
      <c r="R332" s="7">
        <v>92</v>
      </c>
      <c r="S332" t="str">
        <f xml:space="preserve"> HYPERLINK("ReviewHtml/review_Lupin_the_Third_-_The_Hemingway_Papers.html", "https://2danicritic.github.io/ReviewHtml/review_Lupin_the_Third_-_The_Hemingway_Papers.html")</f>
        <v>https://2danicritic.github.io/ReviewHtml/review_Lupin_the_Third_-_The_Hemingway_Papers.html</v>
      </c>
    </row>
    <row r="333" spans="2:19" x14ac:dyDescent="0.35">
      <c r="B333" s="35">
        <v>330</v>
      </c>
      <c r="C333" t="s">
        <v>922</v>
      </c>
      <c r="D333" s="7">
        <v>1978</v>
      </c>
      <c r="E333" t="s">
        <v>1554</v>
      </c>
      <c r="F333" t="s">
        <v>667</v>
      </c>
      <c r="G333" t="s">
        <v>1557</v>
      </c>
      <c r="H333" t="s">
        <v>923</v>
      </c>
      <c r="I333" s="7">
        <v>3.36</v>
      </c>
      <c r="J333" s="7">
        <v>2.5</v>
      </c>
      <c r="K333" s="7">
        <v>2.5</v>
      </c>
      <c r="L333" s="7">
        <v>3.5</v>
      </c>
      <c r="M333" s="7">
        <v>3.5</v>
      </c>
      <c r="N333" s="7">
        <v>3.5</v>
      </c>
      <c r="O333" s="7">
        <v>4</v>
      </c>
      <c r="P333" s="7">
        <v>4</v>
      </c>
      <c r="Q333" t="s">
        <v>188</v>
      </c>
      <c r="R333" s="7">
        <v>102</v>
      </c>
      <c r="S333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334" spans="2:19" x14ac:dyDescent="0.35">
      <c r="B334" s="35">
        <v>331</v>
      </c>
      <c r="C334" t="s">
        <v>2292</v>
      </c>
      <c r="D334" s="7">
        <v>1996</v>
      </c>
      <c r="E334" t="s">
        <v>1554</v>
      </c>
      <c r="F334" t="s">
        <v>915</v>
      </c>
      <c r="G334" t="s">
        <v>1557</v>
      </c>
      <c r="H334" t="s">
        <v>975</v>
      </c>
      <c r="I334" s="7">
        <v>2.29</v>
      </c>
      <c r="J334" s="7">
        <v>2</v>
      </c>
      <c r="K334" s="7">
        <v>2.5</v>
      </c>
      <c r="L334" s="7">
        <v>2.5</v>
      </c>
      <c r="M334" s="7">
        <v>2</v>
      </c>
      <c r="N334" s="7">
        <v>2.5</v>
      </c>
      <c r="O334" s="7">
        <v>2</v>
      </c>
      <c r="P334" s="7">
        <v>2.5</v>
      </c>
      <c r="Q334" t="s">
        <v>1342</v>
      </c>
      <c r="R334" s="7">
        <v>90</v>
      </c>
      <c r="S334" t="str">
        <f xml:space="preserve"> HYPERLINK("ReviewHtml/review_Lupin_the_Third_-_The_Secret_of_the_Twilight_Gemini.html", "https://2danicritic.github.io/ReviewHtml/review_Lupin_the_Third_-_The_Secret_of_the_Twilight_Gemini.html")</f>
        <v>https://2danicritic.github.io/ReviewHtml/review_Lupin_the_Third_-_The_Secret_of_the_Twilight_Gemini.html</v>
      </c>
    </row>
    <row r="335" spans="2:19" x14ac:dyDescent="0.35">
      <c r="B335" s="35">
        <v>332</v>
      </c>
      <c r="C335" t="s">
        <v>924</v>
      </c>
      <c r="D335" s="7">
        <v>2012</v>
      </c>
      <c r="E335" t="s">
        <v>1554</v>
      </c>
      <c r="F335" t="s">
        <v>915</v>
      </c>
      <c r="G335" t="s">
        <v>1559</v>
      </c>
      <c r="H335" t="s">
        <v>925</v>
      </c>
      <c r="I335" s="7">
        <v>3.93</v>
      </c>
      <c r="J335" s="7">
        <v>3</v>
      </c>
      <c r="K335" s="7">
        <v>5</v>
      </c>
      <c r="L335" s="7">
        <v>4.5</v>
      </c>
      <c r="M335" s="7">
        <v>3</v>
      </c>
      <c r="N335" s="7">
        <v>3.5</v>
      </c>
      <c r="O335" s="7">
        <v>3.5</v>
      </c>
      <c r="P335" s="7">
        <v>5</v>
      </c>
      <c r="Q335" t="s">
        <v>189</v>
      </c>
      <c r="R335" s="7">
        <v>325</v>
      </c>
      <c r="S335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336" spans="2:19" x14ac:dyDescent="0.35">
      <c r="B336" s="35">
        <v>333</v>
      </c>
      <c r="C336" t="s">
        <v>2646</v>
      </c>
      <c r="D336" s="7">
        <v>2013</v>
      </c>
      <c r="E336" t="s">
        <v>1554</v>
      </c>
      <c r="F336" t="s">
        <v>915</v>
      </c>
      <c r="G336" t="s">
        <v>1557</v>
      </c>
      <c r="H336" t="s">
        <v>2647</v>
      </c>
      <c r="I336" s="7">
        <v>3.5</v>
      </c>
      <c r="J336" s="7">
        <v>3.5</v>
      </c>
      <c r="K336" s="7">
        <v>3.5</v>
      </c>
      <c r="L336" s="7">
        <v>3.5</v>
      </c>
      <c r="M336" s="7">
        <v>3.5</v>
      </c>
      <c r="N336" s="7">
        <v>2.5</v>
      </c>
      <c r="O336" s="7">
        <v>4</v>
      </c>
      <c r="P336" s="7">
        <v>4</v>
      </c>
      <c r="Q336" t="s">
        <v>1342</v>
      </c>
      <c r="R336" s="7">
        <v>107</v>
      </c>
      <c r="S336" t="str">
        <f xml:space="preserve"> HYPERLINK("ReviewHtml/review_Lupin_the_Third_VS_Detective_Conan_-_The_Movie.html", "https://2danicritic.github.io/ReviewHtml/review_Lupin_the_Third_VS_Detective_Conan_-_The_Movie.html")</f>
        <v>https://2danicritic.github.io/ReviewHtml/review_Lupin_the_Third_VS_Detective_Conan_-_The_Movie.html</v>
      </c>
    </row>
    <row r="337" spans="2:19" x14ac:dyDescent="0.35">
      <c r="B337" s="35">
        <v>334</v>
      </c>
      <c r="C337" t="s">
        <v>2648</v>
      </c>
      <c r="D337" s="7">
        <v>2009</v>
      </c>
      <c r="E337" t="s">
        <v>1554</v>
      </c>
      <c r="F337" t="s">
        <v>915</v>
      </c>
      <c r="G337" t="s">
        <v>1560</v>
      </c>
      <c r="H337" t="s">
        <v>2647</v>
      </c>
      <c r="I337" s="7">
        <v>3.21</v>
      </c>
      <c r="J337" s="7">
        <v>2.5</v>
      </c>
      <c r="K337" s="7">
        <v>3.5</v>
      </c>
      <c r="L337" s="7">
        <v>3</v>
      </c>
      <c r="M337" s="7">
        <v>3.5</v>
      </c>
      <c r="N337" s="7">
        <v>3</v>
      </c>
      <c r="O337" s="7">
        <v>3.5</v>
      </c>
      <c r="P337" s="7">
        <v>3.5</v>
      </c>
      <c r="Q337" t="s">
        <v>2629</v>
      </c>
      <c r="R337" s="7">
        <v>104</v>
      </c>
      <c r="S337" t="str">
        <f xml:space="preserve"> HYPERLINK("ReviewHtml/review_Lupin_the_Third_VS_Detective_Conan_-_The_Special.html", "https://2danicritic.github.io/ReviewHtml/review_Lupin_the_Third_VS_Detective_Conan_-_The_Special.html")</f>
        <v>https://2danicritic.github.io/ReviewHtml/review_Lupin_the_Third_VS_Detective_Conan_-_The_Special.html</v>
      </c>
    </row>
    <row r="338" spans="2:19" x14ac:dyDescent="0.35">
      <c r="B338" s="35">
        <v>335</v>
      </c>
      <c r="C338" t="s">
        <v>1593</v>
      </c>
      <c r="D338" s="7">
        <v>2017</v>
      </c>
      <c r="E338" t="s">
        <v>1554</v>
      </c>
      <c r="F338" t="s">
        <v>1594</v>
      </c>
      <c r="G338" t="s">
        <v>1559</v>
      </c>
      <c r="H338" t="s">
        <v>713</v>
      </c>
      <c r="I338" s="7">
        <v>4</v>
      </c>
      <c r="J338" s="7">
        <v>3</v>
      </c>
      <c r="K338" s="7">
        <v>4</v>
      </c>
      <c r="L338" s="7">
        <v>4.5</v>
      </c>
      <c r="M338" s="7">
        <v>3.5</v>
      </c>
      <c r="N338" s="7">
        <v>4</v>
      </c>
      <c r="O338" s="7">
        <v>4.5</v>
      </c>
      <c r="P338" s="7">
        <v>4.5</v>
      </c>
      <c r="Q338" t="s">
        <v>1540</v>
      </c>
      <c r="R338" s="7">
        <v>350</v>
      </c>
      <c r="S338" t="str">
        <f xml:space="preserve"> HYPERLINK("ReviewHtml/review_Made_in_Abyss.html", "https://2danicritic.github.io/ReviewHtml/review_Made_in_Abyss.html")</f>
        <v>https://2danicritic.github.io/ReviewHtml/review_Made_in_Abyss.html</v>
      </c>
    </row>
    <row r="339" spans="2:19" x14ac:dyDescent="0.35">
      <c r="B339" s="35">
        <v>336</v>
      </c>
      <c r="C339" t="s">
        <v>926</v>
      </c>
      <c r="D339" s="7">
        <v>2012</v>
      </c>
      <c r="E339" t="s">
        <v>1554</v>
      </c>
      <c r="F339" t="s">
        <v>689</v>
      </c>
      <c r="G339" t="s">
        <v>1557</v>
      </c>
      <c r="H339" t="s">
        <v>190</v>
      </c>
      <c r="I339" s="7">
        <v>4.21</v>
      </c>
      <c r="J339" s="7">
        <v>4</v>
      </c>
      <c r="K339" s="7">
        <v>4.5</v>
      </c>
      <c r="L339" s="7">
        <v>4.5</v>
      </c>
      <c r="M339" s="7">
        <v>3.5</v>
      </c>
      <c r="N339" s="7">
        <v>4.5</v>
      </c>
      <c r="O339" s="7">
        <v>4</v>
      </c>
      <c r="P339" s="7">
        <v>4.5</v>
      </c>
      <c r="Q339" t="s">
        <v>191</v>
      </c>
      <c r="R339" s="7">
        <v>240</v>
      </c>
      <c r="S339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340" spans="2:19" x14ac:dyDescent="0.35">
      <c r="B340" s="35">
        <v>337</v>
      </c>
      <c r="C340" t="s">
        <v>927</v>
      </c>
      <c r="D340" s="7">
        <v>2013</v>
      </c>
      <c r="E340" t="s">
        <v>1554</v>
      </c>
      <c r="F340" t="s">
        <v>689</v>
      </c>
      <c r="G340" t="s">
        <v>1557</v>
      </c>
      <c r="H340" t="s">
        <v>928</v>
      </c>
      <c r="I340" s="7">
        <v>4.29</v>
      </c>
      <c r="J340" s="7">
        <v>4</v>
      </c>
      <c r="K340" s="7">
        <v>4.5</v>
      </c>
      <c r="L340" s="7">
        <v>4.5</v>
      </c>
      <c r="M340" s="7">
        <v>3</v>
      </c>
      <c r="N340" s="7">
        <v>4.5</v>
      </c>
      <c r="O340" s="7">
        <v>4.5</v>
      </c>
      <c r="P340" s="7">
        <v>5</v>
      </c>
      <c r="Q340" t="s">
        <v>192</v>
      </c>
      <c r="R340" s="7">
        <v>116</v>
      </c>
      <c r="S340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341" spans="2:19" x14ac:dyDescent="0.35">
      <c r="B341" s="35">
        <v>338</v>
      </c>
      <c r="C341" t="s">
        <v>1908</v>
      </c>
      <c r="D341" s="7">
        <v>2009</v>
      </c>
      <c r="E341" t="s">
        <v>1554</v>
      </c>
      <c r="F341" t="s">
        <v>694</v>
      </c>
      <c r="G341" t="s">
        <v>1557</v>
      </c>
      <c r="H341" t="s">
        <v>724</v>
      </c>
      <c r="I341" s="7">
        <v>3.14</v>
      </c>
      <c r="J341" s="7">
        <v>3</v>
      </c>
      <c r="K341" s="7">
        <v>3</v>
      </c>
      <c r="L341" s="7">
        <v>4</v>
      </c>
      <c r="M341" s="7">
        <v>3</v>
      </c>
      <c r="N341" s="7">
        <v>3</v>
      </c>
      <c r="O341" s="7">
        <v>3</v>
      </c>
      <c r="P341" s="7">
        <v>3</v>
      </c>
      <c r="Q341" t="s">
        <v>1879</v>
      </c>
      <c r="R341" s="7">
        <v>93</v>
      </c>
      <c r="S341" t="str">
        <f xml:space="preserve"> HYPERLINK("ReviewHtml/review_Mai_Mai_Miracle.html", "https://2danicritic.github.io/ReviewHtml/review_Mai_Mai_Miracle.html")</f>
        <v>https://2danicritic.github.io/ReviewHtml/review_Mai_Mai_Miracle.html</v>
      </c>
    </row>
    <row r="342" spans="2:19" x14ac:dyDescent="0.35">
      <c r="B342" s="35">
        <v>339</v>
      </c>
      <c r="C342" t="s">
        <v>2293</v>
      </c>
      <c r="D342" s="7">
        <v>1946</v>
      </c>
      <c r="E342" t="s">
        <v>1556</v>
      </c>
      <c r="F342" t="s">
        <v>2260</v>
      </c>
      <c r="G342" t="s">
        <v>1555</v>
      </c>
      <c r="H342" t="s">
        <v>2227</v>
      </c>
      <c r="I342" s="7">
        <v>2.93</v>
      </c>
      <c r="J342" s="7">
        <v>3</v>
      </c>
      <c r="K342" s="7">
        <v>3</v>
      </c>
      <c r="L342" s="7">
        <v>3.5</v>
      </c>
      <c r="M342" s="7">
        <v>3</v>
      </c>
      <c r="N342" s="7">
        <v>2</v>
      </c>
      <c r="O342" s="7">
        <v>3</v>
      </c>
      <c r="P342" s="7">
        <v>3</v>
      </c>
      <c r="Q342" t="s">
        <v>2228</v>
      </c>
      <c r="R342" s="7">
        <v>75</v>
      </c>
      <c r="S342" t="str">
        <f xml:space="preserve"> HYPERLINK("ReviewHtml/review_Make_Mine_Music.html", "https://2danicritic.github.io/ReviewHtml/review_Make_Mine_Music.html")</f>
        <v>https://2danicritic.github.io/ReviewHtml/review_Make_Mine_Music.html</v>
      </c>
    </row>
    <row r="343" spans="2:19" x14ac:dyDescent="0.35">
      <c r="B343" s="35">
        <v>340</v>
      </c>
      <c r="C343" t="s">
        <v>929</v>
      </c>
      <c r="D343" s="7">
        <v>2018</v>
      </c>
      <c r="E343" t="s">
        <v>1554</v>
      </c>
      <c r="F343" t="s">
        <v>674</v>
      </c>
      <c r="G343" t="s">
        <v>1557</v>
      </c>
      <c r="H343" t="s">
        <v>930</v>
      </c>
      <c r="I343" s="7">
        <v>4</v>
      </c>
      <c r="J343" s="7">
        <v>3.5</v>
      </c>
      <c r="K343" s="7">
        <v>4</v>
      </c>
      <c r="L343" s="7">
        <v>4.5</v>
      </c>
      <c r="M343" s="7">
        <v>3.5</v>
      </c>
      <c r="N343" s="7">
        <v>4</v>
      </c>
      <c r="O343" s="7">
        <v>4</v>
      </c>
      <c r="P343" s="7">
        <v>4.5</v>
      </c>
      <c r="Q343" t="s">
        <v>193</v>
      </c>
      <c r="R343" s="7">
        <v>115</v>
      </c>
      <c r="S343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344" spans="2:19" x14ac:dyDescent="0.35">
      <c r="B344" s="35">
        <v>341</v>
      </c>
      <c r="C344" t="s">
        <v>1809</v>
      </c>
      <c r="D344" s="7">
        <v>2015</v>
      </c>
      <c r="E344" t="s">
        <v>1554</v>
      </c>
      <c r="F344" t="s">
        <v>731</v>
      </c>
      <c r="G344" t="s">
        <v>1559</v>
      </c>
      <c r="H344" t="s">
        <v>762</v>
      </c>
      <c r="I344" s="7">
        <v>3.43</v>
      </c>
      <c r="J344" s="7">
        <v>3</v>
      </c>
      <c r="K344" s="7">
        <v>3.5</v>
      </c>
      <c r="L344" s="7">
        <v>3</v>
      </c>
      <c r="M344" s="7">
        <v>3.5</v>
      </c>
      <c r="N344" s="7">
        <v>4</v>
      </c>
      <c r="O344" s="7">
        <v>3</v>
      </c>
      <c r="P344" s="7">
        <v>4</v>
      </c>
      <c r="Q344" t="s">
        <v>69</v>
      </c>
      <c r="R344" s="7">
        <v>300</v>
      </c>
      <c r="S344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</row>
    <row r="345" spans="2:19" x14ac:dyDescent="0.35">
      <c r="B345" s="35">
        <v>342</v>
      </c>
      <c r="C345" t="s">
        <v>1810</v>
      </c>
      <c r="D345" s="7">
        <v>2019</v>
      </c>
      <c r="E345" t="s">
        <v>1558</v>
      </c>
      <c r="F345" t="s">
        <v>1427</v>
      </c>
      <c r="G345" t="s">
        <v>1557</v>
      </c>
      <c r="H345" t="s">
        <v>1811</v>
      </c>
      <c r="I345" s="7">
        <v>2.79</v>
      </c>
      <c r="J345" s="7">
        <v>2.5</v>
      </c>
      <c r="K345" s="7">
        <v>2.5</v>
      </c>
      <c r="L345" s="7">
        <v>3</v>
      </c>
      <c r="M345" s="7">
        <v>3.5</v>
      </c>
      <c r="N345" s="7">
        <v>3</v>
      </c>
      <c r="O345" s="7">
        <v>2.5</v>
      </c>
      <c r="P345" s="7">
        <v>2.5</v>
      </c>
      <c r="Q345" t="s">
        <v>285</v>
      </c>
      <c r="R345" s="7">
        <v>92</v>
      </c>
      <c r="S345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</row>
    <row r="346" spans="2:19" x14ac:dyDescent="0.35">
      <c r="B346" s="35">
        <v>343</v>
      </c>
      <c r="C346" t="s">
        <v>931</v>
      </c>
      <c r="D346" s="7">
        <v>2017</v>
      </c>
      <c r="E346" t="s">
        <v>1554</v>
      </c>
      <c r="F346" t="s">
        <v>932</v>
      </c>
      <c r="G346" t="s">
        <v>1557</v>
      </c>
      <c r="H346" t="s">
        <v>194</v>
      </c>
      <c r="I346" s="7">
        <v>2.93</v>
      </c>
      <c r="J346" s="7">
        <v>3.5</v>
      </c>
      <c r="K346" s="7">
        <v>3.5</v>
      </c>
      <c r="L346" s="7">
        <v>4</v>
      </c>
      <c r="M346" s="7">
        <v>2.5</v>
      </c>
      <c r="N346" s="7">
        <v>2</v>
      </c>
      <c r="O346" s="7">
        <v>2.5</v>
      </c>
      <c r="P346" s="7">
        <v>2.5</v>
      </c>
      <c r="Q346" t="s">
        <v>195</v>
      </c>
      <c r="R346" s="7">
        <v>103</v>
      </c>
      <c r="S346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347" spans="2:19" x14ac:dyDescent="0.35">
      <c r="B347" s="35">
        <v>344</v>
      </c>
      <c r="C347" t="s">
        <v>933</v>
      </c>
      <c r="D347" s="7">
        <v>2011</v>
      </c>
      <c r="E347" t="s">
        <v>1554</v>
      </c>
      <c r="F347" t="s">
        <v>775</v>
      </c>
      <c r="G347" t="s">
        <v>1559</v>
      </c>
      <c r="H347" t="s">
        <v>934</v>
      </c>
      <c r="I347" s="7">
        <v>2.86</v>
      </c>
      <c r="J347" s="7">
        <v>2.5</v>
      </c>
      <c r="K347" s="7">
        <v>2.5</v>
      </c>
      <c r="L347" s="7">
        <v>3</v>
      </c>
      <c r="M347" s="7">
        <v>2.5</v>
      </c>
      <c r="N347" s="7">
        <v>2.5</v>
      </c>
      <c r="O347" s="7">
        <v>3.5</v>
      </c>
      <c r="P347" s="7">
        <v>3.5</v>
      </c>
      <c r="Q347" t="s">
        <v>340</v>
      </c>
      <c r="R347" s="7">
        <v>325</v>
      </c>
      <c r="S347" t="str">
        <f xml:space="preserve"> HYPERLINK("ReviewHtml/review_Mayo_Chiki!.html", "https://2danicritic.github.io/ReviewHtml/review_Mayo_Chiki!.html")</f>
        <v>https://2danicritic.github.io/ReviewHtml/review_Mayo_Chiki!.html</v>
      </c>
    </row>
    <row r="348" spans="2:19" x14ac:dyDescent="0.35">
      <c r="B348" s="35">
        <v>345</v>
      </c>
      <c r="C348" t="s">
        <v>1595</v>
      </c>
      <c r="D348" s="7">
        <v>2017</v>
      </c>
      <c r="E348" t="s">
        <v>1554</v>
      </c>
      <c r="F348" t="s">
        <v>681</v>
      </c>
      <c r="G348" t="s">
        <v>1557</v>
      </c>
      <c r="H348" t="s">
        <v>1596</v>
      </c>
      <c r="I348" s="7">
        <v>2.21</v>
      </c>
      <c r="J348" s="7">
        <v>2.5</v>
      </c>
      <c r="K348" s="7">
        <v>2.5</v>
      </c>
      <c r="L348" s="7">
        <v>2</v>
      </c>
      <c r="M348" s="7">
        <v>2.5</v>
      </c>
      <c r="N348" s="7">
        <v>2</v>
      </c>
      <c r="O348" s="7">
        <v>2.5</v>
      </c>
      <c r="P348" s="7">
        <v>1.5</v>
      </c>
      <c r="Q348" t="s">
        <v>1541</v>
      </c>
      <c r="R348" s="7">
        <v>94</v>
      </c>
      <c r="S348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</row>
    <row r="349" spans="2:19" x14ac:dyDescent="0.35">
      <c r="B349" s="35">
        <v>346</v>
      </c>
      <c r="C349" t="s">
        <v>1391</v>
      </c>
      <c r="D349" s="7">
        <v>2018</v>
      </c>
      <c r="E349" t="s">
        <v>1554</v>
      </c>
      <c r="F349" t="s">
        <v>915</v>
      </c>
      <c r="G349" t="s">
        <v>1559</v>
      </c>
      <c r="H349" t="s">
        <v>1448</v>
      </c>
      <c r="I349" s="7">
        <v>3.79</v>
      </c>
      <c r="J349" s="7">
        <v>3</v>
      </c>
      <c r="K349" s="7">
        <v>3.5</v>
      </c>
      <c r="L349" s="7">
        <v>4.5</v>
      </c>
      <c r="M349" s="7">
        <v>4</v>
      </c>
      <c r="N349" s="7">
        <v>4</v>
      </c>
      <c r="O349" s="7">
        <v>4</v>
      </c>
      <c r="P349" s="7">
        <v>3.5</v>
      </c>
      <c r="Q349" t="s">
        <v>1344</v>
      </c>
      <c r="R349" s="7">
        <v>299</v>
      </c>
      <c r="S349" t="str">
        <f xml:space="preserve"> HYPERLINK("ReviewHtml/review_Megalobox.html", "https://2danicritic.github.io/ReviewHtml/review_Megalobox.html")</f>
        <v>https://2danicritic.github.io/ReviewHtml/review_Megalobox.html</v>
      </c>
    </row>
    <row r="350" spans="2:19" x14ac:dyDescent="0.35">
      <c r="B350" s="35">
        <v>347</v>
      </c>
      <c r="C350" t="s">
        <v>2294</v>
      </c>
      <c r="D350" s="7">
        <v>1948</v>
      </c>
      <c r="E350" t="s">
        <v>1556</v>
      </c>
      <c r="F350" t="s">
        <v>2260</v>
      </c>
      <c r="G350" t="s">
        <v>1555</v>
      </c>
      <c r="H350" t="s">
        <v>2229</v>
      </c>
      <c r="I350" s="7">
        <v>2.79</v>
      </c>
      <c r="J350" s="7">
        <v>3</v>
      </c>
      <c r="K350" s="7">
        <v>3</v>
      </c>
      <c r="L350" s="7">
        <v>3.5</v>
      </c>
      <c r="M350" s="7">
        <v>3</v>
      </c>
      <c r="N350" s="7">
        <v>1.5</v>
      </c>
      <c r="O350" s="7">
        <v>3</v>
      </c>
      <c r="P350" s="7">
        <v>2.5</v>
      </c>
      <c r="Q350" t="s">
        <v>71</v>
      </c>
      <c r="R350" s="7">
        <v>75</v>
      </c>
      <c r="S350" t="str">
        <f xml:space="preserve"> HYPERLINK("ReviewHtml/review_Melody_Time.html", "https://2danicritic.github.io/ReviewHtml/review_Melody_Time.html")</f>
        <v>https://2danicritic.github.io/ReviewHtml/review_Melody_Time.html</v>
      </c>
    </row>
    <row r="351" spans="2:19" x14ac:dyDescent="0.35">
      <c r="B351" s="35">
        <v>348</v>
      </c>
      <c r="C351" t="s">
        <v>2110</v>
      </c>
      <c r="D351" s="7">
        <v>1995</v>
      </c>
      <c r="E351" t="s">
        <v>1554</v>
      </c>
      <c r="F351" t="s">
        <v>702</v>
      </c>
      <c r="G351" t="s">
        <v>1555</v>
      </c>
      <c r="H351" t="s">
        <v>2111</v>
      </c>
      <c r="I351" s="7">
        <v>4</v>
      </c>
      <c r="J351" s="7">
        <v>4</v>
      </c>
      <c r="K351" s="7">
        <v>4</v>
      </c>
      <c r="L351" s="7">
        <v>3.5</v>
      </c>
      <c r="M351" s="7">
        <v>4</v>
      </c>
      <c r="N351" s="7">
        <v>4</v>
      </c>
      <c r="O351" s="7">
        <v>4</v>
      </c>
      <c r="P351" s="7">
        <v>4.5</v>
      </c>
      <c r="Q351" t="s">
        <v>2112</v>
      </c>
      <c r="R351" s="7">
        <v>113</v>
      </c>
      <c r="S351" t="str">
        <f xml:space="preserve"> HYPERLINK("ReviewHtml/review_Memories.html", "https://2danicritic.github.io/ReviewHtml/review_Memories.html")</f>
        <v>https://2danicritic.github.io/ReviewHtml/review_Memories.html</v>
      </c>
    </row>
    <row r="352" spans="2:19" x14ac:dyDescent="0.35">
      <c r="B352" s="35">
        <v>349</v>
      </c>
      <c r="C352" t="s">
        <v>935</v>
      </c>
      <c r="D352" s="7">
        <v>2001</v>
      </c>
      <c r="E352" t="s">
        <v>1554</v>
      </c>
      <c r="F352" t="s">
        <v>694</v>
      </c>
      <c r="G352" t="s">
        <v>1557</v>
      </c>
      <c r="H352" t="s">
        <v>936</v>
      </c>
      <c r="I352" s="7">
        <v>4.1399999999999997</v>
      </c>
      <c r="J352" s="7">
        <v>4.5</v>
      </c>
      <c r="K352" s="7">
        <v>4</v>
      </c>
      <c r="L352" s="7">
        <v>4</v>
      </c>
      <c r="M352" s="7">
        <v>3</v>
      </c>
      <c r="N352" s="7">
        <v>4.5</v>
      </c>
      <c r="O352" s="7">
        <v>4</v>
      </c>
      <c r="P352" s="7">
        <v>5</v>
      </c>
      <c r="Q352" t="s">
        <v>341</v>
      </c>
      <c r="R352" s="7">
        <v>113</v>
      </c>
      <c r="S352" t="str">
        <f xml:space="preserve"> HYPERLINK("ReviewHtml/review_Metropolis.html", "https://2danicritic.github.io/ReviewHtml/review_Metropolis.html")</f>
        <v>https://2danicritic.github.io/ReviewHtml/review_Metropolis.html</v>
      </c>
    </row>
    <row r="353" spans="2:19" x14ac:dyDescent="0.35">
      <c r="B353" s="35">
        <v>350</v>
      </c>
      <c r="C353" t="s">
        <v>937</v>
      </c>
      <c r="D353" s="7">
        <v>2004</v>
      </c>
      <c r="E353" t="s">
        <v>1554</v>
      </c>
      <c r="F353" t="s">
        <v>938</v>
      </c>
      <c r="G353" t="s">
        <v>1559</v>
      </c>
      <c r="H353" t="s">
        <v>939</v>
      </c>
      <c r="I353" s="7">
        <v>2.79</v>
      </c>
      <c r="J353" s="7">
        <v>2.5</v>
      </c>
      <c r="K353" s="7">
        <v>2</v>
      </c>
      <c r="L353" s="7">
        <v>3</v>
      </c>
      <c r="M353" s="7">
        <v>2.5</v>
      </c>
      <c r="N353" s="7">
        <v>2.5</v>
      </c>
      <c r="O353" s="7">
        <v>3.5</v>
      </c>
      <c r="P353" s="7">
        <v>3.5</v>
      </c>
      <c r="Q353" t="s">
        <v>196</v>
      </c>
      <c r="R353" s="7">
        <v>325</v>
      </c>
      <c r="S353" t="str">
        <f xml:space="preserve"> HYPERLINK("ReviewHtml/review_Mezzo_DSA.html", "https://2danicritic.github.io/ReviewHtml/review_Mezzo_DSA.html")</f>
        <v>https://2danicritic.github.io/ReviewHtml/review_Mezzo_DSA.html</v>
      </c>
    </row>
    <row r="354" spans="2:19" x14ac:dyDescent="0.35">
      <c r="B354" s="35">
        <v>351</v>
      </c>
      <c r="C354" t="s">
        <v>940</v>
      </c>
      <c r="D354" s="7">
        <v>2000</v>
      </c>
      <c r="E354" t="s">
        <v>1554</v>
      </c>
      <c r="F354" t="s">
        <v>938</v>
      </c>
      <c r="G354" t="s">
        <v>1560</v>
      </c>
      <c r="H354" t="s">
        <v>939</v>
      </c>
      <c r="I354" s="7">
        <v>3.14</v>
      </c>
      <c r="J354" s="7">
        <v>3</v>
      </c>
      <c r="K354" s="7">
        <v>2</v>
      </c>
      <c r="L354" s="7">
        <v>3</v>
      </c>
      <c r="M354" s="7">
        <v>2</v>
      </c>
      <c r="N354" s="7">
        <v>3</v>
      </c>
      <c r="O354" s="7">
        <v>5</v>
      </c>
      <c r="P354" s="7">
        <v>4</v>
      </c>
      <c r="Q354" t="s">
        <v>197</v>
      </c>
      <c r="R354" s="7">
        <v>60</v>
      </c>
      <c r="S354" t="str">
        <f xml:space="preserve"> HYPERLINK("ReviewHtml/review_Mezzo_Forte.html", "https://2danicritic.github.io/ReviewHtml/review_Mezzo_Forte.html")</f>
        <v>https://2danicritic.github.io/ReviewHtml/review_Mezzo_Forte.html</v>
      </c>
    </row>
    <row r="355" spans="2:19" x14ac:dyDescent="0.35">
      <c r="B355" s="35">
        <v>352</v>
      </c>
      <c r="C355" t="s">
        <v>941</v>
      </c>
      <c r="D355" s="7">
        <v>2017</v>
      </c>
      <c r="E355" t="s">
        <v>1558</v>
      </c>
      <c r="F355" t="s">
        <v>702</v>
      </c>
      <c r="G355" t="s">
        <v>1557</v>
      </c>
      <c r="H355" t="s">
        <v>198</v>
      </c>
      <c r="I355" s="7">
        <v>3.43</v>
      </c>
      <c r="J355" s="7">
        <v>3.5</v>
      </c>
      <c r="K355" s="7">
        <v>3.5</v>
      </c>
      <c r="L355" s="7">
        <v>3.5</v>
      </c>
      <c r="M355" s="7">
        <v>3.5</v>
      </c>
      <c r="N355" s="7">
        <v>3.5</v>
      </c>
      <c r="O355" s="7">
        <v>3.5</v>
      </c>
      <c r="P355" s="7">
        <v>3</v>
      </c>
      <c r="Q355" t="s">
        <v>199</v>
      </c>
      <c r="R355" s="7">
        <v>90</v>
      </c>
      <c r="S355" t="str">
        <f xml:space="preserve"> HYPERLINK("ReviewHtml/review_MFKZ.html", "https://2danicritic.github.io/ReviewHtml/review_MFKZ.html")</f>
        <v>https://2danicritic.github.io/ReviewHtml/review_MFKZ.html</v>
      </c>
    </row>
    <row r="356" spans="2:19" x14ac:dyDescent="0.35">
      <c r="B356" s="35">
        <v>353</v>
      </c>
      <c r="C356" t="s">
        <v>1733</v>
      </c>
      <c r="D356" s="7">
        <v>2008</v>
      </c>
      <c r="E356" t="s">
        <v>1558</v>
      </c>
      <c r="F356" t="s">
        <v>655</v>
      </c>
      <c r="G356" t="s">
        <v>1557</v>
      </c>
      <c r="H356" t="s">
        <v>1734</v>
      </c>
      <c r="I356" s="7">
        <v>3.57</v>
      </c>
      <c r="J356" s="7">
        <v>3.5</v>
      </c>
      <c r="K356" s="7">
        <v>4</v>
      </c>
      <c r="L356" s="7">
        <v>3.5</v>
      </c>
      <c r="M356" s="7">
        <v>3</v>
      </c>
      <c r="N356" s="7">
        <v>3.5</v>
      </c>
      <c r="O356" s="7">
        <v>4</v>
      </c>
      <c r="P356" s="7">
        <v>3.5</v>
      </c>
      <c r="Q356" t="s">
        <v>346</v>
      </c>
      <c r="R356" s="7">
        <v>91</v>
      </c>
      <c r="S356" t="str">
        <f xml:space="preserve"> HYPERLINK("ReviewHtml/review_Mia_and_the_Migoo.html", "https://2danicritic.github.io/ReviewHtml/review_Mia_and_the_Migoo.html")</f>
        <v>https://2danicritic.github.io/ReviewHtml/review_Mia_and_the_Migoo.html</v>
      </c>
    </row>
    <row r="357" spans="2:19" x14ac:dyDescent="0.35">
      <c r="B357" s="35">
        <v>354</v>
      </c>
      <c r="C357" t="s">
        <v>1392</v>
      </c>
      <c r="D357" s="7">
        <v>2001</v>
      </c>
      <c r="E357" t="s">
        <v>1554</v>
      </c>
      <c r="F357" t="s">
        <v>694</v>
      </c>
      <c r="G357" t="s">
        <v>1557</v>
      </c>
      <c r="H357" t="s">
        <v>999</v>
      </c>
      <c r="I357" s="7">
        <v>4</v>
      </c>
      <c r="J357" s="7">
        <v>4</v>
      </c>
      <c r="K357" s="7">
        <v>3.5</v>
      </c>
      <c r="L357" s="7">
        <v>4</v>
      </c>
      <c r="M357" s="7">
        <v>4</v>
      </c>
      <c r="N357" s="7">
        <v>4.5</v>
      </c>
      <c r="O357" s="7">
        <v>3.5</v>
      </c>
      <c r="P357" s="7">
        <v>4.5</v>
      </c>
      <c r="Q357" t="s">
        <v>1318</v>
      </c>
      <c r="R357" s="7">
        <v>87</v>
      </c>
      <c r="S357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358" spans="2:19" x14ac:dyDescent="0.35">
      <c r="B358" s="35">
        <v>355</v>
      </c>
      <c r="C358" t="s">
        <v>942</v>
      </c>
      <c r="D358" s="7">
        <v>2004</v>
      </c>
      <c r="E358" t="s">
        <v>1554</v>
      </c>
      <c r="F358" t="s">
        <v>702</v>
      </c>
      <c r="G358" t="s">
        <v>1557</v>
      </c>
      <c r="H358" t="s">
        <v>788</v>
      </c>
      <c r="I358" s="7">
        <v>4.29</v>
      </c>
      <c r="J358" s="7">
        <v>3</v>
      </c>
      <c r="K358" s="7">
        <v>4</v>
      </c>
      <c r="L358" s="7">
        <v>4</v>
      </c>
      <c r="M358" s="7">
        <v>5</v>
      </c>
      <c r="N358" s="7">
        <v>5</v>
      </c>
      <c r="O358" s="7">
        <v>4</v>
      </c>
      <c r="P358" s="7">
        <v>5</v>
      </c>
      <c r="Q358" t="s">
        <v>200</v>
      </c>
      <c r="R358" s="7">
        <v>103</v>
      </c>
      <c r="S358" t="str">
        <f xml:space="preserve"> HYPERLINK("ReviewHtml/review_Mind_Game.html", "https://2danicritic.github.io/ReviewHtml/review_Mind_Game.html")</f>
        <v>https://2danicritic.github.io/ReviewHtml/review_Mind_Game.html</v>
      </c>
    </row>
    <row r="359" spans="2:19" x14ac:dyDescent="0.35">
      <c r="B359" s="35">
        <v>356</v>
      </c>
      <c r="C359" t="s">
        <v>943</v>
      </c>
      <c r="D359" s="7">
        <v>2018</v>
      </c>
      <c r="E359" t="s">
        <v>1554</v>
      </c>
      <c r="F359" t="s">
        <v>944</v>
      </c>
      <c r="G359" t="s">
        <v>1557</v>
      </c>
      <c r="H359" t="s">
        <v>945</v>
      </c>
      <c r="I359" s="7">
        <v>3.79</v>
      </c>
      <c r="J359" s="7">
        <v>4</v>
      </c>
      <c r="K359" s="7">
        <v>3.5</v>
      </c>
      <c r="L359" s="7">
        <v>4</v>
      </c>
      <c r="M359" s="7">
        <v>4</v>
      </c>
      <c r="N359" s="7">
        <v>2.5</v>
      </c>
      <c r="O359" s="7">
        <v>4.5</v>
      </c>
      <c r="P359" s="7">
        <v>4</v>
      </c>
      <c r="Q359" t="s">
        <v>342</v>
      </c>
      <c r="R359" s="7">
        <v>98</v>
      </c>
      <c r="S359" t="str">
        <f xml:space="preserve"> HYPERLINK("ReviewHtml/review_Mirai.html", "https://2danicritic.github.io/ReviewHtml/review_Mirai.html")</f>
        <v>https://2danicritic.github.io/ReviewHtml/review_Mirai.html</v>
      </c>
    </row>
    <row r="360" spans="2:19" x14ac:dyDescent="0.35">
      <c r="B360" s="35">
        <v>357</v>
      </c>
      <c r="C360" t="s">
        <v>946</v>
      </c>
      <c r="D360" s="7">
        <v>2017</v>
      </c>
      <c r="E360" t="s">
        <v>1554</v>
      </c>
      <c r="F360" t="s">
        <v>658</v>
      </c>
      <c r="G360" t="s">
        <v>1559</v>
      </c>
      <c r="H360" t="s">
        <v>672</v>
      </c>
      <c r="I360" s="7">
        <v>3.86</v>
      </c>
      <c r="J360" s="7">
        <v>4</v>
      </c>
      <c r="K360" s="7">
        <v>4</v>
      </c>
      <c r="L360" s="7">
        <v>4</v>
      </c>
      <c r="M360" s="7">
        <v>3</v>
      </c>
      <c r="N360" s="7">
        <v>3</v>
      </c>
      <c r="O360" s="7">
        <v>4.5</v>
      </c>
      <c r="P360" s="7">
        <v>4.5</v>
      </c>
      <c r="Q360" t="s">
        <v>343</v>
      </c>
      <c r="R360" s="7">
        <v>350</v>
      </c>
      <c r="S360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361" spans="2:19" x14ac:dyDescent="0.35">
      <c r="B361" s="35">
        <v>358</v>
      </c>
      <c r="C361" t="s">
        <v>2583</v>
      </c>
      <c r="D361" s="7">
        <v>2021</v>
      </c>
      <c r="E361" t="s">
        <v>1554</v>
      </c>
      <c r="F361" t="s">
        <v>658</v>
      </c>
      <c r="G361" t="s">
        <v>1559</v>
      </c>
      <c r="H361" t="s">
        <v>909</v>
      </c>
      <c r="I361" s="7">
        <v>3.64</v>
      </c>
      <c r="J361" s="7">
        <v>3.5</v>
      </c>
      <c r="K361" s="7">
        <v>4</v>
      </c>
      <c r="L361" s="7">
        <v>4</v>
      </c>
      <c r="M361" s="7">
        <v>3</v>
      </c>
      <c r="N361" s="7">
        <v>3</v>
      </c>
      <c r="O361" s="7">
        <v>4</v>
      </c>
      <c r="P361" s="7">
        <v>4</v>
      </c>
      <c r="Q361" t="s">
        <v>2570</v>
      </c>
      <c r="R361" s="7">
        <v>325</v>
      </c>
      <c r="S361" t="str">
        <f xml:space="preserve"> HYPERLINK("ReviewHtml/review_Miss_Kobayashi's_Dragon_Maid_S.html", "https://2danicritic.github.io/ReviewHtml/review_Miss_Kobayashi's_Dragon_Maid_S.html")</f>
        <v>https://2danicritic.github.io/ReviewHtml/review_Miss_Kobayashi's_Dragon_Maid_S.html</v>
      </c>
    </row>
    <row r="362" spans="2:19" x14ac:dyDescent="0.35">
      <c r="B362" s="35">
        <v>359</v>
      </c>
      <c r="C362" t="s">
        <v>1267</v>
      </c>
      <c r="D362" s="7">
        <v>2018</v>
      </c>
      <c r="E362" t="s">
        <v>1554</v>
      </c>
      <c r="F362" t="s">
        <v>932</v>
      </c>
      <c r="G362" t="s">
        <v>1555</v>
      </c>
      <c r="H362" t="s">
        <v>1199</v>
      </c>
      <c r="I362" s="7">
        <v>3.93</v>
      </c>
      <c r="J362" s="7">
        <v>4.5</v>
      </c>
      <c r="K362" s="7">
        <v>4</v>
      </c>
      <c r="L362" s="7">
        <v>3.5</v>
      </c>
      <c r="M362" s="7">
        <v>3</v>
      </c>
      <c r="N362" s="7">
        <v>4</v>
      </c>
      <c r="O362" s="7">
        <v>4</v>
      </c>
      <c r="P362" s="7">
        <v>4.5</v>
      </c>
      <c r="Q362" t="s">
        <v>1200</v>
      </c>
      <c r="R362" s="7">
        <v>53</v>
      </c>
      <c r="S362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363" spans="2:19" x14ac:dyDescent="0.35">
      <c r="B363" s="35">
        <v>360</v>
      </c>
      <c r="C363" t="s">
        <v>1393</v>
      </c>
      <c r="D363" s="7">
        <v>1945</v>
      </c>
      <c r="E363" t="s">
        <v>1554</v>
      </c>
      <c r="F363" t="s">
        <v>1428</v>
      </c>
      <c r="G363" t="s">
        <v>1557</v>
      </c>
      <c r="H363" t="s">
        <v>1449</v>
      </c>
      <c r="I363" s="7">
        <v>2.36</v>
      </c>
      <c r="J363" s="7">
        <v>2.5</v>
      </c>
      <c r="K363" s="7">
        <v>2</v>
      </c>
      <c r="L363" s="7">
        <v>3</v>
      </c>
      <c r="M363" s="7">
        <v>3</v>
      </c>
      <c r="N363" s="7">
        <v>1.5</v>
      </c>
      <c r="O363" s="7">
        <v>2</v>
      </c>
      <c r="P363" s="7">
        <v>2.5</v>
      </c>
      <c r="Q363" t="s">
        <v>1345</v>
      </c>
      <c r="R363" s="7">
        <v>74</v>
      </c>
      <c r="S363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364" spans="2:19" x14ac:dyDescent="0.35">
      <c r="B364" s="35">
        <v>361</v>
      </c>
      <c r="C364" t="s">
        <v>1394</v>
      </c>
      <c r="D364" s="7">
        <v>2014</v>
      </c>
      <c r="E364" t="s">
        <v>1554</v>
      </c>
      <c r="F364" t="s">
        <v>689</v>
      </c>
      <c r="G364" t="s">
        <v>1559</v>
      </c>
      <c r="H364" t="s">
        <v>1201</v>
      </c>
      <c r="I364" s="7">
        <v>3.71</v>
      </c>
      <c r="J364" s="7">
        <v>3</v>
      </c>
      <c r="K364" s="7">
        <v>4</v>
      </c>
      <c r="L364" s="7">
        <v>4</v>
      </c>
      <c r="M364" s="7">
        <v>4</v>
      </c>
      <c r="N364" s="7">
        <v>4</v>
      </c>
      <c r="O364" s="7">
        <v>3.5</v>
      </c>
      <c r="P364" s="7">
        <v>3.5</v>
      </c>
      <c r="Q364" t="s">
        <v>1346</v>
      </c>
      <c r="R364" s="7">
        <v>752</v>
      </c>
      <c r="S364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365" spans="2:19" x14ac:dyDescent="0.35">
      <c r="B365" s="35">
        <v>362</v>
      </c>
      <c r="C365" t="s">
        <v>1268</v>
      </c>
      <c r="D365" s="7">
        <v>2012</v>
      </c>
      <c r="E365" t="s">
        <v>1554</v>
      </c>
      <c r="F365" t="s">
        <v>689</v>
      </c>
      <c r="G365" t="s">
        <v>1559</v>
      </c>
      <c r="H365" t="s">
        <v>1201</v>
      </c>
      <c r="I365" s="7">
        <v>3.57</v>
      </c>
      <c r="J365" s="7">
        <v>3</v>
      </c>
      <c r="K365" s="7">
        <v>4</v>
      </c>
      <c r="L365" s="7">
        <v>4</v>
      </c>
      <c r="M365" s="7">
        <v>4</v>
      </c>
      <c r="N365" s="7">
        <v>3.5</v>
      </c>
      <c r="O365" s="7">
        <v>3.5</v>
      </c>
      <c r="P365" s="7">
        <v>3</v>
      </c>
      <c r="Q365" t="s">
        <v>1202</v>
      </c>
      <c r="R365" s="7">
        <v>800</v>
      </c>
      <c r="S36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366" spans="2:19" x14ac:dyDescent="0.35">
      <c r="B366" s="35">
        <v>363</v>
      </c>
      <c r="C366" t="s">
        <v>1597</v>
      </c>
      <c r="D366" s="7">
        <v>2007</v>
      </c>
      <c r="E366" t="s">
        <v>1554</v>
      </c>
      <c r="F366" t="s">
        <v>681</v>
      </c>
      <c r="G366" t="s">
        <v>1559</v>
      </c>
      <c r="H366" t="s">
        <v>682</v>
      </c>
      <c r="I366" s="7">
        <v>3.5</v>
      </c>
      <c r="J366" s="7">
        <v>3.5</v>
      </c>
      <c r="K366" s="7">
        <v>3.5</v>
      </c>
      <c r="L366" s="7">
        <v>3.5</v>
      </c>
      <c r="M366" s="7">
        <v>3.5</v>
      </c>
      <c r="N366" s="7">
        <v>4</v>
      </c>
      <c r="O366" s="7">
        <v>3</v>
      </c>
      <c r="P366" s="7">
        <v>3.5</v>
      </c>
      <c r="Q366" t="s">
        <v>1542</v>
      </c>
      <c r="R366" s="7">
        <v>300</v>
      </c>
      <c r="S366" t="str">
        <f xml:space="preserve"> HYPERLINK("ReviewHtml/review_Mononoke.html", "https://2danicritic.github.io/ReviewHtml/review_Mononoke.html")</f>
        <v>https://2danicritic.github.io/ReviewHtml/review_Mononoke.html</v>
      </c>
    </row>
    <row r="367" spans="2:19" x14ac:dyDescent="0.35">
      <c r="B367" s="35">
        <v>364</v>
      </c>
      <c r="C367" t="s">
        <v>2700</v>
      </c>
      <c r="D367" s="7">
        <v>2025</v>
      </c>
      <c r="E367" t="s">
        <v>1554</v>
      </c>
      <c r="F367" t="s">
        <v>2529</v>
      </c>
      <c r="G367" t="s">
        <v>1557</v>
      </c>
      <c r="H367" t="s">
        <v>2688</v>
      </c>
      <c r="I367" s="7">
        <v>3.71</v>
      </c>
      <c r="J367" s="7">
        <v>3.5</v>
      </c>
      <c r="K367" s="7">
        <v>4</v>
      </c>
      <c r="L367" s="7">
        <v>4</v>
      </c>
      <c r="M367" s="7">
        <v>3.5</v>
      </c>
      <c r="N367" s="7">
        <v>3.5</v>
      </c>
      <c r="O367" s="7">
        <v>3.5</v>
      </c>
      <c r="P367" s="7">
        <v>4</v>
      </c>
      <c r="Q367" t="s">
        <v>2571</v>
      </c>
      <c r="R367" s="7">
        <v>74</v>
      </c>
      <c r="S367" t="str">
        <f xml:space="preserve"> HYPERLINK("ReviewHtml/review_Mononoke_the_Movie_-_Chapter_II_-_The_Ashes_of_Rage.html", "https://2danicritic.github.io/ReviewHtml/review_Mononoke_the_Movie_-_Chapter_II_-_The_Ashes_of_Rage.html")</f>
        <v>https://2danicritic.github.io/ReviewHtml/review_Mononoke_the_Movie_-_Chapter_II_-_The_Ashes_of_Rage.html</v>
      </c>
    </row>
    <row r="368" spans="2:19" x14ac:dyDescent="0.35">
      <c r="B368" s="35">
        <v>365</v>
      </c>
      <c r="C368" t="s">
        <v>2584</v>
      </c>
      <c r="D368" s="7">
        <v>2024</v>
      </c>
      <c r="E368" t="s">
        <v>1554</v>
      </c>
      <c r="F368" t="s">
        <v>2529</v>
      </c>
      <c r="G368" t="s">
        <v>1557</v>
      </c>
      <c r="H368" t="s">
        <v>682</v>
      </c>
      <c r="I368" s="7">
        <v>3.64</v>
      </c>
      <c r="J368" s="7">
        <v>3</v>
      </c>
      <c r="K368" s="7">
        <v>4</v>
      </c>
      <c r="L368" s="7">
        <v>4.5</v>
      </c>
      <c r="M368" s="7">
        <v>3.5</v>
      </c>
      <c r="N368" s="7">
        <v>3</v>
      </c>
      <c r="O368" s="7">
        <v>3.5</v>
      </c>
      <c r="P368" s="7">
        <v>4</v>
      </c>
      <c r="Q368" t="s">
        <v>2571</v>
      </c>
      <c r="R368" s="7">
        <v>87</v>
      </c>
      <c r="S368" t="str">
        <f xml:space="preserve"> HYPERLINK("ReviewHtml/review_Mononoke_the_Movie_-_Phantom_in_the_Rain.html", "https://2danicritic.github.io/ReviewHtml/review_Mononoke_the_Movie_-_Phantom_in_the_Rain.html")</f>
        <v>https://2danicritic.github.io/ReviewHtml/review_Mononoke_the_Movie_-_Phantom_in_the_Rain.html</v>
      </c>
    </row>
    <row r="369" spans="2:19" x14ac:dyDescent="0.35">
      <c r="B369" s="35">
        <v>366</v>
      </c>
      <c r="C369" t="s">
        <v>947</v>
      </c>
      <c r="D369" s="7">
        <v>2015</v>
      </c>
      <c r="E369" t="s">
        <v>1554</v>
      </c>
      <c r="F369" t="s">
        <v>948</v>
      </c>
      <c r="G369" t="s">
        <v>1559</v>
      </c>
      <c r="H369" t="s">
        <v>949</v>
      </c>
      <c r="I369" s="7">
        <v>3.93</v>
      </c>
      <c r="J369" s="7">
        <v>2.5</v>
      </c>
      <c r="K369" s="7">
        <v>3</v>
      </c>
      <c r="L369" s="7">
        <v>4</v>
      </c>
      <c r="M369" s="7">
        <v>4</v>
      </c>
      <c r="N369" s="7">
        <v>4</v>
      </c>
      <c r="O369" s="7">
        <v>5</v>
      </c>
      <c r="P369" s="7">
        <v>5</v>
      </c>
      <c r="Q369" t="s">
        <v>171</v>
      </c>
      <c r="R369" s="7">
        <v>300</v>
      </c>
      <c r="S369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370" spans="2:19" x14ac:dyDescent="0.35">
      <c r="B370" s="35">
        <v>367</v>
      </c>
      <c r="C370" t="s">
        <v>2295</v>
      </c>
      <c r="D370" s="7">
        <v>1998</v>
      </c>
      <c r="E370" t="s">
        <v>1556</v>
      </c>
      <c r="F370" t="s">
        <v>2260</v>
      </c>
      <c r="G370" t="s">
        <v>1557</v>
      </c>
      <c r="H370" t="s">
        <v>2230</v>
      </c>
      <c r="I370" s="7">
        <v>4</v>
      </c>
      <c r="J370" s="7">
        <v>3.5</v>
      </c>
      <c r="K370" s="7">
        <v>4</v>
      </c>
      <c r="L370" s="7">
        <v>4.5</v>
      </c>
      <c r="M370" s="7">
        <v>4</v>
      </c>
      <c r="N370" s="7">
        <v>4</v>
      </c>
      <c r="O370" s="7">
        <v>4</v>
      </c>
      <c r="P370" s="7">
        <v>4</v>
      </c>
      <c r="Q370" t="s">
        <v>2231</v>
      </c>
      <c r="R370" s="7">
        <v>87</v>
      </c>
      <c r="S370" t="str">
        <f xml:space="preserve"> HYPERLINK("ReviewHtml/review_Mulan.html", "https://2danicritic.github.io/ReviewHtml/review_Mulan.html")</f>
        <v>https://2danicritic.github.io/ReviewHtml/review_Mulan.html</v>
      </c>
    </row>
    <row r="371" spans="2:19" x14ac:dyDescent="0.35">
      <c r="B371" s="35">
        <v>368</v>
      </c>
      <c r="C371" t="s">
        <v>950</v>
      </c>
      <c r="D371" s="7">
        <v>2005</v>
      </c>
      <c r="E371" t="s">
        <v>1554</v>
      </c>
      <c r="F371" t="s">
        <v>951</v>
      </c>
      <c r="G371" t="s">
        <v>1559</v>
      </c>
      <c r="H371" t="s">
        <v>952</v>
      </c>
      <c r="I371" s="7">
        <v>4.6399999999999997</v>
      </c>
      <c r="J371" s="7">
        <v>4.5</v>
      </c>
      <c r="K371" s="7">
        <v>4.5</v>
      </c>
      <c r="L371" s="7">
        <v>5</v>
      </c>
      <c r="M371" s="7">
        <v>4.5</v>
      </c>
      <c r="N371" s="7">
        <v>5</v>
      </c>
      <c r="O371" s="7">
        <v>4</v>
      </c>
      <c r="P371" s="7">
        <v>5</v>
      </c>
      <c r="Q371" t="s">
        <v>201</v>
      </c>
      <c r="R371" s="7">
        <v>650</v>
      </c>
      <c r="S371" t="str">
        <f xml:space="preserve"> HYPERLINK("ReviewHtml/review_Mushi-Shi.html", "https://2danicritic.github.io/ReviewHtml/review_Mushi-Shi.html")</f>
        <v>https://2danicritic.github.io/ReviewHtml/review_Mushi-Shi.html</v>
      </c>
    </row>
    <row r="372" spans="2:19" x14ac:dyDescent="0.35">
      <c r="B372" s="35">
        <v>369</v>
      </c>
      <c r="C372" t="s">
        <v>953</v>
      </c>
      <c r="D372" s="7">
        <v>2002</v>
      </c>
      <c r="E372" t="s">
        <v>1567</v>
      </c>
      <c r="F372" t="s">
        <v>954</v>
      </c>
      <c r="G372" t="s">
        <v>1557</v>
      </c>
      <c r="H372" t="s">
        <v>955</v>
      </c>
      <c r="I372" s="7">
        <v>1.43</v>
      </c>
      <c r="J372" s="7">
        <v>1.5</v>
      </c>
      <c r="K372" s="7">
        <v>1.5</v>
      </c>
      <c r="L372" s="7">
        <v>2</v>
      </c>
      <c r="M372" s="7">
        <v>1.5</v>
      </c>
      <c r="N372" s="7">
        <v>1.5</v>
      </c>
      <c r="O372" s="7">
        <v>1</v>
      </c>
      <c r="P372" s="7">
        <v>1</v>
      </c>
      <c r="Q372" t="s">
        <v>202</v>
      </c>
      <c r="R372" s="7">
        <v>80</v>
      </c>
      <c r="S372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373" spans="2:19" x14ac:dyDescent="0.35">
      <c r="B373" s="35">
        <v>370</v>
      </c>
      <c r="C373" t="s">
        <v>956</v>
      </c>
      <c r="D373" s="7">
        <v>2017</v>
      </c>
      <c r="E373" t="s">
        <v>1567</v>
      </c>
      <c r="F373" t="s">
        <v>957</v>
      </c>
      <c r="G373" t="s">
        <v>1557</v>
      </c>
      <c r="H373" t="s">
        <v>958</v>
      </c>
      <c r="I373" s="7">
        <v>2.5</v>
      </c>
      <c r="J373" s="7">
        <v>3</v>
      </c>
      <c r="K373" s="7">
        <v>2</v>
      </c>
      <c r="L373" s="7">
        <v>3</v>
      </c>
      <c r="M373" s="7">
        <v>3</v>
      </c>
      <c r="N373" s="7">
        <v>3</v>
      </c>
      <c r="O373" s="7">
        <v>2</v>
      </c>
      <c r="P373" s="7">
        <v>1.5</v>
      </c>
      <c r="Q373" t="s">
        <v>203</v>
      </c>
      <c r="R373" s="7">
        <v>80</v>
      </c>
      <c r="S373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374" spans="2:19" x14ac:dyDescent="0.35">
      <c r="B374" s="35">
        <v>371</v>
      </c>
      <c r="C374" t="s">
        <v>2585</v>
      </c>
      <c r="D374" s="7">
        <v>2022</v>
      </c>
      <c r="E374" t="s">
        <v>1554</v>
      </c>
      <c r="F374" t="s">
        <v>1976</v>
      </c>
      <c r="G374" t="s">
        <v>1559</v>
      </c>
      <c r="H374" t="s">
        <v>2594</v>
      </c>
      <c r="I374" s="7">
        <v>3.29</v>
      </c>
      <c r="J374" s="7">
        <v>3</v>
      </c>
      <c r="K374" s="7">
        <v>3.5</v>
      </c>
      <c r="L374" s="7">
        <v>3</v>
      </c>
      <c r="M374" s="7">
        <v>3.5</v>
      </c>
      <c r="N374" s="7">
        <v>3</v>
      </c>
      <c r="O374" s="7">
        <v>3.5</v>
      </c>
      <c r="P374" s="7">
        <v>3.5</v>
      </c>
      <c r="Q374" t="s">
        <v>2572</v>
      </c>
      <c r="R374" s="7">
        <v>300</v>
      </c>
      <c r="S374" t="str">
        <f xml:space="preserve"> HYPERLINK("ReviewHtml/review_My_Dress-Up_Darling.html", "https://2danicritic.github.io/ReviewHtml/review_My_Dress-Up_Darling.html")</f>
        <v>https://2danicritic.github.io/ReviewHtml/review_My_Dress-Up_Darling.html</v>
      </c>
    </row>
    <row r="375" spans="2:19" x14ac:dyDescent="0.35">
      <c r="B375" s="35">
        <v>372</v>
      </c>
      <c r="C375" t="s">
        <v>959</v>
      </c>
      <c r="D375" s="7">
        <v>2016</v>
      </c>
      <c r="E375" t="s">
        <v>1556</v>
      </c>
      <c r="F375" t="s">
        <v>960</v>
      </c>
      <c r="G375" t="s">
        <v>1557</v>
      </c>
      <c r="H375" t="s">
        <v>961</v>
      </c>
      <c r="I375" s="7">
        <v>1.79</v>
      </c>
      <c r="J375" s="7">
        <v>1.5</v>
      </c>
      <c r="K375" s="7">
        <v>2</v>
      </c>
      <c r="L375" s="7">
        <v>2</v>
      </c>
      <c r="M375" s="7">
        <v>2</v>
      </c>
      <c r="N375" s="7">
        <v>2</v>
      </c>
      <c r="O375" s="7">
        <v>2</v>
      </c>
      <c r="P375" s="7">
        <v>1</v>
      </c>
      <c r="Q375" t="s">
        <v>204</v>
      </c>
      <c r="R375" s="7">
        <v>75</v>
      </c>
      <c r="S375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376" spans="2:19" x14ac:dyDescent="0.35">
      <c r="B376" s="35">
        <v>373</v>
      </c>
      <c r="C376" t="s">
        <v>1812</v>
      </c>
      <c r="D376" s="7">
        <v>2020</v>
      </c>
      <c r="E376" t="s">
        <v>1813</v>
      </c>
      <c r="F376" t="s">
        <v>1814</v>
      </c>
      <c r="G376" t="s">
        <v>1557</v>
      </c>
      <c r="H376" t="s">
        <v>1769</v>
      </c>
      <c r="I376" s="7">
        <v>2.57</v>
      </c>
      <c r="J376" s="7">
        <v>2</v>
      </c>
      <c r="K376" s="7">
        <v>2.5</v>
      </c>
      <c r="L376" s="7">
        <v>2.5</v>
      </c>
      <c r="M376" s="7">
        <v>3</v>
      </c>
      <c r="N376" s="7">
        <v>3</v>
      </c>
      <c r="O376" s="7">
        <v>2.5</v>
      </c>
      <c r="P376" s="7">
        <v>2.5</v>
      </c>
      <c r="Q376" t="s">
        <v>1770</v>
      </c>
      <c r="R376" s="7">
        <v>80</v>
      </c>
      <c r="S376" t="str">
        <f xml:space="preserve"> HYPERLINK("ReviewHtml/review_My_Favorite_War.html", "https://2danicritic.github.io/ReviewHtml/review_My_Favorite_War.html")</f>
        <v>https://2danicritic.github.io/ReviewHtml/review_My_Favorite_War.html</v>
      </c>
    </row>
    <row r="377" spans="2:19" x14ac:dyDescent="0.35">
      <c r="B377" s="35">
        <v>374</v>
      </c>
      <c r="C377" t="s">
        <v>1909</v>
      </c>
      <c r="D377" s="7">
        <v>2017</v>
      </c>
      <c r="E377" t="s">
        <v>1554</v>
      </c>
      <c r="F377" t="s">
        <v>1910</v>
      </c>
      <c r="G377" t="s">
        <v>1559</v>
      </c>
      <c r="H377" t="s">
        <v>1911</v>
      </c>
      <c r="I377" s="7">
        <v>3.14</v>
      </c>
      <c r="J377" s="7">
        <v>2.5</v>
      </c>
      <c r="K377" s="7">
        <v>3</v>
      </c>
      <c r="L377" s="7">
        <v>2.5</v>
      </c>
      <c r="M377" s="7">
        <v>4</v>
      </c>
      <c r="N377" s="7">
        <v>3</v>
      </c>
      <c r="O377" s="7">
        <v>4</v>
      </c>
      <c r="P377" s="7">
        <v>3</v>
      </c>
      <c r="Q377" t="s">
        <v>171</v>
      </c>
      <c r="R377" s="7">
        <v>275</v>
      </c>
      <c r="S377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</row>
    <row r="378" spans="2:19" x14ac:dyDescent="0.35">
      <c r="B378" s="35">
        <v>375</v>
      </c>
      <c r="C378" t="s">
        <v>1598</v>
      </c>
      <c r="D378" s="7">
        <v>2017</v>
      </c>
      <c r="E378" t="s">
        <v>1554</v>
      </c>
      <c r="F378" t="s">
        <v>1599</v>
      </c>
      <c r="G378" t="s">
        <v>1559</v>
      </c>
      <c r="H378" t="s">
        <v>1600</v>
      </c>
      <c r="I378" s="7">
        <v>2.4300000000000002</v>
      </c>
      <c r="J378" s="7">
        <v>2</v>
      </c>
      <c r="K378" s="7">
        <v>2</v>
      </c>
      <c r="L378" s="7">
        <v>3</v>
      </c>
      <c r="M378" s="7">
        <v>2.5</v>
      </c>
      <c r="N378" s="7">
        <v>2</v>
      </c>
      <c r="O378" s="7">
        <v>3</v>
      </c>
      <c r="P378" s="7">
        <v>2.5</v>
      </c>
      <c r="Q378" t="s">
        <v>171</v>
      </c>
      <c r="R378" s="7">
        <v>275</v>
      </c>
      <c r="S378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</row>
    <row r="379" spans="2:19" x14ac:dyDescent="0.35">
      <c r="B379" s="35">
        <v>376</v>
      </c>
      <c r="C379" t="s">
        <v>1601</v>
      </c>
      <c r="D379" s="7">
        <v>2016</v>
      </c>
      <c r="E379" t="s">
        <v>1554</v>
      </c>
      <c r="F379" t="s">
        <v>734</v>
      </c>
      <c r="G379" t="s">
        <v>1559</v>
      </c>
      <c r="H379" t="s">
        <v>1602</v>
      </c>
      <c r="I379" s="7">
        <v>3.43</v>
      </c>
      <c r="J379" s="7">
        <v>3.5</v>
      </c>
      <c r="K379" s="7">
        <v>3.5</v>
      </c>
      <c r="L379" s="7">
        <v>3.5</v>
      </c>
      <c r="M379" s="7">
        <v>3.5</v>
      </c>
      <c r="N379" s="7">
        <v>3</v>
      </c>
      <c r="O379" s="7">
        <v>4</v>
      </c>
      <c r="P379" s="7">
        <v>3</v>
      </c>
      <c r="Q379" t="s">
        <v>1543</v>
      </c>
      <c r="R379" s="7">
        <v>1525</v>
      </c>
      <c r="S379" t="str">
        <f xml:space="preserve"> HYPERLINK("ReviewHtml/review_My_Hero_Academia.html", "https://2danicritic.github.io/ReviewHtml/review_My_Hero_Academia.html")</f>
        <v>https://2danicritic.github.io/ReviewHtml/review_My_Hero_Academia.html</v>
      </c>
    </row>
    <row r="380" spans="2:19" x14ac:dyDescent="0.35">
      <c r="B380" s="35">
        <v>377</v>
      </c>
      <c r="C380" t="s">
        <v>2434</v>
      </c>
      <c r="D380" s="7">
        <v>2017</v>
      </c>
      <c r="E380" t="s">
        <v>1556</v>
      </c>
      <c r="F380" t="s">
        <v>2435</v>
      </c>
      <c r="G380" t="s">
        <v>1557</v>
      </c>
      <c r="H380" t="s">
        <v>2436</v>
      </c>
      <c r="I380" s="7">
        <v>3.5</v>
      </c>
      <c r="J380" s="7">
        <v>3.5</v>
      </c>
      <c r="K380" s="7">
        <v>3.5</v>
      </c>
      <c r="L380" s="7">
        <v>3.5</v>
      </c>
      <c r="M380" s="7">
        <v>4</v>
      </c>
      <c r="N380" s="7">
        <v>2.5</v>
      </c>
      <c r="O380" s="7">
        <v>4</v>
      </c>
      <c r="P380" s="7">
        <v>3.5</v>
      </c>
      <c r="Q380" t="s">
        <v>230</v>
      </c>
      <c r="R380" s="7">
        <v>99</v>
      </c>
      <c r="S380" t="str">
        <f xml:space="preserve"> HYPERLINK("ReviewHtml/review_My_Little_Pony_-_The_Movie.html", "https://2danicritic.github.io/ReviewHtml/review_My_Little_Pony_-_The_Movie.html")</f>
        <v>https://2danicritic.github.io/ReviewHtml/review_My_Little_Pony_-_The_Movie.html</v>
      </c>
    </row>
    <row r="381" spans="2:19" x14ac:dyDescent="0.35">
      <c r="B381" s="35">
        <v>378</v>
      </c>
      <c r="C381" t="s">
        <v>962</v>
      </c>
      <c r="D381" s="7">
        <v>1988</v>
      </c>
      <c r="E381" t="s">
        <v>1554</v>
      </c>
      <c r="F381" t="s">
        <v>747</v>
      </c>
      <c r="G381" t="s">
        <v>1557</v>
      </c>
      <c r="H381" t="s">
        <v>748</v>
      </c>
      <c r="I381" s="7">
        <v>3.86</v>
      </c>
      <c r="J381" s="7">
        <v>3.5</v>
      </c>
      <c r="K381" s="7">
        <v>3.5</v>
      </c>
      <c r="L381" s="7">
        <v>4</v>
      </c>
      <c r="M381" s="7">
        <v>3.5</v>
      </c>
      <c r="N381" s="7">
        <v>3.5</v>
      </c>
      <c r="O381" s="7">
        <v>4</v>
      </c>
      <c r="P381" s="7">
        <v>5</v>
      </c>
      <c r="Q381" t="s">
        <v>195</v>
      </c>
      <c r="R381" s="7">
        <v>86</v>
      </c>
      <c r="S38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382" spans="2:19" x14ac:dyDescent="0.35">
      <c r="B382" s="35">
        <v>379</v>
      </c>
      <c r="C382" t="s">
        <v>963</v>
      </c>
      <c r="D382" s="7">
        <v>1999</v>
      </c>
      <c r="E382" t="s">
        <v>1554</v>
      </c>
      <c r="F382" t="s">
        <v>747</v>
      </c>
      <c r="G382" t="s">
        <v>1557</v>
      </c>
      <c r="H382" t="s">
        <v>843</v>
      </c>
      <c r="I382" s="7">
        <v>3.21</v>
      </c>
      <c r="J382" s="7">
        <v>3.5</v>
      </c>
      <c r="K382" s="7">
        <v>3.5</v>
      </c>
      <c r="L382" s="7">
        <v>3.5</v>
      </c>
      <c r="M382" s="7">
        <v>3</v>
      </c>
      <c r="N382" s="7">
        <v>1.5</v>
      </c>
      <c r="O382" s="7">
        <v>3.5</v>
      </c>
      <c r="P382" s="7">
        <v>4</v>
      </c>
      <c r="Q382" t="s">
        <v>205</v>
      </c>
      <c r="R382" s="7">
        <v>104</v>
      </c>
      <c r="S38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383" spans="2:19" x14ac:dyDescent="0.35">
      <c r="B383" s="35">
        <v>380</v>
      </c>
      <c r="C383" t="s">
        <v>1735</v>
      </c>
      <c r="D383" s="7">
        <v>2016</v>
      </c>
      <c r="E383" t="s">
        <v>1554</v>
      </c>
      <c r="F383" t="s">
        <v>658</v>
      </c>
      <c r="G383" t="s">
        <v>1559</v>
      </c>
      <c r="H383" t="s">
        <v>909</v>
      </c>
      <c r="I383" s="7">
        <v>2.93</v>
      </c>
      <c r="J383" s="7">
        <v>3.5</v>
      </c>
      <c r="K383" s="7">
        <v>3.5</v>
      </c>
      <c r="L383" s="7">
        <v>3</v>
      </c>
      <c r="M383" s="7">
        <v>3</v>
      </c>
      <c r="N383" s="7">
        <v>2</v>
      </c>
      <c r="O383" s="7">
        <v>3</v>
      </c>
      <c r="P383" s="7">
        <v>2.5</v>
      </c>
      <c r="Q383" t="s">
        <v>1669</v>
      </c>
      <c r="R383" s="7">
        <v>350</v>
      </c>
      <c r="S383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</row>
    <row r="384" spans="2:19" x14ac:dyDescent="0.35">
      <c r="B384" s="35">
        <v>381</v>
      </c>
      <c r="C384" t="s">
        <v>2031</v>
      </c>
      <c r="D384" s="7">
        <v>2019</v>
      </c>
      <c r="E384" t="s">
        <v>1554</v>
      </c>
      <c r="F384" t="s">
        <v>2032</v>
      </c>
      <c r="G384" t="s">
        <v>1559</v>
      </c>
      <c r="H384" t="s">
        <v>2033</v>
      </c>
      <c r="I384" s="7">
        <v>2.71</v>
      </c>
      <c r="J384" s="7">
        <v>2.5</v>
      </c>
      <c r="K384" s="7">
        <v>3</v>
      </c>
      <c r="L384" s="7">
        <v>3</v>
      </c>
      <c r="M384" s="7">
        <v>3</v>
      </c>
      <c r="N384" s="7">
        <v>2</v>
      </c>
      <c r="O384" s="7">
        <v>3.5</v>
      </c>
      <c r="P384" s="7">
        <v>2</v>
      </c>
      <c r="Q384" t="s">
        <v>2007</v>
      </c>
      <c r="R384" s="7">
        <v>150</v>
      </c>
      <c r="S384" t="str">
        <f xml:space="preserve"> HYPERLINK("ReviewHtml/review_Mysteria_Friends.html", "https://2danicritic.github.io/ReviewHtml/review_Mysteria_Friends.html")</f>
        <v>https://2danicritic.github.io/ReviewHtml/review_Mysteria_Friends.html</v>
      </c>
    </row>
    <row r="385" spans="2:19" x14ac:dyDescent="0.35">
      <c r="B385" s="35">
        <v>382</v>
      </c>
      <c r="C385" t="s">
        <v>964</v>
      </c>
      <c r="D385" s="7">
        <v>1990</v>
      </c>
      <c r="E385" t="s">
        <v>1554</v>
      </c>
      <c r="F385" t="s">
        <v>965</v>
      </c>
      <c r="G385" t="s">
        <v>1559</v>
      </c>
      <c r="H385" t="s">
        <v>206</v>
      </c>
      <c r="I385" s="7">
        <v>2.64</v>
      </c>
      <c r="J385" s="7">
        <v>2</v>
      </c>
      <c r="K385" s="7">
        <v>3</v>
      </c>
      <c r="L385" s="7">
        <v>3</v>
      </c>
      <c r="M385" s="7">
        <v>2.5</v>
      </c>
      <c r="N385" s="7">
        <v>2.5</v>
      </c>
      <c r="O385" s="7">
        <v>2.5</v>
      </c>
      <c r="P385" s="7">
        <v>3</v>
      </c>
      <c r="Q385" t="s">
        <v>207</v>
      </c>
      <c r="R385" s="7">
        <v>975</v>
      </c>
      <c r="S385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386" spans="2:19" x14ac:dyDescent="0.35">
      <c r="B386" s="35">
        <v>383</v>
      </c>
      <c r="C386" t="s">
        <v>1815</v>
      </c>
      <c r="D386" s="7">
        <v>2020</v>
      </c>
      <c r="E386" t="s">
        <v>1569</v>
      </c>
      <c r="F386" t="s">
        <v>1816</v>
      </c>
      <c r="G386" t="s">
        <v>1557</v>
      </c>
      <c r="H386" t="s">
        <v>1817</v>
      </c>
      <c r="I386" s="7">
        <v>3.21</v>
      </c>
      <c r="J386" s="7">
        <v>3.5</v>
      </c>
      <c r="K386" s="7">
        <v>3.5</v>
      </c>
      <c r="L386" s="7">
        <v>3</v>
      </c>
      <c r="M386" s="7">
        <v>3.5</v>
      </c>
      <c r="N386" s="7">
        <v>3</v>
      </c>
      <c r="O386" s="7">
        <v>3</v>
      </c>
      <c r="P386" s="7">
        <v>3</v>
      </c>
      <c r="Q386" t="s">
        <v>195</v>
      </c>
      <c r="R386" s="7">
        <v>99</v>
      </c>
      <c r="S386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</row>
    <row r="387" spans="2:19" x14ac:dyDescent="0.35">
      <c r="B387" s="35">
        <v>384</v>
      </c>
      <c r="C387" t="s">
        <v>966</v>
      </c>
      <c r="D387" s="7">
        <v>2017</v>
      </c>
      <c r="E387" t="s">
        <v>1554</v>
      </c>
      <c r="F387" t="s">
        <v>967</v>
      </c>
      <c r="G387" t="s">
        <v>1557</v>
      </c>
      <c r="H387" t="s">
        <v>801</v>
      </c>
      <c r="I387" s="7">
        <v>2.93</v>
      </c>
      <c r="J387" s="7">
        <v>3</v>
      </c>
      <c r="K387" s="7">
        <v>3.5</v>
      </c>
      <c r="L387" s="7">
        <v>3.5</v>
      </c>
      <c r="M387" s="7">
        <v>2.5</v>
      </c>
      <c r="N387" s="7">
        <v>2</v>
      </c>
      <c r="O387" s="7">
        <v>3</v>
      </c>
      <c r="P387" s="7">
        <v>3</v>
      </c>
      <c r="Q387" t="s">
        <v>208</v>
      </c>
      <c r="R387" s="7">
        <v>111</v>
      </c>
      <c r="S387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388" spans="2:19" x14ac:dyDescent="0.35">
      <c r="B388" s="35">
        <v>385</v>
      </c>
      <c r="C388" t="s">
        <v>968</v>
      </c>
      <c r="D388" s="7">
        <v>1984</v>
      </c>
      <c r="E388" t="s">
        <v>1554</v>
      </c>
      <c r="F388" t="s">
        <v>747</v>
      </c>
      <c r="G388" t="s">
        <v>1557</v>
      </c>
      <c r="H388" t="s">
        <v>969</v>
      </c>
      <c r="I388" s="7">
        <v>3.57</v>
      </c>
      <c r="J388" s="7">
        <v>3</v>
      </c>
      <c r="K388" s="7">
        <v>3</v>
      </c>
      <c r="L388" s="7">
        <v>4</v>
      </c>
      <c r="M388" s="7">
        <v>3.5</v>
      </c>
      <c r="N388" s="7">
        <v>4</v>
      </c>
      <c r="O388" s="7">
        <v>3</v>
      </c>
      <c r="P388" s="7">
        <v>4.5</v>
      </c>
      <c r="Q388" t="s">
        <v>209</v>
      </c>
      <c r="R388" s="7">
        <v>117</v>
      </c>
      <c r="S388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389" spans="2:19" x14ac:dyDescent="0.35">
      <c r="B389" s="35">
        <v>386</v>
      </c>
      <c r="C389" t="s">
        <v>2509</v>
      </c>
      <c r="D389" s="7">
        <v>2022</v>
      </c>
      <c r="E389" t="s">
        <v>2524</v>
      </c>
      <c r="F389" t="s">
        <v>2530</v>
      </c>
      <c r="G389" t="s">
        <v>1557</v>
      </c>
      <c r="H389" t="s">
        <v>2531</v>
      </c>
      <c r="I389" s="7">
        <v>3.14</v>
      </c>
      <c r="J389" s="7">
        <v>3</v>
      </c>
      <c r="K389" s="7">
        <v>3</v>
      </c>
      <c r="L389" s="7">
        <v>3</v>
      </c>
      <c r="M389" s="7">
        <v>3</v>
      </c>
      <c r="N389" s="7">
        <v>3</v>
      </c>
      <c r="O389" s="7">
        <v>3.5</v>
      </c>
      <c r="P389" s="7">
        <v>3.5</v>
      </c>
      <c r="Q389" t="s">
        <v>2488</v>
      </c>
      <c r="R389" s="7">
        <v>83</v>
      </c>
      <c r="S389" t="str">
        <f xml:space="preserve"> HYPERLINK("ReviewHtml/review_Nayola.html", "https://2danicritic.github.io/ReviewHtml/review_Nayola.html")</f>
        <v>https://2danicritic.github.io/ReviewHtml/review_Nayola.html</v>
      </c>
    </row>
    <row r="390" spans="2:19" x14ac:dyDescent="0.35">
      <c r="B390" s="35">
        <v>387</v>
      </c>
      <c r="C390" t="s">
        <v>1269</v>
      </c>
      <c r="D390" s="7">
        <v>1995</v>
      </c>
      <c r="E390" t="s">
        <v>1554</v>
      </c>
      <c r="F390" t="s">
        <v>965</v>
      </c>
      <c r="G390" t="s">
        <v>1559</v>
      </c>
      <c r="H390" t="s">
        <v>1299</v>
      </c>
      <c r="I390" s="7">
        <v>3.36</v>
      </c>
      <c r="J390" s="7">
        <v>2.5</v>
      </c>
      <c r="K390" s="7">
        <v>3.5</v>
      </c>
      <c r="L390" s="7">
        <v>4</v>
      </c>
      <c r="M390" s="7">
        <v>2</v>
      </c>
      <c r="N390" s="7">
        <v>3.5</v>
      </c>
      <c r="O390" s="7">
        <v>3.5</v>
      </c>
      <c r="P390" s="7">
        <v>4.5</v>
      </c>
      <c r="Q390" t="s">
        <v>1203</v>
      </c>
      <c r="R390" s="7">
        <v>650</v>
      </c>
      <c r="S390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391" spans="2:19" x14ac:dyDescent="0.35">
      <c r="B391" s="35">
        <v>388</v>
      </c>
      <c r="C391" t="s">
        <v>1270</v>
      </c>
      <c r="D391" s="7">
        <v>1997</v>
      </c>
      <c r="E391" t="s">
        <v>1554</v>
      </c>
      <c r="F391" t="s">
        <v>1204</v>
      </c>
      <c r="G391" t="s">
        <v>1557</v>
      </c>
      <c r="H391" t="s">
        <v>1205</v>
      </c>
      <c r="I391" s="7">
        <v>2.79</v>
      </c>
      <c r="J391" s="7">
        <v>3</v>
      </c>
      <c r="K391" s="7">
        <v>3</v>
      </c>
      <c r="L391" s="7">
        <v>3</v>
      </c>
      <c r="M391" s="7">
        <v>2</v>
      </c>
      <c r="N391" s="7">
        <v>2.5</v>
      </c>
      <c r="O391" s="7">
        <v>3</v>
      </c>
      <c r="P391" s="7">
        <v>3</v>
      </c>
      <c r="Q391" t="s">
        <v>1206</v>
      </c>
      <c r="R391" s="7">
        <v>110</v>
      </c>
      <c r="S391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392" spans="2:19" x14ac:dyDescent="0.35">
      <c r="B392" s="35">
        <v>389</v>
      </c>
      <c r="C392" t="s">
        <v>1271</v>
      </c>
      <c r="D392" s="7">
        <v>1997</v>
      </c>
      <c r="E392" t="s">
        <v>1554</v>
      </c>
      <c r="F392" t="s">
        <v>1290</v>
      </c>
      <c r="G392" t="s">
        <v>1557</v>
      </c>
      <c r="H392" t="s">
        <v>1207</v>
      </c>
      <c r="I392" s="7">
        <v>3.43</v>
      </c>
      <c r="J392" s="7">
        <v>3</v>
      </c>
      <c r="K392" s="7">
        <v>3.5</v>
      </c>
      <c r="L392" s="7">
        <v>3.5</v>
      </c>
      <c r="M392" s="7">
        <v>2.5</v>
      </c>
      <c r="N392" s="7">
        <v>3.5</v>
      </c>
      <c r="O392" s="7">
        <v>3.5</v>
      </c>
      <c r="P392" s="7">
        <v>4.5</v>
      </c>
      <c r="Q392" t="s">
        <v>1208</v>
      </c>
      <c r="R392" s="7">
        <v>85</v>
      </c>
      <c r="S392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393" spans="2:19" x14ac:dyDescent="0.35">
      <c r="B393" s="35">
        <v>390</v>
      </c>
      <c r="C393" t="s">
        <v>970</v>
      </c>
      <c r="D393" s="7">
        <v>2016</v>
      </c>
      <c r="E393" t="s">
        <v>1556</v>
      </c>
      <c r="F393" t="s">
        <v>971</v>
      </c>
      <c r="G393" t="s">
        <v>1557</v>
      </c>
      <c r="H393" t="s">
        <v>972</v>
      </c>
      <c r="I393" s="7">
        <v>2.14</v>
      </c>
      <c r="J393" s="7">
        <v>2</v>
      </c>
      <c r="K393" s="7">
        <v>2</v>
      </c>
      <c r="L393" s="7">
        <v>2</v>
      </c>
      <c r="M393" s="7">
        <v>4</v>
      </c>
      <c r="N393" s="7">
        <v>2</v>
      </c>
      <c r="O393" s="7">
        <v>2</v>
      </c>
      <c r="P393" s="7">
        <v>1</v>
      </c>
      <c r="Q393" t="s">
        <v>210</v>
      </c>
      <c r="R393" s="7">
        <v>83</v>
      </c>
      <c r="S393" t="str">
        <f xml:space="preserve"> HYPERLINK("ReviewHtml/review_Nerdland.html", "https://2danicritic.github.io/ReviewHtml/review_Nerdland.html")</f>
        <v>https://2danicritic.github.io/ReviewHtml/review_Nerdland.html</v>
      </c>
    </row>
    <row r="394" spans="2:19" x14ac:dyDescent="0.35">
      <c r="B394" s="35">
        <v>391</v>
      </c>
      <c r="C394" t="s">
        <v>1603</v>
      </c>
      <c r="D394" s="7">
        <v>1994</v>
      </c>
      <c r="E394" t="s">
        <v>1554</v>
      </c>
      <c r="F394" t="s">
        <v>681</v>
      </c>
      <c r="G394" t="s">
        <v>1560</v>
      </c>
      <c r="H394" t="s">
        <v>1604</v>
      </c>
      <c r="I394" s="7">
        <v>2.86</v>
      </c>
      <c r="J394" s="7">
        <v>3</v>
      </c>
      <c r="K394" s="7">
        <v>2.5</v>
      </c>
      <c r="L394" s="7">
        <v>2.5</v>
      </c>
      <c r="M394" s="7">
        <v>3</v>
      </c>
      <c r="N394" s="7">
        <v>2.5</v>
      </c>
      <c r="O394" s="7">
        <v>3.5</v>
      </c>
      <c r="P394" s="7">
        <v>3</v>
      </c>
      <c r="Q394" t="s">
        <v>1544</v>
      </c>
      <c r="R394" s="7">
        <v>210</v>
      </c>
      <c r="S394" t="str">
        <f xml:space="preserve"> HYPERLINK("ReviewHtml/review_New_Cutie_Honey.html", "https://2danicritic.github.io/ReviewHtml/review_New_Cutie_Honey.html")</f>
        <v>https://2danicritic.github.io/ReviewHtml/review_New_Cutie_Honey.html</v>
      </c>
    </row>
    <row r="395" spans="2:19" x14ac:dyDescent="0.35">
      <c r="B395" s="35">
        <v>392</v>
      </c>
      <c r="C395" t="s">
        <v>973</v>
      </c>
      <c r="D395" s="7">
        <v>2011</v>
      </c>
      <c r="E395" t="s">
        <v>1554</v>
      </c>
      <c r="F395" t="s">
        <v>658</v>
      </c>
      <c r="G395" t="s">
        <v>1559</v>
      </c>
      <c r="H395" t="s">
        <v>909</v>
      </c>
      <c r="I395" s="7">
        <v>4.1399999999999997</v>
      </c>
      <c r="J395" s="7">
        <v>4.5</v>
      </c>
      <c r="K395" s="7">
        <v>4</v>
      </c>
      <c r="L395" s="7">
        <v>4.5</v>
      </c>
      <c r="M395" s="7">
        <v>4</v>
      </c>
      <c r="N395" s="7">
        <v>3</v>
      </c>
      <c r="O395" s="7">
        <v>4</v>
      </c>
      <c r="P395" s="7">
        <v>5</v>
      </c>
      <c r="Q395" t="s">
        <v>211</v>
      </c>
      <c r="R395" s="7">
        <v>350</v>
      </c>
      <c r="S395" t="str">
        <f xml:space="preserve"> HYPERLINK("ReviewHtml/review_Nichijou.html", "https://2danicritic.github.io/ReviewHtml/review_Nichijou.html")</f>
        <v>https://2danicritic.github.io/ReviewHtml/review_Nichijou.html</v>
      </c>
    </row>
    <row r="396" spans="2:19" x14ac:dyDescent="0.35">
      <c r="B396" s="35">
        <v>393</v>
      </c>
      <c r="C396" t="s">
        <v>974</v>
      </c>
      <c r="D396" s="7">
        <v>1985</v>
      </c>
      <c r="E396" t="s">
        <v>1554</v>
      </c>
      <c r="F396" t="s">
        <v>728</v>
      </c>
      <c r="G396" t="s">
        <v>1557</v>
      </c>
      <c r="H396" t="s">
        <v>975</v>
      </c>
      <c r="I396" s="7">
        <v>3.36</v>
      </c>
      <c r="J396" s="7">
        <v>2.5</v>
      </c>
      <c r="K396" s="7">
        <v>4</v>
      </c>
      <c r="L396" s="7">
        <v>4</v>
      </c>
      <c r="M396" s="7">
        <v>2.5</v>
      </c>
      <c r="N396" s="7">
        <v>3.5</v>
      </c>
      <c r="O396" s="7">
        <v>2.5</v>
      </c>
      <c r="P396" s="7">
        <v>4.5</v>
      </c>
      <c r="Q396" t="s">
        <v>212</v>
      </c>
      <c r="R396" s="7">
        <v>105</v>
      </c>
      <c r="S39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397" spans="2:19" x14ac:dyDescent="0.35">
      <c r="B397" s="35">
        <v>394</v>
      </c>
      <c r="C397" t="s">
        <v>1605</v>
      </c>
      <c r="D397" s="7">
        <v>1997</v>
      </c>
      <c r="E397" t="s">
        <v>1554</v>
      </c>
      <c r="F397" t="s">
        <v>694</v>
      </c>
      <c r="G397" t="s">
        <v>1560</v>
      </c>
      <c r="H397" t="s">
        <v>1606</v>
      </c>
      <c r="I397" s="7">
        <v>2.36</v>
      </c>
      <c r="J397" s="7">
        <v>2.5</v>
      </c>
      <c r="K397" s="7">
        <v>2</v>
      </c>
      <c r="L397" s="7">
        <v>2.5</v>
      </c>
      <c r="M397" s="7">
        <v>2.5</v>
      </c>
      <c r="N397" s="7">
        <v>2.5</v>
      </c>
      <c r="O397" s="7">
        <v>2.5</v>
      </c>
      <c r="P397" s="7">
        <v>2</v>
      </c>
      <c r="Q397" t="s">
        <v>77</v>
      </c>
      <c r="R397" s="7">
        <v>160</v>
      </c>
      <c r="S397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</row>
    <row r="398" spans="2:19" x14ac:dyDescent="0.35">
      <c r="B398" s="35">
        <v>395</v>
      </c>
      <c r="C398" t="s">
        <v>976</v>
      </c>
      <c r="D398" s="7">
        <v>2004</v>
      </c>
      <c r="E398" t="s">
        <v>1554</v>
      </c>
      <c r="F398" t="s">
        <v>814</v>
      </c>
      <c r="G398" t="s">
        <v>1559</v>
      </c>
      <c r="H398" t="s">
        <v>977</v>
      </c>
      <c r="I398" s="7">
        <v>1.93</v>
      </c>
      <c r="J398" s="7">
        <v>2</v>
      </c>
      <c r="K398" s="7">
        <v>2</v>
      </c>
      <c r="L398" s="7">
        <v>3</v>
      </c>
      <c r="M398" s="7">
        <v>2</v>
      </c>
      <c r="N398" s="7">
        <v>1.5</v>
      </c>
      <c r="O398" s="7">
        <v>2</v>
      </c>
      <c r="P398" s="7">
        <v>1</v>
      </c>
      <c r="Q398" t="s">
        <v>144</v>
      </c>
      <c r="R398" s="7">
        <v>300</v>
      </c>
      <c r="S398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399" spans="2:19" x14ac:dyDescent="0.35">
      <c r="B399" s="35">
        <v>396</v>
      </c>
      <c r="C399" t="s">
        <v>978</v>
      </c>
      <c r="D399" s="7">
        <v>1993</v>
      </c>
      <c r="E399" t="s">
        <v>1554</v>
      </c>
      <c r="F399" t="s">
        <v>694</v>
      </c>
      <c r="G399" t="s">
        <v>1557</v>
      </c>
      <c r="H399" t="s">
        <v>979</v>
      </c>
      <c r="I399" s="7">
        <v>3.86</v>
      </c>
      <c r="J399" s="7">
        <v>3</v>
      </c>
      <c r="K399" s="7">
        <v>3.5</v>
      </c>
      <c r="L399" s="7">
        <v>4</v>
      </c>
      <c r="M399" s="7">
        <v>3</v>
      </c>
      <c r="N399" s="7">
        <v>3.5</v>
      </c>
      <c r="O399" s="7">
        <v>5</v>
      </c>
      <c r="P399" s="7">
        <v>5</v>
      </c>
      <c r="Q399" t="s">
        <v>213</v>
      </c>
      <c r="R399" s="7">
        <v>94</v>
      </c>
      <c r="S399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400" spans="2:19" x14ac:dyDescent="0.35">
      <c r="B400" s="35">
        <v>397</v>
      </c>
      <c r="C400" t="s">
        <v>980</v>
      </c>
      <c r="D400" s="7">
        <v>2003</v>
      </c>
      <c r="E400" t="s">
        <v>1554</v>
      </c>
      <c r="F400" t="s">
        <v>694</v>
      </c>
      <c r="G400" t="s">
        <v>1559</v>
      </c>
      <c r="H400" t="s">
        <v>753</v>
      </c>
      <c r="I400" s="7">
        <v>2.14</v>
      </c>
      <c r="J400" s="7">
        <v>2</v>
      </c>
      <c r="K400" s="7">
        <v>2</v>
      </c>
      <c r="L400" s="7">
        <v>2.5</v>
      </c>
      <c r="M400" s="7">
        <v>2</v>
      </c>
      <c r="N400" s="7">
        <v>2</v>
      </c>
      <c r="O400" s="7">
        <v>3</v>
      </c>
      <c r="P400" s="7">
        <v>1.5</v>
      </c>
      <c r="Q400" t="s">
        <v>248</v>
      </c>
      <c r="R400" s="7">
        <v>325</v>
      </c>
      <c r="S400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401" spans="2:19" x14ac:dyDescent="0.35">
      <c r="B401" s="35">
        <v>398</v>
      </c>
      <c r="C401" t="s">
        <v>981</v>
      </c>
      <c r="D401" s="7">
        <v>2012</v>
      </c>
      <c r="E401" t="s">
        <v>1554</v>
      </c>
      <c r="F401" t="s">
        <v>689</v>
      </c>
      <c r="G401" t="s">
        <v>1559</v>
      </c>
      <c r="H401" t="s">
        <v>214</v>
      </c>
      <c r="I401" s="7">
        <v>4.1399999999999997</v>
      </c>
      <c r="J401" s="7">
        <v>4</v>
      </c>
      <c r="K401" s="7">
        <v>4</v>
      </c>
      <c r="L401" s="7">
        <v>4</v>
      </c>
      <c r="M401" s="7">
        <v>4</v>
      </c>
      <c r="N401" s="7">
        <v>4</v>
      </c>
      <c r="O401" s="7">
        <v>4</v>
      </c>
      <c r="P401" s="7">
        <v>5</v>
      </c>
      <c r="Q401" t="s">
        <v>74</v>
      </c>
      <c r="R401" s="7">
        <v>275</v>
      </c>
      <c r="S401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402" spans="2:19" x14ac:dyDescent="0.35">
      <c r="B402" s="35">
        <v>399</v>
      </c>
      <c r="C402" t="s">
        <v>982</v>
      </c>
      <c r="D402" s="7">
        <v>2014</v>
      </c>
      <c r="E402" t="s">
        <v>1554</v>
      </c>
      <c r="F402" t="s">
        <v>694</v>
      </c>
      <c r="G402" t="s">
        <v>1559</v>
      </c>
      <c r="H402" t="s">
        <v>983</v>
      </c>
      <c r="I402" s="7">
        <v>3.71</v>
      </c>
      <c r="J402" s="7">
        <v>3.5</v>
      </c>
      <c r="K402" s="7">
        <v>3.5</v>
      </c>
      <c r="L402" s="7">
        <v>4</v>
      </c>
      <c r="M402" s="7">
        <v>4</v>
      </c>
      <c r="N402" s="7">
        <v>3</v>
      </c>
      <c r="O402" s="7">
        <v>4</v>
      </c>
      <c r="P402" s="7">
        <v>4</v>
      </c>
      <c r="Q402" t="s">
        <v>215</v>
      </c>
      <c r="R402" s="7">
        <v>300</v>
      </c>
      <c r="S402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403" spans="2:19" x14ac:dyDescent="0.35">
      <c r="B403" s="35">
        <v>400</v>
      </c>
      <c r="C403" t="s">
        <v>984</v>
      </c>
      <c r="D403" s="7">
        <v>2017</v>
      </c>
      <c r="E403" t="s">
        <v>1554</v>
      </c>
      <c r="F403" t="s">
        <v>694</v>
      </c>
      <c r="G403" t="s">
        <v>1557</v>
      </c>
      <c r="H403" t="s">
        <v>983</v>
      </c>
      <c r="I403" s="7">
        <v>4</v>
      </c>
      <c r="J403" s="7">
        <v>4</v>
      </c>
      <c r="K403" s="7">
        <v>4</v>
      </c>
      <c r="L403" s="7">
        <v>4</v>
      </c>
      <c r="M403" s="7">
        <v>4</v>
      </c>
      <c r="N403" s="7">
        <v>4</v>
      </c>
      <c r="O403" s="7">
        <v>4</v>
      </c>
      <c r="P403" s="7">
        <v>4</v>
      </c>
      <c r="Q403" t="s">
        <v>216</v>
      </c>
      <c r="R403" s="7">
        <v>106</v>
      </c>
      <c r="S403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404" spans="2:19" x14ac:dyDescent="0.35">
      <c r="B404" s="35">
        <v>401</v>
      </c>
      <c r="C404" t="s">
        <v>1736</v>
      </c>
      <c r="D404" s="7">
        <v>2007</v>
      </c>
      <c r="E404" t="s">
        <v>1566</v>
      </c>
      <c r="F404" t="s">
        <v>1737</v>
      </c>
      <c r="G404" t="s">
        <v>1557</v>
      </c>
      <c r="H404" t="s">
        <v>1670</v>
      </c>
      <c r="I404" s="7">
        <v>3.36</v>
      </c>
      <c r="J404" s="7">
        <v>3.5</v>
      </c>
      <c r="K404" s="7">
        <v>4</v>
      </c>
      <c r="L404" s="7">
        <v>3.5</v>
      </c>
      <c r="M404" s="7">
        <v>3</v>
      </c>
      <c r="N404" s="7">
        <v>3</v>
      </c>
      <c r="O404" s="7">
        <v>3</v>
      </c>
      <c r="P404" s="7">
        <v>3.5</v>
      </c>
      <c r="Q404" t="s">
        <v>195</v>
      </c>
      <c r="R404" s="7">
        <v>88</v>
      </c>
      <c r="S404" t="str">
        <f xml:space="preserve"> HYPERLINK("ReviewHtml/review_Nocturna.html", "https://2danicritic.github.io/ReviewHtml/review_Nocturna.html")</f>
        <v>https://2danicritic.github.io/ReviewHtml/review_Nocturna.html</v>
      </c>
    </row>
    <row r="405" spans="2:19" x14ac:dyDescent="0.35">
      <c r="B405" s="35">
        <v>402</v>
      </c>
      <c r="C405" t="s">
        <v>985</v>
      </c>
      <c r="D405" s="7">
        <v>2014</v>
      </c>
      <c r="E405" t="s">
        <v>1554</v>
      </c>
      <c r="F405" t="s">
        <v>734</v>
      </c>
      <c r="G405" t="s">
        <v>1559</v>
      </c>
      <c r="H405" t="s">
        <v>986</v>
      </c>
      <c r="I405" s="7">
        <v>3.5</v>
      </c>
      <c r="J405" s="7">
        <v>3</v>
      </c>
      <c r="K405" s="7">
        <v>3.5</v>
      </c>
      <c r="L405" s="7">
        <v>4</v>
      </c>
      <c r="M405" s="7">
        <v>3</v>
      </c>
      <c r="N405" s="7">
        <v>3.5</v>
      </c>
      <c r="O405" s="7">
        <v>4</v>
      </c>
      <c r="P405" s="7">
        <v>3.5</v>
      </c>
      <c r="Q405" t="s">
        <v>217</v>
      </c>
      <c r="R405" s="7">
        <v>625</v>
      </c>
      <c r="S405" t="str">
        <f xml:space="preserve"> HYPERLINK("ReviewHtml/review_Noragami.html", "https://2danicritic.github.io/ReviewHtml/review_Noragami.html")</f>
        <v>https://2danicritic.github.io/ReviewHtml/review_Noragami.html</v>
      </c>
    </row>
    <row r="406" spans="2:19" x14ac:dyDescent="0.35">
      <c r="B406" s="35">
        <v>403</v>
      </c>
      <c r="C406" t="s">
        <v>987</v>
      </c>
      <c r="D406" s="7">
        <v>2016</v>
      </c>
      <c r="E406" t="s">
        <v>1607</v>
      </c>
      <c r="F406" t="s">
        <v>988</v>
      </c>
      <c r="G406" t="s">
        <v>1557</v>
      </c>
      <c r="H406" t="s">
        <v>989</v>
      </c>
      <c r="I406" s="7">
        <v>2.93</v>
      </c>
      <c r="J406" s="7">
        <v>3</v>
      </c>
      <c r="K406" s="7">
        <v>2.5</v>
      </c>
      <c r="L406" s="7">
        <v>2.5</v>
      </c>
      <c r="M406" s="7">
        <v>1.5</v>
      </c>
      <c r="N406" s="7">
        <v>3.5</v>
      </c>
      <c r="O406" s="7">
        <v>3.5</v>
      </c>
      <c r="P406" s="7">
        <v>4</v>
      </c>
      <c r="Q406" t="s">
        <v>218</v>
      </c>
      <c r="R406" s="7">
        <v>65</v>
      </c>
      <c r="S406" t="str">
        <f xml:space="preserve"> HYPERLINK("ReviewHtml/review_Nova_Seed.html", "https://2danicritic.github.io/ReviewHtml/review_Nova_Seed.html")</f>
        <v>https://2danicritic.github.io/ReviewHtml/review_Nova_Seed.html</v>
      </c>
    </row>
    <row r="407" spans="2:19" x14ac:dyDescent="0.35">
      <c r="B407" s="35">
        <v>404</v>
      </c>
      <c r="C407" t="s">
        <v>990</v>
      </c>
      <c r="D407" s="7">
        <v>1993</v>
      </c>
      <c r="E407" t="s">
        <v>1554</v>
      </c>
      <c r="F407" t="s">
        <v>747</v>
      </c>
      <c r="G407" t="s">
        <v>1557</v>
      </c>
      <c r="H407" t="s">
        <v>991</v>
      </c>
      <c r="I407" s="7">
        <v>3</v>
      </c>
      <c r="J407" s="7">
        <v>3</v>
      </c>
      <c r="K407" s="7">
        <v>3</v>
      </c>
      <c r="L407" s="7">
        <v>3</v>
      </c>
      <c r="M407" s="7">
        <v>3</v>
      </c>
      <c r="N407" s="7">
        <v>3.5</v>
      </c>
      <c r="O407" s="7">
        <v>2.5</v>
      </c>
      <c r="P407" s="7">
        <v>3</v>
      </c>
      <c r="Q407" t="s">
        <v>100</v>
      </c>
      <c r="R407" s="7">
        <v>73</v>
      </c>
      <c r="S407" t="str">
        <f xml:space="preserve"> HYPERLINK("ReviewHtml/review_Ocean_Waves.html", "https://2danicritic.github.io/ReviewHtml/review_Ocean_Waves.html")</f>
        <v>https://2danicritic.github.io/ReviewHtml/review_Ocean_Waves.html</v>
      </c>
    </row>
    <row r="408" spans="2:19" x14ac:dyDescent="0.35">
      <c r="B408" s="35">
        <v>405</v>
      </c>
      <c r="C408" t="s">
        <v>992</v>
      </c>
      <c r="D408" s="7">
        <v>2007</v>
      </c>
      <c r="E408" t="s">
        <v>1554</v>
      </c>
      <c r="F408" t="s">
        <v>694</v>
      </c>
      <c r="G408" t="s">
        <v>1559</v>
      </c>
      <c r="H408" t="s">
        <v>993</v>
      </c>
      <c r="I408" s="7">
        <v>2.29</v>
      </c>
      <c r="J408" s="7">
        <v>2</v>
      </c>
      <c r="K408" s="7">
        <v>2.5</v>
      </c>
      <c r="L408" s="7">
        <v>3.5</v>
      </c>
      <c r="M408" s="7">
        <v>2.5</v>
      </c>
      <c r="N408" s="7">
        <v>1.5</v>
      </c>
      <c r="O408" s="7">
        <v>3</v>
      </c>
      <c r="P408" s="7">
        <v>1</v>
      </c>
      <c r="Q408" t="s">
        <v>219</v>
      </c>
      <c r="R408" s="7">
        <v>650</v>
      </c>
      <c r="S40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409" spans="2:19" x14ac:dyDescent="0.35">
      <c r="B409" s="35">
        <v>406</v>
      </c>
      <c r="C409" t="s">
        <v>1818</v>
      </c>
      <c r="D409" s="7">
        <v>2018</v>
      </c>
      <c r="E409" t="s">
        <v>1554</v>
      </c>
      <c r="F409" t="s">
        <v>1819</v>
      </c>
      <c r="G409" t="s">
        <v>1557</v>
      </c>
      <c r="H409" t="s">
        <v>1820</v>
      </c>
      <c r="I409" s="7">
        <v>3.79</v>
      </c>
      <c r="J409" s="7">
        <v>3.5</v>
      </c>
      <c r="K409" s="7">
        <v>3.5</v>
      </c>
      <c r="L409" s="7">
        <v>3.5</v>
      </c>
      <c r="M409" s="7">
        <v>3.5</v>
      </c>
      <c r="N409" s="7">
        <v>4</v>
      </c>
      <c r="O409" s="7">
        <v>4</v>
      </c>
      <c r="P409" s="7">
        <v>4.5</v>
      </c>
      <c r="Q409" t="s">
        <v>1771</v>
      </c>
      <c r="R409" s="7">
        <v>94</v>
      </c>
      <c r="S409" t="str">
        <f xml:space="preserve"> HYPERLINK("ReviewHtml/review_Okko's_Inn.html", "https://2danicritic.github.io/ReviewHtml/review_Okko's_Inn.html")</f>
        <v>https://2danicritic.github.io/ReviewHtml/review_Okko's_Inn.html</v>
      </c>
    </row>
    <row r="410" spans="2:19" x14ac:dyDescent="0.35">
      <c r="B410" s="35">
        <v>407</v>
      </c>
      <c r="C410" t="s">
        <v>2296</v>
      </c>
      <c r="D410" s="7">
        <v>1988</v>
      </c>
      <c r="E410" t="s">
        <v>1556</v>
      </c>
      <c r="F410" t="s">
        <v>2260</v>
      </c>
      <c r="G410" t="s">
        <v>1557</v>
      </c>
      <c r="H410" t="s">
        <v>2297</v>
      </c>
      <c r="I410" s="7">
        <v>3.71</v>
      </c>
      <c r="J410" s="7">
        <v>4</v>
      </c>
      <c r="K410" s="7">
        <v>3.5</v>
      </c>
      <c r="L410" s="7">
        <v>4.5</v>
      </c>
      <c r="M410" s="7">
        <v>4</v>
      </c>
      <c r="N410" s="7">
        <v>3.5</v>
      </c>
      <c r="O410" s="7">
        <v>3.5</v>
      </c>
      <c r="P410" s="7">
        <v>3</v>
      </c>
      <c r="Q410" t="s">
        <v>296</v>
      </c>
      <c r="R410" s="7">
        <v>74</v>
      </c>
      <c r="S410" t="str">
        <f xml:space="preserve"> HYPERLINK("ReviewHtml/review_Oliver_&amp;_Company.html", "https://2danicritic.github.io/ReviewHtml/review_Oliver_&amp;_Company.html")</f>
        <v>https://2danicritic.github.io/ReviewHtml/review_Oliver_&amp;_Company.html</v>
      </c>
    </row>
    <row r="411" spans="2:19" x14ac:dyDescent="0.35">
      <c r="B411" s="35">
        <v>408</v>
      </c>
      <c r="C411" t="s">
        <v>2649</v>
      </c>
      <c r="D411" s="7">
        <v>2024</v>
      </c>
      <c r="E411" t="s">
        <v>2630</v>
      </c>
      <c r="F411" t="s">
        <v>2650</v>
      </c>
      <c r="G411" t="s">
        <v>1557</v>
      </c>
      <c r="H411" t="s">
        <v>2631</v>
      </c>
      <c r="I411" s="7">
        <v>2.36</v>
      </c>
      <c r="J411" s="7">
        <v>2.5</v>
      </c>
      <c r="K411" s="7">
        <v>2</v>
      </c>
      <c r="L411" s="7">
        <v>3</v>
      </c>
      <c r="M411" s="7">
        <v>3</v>
      </c>
      <c r="N411" s="7">
        <v>2</v>
      </c>
      <c r="O411" s="7">
        <v>2</v>
      </c>
      <c r="P411" s="7">
        <v>2</v>
      </c>
      <c r="Q411" t="s">
        <v>2632</v>
      </c>
      <c r="R411" s="7">
        <v>80</v>
      </c>
      <c r="S411" t="str">
        <f xml:space="preserve"> HYPERLINK("ReviewHtml/review_Olivia_and_the_Clouds.html", "https://2danicritic.github.io/ReviewHtml/review_Olivia_and_the_Clouds.html")</f>
        <v>https://2danicritic.github.io/ReviewHtml/review_Olivia_and_the_Clouds.html</v>
      </c>
    </row>
    <row r="412" spans="2:19" x14ac:dyDescent="0.35">
      <c r="B412" s="35">
        <v>409</v>
      </c>
      <c r="C412" t="s">
        <v>1272</v>
      </c>
      <c r="D412" s="7">
        <v>2016</v>
      </c>
      <c r="E412" t="s">
        <v>1554</v>
      </c>
      <c r="F412" t="s">
        <v>681</v>
      </c>
      <c r="G412" t="s">
        <v>1557</v>
      </c>
      <c r="H412" t="s">
        <v>1300</v>
      </c>
      <c r="I412" s="7">
        <v>3.29</v>
      </c>
      <c r="J412" s="7">
        <v>3.5</v>
      </c>
      <c r="K412" s="7">
        <v>3</v>
      </c>
      <c r="L412" s="7">
        <v>3.5</v>
      </c>
      <c r="M412" s="7">
        <v>3.5</v>
      </c>
      <c r="N412" s="7">
        <v>2.5</v>
      </c>
      <c r="O412" s="7">
        <v>4</v>
      </c>
      <c r="P412" s="7">
        <v>3</v>
      </c>
      <c r="Q412" t="s">
        <v>1209</v>
      </c>
      <c r="R412" s="7">
        <v>120</v>
      </c>
      <c r="S412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413" spans="2:19" x14ac:dyDescent="0.35">
      <c r="B413" s="35">
        <v>410</v>
      </c>
      <c r="C413" t="s">
        <v>2437</v>
      </c>
      <c r="D413" s="7">
        <v>2022</v>
      </c>
      <c r="E413" t="s">
        <v>1554</v>
      </c>
      <c r="F413" t="s">
        <v>681</v>
      </c>
      <c r="G413" t="s">
        <v>1557</v>
      </c>
      <c r="H413" t="s">
        <v>762</v>
      </c>
      <c r="I413" s="7">
        <v>3.5</v>
      </c>
      <c r="J413" s="7">
        <v>3</v>
      </c>
      <c r="K413" s="7">
        <v>3</v>
      </c>
      <c r="L413" s="7">
        <v>4.5</v>
      </c>
      <c r="M413" s="7">
        <v>3.5</v>
      </c>
      <c r="N413" s="7">
        <v>3</v>
      </c>
      <c r="O413" s="7">
        <v>4</v>
      </c>
      <c r="P413" s="7">
        <v>3.5</v>
      </c>
      <c r="Q413" t="s">
        <v>230</v>
      </c>
      <c r="R413" s="7">
        <v>115</v>
      </c>
      <c r="S413" t="str">
        <f xml:space="preserve"> HYPERLINK("ReviewHtml/review_One_Piece_Film_-_Red.html", "https://2danicritic.github.io/ReviewHtml/review_One_Piece_Film_-_Red.html")</f>
        <v>https://2danicritic.github.io/ReviewHtml/review_One_Piece_Film_-_Red.html</v>
      </c>
    </row>
    <row r="414" spans="2:19" x14ac:dyDescent="0.35">
      <c r="B414" s="35">
        <v>411</v>
      </c>
      <c r="C414" t="s">
        <v>1395</v>
      </c>
      <c r="D414" s="7">
        <v>2012</v>
      </c>
      <c r="E414" t="s">
        <v>1554</v>
      </c>
      <c r="F414" t="s">
        <v>681</v>
      </c>
      <c r="G414" t="s">
        <v>1557</v>
      </c>
      <c r="H414" t="s">
        <v>1450</v>
      </c>
      <c r="I414" s="7">
        <v>2.86</v>
      </c>
      <c r="J414" s="7">
        <v>3</v>
      </c>
      <c r="K414" s="7">
        <v>2.5</v>
      </c>
      <c r="L414" s="7">
        <v>3</v>
      </c>
      <c r="M414" s="7">
        <v>3.5</v>
      </c>
      <c r="N414" s="7">
        <v>2.5</v>
      </c>
      <c r="O414" s="7">
        <v>3</v>
      </c>
      <c r="P414" s="7">
        <v>2.5</v>
      </c>
      <c r="Q414" t="s">
        <v>207</v>
      </c>
      <c r="R414" s="7">
        <v>107</v>
      </c>
      <c r="S414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415" spans="2:19" x14ac:dyDescent="0.35">
      <c r="B415" s="35">
        <v>412</v>
      </c>
      <c r="C415" t="s">
        <v>994</v>
      </c>
      <c r="D415" s="7">
        <v>2015</v>
      </c>
      <c r="E415" t="s">
        <v>1554</v>
      </c>
      <c r="F415" t="s">
        <v>694</v>
      </c>
      <c r="G415" t="s">
        <v>1559</v>
      </c>
      <c r="H415" t="s">
        <v>995</v>
      </c>
      <c r="I415" s="7">
        <v>3.21</v>
      </c>
      <c r="J415" s="7">
        <v>3.5</v>
      </c>
      <c r="K415" s="7">
        <v>3</v>
      </c>
      <c r="L415" s="7">
        <v>3.5</v>
      </c>
      <c r="M415" s="7">
        <v>2.5</v>
      </c>
      <c r="N415" s="7">
        <v>3</v>
      </c>
      <c r="O415" s="7">
        <v>3.5</v>
      </c>
      <c r="P415" s="7">
        <v>3.5</v>
      </c>
      <c r="Q415" t="s">
        <v>123</v>
      </c>
      <c r="R415" s="7">
        <v>450</v>
      </c>
      <c r="S415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416" spans="2:19" x14ac:dyDescent="0.35">
      <c r="B416" s="35">
        <v>413</v>
      </c>
      <c r="C416" t="s">
        <v>2034</v>
      </c>
      <c r="D416" s="7">
        <v>2019</v>
      </c>
      <c r="E416" t="s">
        <v>1554</v>
      </c>
      <c r="F416" t="s">
        <v>2035</v>
      </c>
      <c r="G416" t="s">
        <v>1557</v>
      </c>
      <c r="H416" t="s">
        <v>2036</v>
      </c>
      <c r="I416" s="7">
        <v>3.43</v>
      </c>
      <c r="J416" s="7">
        <v>3</v>
      </c>
      <c r="K416" s="7">
        <v>2.5</v>
      </c>
      <c r="L416" s="7">
        <v>3</v>
      </c>
      <c r="M416" s="7">
        <v>3.5</v>
      </c>
      <c r="N416" s="7">
        <v>3.5</v>
      </c>
      <c r="O416" s="7">
        <v>4</v>
      </c>
      <c r="P416" s="7">
        <v>4.5</v>
      </c>
      <c r="Q416" t="s">
        <v>2008</v>
      </c>
      <c r="R416" s="7">
        <v>71</v>
      </c>
      <c r="S416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</row>
    <row r="417" spans="2:19" x14ac:dyDescent="0.35">
      <c r="B417" s="35">
        <v>414</v>
      </c>
      <c r="C417" t="s">
        <v>996</v>
      </c>
      <c r="D417" s="7">
        <v>1991</v>
      </c>
      <c r="E417" t="s">
        <v>1554</v>
      </c>
      <c r="F417" t="s">
        <v>747</v>
      </c>
      <c r="G417" t="s">
        <v>1557</v>
      </c>
      <c r="H417" t="s">
        <v>843</v>
      </c>
      <c r="I417" s="7">
        <v>3.43</v>
      </c>
      <c r="J417" s="7">
        <v>3.5</v>
      </c>
      <c r="K417" s="7">
        <v>3</v>
      </c>
      <c r="L417" s="7">
        <v>3</v>
      </c>
      <c r="M417" s="7">
        <v>3.5</v>
      </c>
      <c r="N417" s="7">
        <v>4</v>
      </c>
      <c r="O417" s="7">
        <v>3</v>
      </c>
      <c r="P417" s="7">
        <v>4</v>
      </c>
      <c r="Q417" t="s">
        <v>110</v>
      </c>
      <c r="R417" s="7">
        <v>118</v>
      </c>
      <c r="S417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418" spans="2:19" x14ac:dyDescent="0.35">
      <c r="B418" s="35">
        <v>415</v>
      </c>
      <c r="C418" t="s">
        <v>1738</v>
      </c>
      <c r="D418" s="7">
        <v>2016</v>
      </c>
      <c r="E418" t="s">
        <v>1554</v>
      </c>
      <c r="F418" t="s">
        <v>915</v>
      </c>
      <c r="G418" t="s">
        <v>1559</v>
      </c>
      <c r="H418" t="s">
        <v>1671</v>
      </c>
      <c r="I418" s="7">
        <v>3.64</v>
      </c>
      <c r="J418" s="7">
        <v>3</v>
      </c>
      <c r="K418" s="7">
        <v>4</v>
      </c>
      <c r="L418" s="7">
        <v>3.5</v>
      </c>
      <c r="M418" s="7">
        <v>4</v>
      </c>
      <c r="N418" s="7">
        <v>3.5</v>
      </c>
      <c r="O418" s="7">
        <v>4</v>
      </c>
      <c r="P418" s="7">
        <v>3.5</v>
      </c>
      <c r="Q418" t="s">
        <v>100</v>
      </c>
      <c r="R418" s="7">
        <v>325</v>
      </c>
      <c r="S418" t="str">
        <f xml:space="preserve"> HYPERLINK("ReviewHtml/review_Orange.html", "https://2danicritic.github.io/ReviewHtml/review_Orange.html")</f>
        <v>https://2danicritic.github.io/ReviewHtml/review_Orange.html</v>
      </c>
    </row>
    <row r="419" spans="2:19" x14ac:dyDescent="0.35">
      <c r="B419" s="35">
        <v>416</v>
      </c>
      <c r="C419" t="s">
        <v>1396</v>
      </c>
      <c r="D419" s="7">
        <v>2006</v>
      </c>
      <c r="E419" t="s">
        <v>1554</v>
      </c>
      <c r="F419" t="s">
        <v>664</v>
      </c>
      <c r="G419" t="s">
        <v>1557</v>
      </c>
      <c r="H419" t="s">
        <v>1451</v>
      </c>
      <c r="I419" s="7">
        <v>3.43</v>
      </c>
      <c r="J419" s="7">
        <v>3.5</v>
      </c>
      <c r="K419" s="7">
        <v>3.5</v>
      </c>
      <c r="L419" s="7">
        <v>4</v>
      </c>
      <c r="M419" s="7">
        <v>3.5</v>
      </c>
      <c r="N419" s="7">
        <v>3</v>
      </c>
      <c r="O419" s="7">
        <v>3</v>
      </c>
      <c r="P419" s="7">
        <v>3.5</v>
      </c>
      <c r="Q419" t="s">
        <v>1347</v>
      </c>
      <c r="R419" s="7">
        <v>94</v>
      </c>
      <c r="S419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420" spans="2:19" x14ac:dyDescent="0.35">
      <c r="B420" s="35">
        <v>417</v>
      </c>
      <c r="C420" t="s">
        <v>1912</v>
      </c>
      <c r="D420" s="7">
        <v>2013</v>
      </c>
      <c r="E420" t="s">
        <v>1554</v>
      </c>
      <c r="F420" t="s">
        <v>775</v>
      </c>
      <c r="G420" t="s">
        <v>1559</v>
      </c>
      <c r="H420" t="s">
        <v>1913</v>
      </c>
      <c r="I420" s="7">
        <v>2.79</v>
      </c>
      <c r="J420" s="7">
        <v>3</v>
      </c>
      <c r="K420" s="7">
        <v>3</v>
      </c>
      <c r="L420" s="7">
        <v>3</v>
      </c>
      <c r="M420" s="7">
        <v>2.5</v>
      </c>
      <c r="N420" s="7">
        <v>2.5</v>
      </c>
      <c r="O420" s="7">
        <v>3</v>
      </c>
      <c r="P420" s="7">
        <v>2.5</v>
      </c>
      <c r="Q420" t="s">
        <v>1880</v>
      </c>
      <c r="R420" s="7">
        <v>300</v>
      </c>
      <c r="S420" t="str">
        <f xml:space="preserve"> HYPERLINK("ReviewHtml/review_Outbreak_Company.html", "https://2danicritic.github.io/ReviewHtml/review_Outbreak_Company.html")</f>
        <v>https://2danicritic.github.io/ReviewHtml/review_Outbreak_Company.html</v>
      </c>
    </row>
    <row r="421" spans="2:19" x14ac:dyDescent="0.35">
      <c r="B421" s="35">
        <v>418</v>
      </c>
      <c r="C421" t="s">
        <v>1821</v>
      </c>
      <c r="D421" s="7">
        <v>2015</v>
      </c>
      <c r="E421" t="s">
        <v>1554</v>
      </c>
      <c r="F421" t="s">
        <v>694</v>
      </c>
      <c r="G421" t="s">
        <v>1559</v>
      </c>
      <c r="H421" t="s">
        <v>1822</v>
      </c>
      <c r="I421" s="7">
        <v>3.5</v>
      </c>
      <c r="J421" s="7">
        <v>3</v>
      </c>
      <c r="K421" s="7">
        <v>3.5</v>
      </c>
      <c r="L421" s="7">
        <v>3.5</v>
      </c>
      <c r="M421" s="7">
        <v>4</v>
      </c>
      <c r="N421" s="7">
        <v>3</v>
      </c>
      <c r="O421" s="7">
        <v>4</v>
      </c>
      <c r="P421" s="7">
        <v>3.5</v>
      </c>
      <c r="Q421" t="s">
        <v>1772</v>
      </c>
      <c r="R421" s="7">
        <v>325</v>
      </c>
      <c r="S421" t="str">
        <f xml:space="preserve"> HYPERLINK("ReviewHtml/review_Overlord.html", "https://2danicritic.github.io/ReviewHtml/review_Overlord.html")</f>
        <v>https://2danicritic.github.io/ReviewHtml/review_Overlord.html</v>
      </c>
    </row>
    <row r="422" spans="2:19" x14ac:dyDescent="0.35">
      <c r="B422" s="35">
        <v>419</v>
      </c>
      <c r="C422" t="s">
        <v>2173</v>
      </c>
      <c r="D422" s="7">
        <v>1972</v>
      </c>
      <c r="E422" t="s">
        <v>1554</v>
      </c>
      <c r="F422" t="s">
        <v>667</v>
      </c>
      <c r="G422" t="s">
        <v>1557</v>
      </c>
      <c r="H422" t="s">
        <v>843</v>
      </c>
      <c r="I422" s="7">
        <v>2.79</v>
      </c>
      <c r="J422" s="7">
        <v>2</v>
      </c>
      <c r="K422" s="7">
        <v>3</v>
      </c>
      <c r="L422" s="7">
        <v>3</v>
      </c>
      <c r="M422" s="7">
        <v>3</v>
      </c>
      <c r="N422" s="7">
        <v>2.5</v>
      </c>
      <c r="O422" s="7">
        <v>3.5</v>
      </c>
      <c r="P422" s="7">
        <v>2.5</v>
      </c>
      <c r="Q422" t="s">
        <v>184</v>
      </c>
      <c r="R422" s="7">
        <v>71</v>
      </c>
      <c r="S422" t="str">
        <f xml:space="preserve"> HYPERLINK("ReviewHtml/review_Panda_-_Go,_Panda.html", "https://2danicritic.github.io/ReviewHtml/review_Panda_-_Go,_Panda.html")</f>
        <v>https://2danicritic.github.io/ReviewHtml/review_Panda_-_Go,_Panda.html</v>
      </c>
    </row>
    <row r="423" spans="2:19" x14ac:dyDescent="0.35">
      <c r="B423" s="35">
        <v>420</v>
      </c>
      <c r="C423" t="s">
        <v>997</v>
      </c>
      <c r="D423" s="7">
        <v>2010</v>
      </c>
      <c r="E423" t="s">
        <v>1554</v>
      </c>
      <c r="F423" t="s">
        <v>965</v>
      </c>
      <c r="G423" t="s">
        <v>1559</v>
      </c>
      <c r="H423" t="s">
        <v>895</v>
      </c>
      <c r="I423" s="7">
        <v>3.36</v>
      </c>
      <c r="J423" s="7">
        <v>3</v>
      </c>
      <c r="K423" s="7">
        <v>3</v>
      </c>
      <c r="L423" s="7">
        <v>3.5</v>
      </c>
      <c r="M423" s="7">
        <v>4.5</v>
      </c>
      <c r="N423" s="7">
        <v>2.5</v>
      </c>
      <c r="O423" s="7">
        <v>3.5</v>
      </c>
      <c r="P423" s="7">
        <v>3.5</v>
      </c>
      <c r="Q423" t="s">
        <v>220</v>
      </c>
      <c r="R423" s="7">
        <v>325</v>
      </c>
      <c r="S423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424" spans="2:19" x14ac:dyDescent="0.35">
      <c r="B424" s="35">
        <v>421</v>
      </c>
      <c r="C424" t="s">
        <v>998</v>
      </c>
      <c r="D424" s="7">
        <v>2006</v>
      </c>
      <c r="E424" t="s">
        <v>1554</v>
      </c>
      <c r="F424" t="s">
        <v>694</v>
      </c>
      <c r="G424" t="s">
        <v>1557</v>
      </c>
      <c r="H424" t="s">
        <v>999</v>
      </c>
      <c r="I424" s="7">
        <v>4.21</v>
      </c>
      <c r="J424" s="7">
        <v>4</v>
      </c>
      <c r="K424" s="7">
        <v>5</v>
      </c>
      <c r="L424" s="7">
        <v>5</v>
      </c>
      <c r="M424" s="7">
        <v>2</v>
      </c>
      <c r="N424" s="7">
        <v>3.5</v>
      </c>
      <c r="O424" s="7">
        <v>5</v>
      </c>
      <c r="P424" s="7">
        <v>5</v>
      </c>
      <c r="Q424" t="s">
        <v>221</v>
      </c>
      <c r="R424" s="7">
        <v>90</v>
      </c>
      <c r="S424" t="str">
        <f xml:space="preserve"> HYPERLINK("ReviewHtml/review_Paprika.html", "https://2danicritic.github.io/ReviewHtml/review_Paprika.html")</f>
        <v>https://2danicritic.github.io/ReviewHtml/review_Paprika.html</v>
      </c>
    </row>
    <row r="425" spans="2:19" x14ac:dyDescent="0.35">
      <c r="B425" s="35">
        <v>422</v>
      </c>
      <c r="C425" t="s">
        <v>1273</v>
      </c>
      <c r="D425" s="7">
        <v>2004</v>
      </c>
      <c r="E425" t="s">
        <v>1554</v>
      </c>
      <c r="F425" t="s">
        <v>694</v>
      </c>
      <c r="G425" t="s">
        <v>1559</v>
      </c>
      <c r="H425" t="s">
        <v>999</v>
      </c>
      <c r="I425" s="7">
        <v>3.71</v>
      </c>
      <c r="J425" s="7">
        <v>3.5</v>
      </c>
      <c r="K425" s="7">
        <v>3.5</v>
      </c>
      <c r="L425" s="7">
        <v>3.5</v>
      </c>
      <c r="M425" s="7">
        <v>3</v>
      </c>
      <c r="N425" s="7">
        <v>4</v>
      </c>
      <c r="O425" s="7">
        <v>4</v>
      </c>
      <c r="P425" s="7">
        <v>4.5</v>
      </c>
      <c r="Q425" t="s">
        <v>1210</v>
      </c>
      <c r="R425" s="7">
        <v>325</v>
      </c>
      <c r="S425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426" spans="2:19" x14ac:dyDescent="0.35">
      <c r="B426" s="35">
        <v>423</v>
      </c>
      <c r="C426" t="s">
        <v>1000</v>
      </c>
      <c r="D426" s="7">
        <v>2003</v>
      </c>
      <c r="E426" t="s">
        <v>1554</v>
      </c>
      <c r="F426" t="s">
        <v>1001</v>
      </c>
      <c r="G426" t="s">
        <v>1560</v>
      </c>
      <c r="H426" t="s">
        <v>222</v>
      </c>
      <c r="I426" s="7">
        <v>2.36</v>
      </c>
      <c r="J426" s="7">
        <v>2</v>
      </c>
      <c r="K426" s="7">
        <v>2</v>
      </c>
      <c r="L426" s="7">
        <v>2</v>
      </c>
      <c r="M426" s="7">
        <v>1.5</v>
      </c>
      <c r="N426" s="7">
        <v>4</v>
      </c>
      <c r="O426" s="7">
        <v>3</v>
      </c>
      <c r="P426" s="7">
        <v>2</v>
      </c>
      <c r="Q426" t="s">
        <v>223</v>
      </c>
      <c r="R426" s="7">
        <v>90</v>
      </c>
      <c r="S426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427" spans="2:19" x14ac:dyDescent="0.35">
      <c r="B427" s="35">
        <v>424</v>
      </c>
      <c r="C427" t="s">
        <v>1739</v>
      </c>
      <c r="D427" s="7">
        <v>2013</v>
      </c>
      <c r="E427" t="s">
        <v>1554</v>
      </c>
      <c r="F427" t="s">
        <v>1137</v>
      </c>
      <c r="G427" t="s">
        <v>1557</v>
      </c>
      <c r="H427" t="s">
        <v>1740</v>
      </c>
      <c r="I427" s="7">
        <v>3.5</v>
      </c>
      <c r="J427" s="7">
        <v>3</v>
      </c>
      <c r="K427" s="7">
        <v>3.5</v>
      </c>
      <c r="L427" s="7">
        <v>3.5</v>
      </c>
      <c r="M427" s="7">
        <v>3.5</v>
      </c>
      <c r="N427" s="7">
        <v>4</v>
      </c>
      <c r="O427" s="7">
        <v>3.5</v>
      </c>
      <c r="P427" s="7">
        <v>3.5</v>
      </c>
      <c r="Q427" t="s">
        <v>1672</v>
      </c>
      <c r="R427" s="7">
        <v>99</v>
      </c>
      <c r="S427" t="str">
        <f xml:space="preserve"> HYPERLINK("ReviewHtml/review_Patema_Inverted.html", "https://2danicritic.github.io/ReviewHtml/review_Patema_Inverted.html")</f>
        <v>https://2danicritic.github.io/ReviewHtml/review_Patema_Inverted.html</v>
      </c>
    </row>
    <row r="428" spans="2:19" x14ac:dyDescent="0.35">
      <c r="B428" s="35">
        <v>425</v>
      </c>
      <c r="C428" t="s">
        <v>1002</v>
      </c>
      <c r="D428" s="7">
        <v>1993</v>
      </c>
      <c r="E428" t="s">
        <v>1554</v>
      </c>
      <c r="F428" t="s">
        <v>731</v>
      </c>
      <c r="G428" t="s">
        <v>1557</v>
      </c>
      <c r="H428" t="s">
        <v>836</v>
      </c>
      <c r="I428" s="7">
        <v>3.71</v>
      </c>
      <c r="J428" s="7">
        <v>4</v>
      </c>
      <c r="K428" s="7">
        <v>4</v>
      </c>
      <c r="L428" s="7">
        <v>3.5</v>
      </c>
      <c r="M428" s="7">
        <v>3</v>
      </c>
      <c r="N428" s="7">
        <v>3.5</v>
      </c>
      <c r="O428" s="7">
        <v>3</v>
      </c>
      <c r="P428" s="7">
        <v>5</v>
      </c>
      <c r="Q428" t="s">
        <v>224</v>
      </c>
      <c r="R428" s="7">
        <v>113</v>
      </c>
      <c r="S428" t="str">
        <f xml:space="preserve"> HYPERLINK("ReviewHtml/review_Patlabor_2.html", "https://2danicritic.github.io/ReviewHtml/review_Patlabor_2.html")</f>
        <v>https://2danicritic.github.io/ReviewHtml/review_Patlabor_2.html</v>
      </c>
    </row>
    <row r="429" spans="2:19" x14ac:dyDescent="0.35">
      <c r="B429" s="35">
        <v>426</v>
      </c>
      <c r="C429" t="s">
        <v>1397</v>
      </c>
      <c r="D429" s="7">
        <v>2018</v>
      </c>
      <c r="E429" t="s">
        <v>1554</v>
      </c>
      <c r="F429" t="s">
        <v>1150</v>
      </c>
      <c r="G429" t="s">
        <v>1557</v>
      </c>
      <c r="H429" t="s">
        <v>1452</v>
      </c>
      <c r="I429" s="7">
        <v>3.71</v>
      </c>
      <c r="J429" s="7">
        <v>3.5</v>
      </c>
      <c r="K429" s="7">
        <v>4</v>
      </c>
      <c r="L429" s="7">
        <v>3.5</v>
      </c>
      <c r="M429" s="7">
        <v>3</v>
      </c>
      <c r="N429" s="7">
        <v>4</v>
      </c>
      <c r="O429" s="7">
        <v>4</v>
      </c>
      <c r="P429" s="7">
        <v>4</v>
      </c>
      <c r="Q429" t="s">
        <v>1319</v>
      </c>
      <c r="R429" s="7">
        <v>119</v>
      </c>
      <c r="S429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430" spans="2:19" x14ac:dyDescent="0.35">
      <c r="B430" s="35">
        <v>427</v>
      </c>
      <c r="C430" t="s">
        <v>1003</v>
      </c>
      <c r="D430" s="7">
        <v>1997</v>
      </c>
      <c r="E430" t="s">
        <v>1554</v>
      </c>
      <c r="F430" t="s">
        <v>694</v>
      </c>
      <c r="G430" t="s">
        <v>1557</v>
      </c>
      <c r="H430" t="s">
        <v>999</v>
      </c>
      <c r="I430" s="7">
        <v>3.71</v>
      </c>
      <c r="J430" s="7">
        <v>3</v>
      </c>
      <c r="K430" s="7">
        <v>2.5</v>
      </c>
      <c r="L430" s="7">
        <v>4</v>
      </c>
      <c r="M430" s="7">
        <v>2.5</v>
      </c>
      <c r="N430" s="7">
        <v>5</v>
      </c>
      <c r="O430" s="7">
        <v>4</v>
      </c>
      <c r="P430" s="7">
        <v>5</v>
      </c>
      <c r="Q430" t="s">
        <v>225</v>
      </c>
      <c r="R430" s="7">
        <v>81</v>
      </c>
      <c r="S430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431" spans="2:19" x14ac:dyDescent="0.35">
      <c r="B431" s="35">
        <v>428</v>
      </c>
      <c r="C431" t="s">
        <v>2298</v>
      </c>
      <c r="D431" s="7">
        <v>2022</v>
      </c>
      <c r="E431" t="s">
        <v>1569</v>
      </c>
      <c r="F431" t="s">
        <v>2299</v>
      </c>
      <c r="G431" t="s">
        <v>1557</v>
      </c>
      <c r="H431" t="s">
        <v>741</v>
      </c>
      <c r="I431" s="7">
        <v>2.64</v>
      </c>
      <c r="J431" s="7">
        <v>3</v>
      </c>
      <c r="K431" s="7">
        <v>3</v>
      </c>
      <c r="L431" s="7">
        <v>3</v>
      </c>
      <c r="M431" s="7">
        <v>3</v>
      </c>
      <c r="N431" s="7">
        <v>2</v>
      </c>
      <c r="O431" s="7">
        <v>2.5</v>
      </c>
      <c r="P431" s="7">
        <v>2</v>
      </c>
      <c r="Q431" t="s">
        <v>346</v>
      </c>
      <c r="R431" s="7">
        <v>75</v>
      </c>
      <c r="S431" t="str">
        <f xml:space="preserve"> HYPERLINK("ReviewHtml/review_Perlimps.html", "https://2danicritic.github.io/ReviewHtml/review_Perlimps.html")</f>
        <v>https://2danicritic.github.io/ReviewHtml/review_Perlimps.html</v>
      </c>
    </row>
    <row r="432" spans="2:19" x14ac:dyDescent="0.35">
      <c r="B432" s="35">
        <v>429</v>
      </c>
      <c r="C432" t="s">
        <v>1004</v>
      </c>
      <c r="D432" s="7">
        <v>2007</v>
      </c>
      <c r="E432" t="s">
        <v>1558</v>
      </c>
      <c r="F432" t="s">
        <v>1005</v>
      </c>
      <c r="G432" t="s">
        <v>1557</v>
      </c>
      <c r="H432" t="s">
        <v>226</v>
      </c>
      <c r="I432" s="7">
        <v>3.21</v>
      </c>
      <c r="J432" s="7">
        <v>3</v>
      </c>
      <c r="K432" s="7">
        <v>3</v>
      </c>
      <c r="L432" s="7">
        <v>3</v>
      </c>
      <c r="M432" s="7">
        <v>3.5</v>
      </c>
      <c r="N432" s="7">
        <v>3.5</v>
      </c>
      <c r="O432" s="7">
        <v>2.5</v>
      </c>
      <c r="P432" s="7">
        <v>4</v>
      </c>
      <c r="Q432" t="s">
        <v>227</v>
      </c>
      <c r="R432" s="7">
        <v>96</v>
      </c>
      <c r="S432" t="str">
        <f xml:space="preserve"> HYPERLINK("ReviewHtml/review_Persepolis.html", "https://2danicritic.github.io/ReviewHtml/review_Persepolis.html")</f>
        <v>https://2danicritic.github.io/ReviewHtml/review_Persepolis.html</v>
      </c>
    </row>
    <row r="433" spans="2:19" x14ac:dyDescent="0.35">
      <c r="B433" s="35">
        <v>430</v>
      </c>
      <c r="C433" t="s">
        <v>228</v>
      </c>
      <c r="D433" s="7">
        <v>2013</v>
      </c>
      <c r="E433" t="s">
        <v>1554</v>
      </c>
      <c r="F433" t="s">
        <v>715</v>
      </c>
      <c r="G433" t="s">
        <v>1557</v>
      </c>
      <c r="H433" t="s">
        <v>229</v>
      </c>
      <c r="I433" s="7">
        <v>2</v>
      </c>
      <c r="J433" s="7">
        <v>2</v>
      </c>
      <c r="K433" s="7">
        <v>3</v>
      </c>
      <c r="L433" s="7">
        <v>5</v>
      </c>
      <c r="M433" s="7">
        <v>1</v>
      </c>
      <c r="N433" s="7">
        <v>1</v>
      </c>
      <c r="O433" s="7">
        <v>1</v>
      </c>
      <c r="P433" s="7">
        <v>1</v>
      </c>
      <c r="Q433" t="s">
        <v>146</v>
      </c>
      <c r="R433" s="7">
        <v>376</v>
      </c>
      <c r="S43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434" spans="2:19" x14ac:dyDescent="0.35">
      <c r="B434" s="35">
        <v>431</v>
      </c>
      <c r="C434" t="s">
        <v>1006</v>
      </c>
      <c r="D434" s="7">
        <v>2011</v>
      </c>
      <c r="E434" t="s">
        <v>1554</v>
      </c>
      <c r="F434" t="s">
        <v>1007</v>
      </c>
      <c r="G434" t="s">
        <v>1559</v>
      </c>
      <c r="H434" t="s">
        <v>1008</v>
      </c>
      <c r="I434" s="7">
        <v>3.64</v>
      </c>
      <c r="J434" s="7">
        <v>3</v>
      </c>
      <c r="K434" s="7">
        <v>3.5</v>
      </c>
      <c r="L434" s="7">
        <v>4.5</v>
      </c>
      <c r="M434" s="7">
        <v>4</v>
      </c>
      <c r="N434" s="7">
        <v>3</v>
      </c>
      <c r="O434" s="7">
        <v>3.5</v>
      </c>
      <c r="P434" s="7">
        <v>4</v>
      </c>
      <c r="Q434" t="s">
        <v>230</v>
      </c>
      <c r="R434" s="7">
        <v>350</v>
      </c>
      <c r="S434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435" spans="2:19" x14ac:dyDescent="0.35">
      <c r="B435" s="35">
        <v>432</v>
      </c>
      <c r="C435" t="s">
        <v>2300</v>
      </c>
      <c r="D435" s="7">
        <v>1953</v>
      </c>
      <c r="E435" t="s">
        <v>1556</v>
      </c>
      <c r="F435" t="s">
        <v>2260</v>
      </c>
      <c r="G435" t="s">
        <v>1557</v>
      </c>
      <c r="H435" t="s">
        <v>2203</v>
      </c>
      <c r="I435" s="7">
        <v>4</v>
      </c>
      <c r="J435" s="7">
        <v>3.5</v>
      </c>
      <c r="K435" s="7">
        <v>3.5</v>
      </c>
      <c r="L435" s="7">
        <v>4</v>
      </c>
      <c r="M435" s="7">
        <v>4</v>
      </c>
      <c r="N435" s="7">
        <v>4</v>
      </c>
      <c r="O435" s="7">
        <v>4.5</v>
      </c>
      <c r="P435" s="7">
        <v>4.5</v>
      </c>
      <c r="Q435" t="s">
        <v>97</v>
      </c>
      <c r="R435" s="7">
        <v>77</v>
      </c>
      <c r="S435" t="str">
        <f xml:space="preserve"> HYPERLINK("ReviewHtml/review_Peter_Pan.html", "https://2danicritic.github.io/ReviewHtml/review_Peter_Pan.html")</f>
        <v>https://2danicritic.github.io/ReviewHtml/review_Peter_Pan.html</v>
      </c>
    </row>
    <row r="436" spans="2:19" x14ac:dyDescent="0.35">
      <c r="B436" s="35">
        <v>433</v>
      </c>
      <c r="C436" t="s">
        <v>1009</v>
      </c>
      <c r="D436" s="7">
        <v>2014</v>
      </c>
      <c r="E436" t="s">
        <v>1554</v>
      </c>
      <c r="F436" t="s">
        <v>1010</v>
      </c>
      <c r="G436" t="s">
        <v>1559</v>
      </c>
      <c r="H436" t="s">
        <v>788</v>
      </c>
      <c r="I436" s="7">
        <v>4.21</v>
      </c>
      <c r="J436" s="7">
        <v>4</v>
      </c>
      <c r="K436" s="7">
        <v>4</v>
      </c>
      <c r="L436" s="7">
        <v>4</v>
      </c>
      <c r="M436" s="7">
        <v>4.5</v>
      </c>
      <c r="N436" s="7">
        <v>4.5</v>
      </c>
      <c r="O436" s="7">
        <v>3.5</v>
      </c>
      <c r="P436" s="7">
        <v>5</v>
      </c>
      <c r="Q436" t="s">
        <v>231</v>
      </c>
      <c r="R436" s="7">
        <v>275</v>
      </c>
      <c r="S436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437" spans="2:19" x14ac:dyDescent="0.35">
      <c r="B437" s="35">
        <v>434</v>
      </c>
      <c r="C437" t="s">
        <v>2301</v>
      </c>
      <c r="D437" s="7">
        <v>1940</v>
      </c>
      <c r="E437" t="s">
        <v>1556</v>
      </c>
      <c r="F437" t="s">
        <v>2260</v>
      </c>
      <c r="G437" t="s">
        <v>1557</v>
      </c>
      <c r="H437" t="s">
        <v>2232</v>
      </c>
      <c r="I437" s="7">
        <v>4</v>
      </c>
      <c r="J437" s="7">
        <v>4</v>
      </c>
      <c r="K437" s="7">
        <v>4</v>
      </c>
      <c r="L437" s="7">
        <v>4.5</v>
      </c>
      <c r="M437" s="7">
        <v>4.5</v>
      </c>
      <c r="N437" s="7">
        <v>3.5</v>
      </c>
      <c r="O437" s="7">
        <v>3.5</v>
      </c>
      <c r="P437" s="7">
        <v>4</v>
      </c>
      <c r="Q437" t="s">
        <v>2233</v>
      </c>
      <c r="R437" s="7">
        <v>88</v>
      </c>
      <c r="S437" t="str">
        <f xml:space="preserve"> HYPERLINK("ReviewHtml/review_Pinocchio.html", "https://2danicritic.github.io/ReviewHtml/review_Pinocchio.html")</f>
        <v>https://2danicritic.github.io/ReviewHtml/review_Pinocchio.html</v>
      </c>
    </row>
    <row r="438" spans="2:19" x14ac:dyDescent="0.35">
      <c r="B438" s="35">
        <v>435</v>
      </c>
      <c r="C438" t="s">
        <v>1398</v>
      </c>
      <c r="D438" s="7">
        <v>2016</v>
      </c>
      <c r="E438" t="s">
        <v>1554</v>
      </c>
      <c r="F438" t="s">
        <v>1429</v>
      </c>
      <c r="G438" t="s">
        <v>1608</v>
      </c>
      <c r="H438" t="s">
        <v>1453</v>
      </c>
      <c r="I438" s="7">
        <v>3.07</v>
      </c>
      <c r="J438" s="7">
        <v>3</v>
      </c>
      <c r="K438" s="7">
        <v>3</v>
      </c>
      <c r="L438" s="7">
        <v>3.5</v>
      </c>
      <c r="M438" s="7">
        <v>3.5</v>
      </c>
      <c r="N438" s="7">
        <v>3</v>
      </c>
      <c r="O438" s="7">
        <v>2.5</v>
      </c>
      <c r="P438" s="7">
        <v>3</v>
      </c>
      <c r="Q438" t="s">
        <v>1214</v>
      </c>
      <c r="R438" s="7">
        <v>210</v>
      </c>
      <c r="S438" t="str">
        <f xml:space="preserve"> HYPERLINK("ReviewHtml/review_Planetarian.html", "https://2danicritic.github.io/ReviewHtml/review_Planetarian.html")</f>
        <v>https://2danicritic.github.io/ReviewHtml/review_Planetarian.html</v>
      </c>
    </row>
    <row r="439" spans="2:19" x14ac:dyDescent="0.35">
      <c r="B439" s="35">
        <v>436</v>
      </c>
      <c r="C439" t="s">
        <v>1324</v>
      </c>
      <c r="D439" s="7">
        <v>2003</v>
      </c>
      <c r="E439" t="s">
        <v>1554</v>
      </c>
      <c r="F439" t="s">
        <v>759</v>
      </c>
      <c r="G439" t="s">
        <v>1559</v>
      </c>
      <c r="H439" t="s">
        <v>762</v>
      </c>
      <c r="I439" s="7">
        <v>3.07</v>
      </c>
      <c r="J439" s="7">
        <v>2.5</v>
      </c>
      <c r="K439" s="7">
        <v>3</v>
      </c>
      <c r="L439" s="7">
        <v>3</v>
      </c>
      <c r="M439" s="7">
        <v>3</v>
      </c>
      <c r="N439" s="7">
        <v>4</v>
      </c>
      <c r="O439" s="7">
        <v>2.5</v>
      </c>
      <c r="P439" s="7">
        <v>3.5</v>
      </c>
      <c r="Q439" t="s">
        <v>1320</v>
      </c>
      <c r="R439" s="7">
        <v>650</v>
      </c>
      <c r="S439" t="str">
        <f xml:space="preserve"> HYPERLINK("ReviewHtml/review_Planetes.html", "https://2danicritic.github.io/ReviewHtml/review_Planetes.html")</f>
        <v>https://2danicritic.github.io/ReviewHtml/review_Planetes.html</v>
      </c>
    </row>
    <row r="440" spans="2:19" x14ac:dyDescent="0.35">
      <c r="B440" s="35">
        <v>437</v>
      </c>
      <c r="C440" t="s">
        <v>2302</v>
      </c>
      <c r="D440" s="7">
        <v>1995</v>
      </c>
      <c r="E440" t="s">
        <v>1556</v>
      </c>
      <c r="F440" t="s">
        <v>2260</v>
      </c>
      <c r="G440" t="s">
        <v>1557</v>
      </c>
      <c r="H440" t="s">
        <v>2234</v>
      </c>
      <c r="I440" s="7">
        <v>3.57</v>
      </c>
      <c r="J440" s="7">
        <v>4.5</v>
      </c>
      <c r="K440" s="7">
        <v>4</v>
      </c>
      <c r="L440" s="7">
        <v>4</v>
      </c>
      <c r="M440" s="7">
        <v>3.5</v>
      </c>
      <c r="N440" s="7">
        <v>3.5</v>
      </c>
      <c r="O440" s="7">
        <v>2.5</v>
      </c>
      <c r="P440" s="7">
        <v>3</v>
      </c>
      <c r="Q440" t="s">
        <v>202</v>
      </c>
      <c r="R440" s="7">
        <v>81</v>
      </c>
      <c r="S440" t="str">
        <f xml:space="preserve"> HYPERLINK("ReviewHtml/review_Pocahontas.html", "https://2danicritic.github.io/ReviewHtml/review_Pocahontas.html")</f>
        <v>https://2danicritic.github.io/ReviewHtml/review_Pocahontas.html</v>
      </c>
    </row>
    <row r="441" spans="2:19" x14ac:dyDescent="0.35">
      <c r="B441" s="35">
        <v>438</v>
      </c>
      <c r="C441" t="s">
        <v>1741</v>
      </c>
      <c r="D441" s="7">
        <v>1998</v>
      </c>
      <c r="E441" t="s">
        <v>1554</v>
      </c>
      <c r="F441" t="s">
        <v>1742</v>
      </c>
      <c r="G441" t="s">
        <v>1557</v>
      </c>
      <c r="H441" t="s">
        <v>1743</v>
      </c>
      <c r="I441" s="7">
        <v>3.43</v>
      </c>
      <c r="J441" s="7">
        <v>2.5</v>
      </c>
      <c r="K441" s="7">
        <v>3</v>
      </c>
      <c r="L441" s="7">
        <v>3.5</v>
      </c>
      <c r="M441" s="7">
        <v>3.5</v>
      </c>
      <c r="N441" s="7">
        <v>3.5</v>
      </c>
      <c r="O441" s="7">
        <v>4</v>
      </c>
      <c r="P441" s="7">
        <v>4</v>
      </c>
      <c r="Q441" t="s">
        <v>1673</v>
      </c>
      <c r="R441" s="7">
        <v>75</v>
      </c>
      <c r="S441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</row>
    <row r="442" spans="2:19" x14ac:dyDescent="0.35">
      <c r="B442" s="35">
        <v>439</v>
      </c>
      <c r="C442" t="s">
        <v>1011</v>
      </c>
      <c r="D442" s="7">
        <v>1994</v>
      </c>
      <c r="E442" t="s">
        <v>1554</v>
      </c>
      <c r="F442" t="s">
        <v>1012</v>
      </c>
      <c r="G442" t="s">
        <v>1557</v>
      </c>
      <c r="H442" t="s">
        <v>843</v>
      </c>
      <c r="I442" s="7">
        <v>3.57</v>
      </c>
      <c r="J442" s="7">
        <v>3.5</v>
      </c>
      <c r="K442" s="7">
        <v>3.5</v>
      </c>
      <c r="L442" s="7">
        <v>3</v>
      </c>
      <c r="M442" s="7">
        <v>3.5</v>
      </c>
      <c r="N442" s="7">
        <v>4</v>
      </c>
      <c r="O442" s="7">
        <v>3.5</v>
      </c>
      <c r="P442" s="7">
        <v>4</v>
      </c>
      <c r="Q442" t="s">
        <v>232</v>
      </c>
      <c r="R442" s="7">
        <v>119</v>
      </c>
      <c r="S442" t="str">
        <f xml:space="preserve"> HYPERLINK("ReviewHtml/review_Pom_Poko.html", "https://2danicritic.github.io/ReviewHtml/review_Pom_Poko.html")</f>
        <v>https://2danicritic.github.io/ReviewHtml/review_Pom_Poko.html</v>
      </c>
    </row>
    <row r="443" spans="2:19" x14ac:dyDescent="0.35">
      <c r="B443" s="35">
        <v>440</v>
      </c>
      <c r="C443" t="s">
        <v>2174</v>
      </c>
      <c r="D443" s="7">
        <v>2021</v>
      </c>
      <c r="E443" t="s">
        <v>1554</v>
      </c>
      <c r="F443" t="s">
        <v>2175</v>
      </c>
      <c r="G443" t="s">
        <v>1557</v>
      </c>
      <c r="H443" t="s">
        <v>2176</v>
      </c>
      <c r="I443" s="7">
        <v>3.36</v>
      </c>
      <c r="J443" s="7">
        <v>3.5</v>
      </c>
      <c r="K443" s="7">
        <v>3.5</v>
      </c>
      <c r="L443" s="7">
        <v>3.5</v>
      </c>
      <c r="M443" s="7">
        <v>3</v>
      </c>
      <c r="N443" s="7">
        <v>3.5</v>
      </c>
      <c r="O443" s="7">
        <v>3.5</v>
      </c>
      <c r="P443" s="7">
        <v>3</v>
      </c>
      <c r="Q443" t="s">
        <v>2146</v>
      </c>
      <c r="R443" s="7">
        <v>90</v>
      </c>
      <c r="S443" t="str">
        <f xml:space="preserve"> HYPERLINK("ReviewHtml/review_Pompo_-_the_Cinephile.html", "https://2danicritic.github.io/ReviewHtml/review_Pompo_-_the_Cinephile.html")</f>
        <v>https://2danicritic.github.io/ReviewHtml/review_Pompo_-_the_Cinephile.html</v>
      </c>
    </row>
    <row r="444" spans="2:19" x14ac:dyDescent="0.35">
      <c r="B444" s="35">
        <v>441</v>
      </c>
      <c r="C444" t="s">
        <v>1013</v>
      </c>
      <c r="D444" s="7">
        <v>2008</v>
      </c>
      <c r="E444" t="s">
        <v>1554</v>
      </c>
      <c r="F444" t="s">
        <v>747</v>
      </c>
      <c r="G444" t="s">
        <v>1557</v>
      </c>
      <c r="H444" t="s">
        <v>748</v>
      </c>
      <c r="I444" s="7">
        <v>3.43</v>
      </c>
      <c r="J444" s="7">
        <v>4</v>
      </c>
      <c r="K444" s="7">
        <v>3.5</v>
      </c>
      <c r="L444" s="7">
        <v>3.5</v>
      </c>
      <c r="M444" s="7">
        <v>3</v>
      </c>
      <c r="N444" s="7">
        <v>2.5</v>
      </c>
      <c r="O444" s="7">
        <v>3.5</v>
      </c>
      <c r="P444" s="7">
        <v>4</v>
      </c>
      <c r="Q444" t="s">
        <v>233</v>
      </c>
      <c r="R444" s="7">
        <v>103</v>
      </c>
      <c r="S444" t="str">
        <f xml:space="preserve"> HYPERLINK("ReviewHtml/review_Ponyo.html", "https://2danicritic.github.io/ReviewHtml/review_Ponyo.html")</f>
        <v>https://2danicritic.github.io/ReviewHtml/review_Ponyo.html</v>
      </c>
    </row>
    <row r="445" spans="2:19" x14ac:dyDescent="0.35">
      <c r="B445" s="35">
        <v>442</v>
      </c>
      <c r="C445" t="s">
        <v>2438</v>
      </c>
      <c r="D445" s="7">
        <v>2016</v>
      </c>
      <c r="E445" t="s">
        <v>1554</v>
      </c>
      <c r="F445" t="s">
        <v>681</v>
      </c>
      <c r="G445" t="s">
        <v>1557</v>
      </c>
      <c r="H445" t="s">
        <v>2439</v>
      </c>
      <c r="I445" s="7">
        <v>2.93</v>
      </c>
      <c r="J445" s="7">
        <v>3.5</v>
      </c>
      <c r="K445" s="7">
        <v>3</v>
      </c>
      <c r="L445" s="7">
        <v>3.5</v>
      </c>
      <c r="M445" s="7">
        <v>3.5</v>
      </c>
      <c r="N445" s="7">
        <v>2</v>
      </c>
      <c r="O445" s="7">
        <v>3</v>
      </c>
      <c r="P445" s="7">
        <v>2</v>
      </c>
      <c r="Q445" t="s">
        <v>2440</v>
      </c>
      <c r="R445" s="7">
        <v>95</v>
      </c>
      <c r="S445" t="str">
        <f xml:space="preserve"> HYPERLINK("ReviewHtml/review_Pop_in_Q.html", "https://2danicritic.github.io/ReviewHtml/review_Pop_in_Q.html")</f>
        <v>https://2danicritic.github.io/ReviewHtml/review_Pop_in_Q.html</v>
      </c>
    </row>
    <row r="446" spans="2:19" x14ac:dyDescent="0.35">
      <c r="B446" s="35">
        <v>443</v>
      </c>
      <c r="C446" t="s">
        <v>2303</v>
      </c>
      <c r="D446" s="7">
        <v>2018</v>
      </c>
      <c r="E446" t="s">
        <v>1554</v>
      </c>
      <c r="F446" t="s">
        <v>2304</v>
      </c>
      <c r="G446" t="s">
        <v>1559</v>
      </c>
      <c r="H446" t="s">
        <v>2305</v>
      </c>
      <c r="I446" s="7">
        <v>1.93</v>
      </c>
      <c r="J446" s="7">
        <v>1.5</v>
      </c>
      <c r="K446" s="7">
        <v>1.5</v>
      </c>
      <c r="L446" s="7">
        <v>2.5</v>
      </c>
      <c r="M446" s="7">
        <v>2.5</v>
      </c>
      <c r="N446" s="7">
        <v>1</v>
      </c>
      <c r="O446" s="7">
        <v>2.5</v>
      </c>
      <c r="P446" s="7">
        <v>2</v>
      </c>
      <c r="Q446" t="s">
        <v>2008</v>
      </c>
      <c r="R446" s="7">
        <v>300</v>
      </c>
      <c r="S446" t="str">
        <f xml:space="preserve"> HYPERLINK("ReviewHtml/review_Pop_Team_Epic.html", "https://2danicritic.github.io/ReviewHtml/review_Pop_Team_Epic.html")</f>
        <v>https://2danicritic.github.io/ReviewHtml/review_Pop_Team_Epic.html</v>
      </c>
    </row>
    <row r="447" spans="2:19" x14ac:dyDescent="0.35">
      <c r="B447" s="35">
        <v>444</v>
      </c>
      <c r="C447" t="s">
        <v>1014</v>
      </c>
      <c r="D447" s="7">
        <v>1992</v>
      </c>
      <c r="E447" t="s">
        <v>1554</v>
      </c>
      <c r="F447" t="s">
        <v>747</v>
      </c>
      <c r="G447" t="s">
        <v>1557</v>
      </c>
      <c r="H447" t="s">
        <v>748</v>
      </c>
      <c r="I447" s="7">
        <v>3.57</v>
      </c>
      <c r="J447" s="7">
        <v>3.5</v>
      </c>
      <c r="K447" s="7">
        <v>3.5</v>
      </c>
      <c r="L447" s="7">
        <v>3</v>
      </c>
      <c r="M447" s="7">
        <v>3.5</v>
      </c>
      <c r="N447" s="7">
        <v>3</v>
      </c>
      <c r="O447" s="7">
        <v>4.5</v>
      </c>
      <c r="P447" s="7">
        <v>4</v>
      </c>
      <c r="Q447" t="s">
        <v>187</v>
      </c>
      <c r="R447" s="7">
        <v>94</v>
      </c>
      <c r="S447" t="str">
        <f xml:space="preserve"> HYPERLINK("ReviewHtml/review_Porco_Rosso.html", "https://2danicritic.github.io/ReviewHtml/review_Porco_Rosso.html")</f>
        <v>https://2danicritic.github.io/ReviewHtml/review_Porco_Rosso.html</v>
      </c>
    </row>
    <row r="448" spans="2:19" x14ac:dyDescent="0.35">
      <c r="B448" s="35">
        <v>445</v>
      </c>
      <c r="C448" t="s">
        <v>2441</v>
      </c>
      <c r="D448" s="7">
        <v>2001</v>
      </c>
      <c r="E448" t="s">
        <v>1554</v>
      </c>
      <c r="F448" t="s">
        <v>702</v>
      </c>
      <c r="G448" t="s">
        <v>1557</v>
      </c>
      <c r="H448" t="s">
        <v>724</v>
      </c>
      <c r="I448" s="7">
        <v>3.36</v>
      </c>
      <c r="J448" s="7">
        <v>3.5</v>
      </c>
      <c r="K448" s="7">
        <v>3</v>
      </c>
      <c r="L448" s="7">
        <v>3.5</v>
      </c>
      <c r="M448" s="7">
        <v>3.5</v>
      </c>
      <c r="N448" s="7">
        <v>3.5</v>
      </c>
      <c r="O448" s="7">
        <v>2.5</v>
      </c>
      <c r="P448" s="7">
        <v>4</v>
      </c>
      <c r="Q448" t="s">
        <v>2442</v>
      </c>
      <c r="R448" s="7">
        <v>105</v>
      </c>
      <c r="S448" t="str">
        <f xml:space="preserve"> HYPERLINK("ReviewHtml/review_Princess_Arete.html", "https://2danicritic.github.io/ReviewHtml/review_Princess_Arete.html")</f>
        <v>https://2danicritic.github.io/ReviewHtml/review_Princess_Arete.html</v>
      </c>
    </row>
    <row r="449" spans="2:19" x14ac:dyDescent="0.35">
      <c r="B449" s="35">
        <v>446</v>
      </c>
      <c r="C449" t="s">
        <v>2177</v>
      </c>
      <c r="D449" s="7">
        <v>2021</v>
      </c>
      <c r="E449" t="s">
        <v>1558</v>
      </c>
      <c r="F449" t="s">
        <v>2178</v>
      </c>
      <c r="G449" t="s">
        <v>1557</v>
      </c>
      <c r="H449" t="s">
        <v>2147</v>
      </c>
      <c r="I449" s="7">
        <v>3.93</v>
      </c>
      <c r="J449" s="7">
        <v>4</v>
      </c>
      <c r="K449" s="7">
        <v>3.5</v>
      </c>
      <c r="L449" s="7">
        <v>4</v>
      </c>
      <c r="M449" s="7">
        <v>4</v>
      </c>
      <c r="N449" s="7">
        <v>4</v>
      </c>
      <c r="O449" s="7">
        <v>4</v>
      </c>
      <c r="P449" s="7">
        <v>4</v>
      </c>
      <c r="Q449" t="s">
        <v>1543</v>
      </c>
      <c r="R449" s="7">
        <v>70</v>
      </c>
      <c r="S449" t="str">
        <f xml:space="preserve"> HYPERLINK("ReviewHtml/review_Princess_Dragon.html", "https://2danicritic.github.io/ReviewHtml/review_Princess_Dragon.html")</f>
        <v>https://2danicritic.github.io/ReviewHtml/review_Princess_Dragon.html</v>
      </c>
    </row>
    <row r="450" spans="2:19" x14ac:dyDescent="0.35">
      <c r="B450" s="35">
        <v>447</v>
      </c>
      <c r="C450" t="s">
        <v>1823</v>
      </c>
      <c r="D450" s="7">
        <v>2010</v>
      </c>
      <c r="E450" t="s">
        <v>1554</v>
      </c>
      <c r="F450" t="s">
        <v>1824</v>
      </c>
      <c r="G450" t="s">
        <v>1559</v>
      </c>
      <c r="H450" t="s">
        <v>687</v>
      </c>
      <c r="I450" s="7">
        <v>3.21</v>
      </c>
      <c r="J450" s="7">
        <v>2.5</v>
      </c>
      <c r="K450" s="7">
        <v>3</v>
      </c>
      <c r="L450" s="7">
        <v>3.5</v>
      </c>
      <c r="M450" s="7">
        <v>3</v>
      </c>
      <c r="N450" s="7">
        <v>3.5</v>
      </c>
      <c r="O450" s="7">
        <v>3.5</v>
      </c>
      <c r="P450" s="7">
        <v>3.5</v>
      </c>
      <c r="Q450" t="s">
        <v>170</v>
      </c>
      <c r="R450" s="7">
        <v>275</v>
      </c>
      <c r="S450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</row>
    <row r="451" spans="2:19" x14ac:dyDescent="0.35">
      <c r="B451" s="35">
        <v>448</v>
      </c>
      <c r="C451" t="s">
        <v>1015</v>
      </c>
      <c r="D451" s="7">
        <v>1997</v>
      </c>
      <c r="E451" t="s">
        <v>1554</v>
      </c>
      <c r="F451" t="s">
        <v>747</v>
      </c>
      <c r="G451" t="s">
        <v>1557</v>
      </c>
      <c r="H451" t="s">
        <v>748</v>
      </c>
      <c r="I451" s="7">
        <v>4.29</v>
      </c>
      <c r="J451" s="7">
        <v>4</v>
      </c>
      <c r="K451" s="7">
        <v>4.5</v>
      </c>
      <c r="L451" s="7">
        <v>3.5</v>
      </c>
      <c r="M451" s="7">
        <v>4</v>
      </c>
      <c r="N451" s="7">
        <v>5</v>
      </c>
      <c r="O451" s="7">
        <v>4</v>
      </c>
      <c r="P451" s="7">
        <v>5</v>
      </c>
      <c r="Q451" t="s">
        <v>234</v>
      </c>
      <c r="R451" s="7">
        <v>134</v>
      </c>
      <c r="S451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452" spans="2:19" x14ac:dyDescent="0.35">
      <c r="B452" s="35">
        <v>449</v>
      </c>
      <c r="C452" t="s">
        <v>1399</v>
      </c>
      <c r="D452" s="7">
        <v>2007</v>
      </c>
      <c r="E452" t="s">
        <v>1554</v>
      </c>
      <c r="F452" t="s">
        <v>694</v>
      </c>
      <c r="G452" t="s">
        <v>1559</v>
      </c>
      <c r="H452" t="s">
        <v>1454</v>
      </c>
      <c r="I452" s="7">
        <v>2.5</v>
      </c>
      <c r="J452" s="7">
        <v>2</v>
      </c>
      <c r="K452" s="7">
        <v>2</v>
      </c>
      <c r="L452" s="7">
        <v>3.5</v>
      </c>
      <c r="M452" s="7">
        <v>3</v>
      </c>
      <c r="N452" s="7">
        <v>2.5</v>
      </c>
      <c r="O452" s="7">
        <v>2.5</v>
      </c>
      <c r="P452" s="7">
        <v>2</v>
      </c>
      <c r="Q452" t="s">
        <v>217</v>
      </c>
      <c r="R452" s="7">
        <v>350</v>
      </c>
      <c r="S452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453" spans="2:19" x14ac:dyDescent="0.35">
      <c r="B453" s="35">
        <v>450</v>
      </c>
      <c r="C453" t="s">
        <v>1016</v>
      </c>
      <c r="D453" s="7">
        <v>2015</v>
      </c>
      <c r="E453" t="s">
        <v>1554</v>
      </c>
      <c r="F453" t="s">
        <v>1017</v>
      </c>
      <c r="G453" t="s">
        <v>1559</v>
      </c>
      <c r="H453" t="s">
        <v>1018</v>
      </c>
      <c r="I453" s="7">
        <v>3.21</v>
      </c>
      <c r="J453" s="7">
        <v>3</v>
      </c>
      <c r="K453" s="7">
        <v>3</v>
      </c>
      <c r="L453" s="7">
        <v>3</v>
      </c>
      <c r="M453" s="7">
        <v>3</v>
      </c>
      <c r="N453" s="7">
        <v>3</v>
      </c>
      <c r="O453" s="7">
        <v>3.5</v>
      </c>
      <c r="P453" s="7">
        <v>4</v>
      </c>
      <c r="Q453" t="s">
        <v>235</v>
      </c>
      <c r="R453" s="7">
        <v>300</v>
      </c>
      <c r="S453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454" spans="2:19" x14ac:dyDescent="0.35">
      <c r="B454" s="35">
        <v>451</v>
      </c>
      <c r="C454" t="s">
        <v>2179</v>
      </c>
      <c r="D454" s="7">
        <v>1986</v>
      </c>
      <c r="E454" t="s">
        <v>1554</v>
      </c>
      <c r="F454" t="s">
        <v>1430</v>
      </c>
      <c r="G454" t="s">
        <v>1557</v>
      </c>
      <c r="H454" t="s">
        <v>2180</v>
      </c>
      <c r="I454" s="7">
        <v>3.14</v>
      </c>
      <c r="J454" s="7">
        <v>3</v>
      </c>
      <c r="K454" s="7">
        <v>3</v>
      </c>
      <c r="L454" s="7">
        <v>4</v>
      </c>
      <c r="M454" s="7">
        <v>2.5</v>
      </c>
      <c r="N454" s="7">
        <v>2.5</v>
      </c>
      <c r="O454" s="7">
        <v>4</v>
      </c>
      <c r="P454" s="7">
        <v>3</v>
      </c>
      <c r="Q454" t="s">
        <v>199</v>
      </c>
      <c r="R454" s="7">
        <v>84</v>
      </c>
      <c r="S454" t="str">
        <f xml:space="preserve"> HYPERLINK("ReviewHtml/review_Project_A-Ko.html", "https://2danicritic.github.io/ReviewHtml/review_Project_A-Ko.html")</f>
        <v>https://2danicritic.github.io/ReviewHtml/review_Project_A-Ko.html</v>
      </c>
    </row>
    <row r="455" spans="2:19" x14ac:dyDescent="0.35">
      <c r="B455" s="35">
        <v>452</v>
      </c>
      <c r="C455" t="s">
        <v>1400</v>
      </c>
      <c r="D455" s="7">
        <v>2019</v>
      </c>
      <c r="E455" t="s">
        <v>1554</v>
      </c>
      <c r="F455" t="s">
        <v>894</v>
      </c>
      <c r="G455" t="s">
        <v>1557</v>
      </c>
      <c r="H455" t="s">
        <v>895</v>
      </c>
      <c r="I455" s="7">
        <v>3.93</v>
      </c>
      <c r="J455" s="7">
        <v>3.5</v>
      </c>
      <c r="K455" s="7">
        <v>4.5</v>
      </c>
      <c r="L455" s="7">
        <v>4</v>
      </c>
      <c r="M455" s="7">
        <v>3.5</v>
      </c>
      <c r="N455" s="7">
        <v>3.5</v>
      </c>
      <c r="O455" s="7">
        <v>4.5</v>
      </c>
      <c r="P455" s="7">
        <v>4</v>
      </c>
      <c r="Q455" t="s">
        <v>1348</v>
      </c>
      <c r="R455" s="7">
        <v>111</v>
      </c>
      <c r="S455" t="str">
        <f xml:space="preserve"> HYPERLINK("ReviewHtml/review_Promare.html", "https://2danicritic.github.io/ReviewHtml/review_Promare.html")</f>
        <v>https://2danicritic.github.io/ReviewHtml/review_Promare.html</v>
      </c>
    </row>
    <row r="456" spans="2:19" x14ac:dyDescent="0.35">
      <c r="B456" s="35">
        <v>453</v>
      </c>
      <c r="C456" t="s">
        <v>1019</v>
      </c>
      <c r="D456" s="7">
        <v>2012</v>
      </c>
      <c r="E456" t="s">
        <v>1554</v>
      </c>
      <c r="F456" t="s">
        <v>759</v>
      </c>
      <c r="G456" t="s">
        <v>1557</v>
      </c>
      <c r="H456" t="s">
        <v>845</v>
      </c>
      <c r="I456" s="7">
        <v>2.93</v>
      </c>
      <c r="J456" s="7">
        <v>4.5</v>
      </c>
      <c r="K456" s="7">
        <v>4.5</v>
      </c>
      <c r="L456" s="7">
        <v>2</v>
      </c>
      <c r="M456" s="7">
        <v>3</v>
      </c>
      <c r="N456" s="7">
        <v>1</v>
      </c>
      <c r="O456" s="7">
        <v>3.5</v>
      </c>
      <c r="P456" s="7">
        <v>2</v>
      </c>
      <c r="Q456" t="s">
        <v>344</v>
      </c>
      <c r="R456" s="7">
        <v>110</v>
      </c>
      <c r="S456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457" spans="2:19" x14ac:dyDescent="0.35">
      <c r="B457" s="35">
        <v>454</v>
      </c>
      <c r="C457" t="s">
        <v>2510</v>
      </c>
      <c r="D457" s="7">
        <v>2023</v>
      </c>
      <c r="E457" t="s">
        <v>1554</v>
      </c>
      <c r="F457" t="s">
        <v>731</v>
      </c>
      <c r="G457" t="s">
        <v>1557</v>
      </c>
      <c r="H457" t="s">
        <v>738</v>
      </c>
      <c r="I457" s="7">
        <v>4</v>
      </c>
      <c r="J457" s="7">
        <v>4</v>
      </c>
      <c r="K457" s="7">
        <v>4</v>
      </c>
      <c r="L457" s="7">
        <v>4.5</v>
      </c>
      <c r="M457" s="7">
        <v>3.5</v>
      </c>
      <c r="N457" s="7">
        <v>4</v>
      </c>
      <c r="O457" s="7">
        <v>4</v>
      </c>
      <c r="P457" s="7">
        <v>4</v>
      </c>
      <c r="Q457" t="s">
        <v>1190</v>
      </c>
      <c r="R457" s="7">
        <v>120</v>
      </c>
      <c r="S457" t="str">
        <f xml:space="preserve"> HYPERLINK("ReviewHtml/review_Psycho-Pass_-_Providence.html", "https://2danicritic.github.io/ReviewHtml/review_Psycho-Pass_-_Providence.html")</f>
        <v>https://2danicritic.github.io/ReviewHtml/review_Psycho-Pass_-_Providence.html</v>
      </c>
    </row>
    <row r="458" spans="2:19" x14ac:dyDescent="0.35">
      <c r="B458" s="35">
        <v>455</v>
      </c>
      <c r="C458" t="s">
        <v>2511</v>
      </c>
      <c r="D458" s="7">
        <v>2012</v>
      </c>
      <c r="E458" t="s">
        <v>1554</v>
      </c>
      <c r="F458" t="s">
        <v>731</v>
      </c>
      <c r="G458" t="s">
        <v>1559</v>
      </c>
      <c r="H458" t="s">
        <v>2489</v>
      </c>
      <c r="I458" s="7">
        <v>3.93</v>
      </c>
      <c r="J458" s="7">
        <v>3</v>
      </c>
      <c r="K458" s="7">
        <v>4</v>
      </c>
      <c r="L458" s="7">
        <v>4.5</v>
      </c>
      <c r="M458" s="7">
        <v>3.5</v>
      </c>
      <c r="N458" s="7">
        <v>4</v>
      </c>
      <c r="O458" s="7">
        <v>4.5</v>
      </c>
      <c r="P458" s="7">
        <v>4</v>
      </c>
      <c r="Q458" t="s">
        <v>2490</v>
      </c>
      <c r="R458" s="7">
        <v>550</v>
      </c>
      <c r="S458" t="str">
        <f xml:space="preserve"> HYPERLINK("ReviewHtml/review_Psycho-Pass_-_Season_1.html", "https://2danicritic.github.io/ReviewHtml/review_Psycho-Pass_-_Season_1.html")</f>
        <v>https://2danicritic.github.io/ReviewHtml/review_Psycho-Pass_-_Season_1.html</v>
      </c>
    </row>
    <row r="459" spans="2:19" x14ac:dyDescent="0.35">
      <c r="B459" s="35">
        <v>456</v>
      </c>
      <c r="C459" t="s">
        <v>2512</v>
      </c>
      <c r="D459" s="7">
        <v>2014</v>
      </c>
      <c r="E459" t="s">
        <v>1554</v>
      </c>
      <c r="F459" t="s">
        <v>2532</v>
      </c>
      <c r="G459" t="s">
        <v>1559</v>
      </c>
      <c r="H459" t="s">
        <v>2491</v>
      </c>
      <c r="I459" s="7">
        <v>3.79</v>
      </c>
      <c r="J459" s="7">
        <v>3</v>
      </c>
      <c r="K459" s="7">
        <v>3.5</v>
      </c>
      <c r="L459" s="7">
        <v>4.5</v>
      </c>
      <c r="M459" s="7">
        <v>3.5</v>
      </c>
      <c r="N459" s="7">
        <v>4</v>
      </c>
      <c r="O459" s="7">
        <v>4</v>
      </c>
      <c r="P459" s="7">
        <v>4</v>
      </c>
      <c r="Q459" t="s">
        <v>224</v>
      </c>
      <c r="R459" s="7">
        <v>275</v>
      </c>
      <c r="S459" t="str">
        <f xml:space="preserve"> HYPERLINK("ReviewHtml/review_Psycho-Pass_-_Season_2.html", "https://2danicritic.github.io/ReviewHtml/review_Psycho-Pass_-_Season_2.html")</f>
        <v>https://2danicritic.github.io/ReviewHtml/review_Psycho-Pass_-_Season_2.html</v>
      </c>
    </row>
    <row r="460" spans="2:19" x14ac:dyDescent="0.35">
      <c r="B460" s="35">
        <v>457</v>
      </c>
      <c r="C460" t="s">
        <v>2513</v>
      </c>
      <c r="D460" s="7">
        <v>2015</v>
      </c>
      <c r="E460" t="s">
        <v>1554</v>
      </c>
      <c r="F460" t="s">
        <v>731</v>
      </c>
      <c r="G460" t="s">
        <v>1557</v>
      </c>
      <c r="H460" t="s">
        <v>2492</v>
      </c>
      <c r="I460" s="7">
        <v>3.71</v>
      </c>
      <c r="J460" s="7">
        <v>3.5</v>
      </c>
      <c r="K460" s="7">
        <v>3.5</v>
      </c>
      <c r="L460" s="7">
        <v>4.5</v>
      </c>
      <c r="M460" s="7">
        <v>3.5</v>
      </c>
      <c r="N460" s="7">
        <v>3.5</v>
      </c>
      <c r="O460" s="7">
        <v>4</v>
      </c>
      <c r="P460" s="7">
        <v>3.5</v>
      </c>
      <c r="Q460" t="s">
        <v>143</v>
      </c>
      <c r="R460" s="7">
        <v>113</v>
      </c>
      <c r="S460" t="str">
        <f xml:space="preserve"> HYPERLINK("ReviewHtml/review_Psycho-Pass_-_The_Movie.html", "https://2danicritic.github.io/ReviewHtml/review_Psycho-Pass_-_The_Movie.html")</f>
        <v>https://2danicritic.github.io/ReviewHtml/review_Psycho-Pass_-_The_Movie.html</v>
      </c>
    </row>
    <row r="461" spans="2:19" x14ac:dyDescent="0.35">
      <c r="B461" s="35">
        <v>458</v>
      </c>
      <c r="C461" t="s">
        <v>1401</v>
      </c>
      <c r="D461" s="7">
        <v>2011</v>
      </c>
      <c r="E461" t="s">
        <v>1554</v>
      </c>
      <c r="F461" t="s">
        <v>689</v>
      </c>
      <c r="G461" t="s">
        <v>1559</v>
      </c>
      <c r="H461" t="s">
        <v>777</v>
      </c>
      <c r="I461" s="7">
        <v>4.29</v>
      </c>
      <c r="J461" s="7">
        <v>4</v>
      </c>
      <c r="K461" s="7">
        <v>4.5</v>
      </c>
      <c r="L461" s="7">
        <v>4.5</v>
      </c>
      <c r="M461" s="7">
        <v>3.5</v>
      </c>
      <c r="N461" s="7">
        <v>4.5</v>
      </c>
      <c r="O461" s="7">
        <v>4</v>
      </c>
      <c r="P461" s="7">
        <v>5</v>
      </c>
      <c r="Q461" t="s">
        <v>191</v>
      </c>
      <c r="R461" s="7">
        <v>300</v>
      </c>
      <c r="S461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462" spans="2:19" x14ac:dyDescent="0.35">
      <c r="B462" s="35">
        <v>459</v>
      </c>
      <c r="C462" t="s">
        <v>1020</v>
      </c>
      <c r="D462" s="7">
        <v>2015</v>
      </c>
      <c r="E462" t="s">
        <v>1554</v>
      </c>
      <c r="F462" t="s">
        <v>868</v>
      </c>
      <c r="G462" t="s">
        <v>1559</v>
      </c>
      <c r="H462" t="s">
        <v>1021</v>
      </c>
      <c r="I462" s="7">
        <v>3.07</v>
      </c>
      <c r="J462" s="7">
        <v>3</v>
      </c>
      <c r="K462" s="7">
        <v>3</v>
      </c>
      <c r="L462" s="7">
        <v>3</v>
      </c>
      <c r="M462" s="7">
        <v>3.5</v>
      </c>
      <c r="N462" s="7">
        <v>2.5</v>
      </c>
      <c r="O462" s="7">
        <v>3.5</v>
      </c>
      <c r="P462" s="7">
        <v>3</v>
      </c>
      <c r="Q462" t="s">
        <v>236</v>
      </c>
      <c r="R462" s="7">
        <v>300</v>
      </c>
      <c r="S462" t="str">
        <f xml:space="preserve"> HYPERLINK("ReviewHtml/review_Punch_Line.html", "https://2danicritic.github.io/ReviewHtml/review_Punch_Line.html")</f>
        <v>https://2danicritic.github.io/ReviewHtml/review_Punch_Line.html</v>
      </c>
    </row>
    <row r="463" spans="2:19" x14ac:dyDescent="0.35">
      <c r="B463" s="35">
        <v>460</v>
      </c>
      <c r="C463" t="s">
        <v>2586</v>
      </c>
      <c r="D463" s="7">
        <v>1976</v>
      </c>
      <c r="E463" t="s">
        <v>1554</v>
      </c>
      <c r="F463" t="s">
        <v>681</v>
      </c>
      <c r="G463" t="s">
        <v>1557</v>
      </c>
      <c r="H463" t="s">
        <v>2595</v>
      </c>
      <c r="I463" s="7">
        <v>2.71</v>
      </c>
      <c r="J463" s="7">
        <v>2.5</v>
      </c>
      <c r="K463" s="7">
        <v>3</v>
      </c>
      <c r="L463" s="7">
        <v>2.5</v>
      </c>
      <c r="M463" s="7">
        <v>2.5</v>
      </c>
      <c r="N463" s="7">
        <v>2.5</v>
      </c>
      <c r="O463" s="7">
        <v>3.5</v>
      </c>
      <c r="P463" s="7">
        <v>2.5</v>
      </c>
      <c r="Q463" t="s">
        <v>230</v>
      </c>
      <c r="R463" s="7">
        <v>69</v>
      </c>
      <c r="S463" t="str">
        <f xml:space="preserve"> HYPERLINK("ReviewHtml/review_Puss_N'_Boots_-_Around_The_World.html", "https://2danicritic.github.io/ReviewHtml/review_Puss_N'_Boots_-_Around_The_World.html")</f>
        <v>https://2danicritic.github.io/ReviewHtml/review_Puss_N'_Boots_-_Around_The_World.html</v>
      </c>
    </row>
    <row r="464" spans="2:19" x14ac:dyDescent="0.35">
      <c r="B464" s="35">
        <v>461</v>
      </c>
      <c r="C464" t="s">
        <v>2443</v>
      </c>
      <c r="D464" s="7">
        <v>1998</v>
      </c>
      <c r="E464" t="s">
        <v>1556</v>
      </c>
      <c r="F464" t="s">
        <v>2444</v>
      </c>
      <c r="G464" t="s">
        <v>1557</v>
      </c>
      <c r="H464" t="s">
        <v>2445</v>
      </c>
      <c r="I464" s="7">
        <v>3.57</v>
      </c>
      <c r="J464" s="7">
        <v>3.5</v>
      </c>
      <c r="K464" s="7">
        <v>3.5</v>
      </c>
      <c r="L464" s="7">
        <v>4.5</v>
      </c>
      <c r="M464" s="7">
        <v>3.5</v>
      </c>
      <c r="N464" s="7">
        <v>3</v>
      </c>
      <c r="O464" s="7">
        <v>3.5</v>
      </c>
      <c r="P464" s="7">
        <v>3.5</v>
      </c>
      <c r="Q464" t="s">
        <v>97</v>
      </c>
      <c r="R464" s="7">
        <v>86</v>
      </c>
      <c r="S464" t="str">
        <f xml:space="preserve"> HYPERLINK("ReviewHtml/review_Quest_for_Camelot.html", "https://2danicritic.github.io/ReviewHtml/review_Quest_for_Camelot.html")</f>
        <v>https://2danicritic.github.io/ReviewHtml/review_Quest_for_Camelot.html</v>
      </c>
    </row>
    <row r="465" spans="2:19" x14ac:dyDescent="0.35">
      <c r="B465" s="35">
        <v>462</v>
      </c>
      <c r="C465" t="s">
        <v>2113</v>
      </c>
      <c r="D465" s="7">
        <v>1977</v>
      </c>
      <c r="E465" t="s">
        <v>1556</v>
      </c>
      <c r="F465" t="s">
        <v>1421</v>
      </c>
      <c r="G465" t="s">
        <v>1557</v>
      </c>
      <c r="H465" t="s">
        <v>1434</v>
      </c>
      <c r="I465" s="7">
        <v>2.93</v>
      </c>
      <c r="J465" s="7">
        <v>2.5</v>
      </c>
      <c r="K465" s="7">
        <v>2.5</v>
      </c>
      <c r="L465" s="7">
        <v>3</v>
      </c>
      <c r="M465" s="7">
        <v>3.5</v>
      </c>
      <c r="N465" s="7">
        <v>3</v>
      </c>
      <c r="O465" s="7">
        <v>3</v>
      </c>
      <c r="P465" s="7">
        <v>3</v>
      </c>
      <c r="Q465" t="s">
        <v>342</v>
      </c>
      <c r="R465" s="7">
        <v>151</v>
      </c>
      <c r="S465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</row>
    <row r="466" spans="2:19" x14ac:dyDescent="0.35">
      <c r="B466" s="35">
        <v>463</v>
      </c>
      <c r="C466" t="s">
        <v>1022</v>
      </c>
      <c r="D466" s="7">
        <v>2014</v>
      </c>
      <c r="E466" t="s">
        <v>1554</v>
      </c>
      <c r="F466" t="s">
        <v>1023</v>
      </c>
      <c r="G466" t="s">
        <v>1559</v>
      </c>
      <c r="H466" t="s">
        <v>1024</v>
      </c>
      <c r="I466" s="7">
        <v>4</v>
      </c>
      <c r="J466" s="7">
        <v>4</v>
      </c>
      <c r="K466" s="7">
        <v>4</v>
      </c>
      <c r="L466" s="7">
        <v>3.5</v>
      </c>
      <c r="M466" s="7">
        <v>4</v>
      </c>
      <c r="N466" s="7">
        <v>3.5</v>
      </c>
      <c r="O466" s="7">
        <v>4</v>
      </c>
      <c r="P466" s="7">
        <v>5</v>
      </c>
      <c r="Q466" t="s">
        <v>130</v>
      </c>
      <c r="R466" s="7">
        <v>300</v>
      </c>
      <c r="S466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467" spans="2:19" x14ac:dyDescent="0.35">
      <c r="B467" s="35">
        <v>464</v>
      </c>
      <c r="C467" t="s">
        <v>1025</v>
      </c>
      <c r="D467" s="7">
        <v>2014</v>
      </c>
      <c r="E467" t="s">
        <v>1554</v>
      </c>
      <c r="F467" t="s">
        <v>1026</v>
      </c>
      <c r="G467" t="s">
        <v>1559</v>
      </c>
      <c r="H467" t="s">
        <v>1027</v>
      </c>
      <c r="I467" s="7">
        <v>3</v>
      </c>
      <c r="J467" s="7">
        <v>3</v>
      </c>
      <c r="K467" s="7">
        <v>3</v>
      </c>
      <c r="L467" s="7">
        <v>3.5</v>
      </c>
      <c r="M467" s="7">
        <v>3</v>
      </c>
      <c r="N467" s="7">
        <v>2.5</v>
      </c>
      <c r="O467" s="7">
        <v>3</v>
      </c>
      <c r="P467" s="7">
        <v>3</v>
      </c>
      <c r="Q467" t="s">
        <v>237</v>
      </c>
      <c r="R467" s="7">
        <v>300</v>
      </c>
      <c r="S467" t="str">
        <f xml:space="preserve"> HYPERLINK("ReviewHtml/review_Rail_Wars.html", "https://2danicritic.github.io/ReviewHtml/review_Rail_Wars.html")</f>
        <v>https://2danicritic.github.io/ReviewHtml/review_Rail_Wars.html</v>
      </c>
    </row>
    <row r="468" spans="2:19" x14ac:dyDescent="0.35">
      <c r="B468" s="35">
        <v>465</v>
      </c>
      <c r="C468" t="s">
        <v>2514</v>
      </c>
      <c r="D468" s="7">
        <v>1993</v>
      </c>
      <c r="E468" t="s">
        <v>2525</v>
      </c>
      <c r="F468" t="s">
        <v>681</v>
      </c>
      <c r="G468" t="s">
        <v>1557</v>
      </c>
      <c r="H468" t="s">
        <v>2493</v>
      </c>
      <c r="I468" s="7">
        <v>2.79</v>
      </c>
      <c r="J468" s="7">
        <v>3.5</v>
      </c>
      <c r="K468" s="7">
        <v>3.5</v>
      </c>
      <c r="L468" s="7">
        <v>3.5</v>
      </c>
      <c r="M468" s="7">
        <v>2</v>
      </c>
      <c r="N468" s="7">
        <v>2</v>
      </c>
      <c r="O468" s="7">
        <v>2.5</v>
      </c>
      <c r="P468" s="7">
        <v>2.5</v>
      </c>
      <c r="Q468" t="s">
        <v>281</v>
      </c>
      <c r="R468" s="7">
        <v>135</v>
      </c>
      <c r="S468" t="str">
        <f xml:space="preserve"> HYPERLINK("ReviewHtml/review_Ramayana_-_The_Legend_of_Prince_Rama.html", "https://2danicritic.github.io/ReviewHtml/review_Ramayana_-_The_Legend_of_Prince_Rama.html")</f>
        <v>https://2danicritic.github.io/ReviewHtml/review_Ramayana_-_The_Legend_of_Prince_Rama.html</v>
      </c>
    </row>
    <row r="469" spans="2:19" x14ac:dyDescent="0.35">
      <c r="B469" s="35">
        <v>466</v>
      </c>
      <c r="C469" t="s">
        <v>1914</v>
      </c>
      <c r="D469" s="7">
        <v>2015</v>
      </c>
      <c r="E469" t="s">
        <v>1554</v>
      </c>
      <c r="F469" t="s">
        <v>948</v>
      </c>
      <c r="G469" t="s">
        <v>1559</v>
      </c>
      <c r="H469" t="s">
        <v>675</v>
      </c>
      <c r="I469" s="7">
        <v>3.43</v>
      </c>
      <c r="J469" s="7">
        <v>2.5</v>
      </c>
      <c r="K469" s="7">
        <v>4</v>
      </c>
      <c r="L469" s="7">
        <v>3</v>
      </c>
      <c r="M469" s="7">
        <v>3</v>
      </c>
      <c r="N469" s="7">
        <v>3.5</v>
      </c>
      <c r="O469" s="7">
        <v>4</v>
      </c>
      <c r="P469" s="7">
        <v>4</v>
      </c>
      <c r="Q469" t="s">
        <v>1881</v>
      </c>
      <c r="R469" s="7">
        <v>275</v>
      </c>
      <c r="S469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</row>
    <row r="470" spans="2:19" x14ac:dyDescent="0.35">
      <c r="B470" s="35">
        <v>467</v>
      </c>
      <c r="C470" t="s">
        <v>1028</v>
      </c>
      <c r="D470" s="7">
        <v>2009</v>
      </c>
      <c r="E470" t="s">
        <v>1554</v>
      </c>
      <c r="F470" t="s">
        <v>1029</v>
      </c>
      <c r="G470" t="s">
        <v>1557</v>
      </c>
      <c r="H470" t="s">
        <v>1030</v>
      </c>
      <c r="I470" s="7">
        <v>4.3600000000000003</v>
      </c>
      <c r="J470" s="7">
        <v>4.5</v>
      </c>
      <c r="K470" s="7">
        <v>5</v>
      </c>
      <c r="L470" s="7">
        <v>5</v>
      </c>
      <c r="M470" s="7">
        <v>3.5</v>
      </c>
      <c r="N470" s="7">
        <v>3</v>
      </c>
      <c r="O470" s="7">
        <v>4.5</v>
      </c>
      <c r="P470" s="7">
        <v>5</v>
      </c>
      <c r="Q470" t="s">
        <v>238</v>
      </c>
      <c r="R470" s="7">
        <v>102</v>
      </c>
      <c r="S470" t="str">
        <f xml:space="preserve"> HYPERLINK("ReviewHtml/review_Redline.html", "https://2danicritic.github.io/ReviewHtml/review_Redline.html")</f>
        <v>https://2danicritic.github.io/ReviewHtml/review_Redline.html</v>
      </c>
    </row>
    <row r="471" spans="2:19" x14ac:dyDescent="0.35">
      <c r="B471" s="35">
        <v>468</v>
      </c>
      <c r="C471" t="s">
        <v>1744</v>
      </c>
      <c r="D471" s="7">
        <v>2019</v>
      </c>
      <c r="E471" t="s">
        <v>1554</v>
      </c>
      <c r="F471" t="s">
        <v>787</v>
      </c>
      <c r="G471" t="s">
        <v>1557</v>
      </c>
      <c r="H471" t="s">
        <v>788</v>
      </c>
      <c r="I471" s="7">
        <v>3.57</v>
      </c>
      <c r="J471" s="7">
        <v>3.5</v>
      </c>
      <c r="K471" s="7">
        <v>4</v>
      </c>
      <c r="L471" s="7">
        <v>3.5</v>
      </c>
      <c r="M471" s="7">
        <v>4</v>
      </c>
      <c r="N471" s="7">
        <v>3</v>
      </c>
      <c r="O471" s="7">
        <v>3.5</v>
      </c>
      <c r="P471" s="7">
        <v>3.5</v>
      </c>
      <c r="Q471" t="s">
        <v>100</v>
      </c>
      <c r="R471" s="7">
        <v>96</v>
      </c>
      <c r="S471" t="str">
        <f xml:space="preserve"> HYPERLINK("ReviewHtml/review_Ride_Your_Wave.html", "https://2danicritic.github.io/ReviewHtml/review_Ride_Your_Wave.html")</f>
        <v>https://2danicritic.github.io/ReviewHtml/review_Ride_Your_Wave.html</v>
      </c>
    </row>
    <row r="472" spans="2:19" x14ac:dyDescent="0.35">
      <c r="B472" s="35">
        <v>469</v>
      </c>
      <c r="C472" t="s">
        <v>1402</v>
      </c>
      <c r="D472" s="7">
        <v>2008</v>
      </c>
      <c r="E472" t="s">
        <v>1554</v>
      </c>
      <c r="F472" t="s">
        <v>888</v>
      </c>
      <c r="G472" t="s">
        <v>1559</v>
      </c>
      <c r="H472" t="s">
        <v>1455</v>
      </c>
      <c r="I472" s="7">
        <v>3.21</v>
      </c>
      <c r="J472" s="7">
        <v>3</v>
      </c>
      <c r="K472" s="7">
        <v>3</v>
      </c>
      <c r="L472" s="7">
        <v>3</v>
      </c>
      <c r="M472" s="7">
        <v>3.5</v>
      </c>
      <c r="N472" s="7">
        <v>3.5</v>
      </c>
      <c r="O472" s="7">
        <v>3</v>
      </c>
      <c r="P472" s="7">
        <v>3.5</v>
      </c>
      <c r="Q472" t="s">
        <v>1349</v>
      </c>
      <c r="R472" s="7">
        <v>300</v>
      </c>
      <c r="S472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473" spans="2:19" x14ac:dyDescent="0.35">
      <c r="B473" s="35">
        <v>470</v>
      </c>
      <c r="C473" t="s">
        <v>1031</v>
      </c>
      <c r="D473" s="7">
        <v>1978</v>
      </c>
      <c r="E473" t="s">
        <v>1554</v>
      </c>
      <c r="F473" t="s">
        <v>1032</v>
      </c>
      <c r="G473" t="s">
        <v>1557</v>
      </c>
      <c r="H473" t="s">
        <v>1033</v>
      </c>
      <c r="I473" s="7">
        <v>3.57</v>
      </c>
      <c r="J473" s="7">
        <v>4</v>
      </c>
      <c r="K473" s="7">
        <v>3</v>
      </c>
      <c r="L473" s="7">
        <v>3.5</v>
      </c>
      <c r="M473" s="7">
        <v>3.5</v>
      </c>
      <c r="N473" s="7">
        <v>4</v>
      </c>
      <c r="O473" s="7">
        <v>3</v>
      </c>
      <c r="P473" s="7">
        <v>4</v>
      </c>
      <c r="Q473" t="s">
        <v>239</v>
      </c>
      <c r="R473" s="7">
        <v>47</v>
      </c>
      <c r="S473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474" spans="2:19" x14ac:dyDescent="0.35">
      <c r="B474" s="35">
        <v>471</v>
      </c>
      <c r="C474" t="s">
        <v>2306</v>
      </c>
      <c r="D474" s="7">
        <v>1973</v>
      </c>
      <c r="E474" t="s">
        <v>1556</v>
      </c>
      <c r="F474" t="s">
        <v>2260</v>
      </c>
      <c r="G474" t="s">
        <v>1557</v>
      </c>
      <c r="H474" t="s">
        <v>2307</v>
      </c>
      <c r="I474" s="7">
        <v>3.86</v>
      </c>
      <c r="J474" s="7">
        <v>3.5</v>
      </c>
      <c r="K474" s="7">
        <v>3.5</v>
      </c>
      <c r="L474" s="7">
        <v>4</v>
      </c>
      <c r="M474" s="7">
        <v>4.5</v>
      </c>
      <c r="N474" s="7">
        <v>3.5</v>
      </c>
      <c r="O474" s="7">
        <v>4</v>
      </c>
      <c r="P474" s="7">
        <v>4</v>
      </c>
      <c r="Q474" t="s">
        <v>187</v>
      </c>
      <c r="R474" s="7">
        <v>83</v>
      </c>
      <c r="S474" t="str">
        <f xml:space="preserve"> HYPERLINK("ReviewHtml/review_Robin_Hood.html", "https://2danicritic.github.io/ReviewHtml/review_Robin_Hood.html")</f>
        <v>https://2danicritic.github.io/ReviewHtml/review_Robin_Hood.html</v>
      </c>
    </row>
    <row r="475" spans="2:19" x14ac:dyDescent="0.35">
      <c r="B475" s="35">
        <v>472</v>
      </c>
      <c r="C475" t="s">
        <v>1403</v>
      </c>
      <c r="D475" s="7">
        <v>1987</v>
      </c>
      <c r="E475" t="s">
        <v>1554</v>
      </c>
      <c r="F475" t="s">
        <v>1430</v>
      </c>
      <c r="G475" t="s">
        <v>1555</v>
      </c>
      <c r="H475" t="s">
        <v>1350</v>
      </c>
      <c r="I475" s="7">
        <v>3.71</v>
      </c>
      <c r="J475" s="7">
        <v>4</v>
      </c>
      <c r="K475" s="7">
        <v>4</v>
      </c>
      <c r="L475" s="7">
        <v>3.5</v>
      </c>
      <c r="M475" s="7">
        <v>3</v>
      </c>
      <c r="N475" s="7">
        <v>3.5</v>
      </c>
      <c r="O475" s="7">
        <v>3.5</v>
      </c>
      <c r="P475" s="7">
        <v>4.5</v>
      </c>
      <c r="Q475" t="s">
        <v>1351</v>
      </c>
      <c r="R475" s="7">
        <v>90</v>
      </c>
      <c r="S475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476" spans="2:19" x14ac:dyDescent="0.35">
      <c r="B476" s="35">
        <v>473</v>
      </c>
      <c r="C476" t="s">
        <v>2515</v>
      </c>
      <c r="D476" s="7">
        <v>2023</v>
      </c>
      <c r="E476" t="s">
        <v>1566</v>
      </c>
      <c r="F476" t="s">
        <v>2533</v>
      </c>
      <c r="G476" t="s">
        <v>1557</v>
      </c>
      <c r="H476" t="s">
        <v>2534</v>
      </c>
      <c r="I476" s="7">
        <v>3.21</v>
      </c>
      <c r="J476" s="7">
        <v>3.5</v>
      </c>
      <c r="K476" s="7">
        <v>3</v>
      </c>
      <c r="L476" s="7">
        <v>3.5</v>
      </c>
      <c r="M476" s="7">
        <v>3</v>
      </c>
      <c r="N476" s="7">
        <v>3.5</v>
      </c>
      <c r="O476" s="7">
        <v>3</v>
      </c>
      <c r="P476" s="7">
        <v>3</v>
      </c>
      <c r="Q476" t="s">
        <v>2494</v>
      </c>
      <c r="R476" s="7">
        <v>102</v>
      </c>
      <c r="S476" t="str">
        <f xml:space="preserve"> HYPERLINK("ReviewHtml/review_Robot_Dreams.html", "https://2danicritic.github.io/ReviewHtml/review_Robot_Dreams.html")</f>
        <v>https://2danicritic.github.io/ReviewHtml/review_Robot_Dreams.html</v>
      </c>
    </row>
    <row r="477" spans="2:19" x14ac:dyDescent="0.35">
      <c r="B477" s="35">
        <v>474</v>
      </c>
      <c r="C477" t="s">
        <v>1034</v>
      </c>
      <c r="D477" s="7">
        <v>1983</v>
      </c>
      <c r="E477" t="s">
        <v>1607</v>
      </c>
      <c r="F477" t="s">
        <v>1035</v>
      </c>
      <c r="G477" t="s">
        <v>1557</v>
      </c>
      <c r="H477" t="s">
        <v>1036</v>
      </c>
      <c r="I477" s="7">
        <v>2.86</v>
      </c>
      <c r="J477" s="7">
        <v>3.5</v>
      </c>
      <c r="K477" s="7">
        <v>3.5</v>
      </c>
      <c r="L477" s="7">
        <v>2.5</v>
      </c>
      <c r="M477" s="7">
        <v>3.5</v>
      </c>
      <c r="N477" s="7">
        <v>2</v>
      </c>
      <c r="O477" s="7">
        <v>2.5</v>
      </c>
      <c r="P477" s="7">
        <v>2.5</v>
      </c>
      <c r="Q477" t="s">
        <v>135</v>
      </c>
      <c r="R477" s="7">
        <v>77</v>
      </c>
      <c r="S47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478" spans="2:19" x14ac:dyDescent="0.35">
      <c r="B478" s="35">
        <v>475</v>
      </c>
      <c r="C478" t="s">
        <v>1037</v>
      </c>
      <c r="D478" s="7">
        <v>1991</v>
      </c>
      <c r="E478" t="s">
        <v>1556</v>
      </c>
      <c r="F478" t="s">
        <v>1038</v>
      </c>
      <c r="G478" t="s">
        <v>1557</v>
      </c>
      <c r="H478" t="s">
        <v>1039</v>
      </c>
      <c r="I478" s="7">
        <v>3.14</v>
      </c>
      <c r="J478" s="7">
        <v>3</v>
      </c>
      <c r="K478" s="7">
        <v>3</v>
      </c>
      <c r="L478" s="7">
        <v>4</v>
      </c>
      <c r="M478" s="7">
        <v>4</v>
      </c>
      <c r="N478" s="7">
        <v>2</v>
      </c>
      <c r="O478" s="7">
        <v>3</v>
      </c>
      <c r="P478" s="7">
        <v>3</v>
      </c>
      <c r="Q478" t="s">
        <v>240</v>
      </c>
      <c r="R478" s="7">
        <v>74</v>
      </c>
      <c r="S47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479" spans="2:19" x14ac:dyDescent="0.35">
      <c r="B479" s="35">
        <v>476</v>
      </c>
      <c r="C479" t="s">
        <v>1040</v>
      </c>
      <c r="D479" s="7">
        <v>2015</v>
      </c>
      <c r="E479" t="s">
        <v>1554</v>
      </c>
      <c r="F479" t="s">
        <v>1026</v>
      </c>
      <c r="G479" t="s">
        <v>1559</v>
      </c>
      <c r="H479" t="s">
        <v>1041</v>
      </c>
      <c r="I479" s="7">
        <v>3.5</v>
      </c>
      <c r="J479" s="7">
        <v>3</v>
      </c>
      <c r="K479" s="7">
        <v>3.5</v>
      </c>
      <c r="L479" s="7">
        <v>3.5</v>
      </c>
      <c r="M479" s="7">
        <v>3.5</v>
      </c>
      <c r="N479" s="7">
        <v>3.5</v>
      </c>
      <c r="O479" s="7">
        <v>3.5</v>
      </c>
      <c r="P479" s="7">
        <v>4</v>
      </c>
      <c r="Q479" t="s">
        <v>241</v>
      </c>
      <c r="R479" s="7">
        <v>300</v>
      </c>
      <c r="S47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480" spans="2:19" x14ac:dyDescent="0.35">
      <c r="B480" s="35">
        <v>477</v>
      </c>
      <c r="C480" t="s">
        <v>1404</v>
      </c>
      <c r="D480" s="7">
        <v>2007</v>
      </c>
      <c r="E480" t="s">
        <v>1554</v>
      </c>
      <c r="F480" t="s">
        <v>664</v>
      </c>
      <c r="G480" t="s">
        <v>1559</v>
      </c>
      <c r="H480" t="s">
        <v>1456</v>
      </c>
      <c r="I480" s="7">
        <v>3.64</v>
      </c>
      <c r="J480" s="7">
        <v>3</v>
      </c>
      <c r="K480" s="7">
        <v>3.5</v>
      </c>
      <c r="L480" s="7">
        <v>4</v>
      </c>
      <c r="M480" s="7">
        <v>4</v>
      </c>
      <c r="N480" s="7">
        <v>4</v>
      </c>
      <c r="O480" s="7">
        <v>3.5</v>
      </c>
      <c r="P480" s="7">
        <v>3.5</v>
      </c>
      <c r="Q480" t="s">
        <v>1194</v>
      </c>
      <c r="R480" s="7">
        <v>300</v>
      </c>
      <c r="S480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481" spans="2:19" x14ac:dyDescent="0.35">
      <c r="B481" s="35">
        <v>478</v>
      </c>
      <c r="C481" t="s">
        <v>1274</v>
      </c>
      <c r="D481" s="7">
        <v>2018</v>
      </c>
      <c r="E481" t="s">
        <v>1609</v>
      </c>
      <c r="F481" t="s">
        <v>1291</v>
      </c>
      <c r="G481" t="s">
        <v>1557</v>
      </c>
      <c r="H481" t="s">
        <v>1301</v>
      </c>
      <c r="I481" s="7">
        <v>3.86</v>
      </c>
      <c r="J481" s="7">
        <v>3.5</v>
      </c>
      <c r="K481" s="7">
        <v>4</v>
      </c>
      <c r="L481" s="7">
        <v>4</v>
      </c>
      <c r="M481" s="7">
        <v>4</v>
      </c>
      <c r="N481" s="7">
        <v>3.5</v>
      </c>
      <c r="O481" s="7">
        <v>4</v>
      </c>
      <c r="P481" s="7">
        <v>4</v>
      </c>
      <c r="Q481" t="s">
        <v>1211</v>
      </c>
      <c r="R481" s="7">
        <v>96</v>
      </c>
      <c r="S481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482" spans="2:19" x14ac:dyDescent="0.35">
      <c r="B482" s="35">
        <v>479</v>
      </c>
      <c r="C482" t="s">
        <v>1915</v>
      </c>
      <c r="D482" s="7">
        <v>2017</v>
      </c>
      <c r="E482" t="s">
        <v>1554</v>
      </c>
      <c r="F482" t="s">
        <v>1916</v>
      </c>
      <c r="G482" t="s">
        <v>1559</v>
      </c>
      <c r="H482" t="s">
        <v>1021</v>
      </c>
      <c r="I482" s="7">
        <v>3.79</v>
      </c>
      <c r="J482" s="7">
        <v>3.5</v>
      </c>
      <c r="K482" s="7">
        <v>3.5</v>
      </c>
      <c r="L482" s="7">
        <v>4</v>
      </c>
      <c r="M482" s="7">
        <v>4</v>
      </c>
      <c r="N482" s="7">
        <v>3.5</v>
      </c>
      <c r="O482" s="7">
        <v>4</v>
      </c>
      <c r="P482" s="7">
        <v>4</v>
      </c>
      <c r="Q482" t="s">
        <v>1882</v>
      </c>
      <c r="R482" s="7">
        <v>300</v>
      </c>
      <c r="S482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</row>
    <row r="483" spans="2:19" x14ac:dyDescent="0.35">
      <c r="B483" s="35">
        <v>480</v>
      </c>
      <c r="C483" t="s">
        <v>2308</v>
      </c>
      <c r="D483" s="7">
        <v>1942</v>
      </c>
      <c r="E483" t="s">
        <v>1556</v>
      </c>
      <c r="F483" t="s">
        <v>2260</v>
      </c>
      <c r="G483" t="s">
        <v>1555</v>
      </c>
      <c r="H483" t="s">
        <v>2235</v>
      </c>
      <c r="I483" s="7">
        <v>2.79</v>
      </c>
      <c r="J483" s="7">
        <v>3</v>
      </c>
      <c r="K483" s="7">
        <v>3</v>
      </c>
      <c r="L483" s="7">
        <v>3</v>
      </c>
      <c r="M483" s="7">
        <v>3</v>
      </c>
      <c r="N483" s="7">
        <v>1.5</v>
      </c>
      <c r="O483" s="7">
        <v>3.5</v>
      </c>
      <c r="P483" s="7">
        <v>2.5</v>
      </c>
      <c r="Q483" t="s">
        <v>2236</v>
      </c>
      <c r="R483" s="7">
        <v>42</v>
      </c>
      <c r="S483" t="str">
        <f xml:space="preserve"> HYPERLINK("ReviewHtml/review_Saludos_Amigos.html", "https://2danicritic.github.io/ReviewHtml/review_Saludos_Amigos.html")</f>
        <v>https://2danicritic.github.io/ReviewHtml/review_Saludos_Amigos.html</v>
      </c>
    </row>
    <row r="484" spans="2:19" x14ac:dyDescent="0.35">
      <c r="B484" s="35">
        <v>481</v>
      </c>
      <c r="C484" t="s">
        <v>1405</v>
      </c>
      <c r="D484" s="7">
        <v>2004</v>
      </c>
      <c r="E484" t="s">
        <v>1554</v>
      </c>
      <c r="F484" t="s">
        <v>780</v>
      </c>
      <c r="G484" t="s">
        <v>1559</v>
      </c>
      <c r="H484" t="s">
        <v>1298</v>
      </c>
      <c r="I484" s="7">
        <v>3.64</v>
      </c>
      <c r="J484" s="7">
        <v>3.5</v>
      </c>
      <c r="K484" s="7">
        <v>4</v>
      </c>
      <c r="L484" s="7">
        <v>4.5</v>
      </c>
      <c r="M484" s="7">
        <v>4</v>
      </c>
      <c r="N484" s="7">
        <v>2.5</v>
      </c>
      <c r="O484" s="7">
        <v>3.5</v>
      </c>
      <c r="P484" s="7">
        <v>3.5</v>
      </c>
      <c r="Q484" t="s">
        <v>185</v>
      </c>
      <c r="R484" s="7">
        <v>650</v>
      </c>
      <c r="S484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485" spans="2:19" x14ac:dyDescent="0.35">
      <c r="B485" s="35">
        <v>482</v>
      </c>
      <c r="C485" t="s">
        <v>1042</v>
      </c>
      <c r="D485" s="7">
        <v>2012</v>
      </c>
      <c r="E485" t="s">
        <v>1554</v>
      </c>
      <c r="F485" t="s">
        <v>811</v>
      </c>
      <c r="G485" t="s">
        <v>1559</v>
      </c>
      <c r="H485" t="s">
        <v>1043</v>
      </c>
      <c r="I485" s="7">
        <v>3.43</v>
      </c>
      <c r="J485" s="7">
        <v>3</v>
      </c>
      <c r="K485" s="7">
        <v>3.5</v>
      </c>
      <c r="L485" s="7">
        <v>3.5</v>
      </c>
      <c r="M485" s="7">
        <v>3.5</v>
      </c>
      <c r="N485" s="7">
        <v>3.5</v>
      </c>
      <c r="O485" s="7">
        <v>3.5</v>
      </c>
      <c r="P485" s="7">
        <v>3.5</v>
      </c>
      <c r="Q485" t="s">
        <v>345</v>
      </c>
      <c r="R485" s="7">
        <v>325</v>
      </c>
      <c r="S48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486" spans="2:19" x14ac:dyDescent="0.35">
      <c r="B486" s="35">
        <v>483</v>
      </c>
      <c r="C486" t="s">
        <v>1044</v>
      </c>
      <c r="D486" s="7">
        <v>2014</v>
      </c>
      <c r="E486" t="s">
        <v>1567</v>
      </c>
      <c r="F486" t="s">
        <v>1045</v>
      </c>
      <c r="G486" t="s">
        <v>1557</v>
      </c>
      <c r="H486" t="s">
        <v>1046</v>
      </c>
      <c r="I486" s="7">
        <v>2.93</v>
      </c>
      <c r="J486" s="7">
        <v>2.5</v>
      </c>
      <c r="K486" s="7">
        <v>3</v>
      </c>
      <c r="L486" s="7">
        <v>2.5</v>
      </c>
      <c r="M486" s="7">
        <v>3</v>
      </c>
      <c r="N486" s="7">
        <v>2.5</v>
      </c>
      <c r="O486" s="7">
        <v>3</v>
      </c>
      <c r="P486" s="7">
        <v>4</v>
      </c>
      <c r="Q486" t="s">
        <v>242</v>
      </c>
      <c r="R486" s="7">
        <v>81</v>
      </c>
      <c r="S48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487" spans="2:19" x14ac:dyDescent="0.35">
      <c r="B487" s="35">
        <v>484</v>
      </c>
      <c r="C487" t="s">
        <v>1610</v>
      </c>
      <c r="D487" s="7">
        <v>2007</v>
      </c>
      <c r="E487" t="s">
        <v>1554</v>
      </c>
      <c r="F487" t="s">
        <v>860</v>
      </c>
      <c r="G487" t="s">
        <v>1559</v>
      </c>
      <c r="H487" t="s">
        <v>880</v>
      </c>
      <c r="I487" s="7">
        <v>2.71</v>
      </c>
      <c r="J487" s="7">
        <v>2</v>
      </c>
      <c r="K487" s="7">
        <v>2.5</v>
      </c>
      <c r="L487" s="7">
        <v>2.5</v>
      </c>
      <c r="M487" s="7">
        <v>3.5</v>
      </c>
      <c r="N487" s="7">
        <v>3</v>
      </c>
      <c r="O487" s="7">
        <v>2.5</v>
      </c>
      <c r="P487" s="7">
        <v>3</v>
      </c>
      <c r="Q487" t="s">
        <v>1545</v>
      </c>
      <c r="R487" s="7">
        <v>325</v>
      </c>
      <c r="S487" t="str">
        <f xml:space="preserve"> HYPERLINK("ReviewHtml/review_School_Days.html", "https://2danicritic.github.io/ReviewHtml/review_School_Days.html")</f>
        <v>https://2danicritic.github.io/ReviewHtml/review_School_Days.html</v>
      </c>
    </row>
    <row r="488" spans="2:19" x14ac:dyDescent="0.35">
      <c r="B488" s="35">
        <v>485</v>
      </c>
      <c r="C488" t="s">
        <v>1825</v>
      </c>
      <c r="D488" s="7">
        <v>2015</v>
      </c>
      <c r="E488" t="s">
        <v>1554</v>
      </c>
      <c r="F488" t="s">
        <v>948</v>
      </c>
      <c r="G488" t="s">
        <v>1559</v>
      </c>
      <c r="H488" t="s">
        <v>1826</v>
      </c>
      <c r="I488" s="7">
        <v>3.36</v>
      </c>
      <c r="J488" s="7">
        <v>2.5</v>
      </c>
      <c r="K488" s="7">
        <v>3.5</v>
      </c>
      <c r="L488" s="7">
        <v>3</v>
      </c>
      <c r="M488" s="7">
        <v>3</v>
      </c>
      <c r="N488" s="7">
        <v>3.5</v>
      </c>
      <c r="O488" s="7">
        <v>4</v>
      </c>
      <c r="P488" s="7">
        <v>4</v>
      </c>
      <c r="Q488" t="s">
        <v>1773</v>
      </c>
      <c r="R488" s="7">
        <v>300</v>
      </c>
      <c r="S488" t="str">
        <f xml:space="preserve"> HYPERLINK("ReviewHtml/review_School-Live!.html", "https://2danicritic.github.io/ReviewHtml/review_School-Live!.html")</f>
        <v>https://2danicritic.github.io/ReviewHtml/review_School-Live!.html</v>
      </c>
    </row>
    <row r="489" spans="2:19" x14ac:dyDescent="0.35">
      <c r="B489" s="35">
        <v>486</v>
      </c>
      <c r="C489" t="s">
        <v>1406</v>
      </c>
      <c r="D489" s="7">
        <v>2003</v>
      </c>
      <c r="E489" t="s">
        <v>1554</v>
      </c>
      <c r="F489" t="s">
        <v>734</v>
      </c>
      <c r="G489" t="s">
        <v>1559</v>
      </c>
      <c r="H489" t="s">
        <v>1457</v>
      </c>
      <c r="I489" s="7">
        <v>3.29</v>
      </c>
      <c r="J489" s="7">
        <v>2.5</v>
      </c>
      <c r="K489" s="7">
        <v>3</v>
      </c>
      <c r="L489" s="7">
        <v>3.5</v>
      </c>
      <c r="M489" s="7">
        <v>3.5</v>
      </c>
      <c r="N489" s="7">
        <v>3.5</v>
      </c>
      <c r="O489" s="7">
        <v>3.5</v>
      </c>
      <c r="P489" s="7">
        <v>3.5</v>
      </c>
      <c r="Q489" t="s">
        <v>1352</v>
      </c>
      <c r="R489" s="7">
        <v>600</v>
      </c>
      <c r="S489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490" spans="2:19" x14ac:dyDescent="0.35">
      <c r="B490" s="35">
        <v>487</v>
      </c>
      <c r="C490" t="s">
        <v>2701</v>
      </c>
      <c r="D490" s="7">
        <v>2010</v>
      </c>
      <c r="E490" t="s">
        <v>1554</v>
      </c>
      <c r="F490" t="s">
        <v>882</v>
      </c>
      <c r="G490" t="s">
        <v>2717</v>
      </c>
      <c r="H490" t="s">
        <v>2718</v>
      </c>
      <c r="I490" s="7">
        <v>2.79</v>
      </c>
      <c r="J490" s="7">
        <v>2.5</v>
      </c>
      <c r="K490" s="7">
        <v>2.5</v>
      </c>
      <c r="L490" s="7">
        <v>3.5</v>
      </c>
      <c r="M490" s="7">
        <v>3.5</v>
      </c>
      <c r="N490" s="7">
        <v>2</v>
      </c>
      <c r="O490" s="7">
        <v>3</v>
      </c>
      <c r="P490" s="7">
        <v>2.5</v>
      </c>
      <c r="Q490" t="s">
        <v>1218</v>
      </c>
      <c r="R490" s="7">
        <v>710</v>
      </c>
      <c r="S490" t="str">
        <f xml:space="preserve"> HYPERLINK("ReviewHtml/review_Seitokai_Yakuindomo_(Season_1,_Season_2,_Movie_1).html", "https://2danicritic.github.io/ReviewHtml/review_Seitokai_Yakuindomo_(Season_1,_Season_2,_Movie_1).html")</f>
        <v>https://2danicritic.github.io/ReviewHtml/review_Seitokai_Yakuindomo_(Season_1,_Season_2,_Movie_1).html</v>
      </c>
    </row>
    <row r="491" spans="2:19" x14ac:dyDescent="0.35">
      <c r="B491" s="35">
        <v>488</v>
      </c>
      <c r="C491" t="s">
        <v>1407</v>
      </c>
      <c r="D491" s="7">
        <v>2009</v>
      </c>
      <c r="E491" t="s">
        <v>1554</v>
      </c>
      <c r="F491" t="s">
        <v>731</v>
      </c>
      <c r="G491" t="s">
        <v>1559</v>
      </c>
      <c r="H491" t="s">
        <v>1353</v>
      </c>
      <c r="I491" s="7">
        <v>3.21</v>
      </c>
      <c r="J491" s="7">
        <v>3.5</v>
      </c>
      <c r="K491" s="7">
        <v>3</v>
      </c>
      <c r="L491" s="7">
        <v>3.5</v>
      </c>
      <c r="M491" s="7">
        <v>4</v>
      </c>
      <c r="N491" s="7">
        <v>2.5</v>
      </c>
      <c r="O491" s="7">
        <v>3.5</v>
      </c>
      <c r="P491" s="7">
        <v>2.5</v>
      </c>
      <c r="Q491" t="s">
        <v>1354</v>
      </c>
      <c r="R491" s="7">
        <v>650</v>
      </c>
      <c r="S491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492" spans="2:19" x14ac:dyDescent="0.35">
      <c r="B492" s="35">
        <v>489</v>
      </c>
      <c r="C492" t="s">
        <v>1611</v>
      </c>
      <c r="D492" s="7">
        <v>2013</v>
      </c>
      <c r="E492" t="s">
        <v>1554</v>
      </c>
      <c r="F492" t="s">
        <v>951</v>
      </c>
      <c r="G492" t="s">
        <v>1559</v>
      </c>
      <c r="H492" t="s">
        <v>1612</v>
      </c>
      <c r="I492" s="7">
        <v>3.07</v>
      </c>
      <c r="J492" s="7">
        <v>3</v>
      </c>
      <c r="K492" s="7">
        <v>3</v>
      </c>
      <c r="L492" s="7">
        <v>3</v>
      </c>
      <c r="M492" s="7">
        <v>3.5</v>
      </c>
      <c r="N492" s="7">
        <v>2</v>
      </c>
      <c r="O492" s="7">
        <v>4</v>
      </c>
      <c r="P492" s="7">
        <v>3</v>
      </c>
      <c r="Q492" t="s">
        <v>1546</v>
      </c>
      <c r="R492" s="7">
        <v>300</v>
      </c>
      <c r="S492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</row>
    <row r="493" spans="2:19" x14ac:dyDescent="0.35">
      <c r="B493" s="35">
        <v>490</v>
      </c>
      <c r="C493" t="s">
        <v>1047</v>
      </c>
      <c r="D493" s="7">
        <v>1998</v>
      </c>
      <c r="E493" t="s">
        <v>1554</v>
      </c>
      <c r="F493" t="s">
        <v>1048</v>
      </c>
      <c r="G493" t="s">
        <v>1559</v>
      </c>
      <c r="H493" t="s">
        <v>898</v>
      </c>
      <c r="I493" s="7">
        <v>3.71</v>
      </c>
      <c r="J493" s="7">
        <v>2.5</v>
      </c>
      <c r="K493" s="7">
        <v>3</v>
      </c>
      <c r="L493" s="7">
        <v>3.5</v>
      </c>
      <c r="M493" s="7">
        <v>3</v>
      </c>
      <c r="N493" s="7">
        <v>5</v>
      </c>
      <c r="O493" s="7">
        <v>4</v>
      </c>
      <c r="P493" s="7">
        <v>5</v>
      </c>
      <c r="Q493" t="s">
        <v>243</v>
      </c>
      <c r="R493" s="7">
        <v>325</v>
      </c>
      <c r="S493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494" spans="2:19" x14ac:dyDescent="0.35">
      <c r="B494" s="35">
        <v>491</v>
      </c>
      <c r="C494" t="s">
        <v>2516</v>
      </c>
      <c r="D494" s="7">
        <v>2019</v>
      </c>
      <c r="E494" t="s">
        <v>1554</v>
      </c>
      <c r="F494" t="s">
        <v>2535</v>
      </c>
      <c r="G494" t="s">
        <v>1557</v>
      </c>
      <c r="H494" t="s">
        <v>2536</v>
      </c>
      <c r="I494" s="7">
        <v>3.64</v>
      </c>
      <c r="J494" s="7">
        <v>3</v>
      </c>
      <c r="K494" s="7">
        <v>3</v>
      </c>
      <c r="L494" s="7">
        <v>4</v>
      </c>
      <c r="M494" s="7">
        <v>4</v>
      </c>
      <c r="N494" s="7">
        <v>3.5</v>
      </c>
      <c r="O494" s="7">
        <v>4.5</v>
      </c>
      <c r="P494" s="7">
        <v>3.5</v>
      </c>
      <c r="Q494" t="s">
        <v>2495</v>
      </c>
      <c r="R494" s="7">
        <v>88</v>
      </c>
      <c r="S494" t="str">
        <f xml:space="preserve"> HYPERLINK("ReviewHtml/review_Seven_Days_War.html", "https://2danicritic.github.io/ReviewHtml/review_Seven_Days_War.html")</f>
        <v>https://2danicritic.github.io/ReviewHtml/review_Seven_Days_War.html</v>
      </c>
    </row>
    <row r="495" spans="2:19" x14ac:dyDescent="0.35">
      <c r="B495" s="35">
        <v>492</v>
      </c>
      <c r="C495" t="s">
        <v>1827</v>
      </c>
      <c r="D495" s="7">
        <v>2017</v>
      </c>
      <c r="E495" t="s">
        <v>1554</v>
      </c>
      <c r="F495" t="s">
        <v>1828</v>
      </c>
      <c r="G495" t="s">
        <v>1559</v>
      </c>
      <c r="H495" t="s">
        <v>1774</v>
      </c>
      <c r="I495" s="7">
        <v>2.36</v>
      </c>
      <c r="J495" s="7">
        <v>2.5</v>
      </c>
      <c r="K495" s="7">
        <v>2.5</v>
      </c>
      <c r="L495" s="7">
        <v>2.5</v>
      </c>
      <c r="M495" s="7">
        <v>2.5</v>
      </c>
      <c r="N495" s="7">
        <v>2</v>
      </c>
      <c r="O495" s="7">
        <v>2.5</v>
      </c>
      <c r="P495" s="7">
        <v>2</v>
      </c>
      <c r="Q495" t="s">
        <v>1775</v>
      </c>
      <c r="R495" s="7">
        <v>348</v>
      </c>
      <c r="S495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</row>
    <row r="496" spans="2:19" x14ac:dyDescent="0.35">
      <c r="B496" s="35">
        <v>493</v>
      </c>
      <c r="C496" t="s">
        <v>1829</v>
      </c>
      <c r="D496" s="7">
        <v>2016</v>
      </c>
      <c r="E496" t="s">
        <v>1554</v>
      </c>
      <c r="F496" t="s">
        <v>1753</v>
      </c>
      <c r="G496" t="s">
        <v>1559</v>
      </c>
      <c r="H496" t="s">
        <v>1830</v>
      </c>
      <c r="I496" s="7">
        <v>2.64</v>
      </c>
      <c r="J496" s="7">
        <v>2.5</v>
      </c>
      <c r="K496" s="7">
        <v>3</v>
      </c>
      <c r="L496" s="7">
        <v>2.5</v>
      </c>
      <c r="M496" s="7">
        <v>3</v>
      </c>
      <c r="N496" s="7">
        <v>2.5</v>
      </c>
      <c r="O496" s="7">
        <v>2.5</v>
      </c>
      <c r="P496" s="7">
        <v>2.5</v>
      </c>
      <c r="Q496" t="s">
        <v>203</v>
      </c>
      <c r="R496" s="7">
        <v>32</v>
      </c>
      <c r="S496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</row>
    <row r="497" spans="2:19" x14ac:dyDescent="0.35">
      <c r="B497" s="35">
        <v>494</v>
      </c>
      <c r="C497" t="s">
        <v>244</v>
      </c>
      <c r="D497" s="7">
        <v>2015</v>
      </c>
      <c r="E497" t="s">
        <v>1554</v>
      </c>
      <c r="F497" t="s">
        <v>670</v>
      </c>
      <c r="G497" t="s">
        <v>1559</v>
      </c>
      <c r="H497" t="s">
        <v>1049</v>
      </c>
      <c r="I497" s="7">
        <v>2.57</v>
      </c>
      <c r="J497" s="7">
        <v>2.5</v>
      </c>
      <c r="K497" s="7">
        <v>3</v>
      </c>
      <c r="L497" s="7">
        <v>3</v>
      </c>
      <c r="M497" s="7">
        <v>2.5</v>
      </c>
      <c r="N497" s="7">
        <v>2.5</v>
      </c>
      <c r="O497" s="7">
        <v>2.5</v>
      </c>
      <c r="P497" s="7">
        <v>2</v>
      </c>
      <c r="Q497" t="s">
        <v>245</v>
      </c>
      <c r="R497" s="7">
        <v>300</v>
      </c>
      <c r="S49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498" spans="2:19" x14ac:dyDescent="0.35">
      <c r="B498" s="35">
        <v>495</v>
      </c>
      <c r="C498" t="s">
        <v>1050</v>
      </c>
      <c r="D498" s="7">
        <v>2014</v>
      </c>
      <c r="E498" t="s">
        <v>1554</v>
      </c>
      <c r="F498" t="s">
        <v>674</v>
      </c>
      <c r="G498" t="s">
        <v>1559</v>
      </c>
      <c r="H498" t="s">
        <v>1018</v>
      </c>
      <c r="I498" s="7">
        <v>3.36</v>
      </c>
      <c r="J498" s="7">
        <v>3</v>
      </c>
      <c r="K498" s="7">
        <v>3</v>
      </c>
      <c r="L498" s="7">
        <v>3</v>
      </c>
      <c r="M498" s="7">
        <v>3.5</v>
      </c>
      <c r="N498" s="7">
        <v>3.5</v>
      </c>
      <c r="O498" s="7">
        <v>3.5</v>
      </c>
      <c r="P498" s="7">
        <v>4</v>
      </c>
      <c r="Q498" t="s">
        <v>246</v>
      </c>
      <c r="R498" s="7">
        <v>600</v>
      </c>
      <c r="S498" t="str">
        <f xml:space="preserve"> HYPERLINK("ReviewHtml/review_Shirobako.html", "https://2danicritic.github.io/ReviewHtml/review_Shirobako.html")</f>
        <v>https://2danicritic.github.io/ReviewHtml/review_Shirobako.html</v>
      </c>
    </row>
    <row r="499" spans="2:19" x14ac:dyDescent="0.35">
      <c r="B499" s="35">
        <v>496</v>
      </c>
      <c r="C499" t="s">
        <v>1275</v>
      </c>
      <c r="D499" s="7">
        <v>2013</v>
      </c>
      <c r="E499" t="s">
        <v>1554</v>
      </c>
      <c r="F499" t="s">
        <v>759</v>
      </c>
      <c r="G499" t="s">
        <v>1555</v>
      </c>
      <c r="H499" t="s">
        <v>1212</v>
      </c>
      <c r="I499" s="7">
        <v>3.29</v>
      </c>
      <c r="J499" s="7">
        <v>3</v>
      </c>
      <c r="K499" s="7">
        <v>4</v>
      </c>
      <c r="L499" s="7">
        <v>3.5</v>
      </c>
      <c r="M499" s="7">
        <v>3</v>
      </c>
      <c r="N499" s="7">
        <v>3.5</v>
      </c>
      <c r="O499" s="7">
        <v>3</v>
      </c>
      <c r="P499" s="7">
        <v>3</v>
      </c>
      <c r="Q499" t="s">
        <v>1213</v>
      </c>
      <c r="R499" s="7">
        <v>68</v>
      </c>
      <c r="S499" t="str">
        <f xml:space="preserve"> HYPERLINK("ReviewHtml/review_Short_Peace.html", "https://2danicritic.github.io/ReviewHtml/review_Short_Peace.html")</f>
        <v>https://2danicritic.github.io/ReviewHtml/review_Short_Peace.html</v>
      </c>
    </row>
    <row r="500" spans="2:19" x14ac:dyDescent="0.35">
      <c r="B500" s="35">
        <v>497</v>
      </c>
      <c r="C500" t="s">
        <v>2446</v>
      </c>
      <c r="D500" s="7">
        <v>2022</v>
      </c>
      <c r="E500" t="s">
        <v>1613</v>
      </c>
      <c r="F500" t="s">
        <v>2447</v>
      </c>
      <c r="G500" t="s">
        <v>1557</v>
      </c>
      <c r="H500" t="s">
        <v>2448</v>
      </c>
      <c r="I500" s="7">
        <v>2.79</v>
      </c>
      <c r="J500" s="7">
        <v>2</v>
      </c>
      <c r="K500" s="7">
        <v>2.5</v>
      </c>
      <c r="L500" s="7">
        <v>2.5</v>
      </c>
      <c r="M500" s="7">
        <v>2.5</v>
      </c>
      <c r="N500" s="7">
        <v>3.5</v>
      </c>
      <c r="O500" s="7">
        <v>3.5</v>
      </c>
      <c r="P500" s="7">
        <v>3</v>
      </c>
      <c r="Q500" t="s">
        <v>2449</v>
      </c>
      <c r="R500" s="7">
        <v>83</v>
      </c>
      <c r="S500" t="str">
        <f xml:space="preserve"> HYPERLINK("ReviewHtml/review_Silicon_Docks.html", "https://2danicritic.github.io/ReviewHtml/review_Silicon_Docks.html")</f>
        <v>https://2danicritic.github.io/ReviewHtml/review_Silicon_Docks.html</v>
      </c>
    </row>
    <row r="501" spans="2:19" x14ac:dyDescent="0.35">
      <c r="B501" s="35">
        <v>498</v>
      </c>
      <c r="C501" t="s">
        <v>1051</v>
      </c>
      <c r="D501" s="7">
        <v>2000</v>
      </c>
      <c r="E501" t="s">
        <v>1554</v>
      </c>
      <c r="F501" t="s">
        <v>1052</v>
      </c>
      <c r="G501" t="s">
        <v>1560</v>
      </c>
      <c r="H501" t="s">
        <v>1053</v>
      </c>
      <c r="I501" s="7">
        <v>1.71</v>
      </c>
      <c r="J501" s="7">
        <v>1.5</v>
      </c>
      <c r="K501" s="7">
        <v>2</v>
      </c>
      <c r="L501" s="7">
        <v>2.5</v>
      </c>
      <c r="M501" s="7">
        <v>1.5</v>
      </c>
      <c r="N501" s="7">
        <v>1.5</v>
      </c>
      <c r="O501" s="7">
        <v>2</v>
      </c>
      <c r="P501" s="7">
        <v>1</v>
      </c>
      <c r="Q501" t="s">
        <v>247</v>
      </c>
      <c r="R501" s="7">
        <v>60</v>
      </c>
      <c r="S50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502" spans="2:19" x14ac:dyDescent="0.35">
      <c r="B502" s="35">
        <v>499</v>
      </c>
      <c r="C502" t="s">
        <v>1408</v>
      </c>
      <c r="D502" s="7">
        <v>2003</v>
      </c>
      <c r="E502" t="s">
        <v>1556</v>
      </c>
      <c r="F502" t="s">
        <v>1294</v>
      </c>
      <c r="G502" t="s">
        <v>1557</v>
      </c>
      <c r="H502" t="s">
        <v>1355</v>
      </c>
      <c r="I502" s="7">
        <v>3.43</v>
      </c>
      <c r="J502" s="7">
        <v>3.5</v>
      </c>
      <c r="K502" s="7">
        <v>4</v>
      </c>
      <c r="L502" s="7">
        <v>3.5</v>
      </c>
      <c r="M502" s="7">
        <v>4</v>
      </c>
      <c r="N502" s="7">
        <v>3</v>
      </c>
      <c r="O502" s="7">
        <v>3.5</v>
      </c>
      <c r="P502" s="7">
        <v>2.5</v>
      </c>
      <c r="Q502" t="s">
        <v>97</v>
      </c>
      <c r="R502" s="7">
        <v>86</v>
      </c>
      <c r="S502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503" spans="2:19" x14ac:dyDescent="0.35">
      <c r="B503" s="35">
        <v>500</v>
      </c>
      <c r="C503" t="s">
        <v>2114</v>
      </c>
      <c r="D503" s="7">
        <v>2021</v>
      </c>
      <c r="E503" t="s">
        <v>1554</v>
      </c>
      <c r="F503" t="s">
        <v>670</v>
      </c>
      <c r="G503" t="s">
        <v>1557</v>
      </c>
      <c r="H503" t="s">
        <v>1740</v>
      </c>
      <c r="I503" s="7">
        <v>3.71</v>
      </c>
      <c r="J503" s="7">
        <v>3.5</v>
      </c>
      <c r="K503" s="7">
        <v>3.5</v>
      </c>
      <c r="L503" s="7">
        <v>4</v>
      </c>
      <c r="M503" s="7">
        <v>4</v>
      </c>
      <c r="N503" s="7">
        <v>3</v>
      </c>
      <c r="O503" s="7">
        <v>4.5</v>
      </c>
      <c r="P503" s="7">
        <v>3.5</v>
      </c>
      <c r="Q503" t="s">
        <v>2115</v>
      </c>
      <c r="R503" s="7">
        <v>108</v>
      </c>
      <c r="S503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</row>
    <row r="504" spans="2:19" x14ac:dyDescent="0.35">
      <c r="B504" s="35">
        <v>501</v>
      </c>
      <c r="C504" t="s">
        <v>2309</v>
      </c>
      <c r="D504" s="7">
        <v>1959</v>
      </c>
      <c r="E504" t="s">
        <v>1556</v>
      </c>
      <c r="F504" t="s">
        <v>2260</v>
      </c>
      <c r="G504" t="s">
        <v>1557</v>
      </c>
      <c r="H504" t="s">
        <v>2310</v>
      </c>
      <c r="I504" s="7">
        <v>3.93</v>
      </c>
      <c r="J504" s="7">
        <v>4</v>
      </c>
      <c r="K504" s="7">
        <v>4.5</v>
      </c>
      <c r="L504" s="7">
        <v>4</v>
      </c>
      <c r="M504" s="7">
        <v>4.5</v>
      </c>
      <c r="N504" s="7">
        <v>3.5</v>
      </c>
      <c r="O504" s="7">
        <v>3.5</v>
      </c>
      <c r="P504" s="7">
        <v>3.5</v>
      </c>
      <c r="Q504" t="s">
        <v>2237</v>
      </c>
      <c r="R504" s="7">
        <v>75</v>
      </c>
      <c r="S504" t="str">
        <f xml:space="preserve"> HYPERLINK("ReviewHtml/review_Sleeping_Beauty.html", "https://2danicritic.github.io/ReviewHtml/review_Sleeping_Beauty.html")</f>
        <v>https://2danicritic.github.io/ReviewHtml/review_Sleeping_Beauty.html</v>
      </c>
    </row>
    <row r="505" spans="2:19" x14ac:dyDescent="0.35">
      <c r="B505" s="35">
        <v>502</v>
      </c>
      <c r="C505" t="s">
        <v>2116</v>
      </c>
      <c r="D505" s="7">
        <v>1972</v>
      </c>
      <c r="E505" t="s">
        <v>1556</v>
      </c>
      <c r="F505" t="s">
        <v>1421</v>
      </c>
      <c r="G505" t="s">
        <v>1557</v>
      </c>
      <c r="H505" t="s">
        <v>1434</v>
      </c>
      <c r="I505" s="7">
        <v>3.21</v>
      </c>
      <c r="J505" s="7">
        <v>2.5</v>
      </c>
      <c r="K505" s="7">
        <v>2.5</v>
      </c>
      <c r="L505" s="7">
        <v>4</v>
      </c>
      <c r="M505" s="7">
        <v>3.5</v>
      </c>
      <c r="N505" s="7">
        <v>3</v>
      </c>
      <c r="O505" s="7">
        <v>3</v>
      </c>
      <c r="P505" s="7">
        <v>4</v>
      </c>
      <c r="Q505" t="s">
        <v>342</v>
      </c>
      <c r="R505" s="7">
        <v>80</v>
      </c>
      <c r="S505" t="str">
        <f xml:space="preserve"> HYPERLINK("ReviewHtml/review_Snoopy,_Come_Home.html", "https://2danicritic.github.io/ReviewHtml/review_Snoopy,_Come_Home.html")</f>
        <v>https://2danicritic.github.io/ReviewHtml/review_Snoopy,_Come_Home.html</v>
      </c>
    </row>
    <row r="506" spans="2:19" x14ac:dyDescent="0.35">
      <c r="B506" s="35">
        <v>503</v>
      </c>
      <c r="C506" t="s">
        <v>2311</v>
      </c>
      <c r="D506" s="7">
        <v>1937</v>
      </c>
      <c r="E506" t="s">
        <v>1556</v>
      </c>
      <c r="F506" t="s">
        <v>2260</v>
      </c>
      <c r="G506" t="s">
        <v>1557</v>
      </c>
      <c r="H506" t="s">
        <v>2266</v>
      </c>
      <c r="I506" s="7">
        <v>3.64</v>
      </c>
      <c r="J506" s="7">
        <v>4</v>
      </c>
      <c r="K506" s="7">
        <v>4</v>
      </c>
      <c r="L506" s="7">
        <v>4</v>
      </c>
      <c r="M506" s="7">
        <v>3.5</v>
      </c>
      <c r="N506" s="7">
        <v>3</v>
      </c>
      <c r="O506" s="7">
        <v>3.5</v>
      </c>
      <c r="P506" s="7">
        <v>3.5</v>
      </c>
      <c r="Q506" t="s">
        <v>2238</v>
      </c>
      <c r="R506" s="7">
        <v>83</v>
      </c>
      <c r="S506" t="str">
        <f xml:space="preserve"> HYPERLINK("ReviewHtml/review_Snow_White_and_the_Seven_Dwarfs.html", "https://2danicritic.github.io/ReviewHtml/review_Snow_White_and_the_Seven_Dwarfs.html")</f>
        <v>https://2danicritic.github.io/ReviewHtml/review_Snow_White_and_the_Seven_Dwarfs.html</v>
      </c>
    </row>
    <row r="507" spans="2:19" x14ac:dyDescent="0.35">
      <c r="B507" s="35">
        <v>504</v>
      </c>
      <c r="C507" t="s">
        <v>1409</v>
      </c>
      <c r="D507" s="7">
        <v>2012</v>
      </c>
      <c r="E507" t="s">
        <v>1554</v>
      </c>
      <c r="F507" t="s">
        <v>775</v>
      </c>
      <c r="G507" t="s">
        <v>1559</v>
      </c>
      <c r="H507" t="s">
        <v>1041</v>
      </c>
      <c r="I507" s="7">
        <v>3.14</v>
      </c>
      <c r="J507" s="7">
        <v>3</v>
      </c>
      <c r="K507" s="7">
        <v>3.5</v>
      </c>
      <c r="L507" s="7">
        <v>3</v>
      </c>
      <c r="M507" s="7">
        <v>3</v>
      </c>
      <c r="N507" s="7">
        <v>3.5</v>
      </c>
      <c r="O507" s="7">
        <v>3</v>
      </c>
      <c r="P507" s="7">
        <v>3</v>
      </c>
      <c r="Q507" t="s">
        <v>156</v>
      </c>
      <c r="R507" s="7">
        <v>300</v>
      </c>
      <c r="S507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508" spans="2:19" x14ac:dyDescent="0.35">
      <c r="B508" s="35">
        <v>505</v>
      </c>
      <c r="C508" t="s">
        <v>2037</v>
      </c>
      <c r="D508" s="7">
        <v>1981</v>
      </c>
      <c r="E508" t="s">
        <v>1609</v>
      </c>
      <c r="F508" t="s">
        <v>2038</v>
      </c>
      <c r="G508" t="s">
        <v>1557</v>
      </c>
      <c r="H508" t="s">
        <v>2039</v>
      </c>
      <c r="I508" s="7">
        <v>3.36</v>
      </c>
      <c r="J508" s="7">
        <v>3</v>
      </c>
      <c r="K508" s="7">
        <v>3.5</v>
      </c>
      <c r="L508" s="7">
        <v>3</v>
      </c>
      <c r="M508" s="7">
        <v>3.5</v>
      </c>
      <c r="N508" s="7">
        <v>3</v>
      </c>
      <c r="O508" s="7">
        <v>3.5</v>
      </c>
      <c r="P508" s="7">
        <v>4</v>
      </c>
      <c r="Q508" t="s">
        <v>2009</v>
      </c>
      <c r="R508" s="7">
        <v>90</v>
      </c>
      <c r="S508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</row>
    <row r="509" spans="2:19" x14ac:dyDescent="0.35">
      <c r="B509" s="35">
        <v>506</v>
      </c>
      <c r="C509" t="s">
        <v>1054</v>
      </c>
      <c r="D509" s="7">
        <v>2014</v>
      </c>
      <c r="E509" t="s">
        <v>1613</v>
      </c>
      <c r="F509" t="s">
        <v>1055</v>
      </c>
      <c r="G509" t="s">
        <v>1557</v>
      </c>
      <c r="H509" t="s">
        <v>1056</v>
      </c>
      <c r="I509" s="7">
        <v>3.36</v>
      </c>
      <c r="J509" s="7">
        <v>3.5</v>
      </c>
      <c r="K509" s="7">
        <v>4.5</v>
      </c>
      <c r="L509" s="7">
        <v>4</v>
      </c>
      <c r="M509" s="7">
        <v>3.5</v>
      </c>
      <c r="N509" s="7">
        <v>2.5</v>
      </c>
      <c r="O509" s="7">
        <v>2.5</v>
      </c>
      <c r="P509" s="7">
        <v>3</v>
      </c>
      <c r="Q509" t="s">
        <v>346</v>
      </c>
      <c r="R509" s="7">
        <v>94</v>
      </c>
      <c r="S509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510" spans="2:19" x14ac:dyDescent="0.35">
      <c r="B510" s="35">
        <v>507</v>
      </c>
      <c r="C510" t="s">
        <v>1057</v>
      </c>
      <c r="D510" s="7">
        <v>2008</v>
      </c>
      <c r="E510" t="s">
        <v>1554</v>
      </c>
      <c r="F510" t="s">
        <v>734</v>
      </c>
      <c r="G510" t="s">
        <v>1559</v>
      </c>
      <c r="H510" t="s">
        <v>1058</v>
      </c>
      <c r="I510" s="7">
        <v>3.93</v>
      </c>
      <c r="J510" s="7">
        <v>4</v>
      </c>
      <c r="K510" s="7">
        <v>4</v>
      </c>
      <c r="L510" s="7">
        <v>4.5</v>
      </c>
      <c r="M510" s="7">
        <v>3</v>
      </c>
      <c r="N510" s="7">
        <v>3</v>
      </c>
      <c r="O510" s="7">
        <v>4</v>
      </c>
      <c r="P510" s="7">
        <v>5</v>
      </c>
      <c r="Q510" t="s">
        <v>248</v>
      </c>
      <c r="R510" s="7">
        <v>1275</v>
      </c>
      <c r="S510" t="str">
        <f xml:space="preserve"> HYPERLINK("ReviewHtml/review_Soul_Eater.html", "https://2danicritic.github.io/ReviewHtml/review_Soul_Eater.html")</f>
        <v>https://2danicritic.github.io/ReviewHtml/review_Soul_Eater.html</v>
      </c>
    </row>
    <row r="511" spans="2:19" x14ac:dyDescent="0.35">
      <c r="B511" s="35">
        <v>508</v>
      </c>
      <c r="C511" t="s">
        <v>1059</v>
      </c>
      <c r="D511" s="7">
        <v>2014</v>
      </c>
      <c r="E511" t="s">
        <v>1554</v>
      </c>
      <c r="F511" t="s">
        <v>734</v>
      </c>
      <c r="G511" t="s">
        <v>1559</v>
      </c>
      <c r="H511" t="s">
        <v>249</v>
      </c>
      <c r="I511" s="7">
        <v>3.93</v>
      </c>
      <c r="J511" s="7">
        <v>4.5</v>
      </c>
      <c r="K511" s="7">
        <v>3.5</v>
      </c>
      <c r="L511" s="7">
        <v>3.5</v>
      </c>
      <c r="M511" s="7">
        <v>3.5</v>
      </c>
      <c r="N511" s="7">
        <v>3.5</v>
      </c>
      <c r="O511" s="7">
        <v>4.5</v>
      </c>
      <c r="P511" s="7">
        <v>4.5</v>
      </c>
      <c r="Q511" t="s">
        <v>250</v>
      </c>
      <c r="R511" s="7">
        <v>650</v>
      </c>
      <c r="S511" t="str">
        <f xml:space="preserve"> HYPERLINK("ReviewHtml/review_Space_Dandy.html", "https://2danicritic.github.io/ReviewHtml/review_Space_Dandy.html")</f>
        <v>https://2danicritic.github.io/ReviewHtml/review_Space_Dandy.html</v>
      </c>
    </row>
    <row r="512" spans="2:19" x14ac:dyDescent="0.35">
      <c r="B512" s="35">
        <v>509</v>
      </c>
      <c r="C512" t="s">
        <v>1410</v>
      </c>
      <c r="D512" s="7">
        <v>2005</v>
      </c>
      <c r="E512" t="s">
        <v>1554</v>
      </c>
      <c r="F512" t="s">
        <v>664</v>
      </c>
      <c r="G512" t="s">
        <v>1559</v>
      </c>
      <c r="H512" t="s">
        <v>1458</v>
      </c>
      <c r="I512" s="7">
        <v>2.93</v>
      </c>
      <c r="J512" s="7">
        <v>2</v>
      </c>
      <c r="K512" s="7">
        <v>3</v>
      </c>
      <c r="L512" s="7">
        <v>2.5</v>
      </c>
      <c r="M512" s="7">
        <v>3.5</v>
      </c>
      <c r="N512" s="7">
        <v>3.5</v>
      </c>
      <c r="O512" s="7">
        <v>3</v>
      </c>
      <c r="P512" s="7">
        <v>3</v>
      </c>
      <c r="Q512" t="s">
        <v>1356</v>
      </c>
      <c r="R512" s="7">
        <v>600</v>
      </c>
      <c r="S512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513" spans="2:19" x14ac:dyDescent="0.35">
      <c r="B513" s="35">
        <v>510</v>
      </c>
      <c r="C513" t="s">
        <v>1060</v>
      </c>
      <c r="D513" s="7">
        <v>2008</v>
      </c>
      <c r="E513" t="s">
        <v>1554</v>
      </c>
      <c r="F513" t="s">
        <v>1061</v>
      </c>
      <c r="G513" t="s">
        <v>1559</v>
      </c>
      <c r="H513" t="s">
        <v>1062</v>
      </c>
      <c r="I513" s="7">
        <v>4</v>
      </c>
      <c r="J513" s="7">
        <v>3</v>
      </c>
      <c r="K513" s="7">
        <v>3.5</v>
      </c>
      <c r="L513" s="7">
        <v>4</v>
      </c>
      <c r="M513" s="7">
        <v>5</v>
      </c>
      <c r="N513" s="7">
        <v>3.5</v>
      </c>
      <c r="O513" s="7">
        <v>4</v>
      </c>
      <c r="P513" s="7">
        <v>5</v>
      </c>
      <c r="Q513" t="s">
        <v>251</v>
      </c>
      <c r="R513" s="7">
        <v>630</v>
      </c>
      <c r="S51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514" spans="2:19" x14ac:dyDescent="0.35">
      <c r="B514" s="35">
        <v>511</v>
      </c>
      <c r="C514" t="s">
        <v>1411</v>
      </c>
      <c r="D514" s="7">
        <v>2002</v>
      </c>
      <c r="E514" t="s">
        <v>1556</v>
      </c>
      <c r="F514" t="s">
        <v>1294</v>
      </c>
      <c r="G514" t="s">
        <v>1557</v>
      </c>
      <c r="H514" t="s">
        <v>1459</v>
      </c>
      <c r="I514" s="7">
        <v>4.1399999999999997</v>
      </c>
      <c r="J514" s="7">
        <v>4</v>
      </c>
      <c r="K514" s="7">
        <v>4</v>
      </c>
      <c r="L514" s="7">
        <v>4</v>
      </c>
      <c r="M514" s="7">
        <v>4.5</v>
      </c>
      <c r="N514" s="7">
        <v>4.5</v>
      </c>
      <c r="O514" s="7">
        <v>3.5</v>
      </c>
      <c r="P514" s="7">
        <v>4.5</v>
      </c>
      <c r="Q514" t="s">
        <v>1357</v>
      </c>
      <c r="R514" s="7">
        <v>84</v>
      </c>
      <c r="S514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515" spans="2:19" x14ac:dyDescent="0.35">
      <c r="B515" s="35">
        <v>512</v>
      </c>
      <c r="C515" t="s">
        <v>1063</v>
      </c>
      <c r="D515" s="7">
        <v>2001</v>
      </c>
      <c r="E515" t="s">
        <v>1554</v>
      </c>
      <c r="F515" t="s">
        <v>747</v>
      </c>
      <c r="G515" t="s">
        <v>1557</v>
      </c>
      <c r="H515" t="s">
        <v>748</v>
      </c>
      <c r="I515" s="7">
        <v>4</v>
      </c>
      <c r="J515" s="7">
        <v>4</v>
      </c>
      <c r="K515" s="7">
        <v>4</v>
      </c>
      <c r="L515" s="7">
        <v>4</v>
      </c>
      <c r="M515" s="7">
        <v>3.5</v>
      </c>
      <c r="N515" s="7">
        <v>3.5</v>
      </c>
      <c r="O515" s="7">
        <v>4</v>
      </c>
      <c r="P515" s="7">
        <v>5</v>
      </c>
      <c r="Q515" t="s">
        <v>195</v>
      </c>
      <c r="R515" s="7">
        <v>125</v>
      </c>
      <c r="S515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516" spans="2:19" x14ac:dyDescent="0.35">
      <c r="B516" s="35">
        <v>513</v>
      </c>
      <c r="C516" t="s">
        <v>2587</v>
      </c>
      <c r="D516" s="7">
        <v>2022</v>
      </c>
      <c r="E516" t="s">
        <v>1554</v>
      </c>
      <c r="F516" t="s">
        <v>2596</v>
      </c>
      <c r="G516" t="s">
        <v>1559</v>
      </c>
      <c r="H516" t="s">
        <v>2597</v>
      </c>
      <c r="I516" s="7">
        <v>3.5</v>
      </c>
      <c r="J516" s="7">
        <v>3</v>
      </c>
      <c r="K516" s="7">
        <v>3.5</v>
      </c>
      <c r="L516" s="7">
        <v>4</v>
      </c>
      <c r="M516" s="7">
        <v>3.5</v>
      </c>
      <c r="N516" s="7">
        <v>3</v>
      </c>
      <c r="O516" s="7">
        <v>4</v>
      </c>
      <c r="P516" s="7">
        <v>3.5</v>
      </c>
      <c r="Q516" t="s">
        <v>2573</v>
      </c>
      <c r="R516" s="7">
        <v>625</v>
      </c>
      <c r="S516" t="str">
        <f xml:space="preserve"> HYPERLINK("ReviewHtml/review_Spy_x_Family.html", "https://2danicritic.github.io/ReviewHtml/review_Spy_x_Family.html")</f>
        <v>https://2danicritic.github.io/ReviewHtml/review_Spy_x_Family.html</v>
      </c>
    </row>
    <row r="517" spans="2:19" x14ac:dyDescent="0.35">
      <c r="B517" s="35">
        <v>514</v>
      </c>
      <c r="C517" t="s">
        <v>2588</v>
      </c>
      <c r="D517" s="7">
        <v>2023</v>
      </c>
      <c r="E517" t="s">
        <v>1554</v>
      </c>
      <c r="F517" t="s">
        <v>2596</v>
      </c>
      <c r="G517" t="s">
        <v>1557</v>
      </c>
      <c r="H517" t="s">
        <v>2598</v>
      </c>
      <c r="I517" s="7">
        <v>3.21</v>
      </c>
      <c r="J517" s="7">
        <v>3</v>
      </c>
      <c r="K517" s="7">
        <v>3.5</v>
      </c>
      <c r="L517" s="7">
        <v>3.5</v>
      </c>
      <c r="M517" s="7">
        <v>3.5</v>
      </c>
      <c r="N517" s="7">
        <v>2.5</v>
      </c>
      <c r="O517" s="7">
        <v>4</v>
      </c>
      <c r="P517" s="7">
        <v>2.5</v>
      </c>
      <c r="Q517" t="s">
        <v>54</v>
      </c>
      <c r="R517" s="7">
        <v>110</v>
      </c>
      <c r="S517" t="str">
        <f xml:space="preserve"> HYPERLINK("ReviewHtml/review_Spy_x_Family_Code_-_White.html", "https://2danicritic.github.io/ReviewHtml/review_Spy_x_Family_Code_-_White.html")</f>
        <v>https://2danicritic.github.io/ReviewHtml/review_Spy_x_Family_Code_-_White.html</v>
      </c>
    </row>
    <row r="518" spans="2:19" x14ac:dyDescent="0.35">
      <c r="B518" s="35">
        <v>515</v>
      </c>
      <c r="C518" t="s">
        <v>2040</v>
      </c>
      <c r="D518" s="7">
        <v>2010</v>
      </c>
      <c r="E518" t="s">
        <v>1554</v>
      </c>
      <c r="F518" t="s">
        <v>2041</v>
      </c>
      <c r="G518" t="s">
        <v>1559</v>
      </c>
      <c r="H518" t="s">
        <v>2010</v>
      </c>
      <c r="I518" s="7">
        <v>3.29</v>
      </c>
      <c r="J518" s="7">
        <v>3</v>
      </c>
      <c r="K518" s="7">
        <v>3</v>
      </c>
      <c r="L518" s="7">
        <v>3.5</v>
      </c>
      <c r="M518" s="7">
        <v>3.5</v>
      </c>
      <c r="N518" s="7">
        <v>2.5</v>
      </c>
      <c r="O518" s="7">
        <v>4</v>
      </c>
      <c r="P518" s="7">
        <v>3.5</v>
      </c>
      <c r="Q518" t="s">
        <v>144</v>
      </c>
      <c r="R518" s="7">
        <v>675</v>
      </c>
      <c r="S518" t="str">
        <f xml:space="preserve"> HYPERLINK("ReviewHtml/review_Squid_Girl.html", "https://2danicritic.github.io/ReviewHtml/review_Squid_Girl.html")</f>
        <v>https://2danicritic.github.io/ReviewHtml/review_Squid_Girl.html</v>
      </c>
    </row>
    <row r="519" spans="2:19" x14ac:dyDescent="0.35">
      <c r="B519" s="35">
        <v>516</v>
      </c>
      <c r="C519" t="s">
        <v>1064</v>
      </c>
      <c r="D519" s="7">
        <v>2011</v>
      </c>
      <c r="E519" t="s">
        <v>1554</v>
      </c>
      <c r="F519" t="s">
        <v>879</v>
      </c>
      <c r="G519" t="s">
        <v>1559</v>
      </c>
      <c r="H519" t="s">
        <v>252</v>
      </c>
      <c r="I519" s="7">
        <v>3.86</v>
      </c>
      <c r="J519" s="7">
        <v>3</v>
      </c>
      <c r="K519" s="7">
        <v>3.5</v>
      </c>
      <c r="L519" s="7">
        <v>4.5</v>
      </c>
      <c r="M519" s="7">
        <v>5</v>
      </c>
      <c r="N519" s="7">
        <v>3.5</v>
      </c>
      <c r="O519" s="7">
        <v>4</v>
      </c>
      <c r="P519" s="7">
        <v>3.5</v>
      </c>
      <c r="Q519" t="s">
        <v>253</v>
      </c>
      <c r="R519" s="7">
        <v>625</v>
      </c>
      <c r="S519" t="str">
        <f xml:space="preserve"> HYPERLINK("ReviewHtml/review_Steins;Gate.html", "https://2danicritic.github.io/ReviewHtml/review_Steins;Gate.html")</f>
        <v>https://2danicritic.github.io/ReviewHtml/review_Steins;Gate.html</v>
      </c>
    </row>
    <row r="520" spans="2:19" x14ac:dyDescent="0.35">
      <c r="B520" s="35">
        <v>517</v>
      </c>
      <c r="C520" t="s">
        <v>1276</v>
      </c>
      <c r="D520" s="7">
        <v>2013</v>
      </c>
      <c r="E520" t="s">
        <v>1554</v>
      </c>
      <c r="F520" t="s">
        <v>879</v>
      </c>
      <c r="G520" t="s">
        <v>1557</v>
      </c>
      <c r="H520" t="s">
        <v>1302</v>
      </c>
      <c r="I520" s="7">
        <v>3.64</v>
      </c>
      <c r="J520" s="7">
        <v>3</v>
      </c>
      <c r="K520" s="7">
        <v>3.5</v>
      </c>
      <c r="L520" s="7">
        <v>4</v>
      </c>
      <c r="M520" s="7">
        <v>4.5</v>
      </c>
      <c r="N520" s="7">
        <v>3.5</v>
      </c>
      <c r="O520" s="7">
        <v>3.5</v>
      </c>
      <c r="P520" s="7">
        <v>3.5</v>
      </c>
      <c r="Q520" t="s">
        <v>1214</v>
      </c>
      <c r="R520" s="7">
        <v>90</v>
      </c>
      <c r="S520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521" spans="2:19" x14ac:dyDescent="0.35">
      <c r="B521" s="35">
        <v>518</v>
      </c>
      <c r="C521" t="s">
        <v>1065</v>
      </c>
      <c r="D521" s="7">
        <v>1994</v>
      </c>
      <c r="E521" t="s">
        <v>1554</v>
      </c>
      <c r="F521" t="s">
        <v>728</v>
      </c>
      <c r="G521" t="s">
        <v>1557</v>
      </c>
      <c r="H521" t="s">
        <v>975</v>
      </c>
      <c r="I521" s="7">
        <v>2.5</v>
      </c>
      <c r="J521" s="7">
        <v>2.5</v>
      </c>
      <c r="K521" s="7">
        <v>2.5</v>
      </c>
      <c r="L521" s="7">
        <v>3.5</v>
      </c>
      <c r="M521" s="7">
        <v>2.5</v>
      </c>
      <c r="N521" s="7">
        <v>1.5</v>
      </c>
      <c r="O521" s="7">
        <v>3</v>
      </c>
      <c r="P521" s="7">
        <v>2</v>
      </c>
      <c r="Q521" t="s">
        <v>90</v>
      </c>
      <c r="R521" s="7">
        <v>102</v>
      </c>
      <c r="S521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522" spans="2:19" x14ac:dyDescent="0.35">
      <c r="B522" s="35">
        <v>519</v>
      </c>
      <c r="C522" t="s">
        <v>2651</v>
      </c>
      <c r="D522" s="7">
        <v>2023</v>
      </c>
      <c r="E522" t="s">
        <v>1566</v>
      </c>
      <c r="F522" t="s">
        <v>2652</v>
      </c>
      <c r="G522" t="s">
        <v>1557</v>
      </c>
      <c r="H522" t="s">
        <v>2653</v>
      </c>
      <c r="I522" s="7">
        <v>2.79</v>
      </c>
      <c r="J522" s="7">
        <v>2.5</v>
      </c>
      <c r="K522" s="7">
        <v>3</v>
      </c>
      <c r="L522" s="7">
        <v>3</v>
      </c>
      <c r="M522" s="7">
        <v>3</v>
      </c>
      <c r="N522" s="7">
        <v>2.5</v>
      </c>
      <c r="O522" s="7">
        <v>3</v>
      </c>
      <c r="P522" s="7">
        <v>2.5</v>
      </c>
      <c r="Q522" t="s">
        <v>1770</v>
      </c>
      <c r="R522" s="7">
        <v>86</v>
      </c>
      <c r="S522" t="str">
        <f xml:space="preserve"> HYPERLINK("ReviewHtml/review_Sultana's_Dream.html", "https://2danicritic.github.io/ReviewHtml/review_Sultana's_Dream.html")</f>
        <v>https://2danicritic.github.io/ReviewHtml/review_Sultana's_Dream.html</v>
      </c>
    </row>
    <row r="523" spans="2:19" x14ac:dyDescent="0.35">
      <c r="B523" s="35">
        <v>520</v>
      </c>
      <c r="C523" t="s">
        <v>1917</v>
      </c>
      <c r="D523" s="7">
        <v>2007</v>
      </c>
      <c r="E523" t="s">
        <v>1554</v>
      </c>
      <c r="F523" t="s">
        <v>1296</v>
      </c>
      <c r="G523" t="s">
        <v>1557</v>
      </c>
      <c r="H523" t="s">
        <v>767</v>
      </c>
      <c r="I523" s="7">
        <v>2.64</v>
      </c>
      <c r="J523" s="7">
        <v>2.5</v>
      </c>
      <c r="K523" s="7">
        <v>2.5</v>
      </c>
      <c r="L523" s="7">
        <v>3</v>
      </c>
      <c r="M523" s="7">
        <v>2.5</v>
      </c>
      <c r="N523" s="7">
        <v>3</v>
      </c>
      <c r="O523" s="7">
        <v>2.5</v>
      </c>
      <c r="P523" s="7">
        <v>2.5</v>
      </c>
      <c r="Q523" t="s">
        <v>1361</v>
      </c>
      <c r="R523" s="7">
        <v>138</v>
      </c>
      <c r="S523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</row>
    <row r="524" spans="2:19" x14ac:dyDescent="0.35">
      <c r="B524" s="35">
        <v>521</v>
      </c>
      <c r="C524" t="s">
        <v>2589</v>
      </c>
      <c r="D524" s="7">
        <v>2021</v>
      </c>
      <c r="E524" t="s">
        <v>1554</v>
      </c>
      <c r="F524" t="s">
        <v>2599</v>
      </c>
      <c r="G524" t="s">
        <v>1557</v>
      </c>
      <c r="H524" t="s">
        <v>2600</v>
      </c>
      <c r="I524" s="7">
        <v>2.79</v>
      </c>
      <c r="J524" s="7">
        <v>2.5</v>
      </c>
      <c r="K524" s="7">
        <v>2.5</v>
      </c>
      <c r="L524" s="7">
        <v>3</v>
      </c>
      <c r="M524" s="7">
        <v>3</v>
      </c>
      <c r="N524" s="7">
        <v>3</v>
      </c>
      <c r="O524" s="7">
        <v>3</v>
      </c>
      <c r="P524" s="7">
        <v>2.5</v>
      </c>
      <c r="Q524" t="s">
        <v>2574</v>
      </c>
      <c r="R524" s="7">
        <v>40</v>
      </c>
      <c r="S524" t="str">
        <f xml:space="preserve"> HYPERLINK("ReviewHtml/review_Summer_Ghost.html", "https://2danicritic.github.io/ReviewHtml/review_Summer_Ghost.html")</f>
        <v>https://2danicritic.github.io/ReviewHtml/review_Summer_Ghost.html</v>
      </c>
    </row>
    <row r="525" spans="2:19" x14ac:dyDescent="0.35">
      <c r="B525" s="35">
        <v>522</v>
      </c>
      <c r="C525" t="s">
        <v>1066</v>
      </c>
      <c r="D525" s="7">
        <v>2009</v>
      </c>
      <c r="E525" t="s">
        <v>1554</v>
      </c>
      <c r="F525" t="s">
        <v>694</v>
      </c>
      <c r="G525" t="s">
        <v>1557</v>
      </c>
      <c r="H525" t="s">
        <v>945</v>
      </c>
      <c r="I525" s="7">
        <v>3.93</v>
      </c>
      <c r="J525" s="7">
        <v>3.5</v>
      </c>
      <c r="K525" s="7">
        <v>4</v>
      </c>
      <c r="L525" s="7">
        <v>3.5</v>
      </c>
      <c r="M525" s="7">
        <v>4</v>
      </c>
      <c r="N525" s="7">
        <v>3.5</v>
      </c>
      <c r="O525" s="7">
        <v>4.5</v>
      </c>
      <c r="P525" s="7">
        <v>4.5</v>
      </c>
      <c r="Q525" t="s">
        <v>254</v>
      </c>
      <c r="R525" s="7">
        <v>114</v>
      </c>
      <c r="S525" t="str">
        <f xml:space="preserve"> HYPERLINK("ReviewHtml/review_Summer_Wars.html", "https://2danicritic.github.io/ReviewHtml/review_Summer_Wars.html")</f>
        <v>https://2danicritic.github.io/ReviewHtml/review_Summer_Wars.html</v>
      </c>
    </row>
    <row r="526" spans="2:19" x14ac:dyDescent="0.35">
      <c r="B526" s="35">
        <v>523</v>
      </c>
      <c r="C526" t="s">
        <v>1067</v>
      </c>
      <c r="D526" s="7">
        <v>2011</v>
      </c>
      <c r="E526" t="s">
        <v>1554</v>
      </c>
      <c r="F526" t="s">
        <v>694</v>
      </c>
      <c r="G526" t="s">
        <v>1559</v>
      </c>
      <c r="H526" t="s">
        <v>255</v>
      </c>
      <c r="I526" s="7">
        <v>3</v>
      </c>
      <c r="J526" s="7">
        <v>3</v>
      </c>
      <c r="K526" s="7">
        <v>3</v>
      </c>
      <c r="L526" s="7">
        <v>3.5</v>
      </c>
      <c r="M526" s="7">
        <v>3.5</v>
      </c>
      <c r="N526" s="7">
        <v>3</v>
      </c>
      <c r="O526" s="7">
        <v>3</v>
      </c>
      <c r="P526" s="7">
        <v>2</v>
      </c>
      <c r="Q526" t="s">
        <v>256</v>
      </c>
      <c r="R526" s="7">
        <v>540</v>
      </c>
      <c r="S52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527" spans="2:19" x14ac:dyDescent="0.35">
      <c r="B527" s="35">
        <v>524</v>
      </c>
      <c r="C527" t="s">
        <v>2450</v>
      </c>
      <c r="D527" s="7">
        <v>2022</v>
      </c>
      <c r="E527" t="s">
        <v>1554</v>
      </c>
      <c r="F527" t="s">
        <v>1625</v>
      </c>
      <c r="G527" t="s">
        <v>1557</v>
      </c>
      <c r="H527" t="s">
        <v>653</v>
      </c>
      <c r="I527" s="7">
        <v>3.57</v>
      </c>
      <c r="J527" s="7">
        <v>4</v>
      </c>
      <c r="K527" s="7">
        <v>3.5</v>
      </c>
      <c r="L527" s="7">
        <v>3.5</v>
      </c>
      <c r="M527" s="7">
        <v>3.5</v>
      </c>
      <c r="N527" s="7">
        <v>3</v>
      </c>
      <c r="O527" s="7">
        <v>4</v>
      </c>
      <c r="P527" s="7">
        <v>3.5</v>
      </c>
      <c r="Q527" t="s">
        <v>2451</v>
      </c>
      <c r="R527" s="7">
        <v>122</v>
      </c>
      <c r="S527" t="str">
        <f xml:space="preserve"> HYPERLINK("ReviewHtml/review_Suzume.html", "https://2danicritic.github.io/ReviewHtml/review_Suzume.html")</f>
        <v>https://2danicritic.github.io/ReviewHtml/review_Suzume.html</v>
      </c>
    </row>
    <row r="528" spans="2:19" x14ac:dyDescent="0.35">
      <c r="B528" s="35">
        <v>525</v>
      </c>
      <c r="C528" t="s">
        <v>1831</v>
      </c>
      <c r="D528" s="7">
        <v>2012</v>
      </c>
      <c r="E528" t="s">
        <v>1554</v>
      </c>
      <c r="F528" t="s">
        <v>715</v>
      </c>
      <c r="G528" t="s">
        <v>1559</v>
      </c>
      <c r="H528" t="s">
        <v>1438</v>
      </c>
      <c r="I528" s="7">
        <v>3.57</v>
      </c>
      <c r="J528" s="7">
        <v>3.5</v>
      </c>
      <c r="K528" s="7">
        <v>3.5</v>
      </c>
      <c r="L528" s="7">
        <v>4.5</v>
      </c>
      <c r="M528" s="7">
        <v>3.5</v>
      </c>
      <c r="N528" s="7">
        <v>3</v>
      </c>
      <c r="O528" s="7">
        <v>3.5</v>
      </c>
      <c r="P528" s="7">
        <v>3.5</v>
      </c>
      <c r="Q528" t="s">
        <v>1776</v>
      </c>
      <c r="R528" s="7">
        <v>725</v>
      </c>
      <c r="S528" t="str">
        <f xml:space="preserve"> HYPERLINK("ReviewHtml/review_Sword_Art_Online.html", "https://2danicritic.github.io/ReviewHtml/review_Sword_Art_Online.html")</f>
        <v>https://2danicritic.github.io/ReviewHtml/review_Sword_Art_Online.html</v>
      </c>
    </row>
    <row r="529" spans="2:19" x14ac:dyDescent="0.35">
      <c r="B529" s="35">
        <v>526</v>
      </c>
      <c r="C529" t="s">
        <v>1068</v>
      </c>
      <c r="D529" s="7">
        <v>2007</v>
      </c>
      <c r="E529" t="s">
        <v>1554</v>
      </c>
      <c r="F529" t="s">
        <v>734</v>
      </c>
      <c r="G529" t="s">
        <v>1557</v>
      </c>
      <c r="H529" t="s">
        <v>745</v>
      </c>
      <c r="I529" s="7">
        <v>3.64</v>
      </c>
      <c r="J529" s="7">
        <v>4</v>
      </c>
      <c r="K529" s="7">
        <v>3</v>
      </c>
      <c r="L529" s="7">
        <v>4</v>
      </c>
      <c r="M529" s="7">
        <v>3</v>
      </c>
      <c r="N529" s="7">
        <v>3.5</v>
      </c>
      <c r="O529" s="7">
        <v>4</v>
      </c>
      <c r="P529" s="7">
        <v>4</v>
      </c>
      <c r="Q529" t="s">
        <v>90</v>
      </c>
      <c r="R529" s="7">
        <v>102</v>
      </c>
      <c r="S52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530" spans="2:19" x14ac:dyDescent="0.35">
      <c r="B530" s="35">
        <v>527</v>
      </c>
      <c r="C530" t="s">
        <v>1069</v>
      </c>
      <c r="D530" s="7">
        <v>2006</v>
      </c>
      <c r="E530" t="s">
        <v>1554</v>
      </c>
      <c r="F530" t="s">
        <v>747</v>
      </c>
      <c r="G530" t="s">
        <v>1557</v>
      </c>
      <c r="H530" t="s">
        <v>824</v>
      </c>
      <c r="I530" s="7">
        <v>3.43</v>
      </c>
      <c r="J530" s="7">
        <v>3.5</v>
      </c>
      <c r="K530" s="7">
        <v>3.5</v>
      </c>
      <c r="L530" s="7">
        <v>3.5</v>
      </c>
      <c r="M530" s="7">
        <v>3.5</v>
      </c>
      <c r="N530" s="7">
        <v>3</v>
      </c>
      <c r="O530" s="7">
        <v>3</v>
      </c>
      <c r="P530" s="7">
        <v>4</v>
      </c>
      <c r="Q530" t="s">
        <v>257</v>
      </c>
      <c r="R530" s="7">
        <v>115</v>
      </c>
      <c r="S53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531" spans="2:19" x14ac:dyDescent="0.35">
      <c r="B531" s="35">
        <v>528</v>
      </c>
      <c r="C531" t="s">
        <v>1412</v>
      </c>
      <c r="D531" s="7">
        <v>2009</v>
      </c>
      <c r="E531" t="s">
        <v>1554</v>
      </c>
      <c r="F531" t="s">
        <v>731</v>
      </c>
      <c r="G531" t="s">
        <v>1557</v>
      </c>
      <c r="H531" t="s">
        <v>1460</v>
      </c>
      <c r="I531" s="7">
        <v>3.57</v>
      </c>
      <c r="J531" s="7">
        <v>3.5</v>
      </c>
      <c r="K531" s="7">
        <v>3.5</v>
      </c>
      <c r="L531" s="7">
        <v>3.5</v>
      </c>
      <c r="M531" s="7">
        <v>4</v>
      </c>
      <c r="N531" s="7">
        <v>3.5</v>
      </c>
      <c r="O531" s="7">
        <v>3</v>
      </c>
      <c r="P531" s="7">
        <v>4</v>
      </c>
      <c r="Q531" t="s">
        <v>1321</v>
      </c>
      <c r="R531" s="7">
        <v>110</v>
      </c>
      <c r="S531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532" spans="2:19" x14ac:dyDescent="0.35">
      <c r="B532" s="35">
        <v>529</v>
      </c>
      <c r="C532" t="s">
        <v>2702</v>
      </c>
      <c r="D532" s="7">
        <v>2002</v>
      </c>
      <c r="E532" t="s">
        <v>1554</v>
      </c>
      <c r="F532" t="s">
        <v>2719</v>
      </c>
      <c r="G532" t="s">
        <v>1557</v>
      </c>
      <c r="H532" t="s">
        <v>2720</v>
      </c>
      <c r="I532" s="7">
        <v>2.29</v>
      </c>
      <c r="J532" s="7">
        <v>2</v>
      </c>
      <c r="K532" s="7">
        <v>2</v>
      </c>
      <c r="L532" s="7">
        <v>2.5</v>
      </c>
      <c r="M532" s="7">
        <v>2.5</v>
      </c>
      <c r="N532" s="7">
        <v>2.5</v>
      </c>
      <c r="O532" s="7">
        <v>2</v>
      </c>
      <c r="P532" s="7">
        <v>2.5</v>
      </c>
      <c r="Q532" t="s">
        <v>2689</v>
      </c>
      <c r="R532" s="7">
        <v>92</v>
      </c>
      <c r="S532" t="str">
        <f xml:space="preserve"> HYPERLINK("ReviewHtml/review_Tamala_2010_-_A_Punk_Cat_in_Space.html", "https://2danicritic.github.io/ReviewHtml/review_Tamala_2010_-_A_Punk_Cat_in_Space.html")</f>
        <v>https://2danicritic.github.io/ReviewHtml/review_Tamala_2010_-_A_Punk_Cat_in_Space.html</v>
      </c>
    </row>
    <row r="533" spans="2:19" x14ac:dyDescent="0.35">
      <c r="B533" s="35">
        <v>530</v>
      </c>
      <c r="C533" t="s">
        <v>2703</v>
      </c>
      <c r="D533" s="7">
        <v>2025</v>
      </c>
      <c r="E533" t="s">
        <v>1554</v>
      </c>
      <c r="F533" t="s">
        <v>2721</v>
      </c>
      <c r="G533" t="s">
        <v>1557</v>
      </c>
      <c r="H533" t="s">
        <v>2721</v>
      </c>
      <c r="I533" s="7">
        <v>2.36</v>
      </c>
      <c r="J533" s="7">
        <v>2.5</v>
      </c>
      <c r="K533" s="7">
        <v>2.5</v>
      </c>
      <c r="L533" s="7">
        <v>2.5</v>
      </c>
      <c r="M533" s="7">
        <v>2.5</v>
      </c>
      <c r="N533" s="7">
        <v>2.5</v>
      </c>
      <c r="O533" s="7">
        <v>2</v>
      </c>
      <c r="P533" s="7">
        <v>2</v>
      </c>
      <c r="Q533" t="s">
        <v>2689</v>
      </c>
      <c r="R533" s="7">
        <v>129</v>
      </c>
      <c r="S533" t="str">
        <f xml:space="preserve"> HYPERLINK("ReviewHtml/review_Tamala_2030_-_A_Punk_Cat_in_Dark.html", "https://2danicritic.github.io/ReviewHtml/review_Tamala_2030_-_A_Punk_Cat_in_Dark.html")</f>
        <v>https://2danicritic.github.io/ReviewHtml/review_Tamala_2030_-_A_Punk_Cat_in_Dark.html</v>
      </c>
    </row>
    <row r="534" spans="2:19" x14ac:dyDescent="0.35">
      <c r="B534" s="35">
        <v>531</v>
      </c>
      <c r="C534" t="s">
        <v>2312</v>
      </c>
      <c r="D534" s="7">
        <v>1999</v>
      </c>
      <c r="E534" t="s">
        <v>1556</v>
      </c>
      <c r="F534" t="s">
        <v>2260</v>
      </c>
      <c r="G534" t="s">
        <v>1557</v>
      </c>
      <c r="H534" t="s">
        <v>2239</v>
      </c>
      <c r="I534" s="7">
        <v>4.6399999999999997</v>
      </c>
      <c r="J534" s="7">
        <v>5</v>
      </c>
      <c r="K534" s="7">
        <v>5</v>
      </c>
      <c r="L534" s="7">
        <v>5</v>
      </c>
      <c r="M534" s="7">
        <v>4</v>
      </c>
      <c r="N534" s="7">
        <v>4.5</v>
      </c>
      <c r="O534" s="7">
        <v>4.5</v>
      </c>
      <c r="P534" s="7">
        <v>4.5</v>
      </c>
      <c r="Q534" t="s">
        <v>1950</v>
      </c>
      <c r="R534" s="7">
        <v>88</v>
      </c>
      <c r="S534" t="str">
        <f xml:space="preserve"> HYPERLINK("ReviewHtml/review_Tarzan.html", "https://2danicritic.github.io/ReviewHtml/review_Tarzan.html")</f>
        <v>https://2danicritic.github.io/ReviewHtml/review_Tarzan.html</v>
      </c>
    </row>
    <row r="535" spans="2:19" x14ac:dyDescent="0.35">
      <c r="B535" s="35">
        <v>532</v>
      </c>
      <c r="C535" t="s">
        <v>1070</v>
      </c>
      <c r="D535" s="7">
        <v>2018</v>
      </c>
      <c r="E535" t="s">
        <v>1556</v>
      </c>
      <c r="F535" t="s">
        <v>1071</v>
      </c>
      <c r="G535" t="s">
        <v>1557</v>
      </c>
      <c r="H535" t="s">
        <v>258</v>
      </c>
      <c r="I535" s="7">
        <v>2.71</v>
      </c>
      <c r="J535" s="7">
        <v>2.5</v>
      </c>
      <c r="K535" s="7">
        <v>2.5</v>
      </c>
      <c r="L535" s="7">
        <v>2.5</v>
      </c>
      <c r="M535" s="7">
        <v>4</v>
      </c>
      <c r="N535" s="7">
        <v>2</v>
      </c>
      <c r="O535" s="7">
        <v>3.5</v>
      </c>
      <c r="P535" s="7">
        <v>2</v>
      </c>
      <c r="Q535" t="s">
        <v>259</v>
      </c>
      <c r="R535" s="7">
        <v>88</v>
      </c>
      <c r="S53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536" spans="2:19" x14ac:dyDescent="0.35">
      <c r="B536" s="35">
        <v>533</v>
      </c>
      <c r="C536" t="s">
        <v>2117</v>
      </c>
      <c r="D536" s="7">
        <v>2006</v>
      </c>
      <c r="E536" t="s">
        <v>1554</v>
      </c>
      <c r="F536" t="s">
        <v>702</v>
      </c>
      <c r="G536" t="s">
        <v>1557</v>
      </c>
      <c r="H536" t="s">
        <v>2118</v>
      </c>
      <c r="I536" s="7">
        <v>4</v>
      </c>
      <c r="J536" s="7">
        <v>4</v>
      </c>
      <c r="K536" s="7">
        <v>3.5</v>
      </c>
      <c r="L536" s="7">
        <v>4.5</v>
      </c>
      <c r="M536" s="7">
        <v>3</v>
      </c>
      <c r="N536" s="7">
        <v>4.5</v>
      </c>
      <c r="O536" s="7">
        <v>3.5</v>
      </c>
      <c r="P536" s="7">
        <v>5</v>
      </c>
      <c r="Q536" t="s">
        <v>2119</v>
      </c>
      <c r="R536" s="7">
        <v>110</v>
      </c>
      <c r="S536" t="str">
        <f xml:space="preserve"> HYPERLINK("ReviewHtml/review_Tekkonkinkreet.html", "https://2danicritic.github.io/ReviewHtml/review_Tekkonkinkreet.html")</f>
        <v>https://2danicritic.github.io/ReviewHtml/review_Tekkonkinkreet.html</v>
      </c>
    </row>
    <row r="537" spans="2:19" x14ac:dyDescent="0.35">
      <c r="B537" s="35">
        <v>534</v>
      </c>
      <c r="C537" t="s">
        <v>1413</v>
      </c>
      <c r="D537" s="7">
        <v>2014</v>
      </c>
      <c r="E537" t="s">
        <v>1554</v>
      </c>
      <c r="F537" t="s">
        <v>868</v>
      </c>
      <c r="G537" t="s">
        <v>1559</v>
      </c>
      <c r="H537" t="s">
        <v>1298</v>
      </c>
      <c r="I537" s="7">
        <v>3.57</v>
      </c>
      <c r="J537" s="7">
        <v>4</v>
      </c>
      <c r="K537" s="7">
        <v>4</v>
      </c>
      <c r="L537" s="7">
        <v>4.5</v>
      </c>
      <c r="M537" s="7">
        <v>3.5</v>
      </c>
      <c r="N537" s="7">
        <v>3</v>
      </c>
      <c r="O537" s="7">
        <v>3</v>
      </c>
      <c r="P537" s="7">
        <v>3</v>
      </c>
      <c r="Q537" t="s">
        <v>1358</v>
      </c>
      <c r="R537" s="7">
        <v>275</v>
      </c>
      <c r="S537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538" spans="2:19" x14ac:dyDescent="0.35">
      <c r="B538" s="35">
        <v>535</v>
      </c>
      <c r="C538" t="s">
        <v>2313</v>
      </c>
      <c r="D538" s="7">
        <v>1949</v>
      </c>
      <c r="E538" t="s">
        <v>1556</v>
      </c>
      <c r="F538" t="s">
        <v>2260</v>
      </c>
      <c r="G538" t="s">
        <v>1555</v>
      </c>
      <c r="H538" t="s">
        <v>2240</v>
      </c>
      <c r="I538" s="7">
        <v>3.57</v>
      </c>
      <c r="J538" s="7">
        <v>3.5</v>
      </c>
      <c r="K538" s="7">
        <v>3.5</v>
      </c>
      <c r="L538" s="7">
        <v>3.5</v>
      </c>
      <c r="M538" s="7">
        <v>4</v>
      </c>
      <c r="N538" s="7">
        <v>3.5</v>
      </c>
      <c r="O538" s="7">
        <v>3.5</v>
      </c>
      <c r="P538" s="7">
        <v>3.5</v>
      </c>
      <c r="Q538" t="s">
        <v>2241</v>
      </c>
      <c r="R538" s="7">
        <v>68</v>
      </c>
      <c r="S538" t="str">
        <f xml:space="preserve"> HYPERLINK("ReviewHtml/review_The_Adventures_of_Ichabod_and_Mr_Toad.html", "https://2danicritic.github.io/ReviewHtml/review_The_Adventures_of_Ichabod_and_Mr_Toad.html")</f>
        <v>https://2danicritic.github.io/ReviewHtml/review_The_Adventures_of_Ichabod_and_Mr_Toad.html</v>
      </c>
    </row>
    <row r="539" spans="2:19" x14ac:dyDescent="0.35">
      <c r="B539" s="35">
        <v>536</v>
      </c>
      <c r="C539" t="s">
        <v>1614</v>
      </c>
      <c r="D539" s="7">
        <v>2017</v>
      </c>
      <c r="E539" t="s">
        <v>1554</v>
      </c>
      <c r="F539" t="s">
        <v>1085</v>
      </c>
      <c r="G539" t="s">
        <v>1559</v>
      </c>
      <c r="H539" t="s">
        <v>1615</v>
      </c>
      <c r="I539" s="7">
        <v>3.93</v>
      </c>
      <c r="J539" s="7">
        <v>3</v>
      </c>
      <c r="K539" s="7">
        <v>4</v>
      </c>
      <c r="L539" s="7">
        <v>4</v>
      </c>
      <c r="M539" s="7">
        <v>3.5</v>
      </c>
      <c r="N539" s="7">
        <v>4</v>
      </c>
      <c r="O539" s="7">
        <v>4.5</v>
      </c>
      <c r="P539" s="7">
        <v>4.5</v>
      </c>
      <c r="Q539" t="s">
        <v>1547</v>
      </c>
      <c r="R539" s="7">
        <v>675</v>
      </c>
      <c r="S539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</row>
    <row r="540" spans="2:19" x14ac:dyDescent="0.35">
      <c r="B540" s="35">
        <v>537</v>
      </c>
      <c r="C540" t="s">
        <v>1277</v>
      </c>
      <c r="D540" s="7">
        <v>2003</v>
      </c>
      <c r="E540" t="s">
        <v>1554</v>
      </c>
      <c r="F540" t="s">
        <v>1215</v>
      </c>
      <c r="G540" t="s">
        <v>1555</v>
      </c>
      <c r="H540" t="s">
        <v>1216</v>
      </c>
      <c r="I540" s="7">
        <v>4.1399999999999997</v>
      </c>
      <c r="J540" s="7">
        <v>4.5</v>
      </c>
      <c r="K540" s="7">
        <v>4.5</v>
      </c>
      <c r="L540" s="7">
        <v>3.5</v>
      </c>
      <c r="M540" s="7">
        <v>3</v>
      </c>
      <c r="N540" s="7">
        <v>4.5</v>
      </c>
      <c r="O540" s="7">
        <v>4</v>
      </c>
      <c r="P540" s="7">
        <v>5</v>
      </c>
      <c r="Q540" t="s">
        <v>1217</v>
      </c>
      <c r="R540" s="7">
        <v>101</v>
      </c>
      <c r="S540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541" spans="2:19" x14ac:dyDescent="0.35">
      <c r="B541" s="35">
        <v>538</v>
      </c>
      <c r="C541" t="s">
        <v>2314</v>
      </c>
      <c r="D541" s="7">
        <v>1970</v>
      </c>
      <c r="E541" t="s">
        <v>1556</v>
      </c>
      <c r="F541" t="s">
        <v>2260</v>
      </c>
      <c r="G541" t="s">
        <v>1557</v>
      </c>
      <c r="H541" t="s">
        <v>2307</v>
      </c>
      <c r="I541" s="7">
        <v>3.86</v>
      </c>
      <c r="J541" s="7">
        <v>3.5</v>
      </c>
      <c r="K541" s="7">
        <v>4</v>
      </c>
      <c r="L541" s="7">
        <v>4</v>
      </c>
      <c r="M541" s="7">
        <v>4</v>
      </c>
      <c r="N541" s="7">
        <v>3.5</v>
      </c>
      <c r="O541" s="7">
        <v>4</v>
      </c>
      <c r="P541" s="7">
        <v>4</v>
      </c>
      <c r="Q541" t="s">
        <v>280</v>
      </c>
      <c r="R541" s="7">
        <v>79</v>
      </c>
      <c r="S541" t="str">
        <f xml:space="preserve"> HYPERLINK("ReviewHtml/review_The_Aristocats.html", "https://2danicritic.github.io/ReviewHtml/review_The_Aristocats.html")</f>
        <v>https://2danicritic.github.io/ReviewHtml/review_The_Aristocats.html</v>
      </c>
    </row>
    <row r="542" spans="2:19" x14ac:dyDescent="0.35">
      <c r="B542" s="35">
        <v>539</v>
      </c>
      <c r="C542" t="s">
        <v>1072</v>
      </c>
      <c r="D542" s="7">
        <v>2017</v>
      </c>
      <c r="E542" t="s">
        <v>1558</v>
      </c>
      <c r="F542" t="s">
        <v>1073</v>
      </c>
      <c r="G542" t="s">
        <v>1555</v>
      </c>
      <c r="H542" t="s">
        <v>260</v>
      </c>
      <c r="I542" s="7">
        <v>3.29</v>
      </c>
      <c r="J542" s="7">
        <v>3</v>
      </c>
      <c r="K542" s="7">
        <v>3.5</v>
      </c>
      <c r="L542" s="7">
        <v>3</v>
      </c>
      <c r="M542" s="7">
        <v>2.5</v>
      </c>
      <c r="N542" s="7">
        <v>2.5</v>
      </c>
      <c r="O542" s="7">
        <v>4.5</v>
      </c>
      <c r="P542" s="7">
        <v>4</v>
      </c>
      <c r="Q542" t="s">
        <v>184</v>
      </c>
      <c r="R542" s="7">
        <v>79</v>
      </c>
      <c r="S54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543" spans="2:19" x14ac:dyDescent="0.35">
      <c r="B543" s="35">
        <v>540</v>
      </c>
      <c r="C543" t="s">
        <v>2315</v>
      </c>
      <c r="D543" s="7">
        <v>1985</v>
      </c>
      <c r="E543" t="s">
        <v>1556</v>
      </c>
      <c r="F543" t="s">
        <v>2260</v>
      </c>
      <c r="G543" t="s">
        <v>1557</v>
      </c>
      <c r="H543" t="s">
        <v>2242</v>
      </c>
      <c r="I543" s="7">
        <v>3.29</v>
      </c>
      <c r="J543" s="7">
        <v>3.5</v>
      </c>
      <c r="K543" s="7">
        <v>4</v>
      </c>
      <c r="L543" s="7">
        <v>3.5</v>
      </c>
      <c r="M543" s="7">
        <v>2.5</v>
      </c>
      <c r="N543" s="7">
        <v>3</v>
      </c>
      <c r="O543" s="7">
        <v>3.5</v>
      </c>
      <c r="P543" s="7">
        <v>3</v>
      </c>
      <c r="Q543" t="s">
        <v>2243</v>
      </c>
      <c r="R543" s="7">
        <v>80</v>
      </c>
      <c r="S543" t="str">
        <f xml:space="preserve"> HYPERLINK("ReviewHtml/review_The_Black_Cauldron.html", "https://2danicritic.github.io/ReviewHtml/review_The_Black_Cauldron.html")</f>
        <v>https://2danicritic.github.io/ReviewHtml/review_The_Black_Cauldron.html</v>
      </c>
    </row>
    <row r="544" spans="2:19" x14ac:dyDescent="0.35">
      <c r="B544" s="35">
        <v>541</v>
      </c>
      <c r="C544" t="s">
        <v>2181</v>
      </c>
      <c r="D544" s="7">
        <v>2022</v>
      </c>
      <c r="E544" t="s">
        <v>1556</v>
      </c>
      <c r="F544" t="s">
        <v>2182</v>
      </c>
      <c r="G544" t="s">
        <v>1557</v>
      </c>
      <c r="H544" t="s">
        <v>2148</v>
      </c>
      <c r="I544" s="7">
        <v>3.21</v>
      </c>
      <c r="J544" s="7">
        <v>3</v>
      </c>
      <c r="K544" s="7">
        <v>2.5</v>
      </c>
      <c r="L544" s="7">
        <v>3.5</v>
      </c>
      <c r="M544" s="7">
        <v>4</v>
      </c>
      <c r="N544" s="7">
        <v>2.5</v>
      </c>
      <c r="O544" s="7">
        <v>4</v>
      </c>
      <c r="P544" s="7">
        <v>3</v>
      </c>
      <c r="Q544" t="s">
        <v>2149</v>
      </c>
      <c r="R544" s="7">
        <v>102</v>
      </c>
      <c r="S544" t="str">
        <f xml:space="preserve"> HYPERLINK("ReviewHtml/review_The_Bob's_Burgers_Movie.html", "https://2danicritic.github.io/ReviewHtml/review_The_Bob's_Burgers_Movie.html")</f>
        <v>https://2danicritic.github.io/ReviewHtml/review_The_Bob's_Burgers_Movie.html</v>
      </c>
    </row>
    <row r="545" spans="2:19" x14ac:dyDescent="0.35">
      <c r="B545" s="35">
        <v>542</v>
      </c>
      <c r="C545" t="s">
        <v>1414</v>
      </c>
      <c r="D545" s="7">
        <v>2009</v>
      </c>
      <c r="E545" t="s">
        <v>1554</v>
      </c>
      <c r="F545" t="s">
        <v>1429</v>
      </c>
      <c r="G545" t="s">
        <v>1559</v>
      </c>
      <c r="H545" t="s">
        <v>716</v>
      </c>
      <c r="I545" s="7">
        <v>3.29</v>
      </c>
      <c r="J545" s="7">
        <v>3</v>
      </c>
      <c r="K545" s="7">
        <v>3</v>
      </c>
      <c r="L545" s="7">
        <v>3.5</v>
      </c>
      <c r="M545" s="7">
        <v>3.5</v>
      </c>
      <c r="N545" s="7">
        <v>3.5</v>
      </c>
      <c r="O545" s="7">
        <v>3</v>
      </c>
      <c r="P545" s="7">
        <v>3.5</v>
      </c>
      <c r="Q545" t="s">
        <v>241</v>
      </c>
      <c r="R545" s="7">
        <v>675</v>
      </c>
      <c r="S545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546" spans="2:19" x14ac:dyDescent="0.35">
      <c r="B546" s="35">
        <v>543</v>
      </c>
      <c r="C546" t="s">
        <v>1074</v>
      </c>
      <c r="D546" s="7">
        <v>2015</v>
      </c>
      <c r="E546" t="s">
        <v>1554</v>
      </c>
      <c r="F546" t="s">
        <v>944</v>
      </c>
      <c r="G546" t="s">
        <v>1557</v>
      </c>
      <c r="H546" t="s">
        <v>945</v>
      </c>
      <c r="I546" s="7">
        <v>3.93</v>
      </c>
      <c r="J546" s="7">
        <v>4</v>
      </c>
      <c r="K546" s="7">
        <v>4</v>
      </c>
      <c r="L546" s="7">
        <v>4</v>
      </c>
      <c r="M546" s="7">
        <v>4</v>
      </c>
      <c r="N546" s="7">
        <v>3.5</v>
      </c>
      <c r="O546" s="7">
        <v>4</v>
      </c>
      <c r="P546" s="7">
        <v>4</v>
      </c>
      <c r="Q546" t="s">
        <v>261</v>
      </c>
      <c r="R546" s="7">
        <v>120</v>
      </c>
      <c r="S54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547" spans="2:19" x14ac:dyDescent="0.35">
      <c r="B547" s="35">
        <v>544</v>
      </c>
      <c r="C547" t="s">
        <v>2517</v>
      </c>
      <c r="D547" s="7">
        <v>2023</v>
      </c>
      <c r="E547" t="s">
        <v>1554</v>
      </c>
      <c r="F547" t="s">
        <v>747</v>
      </c>
      <c r="G547" t="s">
        <v>1557</v>
      </c>
      <c r="H547" t="s">
        <v>748</v>
      </c>
      <c r="I547" s="7">
        <v>3.5</v>
      </c>
      <c r="J547" s="7">
        <v>4</v>
      </c>
      <c r="K547" s="7">
        <v>3.5</v>
      </c>
      <c r="L547" s="7">
        <v>3.5</v>
      </c>
      <c r="M547" s="7">
        <v>4</v>
      </c>
      <c r="N547" s="7">
        <v>3</v>
      </c>
      <c r="O547" s="7">
        <v>3</v>
      </c>
      <c r="P547" s="7">
        <v>3.5</v>
      </c>
      <c r="Q547" t="s">
        <v>2496</v>
      </c>
      <c r="R547" s="7">
        <v>124</v>
      </c>
      <c r="S547" t="str">
        <f xml:space="preserve"> HYPERLINK("ReviewHtml/review_The_Boy_and_the_Heron.html", "https://2danicritic.github.io/ReviewHtml/review_The_Boy_and_the_Heron.html")</f>
        <v>https://2danicritic.github.io/ReviewHtml/review_The_Boy_and_the_Heron.html</v>
      </c>
    </row>
    <row r="548" spans="2:19" x14ac:dyDescent="0.35">
      <c r="B548" s="35">
        <v>545</v>
      </c>
      <c r="C548" t="s">
        <v>1075</v>
      </c>
      <c r="D548" s="7">
        <v>2017</v>
      </c>
      <c r="E548" t="s">
        <v>1613</v>
      </c>
      <c r="F548" t="s">
        <v>1055</v>
      </c>
      <c r="G548" t="s">
        <v>1557</v>
      </c>
      <c r="H548" t="s">
        <v>1076</v>
      </c>
      <c r="I548" s="7">
        <v>4.8600000000000003</v>
      </c>
      <c r="J548" s="7">
        <v>5</v>
      </c>
      <c r="K548" s="7">
        <v>5</v>
      </c>
      <c r="L548" s="7">
        <v>4</v>
      </c>
      <c r="M548" s="7">
        <v>5</v>
      </c>
      <c r="N548" s="7">
        <v>5</v>
      </c>
      <c r="O548" s="7">
        <v>5</v>
      </c>
      <c r="P548" s="7">
        <v>5</v>
      </c>
      <c r="Q548" t="s">
        <v>262</v>
      </c>
      <c r="R548" s="7">
        <v>94</v>
      </c>
      <c r="S548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549" spans="2:19" x14ac:dyDescent="0.35">
      <c r="B549" s="35">
        <v>546</v>
      </c>
      <c r="C549" t="s">
        <v>1616</v>
      </c>
      <c r="D549" s="7">
        <v>2015</v>
      </c>
      <c r="E549" t="s">
        <v>1554</v>
      </c>
      <c r="F549" t="s">
        <v>1617</v>
      </c>
      <c r="G549" t="s">
        <v>1557</v>
      </c>
      <c r="H549" t="s">
        <v>1618</v>
      </c>
      <c r="I549" s="7">
        <v>3.14</v>
      </c>
      <c r="J549" s="7">
        <v>2.5</v>
      </c>
      <c r="K549" s="7">
        <v>2.5</v>
      </c>
      <c r="L549" s="7">
        <v>2.5</v>
      </c>
      <c r="M549" s="7">
        <v>3.5</v>
      </c>
      <c r="N549" s="7">
        <v>3.5</v>
      </c>
      <c r="O549" s="7">
        <v>4</v>
      </c>
      <c r="P549" s="7">
        <v>3.5</v>
      </c>
      <c r="Q549" t="s">
        <v>1548</v>
      </c>
      <c r="R549" s="7">
        <v>100</v>
      </c>
      <c r="S549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</row>
    <row r="550" spans="2:19" x14ac:dyDescent="0.35">
      <c r="B550" s="35">
        <v>547</v>
      </c>
      <c r="C550" t="s">
        <v>1077</v>
      </c>
      <c r="D550" s="7">
        <v>2002</v>
      </c>
      <c r="E550" t="s">
        <v>1554</v>
      </c>
      <c r="F550" t="s">
        <v>747</v>
      </c>
      <c r="G550" t="s">
        <v>1557</v>
      </c>
      <c r="H550" t="s">
        <v>1078</v>
      </c>
      <c r="I550" s="7">
        <v>3.5</v>
      </c>
      <c r="J550" s="7">
        <v>3.5</v>
      </c>
      <c r="K550" s="7">
        <v>3</v>
      </c>
      <c r="L550" s="7">
        <v>3.5</v>
      </c>
      <c r="M550" s="7">
        <v>3.5</v>
      </c>
      <c r="N550" s="7">
        <v>3</v>
      </c>
      <c r="O550" s="7">
        <v>4</v>
      </c>
      <c r="P550" s="7">
        <v>4</v>
      </c>
      <c r="Q550" t="s">
        <v>195</v>
      </c>
      <c r="R550" s="7">
        <v>75</v>
      </c>
      <c r="S550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551" spans="2:19" x14ac:dyDescent="0.35">
      <c r="B551" s="35">
        <v>548</v>
      </c>
      <c r="C551" t="s">
        <v>2704</v>
      </c>
      <c r="D551" s="7">
        <v>2024</v>
      </c>
      <c r="E551" t="s">
        <v>1554</v>
      </c>
      <c r="F551" t="s">
        <v>787</v>
      </c>
      <c r="G551" t="s">
        <v>1557</v>
      </c>
      <c r="H551" t="s">
        <v>659</v>
      </c>
      <c r="I551" s="7">
        <v>3.71</v>
      </c>
      <c r="J551" s="7">
        <v>3.5</v>
      </c>
      <c r="K551" s="7">
        <v>3</v>
      </c>
      <c r="L551" s="7">
        <v>4</v>
      </c>
      <c r="M551" s="7">
        <v>3.5</v>
      </c>
      <c r="N551" s="7">
        <v>4</v>
      </c>
      <c r="O551" s="7">
        <v>3.5</v>
      </c>
      <c r="P551" s="7">
        <v>4.5</v>
      </c>
      <c r="Q551" t="s">
        <v>136</v>
      </c>
      <c r="R551" s="7">
        <v>100</v>
      </c>
      <c r="S551" t="str">
        <f xml:space="preserve"> HYPERLINK("ReviewHtml/review_The_Colors_Within.html", "https://2danicritic.github.io/ReviewHtml/review_The_Colors_Within.html")</f>
        <v>https://2danicritic.github.io/ReviewHtml/review_The_Colors_Within.html</v>
      </c>
    </row>
    <row r="552" spans="2:19" x14ac:dyDescent="0.35">
      <c r="B552" s="35">
        <v>549</v>
      </c>
      <c r="C552" t="s">
        <v>1278</v>
      </c>
      <c r="D552" s="7">
        <v>2014</v>
      </c>
      <c r="E552" t="s">
        <v>1554</v>
      </c>
      <c r="F552" t="s">
        <v>1292</v>
      </c>
      <c r="G552" t="s">
        <v>1559</v>
      </c>
      <c r="H552" t="s">
        <v>1303</v>
      </c>
      <c r="I552" s="7">
        <v>2.36</v>
      </c>
      <c r="J552" s="7">
        <v>2.5</v>
      </c>
      <c r="K552" s="7">
        <v>2.5</v>
      </c>
      <c r="L552" s="7">
        <v>3</v>
      </c>
      <c r="M552" s="7">
        <v>3.5</v>
      </c>
      <c r="N552" s="7">
        <v>1.5</v>
      </c>
      <c r="O552" s="7">
        <v>2</v>
      </c>
      <c r="P552" s="7">
        <v>1.5</v>
      </c>
      <c r="Q552" t="s">
        <v>1218</v>
      </c>
      <c r="R552" s="7">
        <v>205</v>
      </c>
      <c r="S552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553" spans="2:19" x14ac:dyDescent="0.35">
      <c r="B553" s="35">
        <v>550</v>
      </c>
      <c r="C553" t="s">
        <v>2518</v>
      </c>
      <c r="D553" s="7">
        <v>2023</v>
      </c>
      <c r="E553" t="s">
        <v>1554</v>
      </c>
      <c r="F553" t="s">
        <v>731</v>
      </c>
      <c r="G553" t="s">
        <v>1557</v>
      </c>
      <c r="H553" t="s">
        <v>2537</v>
      </c>
      <c r="I553" s="7">
        <v>3.57</v>
      </c>
      <c r="J553" s="7">
        <v>3.5</v>
      </c>
      <c r="K553" s="7">
        <v>3.5</v>
      </c>
      <c r="L553" s="7">
        <v>3.5</v>
      </c>
      <c r="M553" s="7">
        <v>3.5</v>
      </c>
      <c r="N553" s="7">
        <v>3.5</v>
      </c>
      <c r="O553" s="7">
        <v>4</v>
      </c>
      <c r="P553" s="7">
        <v>3.5</v>
      </c>
      <c r="Q553" t="s">
        <v>2497</v>
      </c>
      <c r="R553" s="7">
        <v>70</v>
      </c>
      <c r="S553" t="str">
        <f xml:space="preserve"> HYPERLINK("ReviewHtml/review_The_Concierge.html", "https://2danicritic.github.io/ReviewHtml/review_The_Concierge.html")</f>
        <v>https://2danicritic.github.io/ReviewHtml/review_The_Concierge.html</v>
      </c>
    </row>
    <row r="554" spans="2:19" x14ac:dyDescent="0.35">
      <c r="B554" s="35">
        <v>551</v>
      </c>
      <c r="C554" t="s">
        <v>2705</v>
      </c>
      <c r="D554" s="7">
        <v>2025</v>
      </c>
      <c r="E554" t="s">
        <v>1556</v>
      </c>
      <c r="F554" t="s">
        <v>697</v>
      </c>
      <c r="G554" t="s">
        <v>1557</v>
      </c>
      <c r="H554" t="s">
        <v>2722</v>
      </c>
      <c r="I554" s="7">
        <v>3.36</v>
      </c>
      <c r="J554" s="7">
        <v>3</v>
      </c>
      <c r="K554" s="7">
        <v>3</v>
      </c>
      <c r="L554" s="7">
        <v>3.5</v>
      </c>
      <c r="M554" s="7">
        <v>3.5</v>
      </c>
      <c r="N554" s="7">
        <v>3</v>
      </c>
      <c r="O554" s="7">
        <v>4</v>
      </c>
      <c r="P554" s="7">
        <v>3.5</v>
      </c>
      <c r="Q554" t="s">
        <v>2690</v>
      </c>
      <c r="R554" s="7">
        <v>91</v>
      </c>
      <c r="S554" t="str">
        <f xml:space="preserve"> HYPERLINK("ReviewHtml/review_The_Day_the_Earth_Blew_Up_-_A_Looney_Tunes_Movie.html", "https://2danicritic.github.io/ReviewHtml/review_The_Day_the_Earth_Blew_Up_-_A_Looney_Tunes_Movie.html")</f>
        <v>https://2danicritic.github.io/ReviewHtml/review_The_Day_the_Earth_Blew_Up_-_A_Looney_Tunes_Movie.html</v>
      </c>
    </row>
    <row r="555" spans="2:19" x14ac:dyDescent="0.35">
      <c r="B555" s="35">
        <v>552</v>
      </c>
      <c r="C555" t="s">
        <v>2452</v>
      </c>
      <c r="D555" s="7">
        <v>2021</v>
      </c>
      <c r="E555" t="s">
        <v>1554</v>
      </c>
      <c r="F555" t="s">
        <v>731</v>
      </c>
      <c r="G555" t="s">
        <v>1557</v>
      </c>
      <c r="H555" t="s">
        <v>2453</v>
      </c>
      <c r="I555" s="7">
        <v>3.36</v>
      </c>
      <c r="J555" s="7">
        <v>3.5</v>
      </c>
      <c r="K555" s="7">
        <v>3.5</v>
      </c>
      <c r="L555" s="7">
        <v>3.5</v>
      </c>
      <c r="M555" s="7">
        <v>3.5</v>
      </c>
      <c r="N555" s="7">
        <v>3.5</v>
      </c>
      <c r="O555" s="7">
        <v>3</v>
      </c>
      <c r="P555" s="7">
        <v>3</v>
      </c>
      <c r="Q555" t="s">
        <v>241</v>
      </c>
      <c r="R555" s="7">
        <v>114</v>
      </c>
      <c r="S555" t="str">
        <f xml:space="preserve"> HYPERLINK("ReviewHtml/review_The_Deer_King.html", "https://2danicritic.github.io/ReviewHtml/review_The_Deer_King.html")</f>
        <v>https://2danicritic.github.io/ReviewHtml/review_The_Deer_King.html</v>
      </c>
    </row>
    <row r="556" spans="2:19" x14ac:dyDescent="0.35">
      <c r="B556" s="35">
        <v>553</v>
      </c>
      <c r="C556" t="s">
        <v>1079</v>
      </c>
      <c r="D556" s="7">
        <v>2010</v>
      </c>
      <c r="E556" t="s">
        <v>1554</v>
      </c>
      <c r="F556" t="s">
        <v>658</v>
      </c>
      <c r="G556" t="s">
        <v>1557</v>
      </c>
      <c r="H556" t="s">
        <v>263</v>
      </c>
      <c r="I556" s="7">
        <v>3.71</v>
      </c>
      <c r="J556" s="7">
        <v>4</v>
      </c>
      <c r="K556" s="7">
        <v>4</v>
      </c>
      <c r="L556" s="7">
        <v>4</v>
      </c>
      <c r="M556" s="7">
        <v>3.5</v>
      </c>
      <c r="N556" s="7">
        <v>3.5</v>
      </c>
      <c r="O556" s="7">
        <v>3</v>
      </c>
      <c r="P556" s="7">
        <v>4</v>
      </c>
      <c r="Q556" t="s">
        <v>264</v>
      </c>
      <c r="R556" s="7">
        <v>162</v>
      </c>
      <c r="S55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557" spans="2:19" x14ac:dyDescent="0.35">
      <c r="B557" s="35">
        <v>554</v>
      </c>
      <c r="C557" t="s">
        <v>1080</v>
      </c>
      <c r="D557" s="7">
        <v>2015</v>
      </c>
      <c r="E557" t="s">
        <v>1554</v>
      </c>
      <c r="F557" t="s">
        <v>772</v>
      </c>
      <c r="G557" t="s">
        <v>1559</v>
      </c>
      <c r="H557" t="s">
        <v>1081</v>
      </c>
      <c r="I557" s="7">
        <v>3</v>
      </c>
      <c r="J557" s="7">
        <v>3</v>
      </c>
      <c r="K557" s="7">
        <v>3</v>
      </c>
      <c r="L557" s="7">
        <v>3</v>
      </c>
      <c r="M557" s="7">
        <v>3.5</v>
      </c>
      <c r="N557" s="7">
        <v>2.5</v>
      </c>
      <c r="O557" s="7">
        <v>3</v>
      </c>
      <c r="P557" s="7">
        <v>3</v>
      </c>
      <c r="Q557" t="s">
        <v>100</v>
      </c>
      <c r="R557" s="7">
        <v>425</v>
      </c>
      <c r="S55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558" spans="2:19" x14ac:dyDescent="0.35">
      <c r="B558" s="35">
        <v>555</v>
      </c>
      <c r="C558" t="s">
        <v>1082</v>
      </c>
      <c r="D558" s="7">
        <v>2017</v>
      </c>
      <c r="E558" t="s">
        <v>1554</v>
      </c>
      <c r="F558" t="s">
        <v>1083</v>
      </c>
      <c r="G558" t="s">
        <v>1560</v>
      </c>
      <c r="H558" t="s">
        <v>819</v>
      </c>
      <c r="I558" s="7">
        <v>2.93</v>
      </c>
      <c r="J558" s="7">
        <v>3.5</v>
      </c>
      <c r="K558" s="7">
        <v>3.5</v>
      </c>
      <c r="L558" s="7">
        <v>2</v>
      </c>
      <c r="M558" s="7">
        <v>2</v>
      </c>
      <c r="N558" s="7">
        <v>2.5</v>
      </c>
      <c r="O558" s="7">
        <v>3</v>
      </c>
      <c r="P558" s="7">
        <v>4</v>
      </c>
      <c r="Q558" t="s">
        <v>265</v>
      </c>
      <c r="R558" s="7">
        <v>90</v>
      </c>
      <c r="S55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559" spans="2:19" x14ac:dyDescent="0.35">
      <c r="B559" s="35">
        <v>556</v>
      </c>
      <c r="C559" t="s">
        <v>2316</v>
      </c>
      <c r="D559" s="7">
        <v>2000</v>
      </c>
      <c r="E559" t="s">
        <v>1556</v>
      </c>
      <c r="F559" t="s">
        <v>2260</v>
      </c>
      <c r="G559" t="s">
        <v>1557</v>
      </c>
      <c r="H559" t="s">
        <v>2317</v>
      </c>
      <c r="I559" s="7">
        <v>3.64</v>
      </c>
      <c r="J559" s="7">
        <v>3.5</v>
      </c>
      <c r="K559" s="7">
        <v>3.5</v>
      </c>
      <c r="L559" s="7">
        <v>3.5</v>
      </c>
      <c r="M559" s="7">
        <v>4.5</v>
      </c>
      <c r="N559" s="7">
        <v>2.5</v>
      </c>
      <c r="O559" s="7">
        <v>5</v>
      </c>
      <c r="P559" s="7">
        <v>3</v>
      </c>
      <c r="Q559" t="s">
        <v>2244</v>
      </c>
      <c r="R559" s="7">
        <v>78</v>
      </c>
      <c r="S559" t="str">
        <f xml:space="preserve"> HYPERLINK("ReviewHtml/review_The_Emperor's_New_Groove.html", "https://2danicritic.github.io/ReviewHtml/review_The_Emperor's_New_Groove.html")</f>
        <v>https://2danicritic.github.io/ReviewHtml/review_The_Emperor's_New_Groove.html</v>
      </c>
    </row>
    <row r="560" spans="2:19" x14ac:dyDescent="0.35">
      <c r="B560" s="35">
        <v>557</v>
      </c>
      <c r="C560" t="s">
        <v>1084</v>
      </c>
      <c r="D560" s="7">
        <v>2015</v>
      </c>
      <c r="E560" t="s">
        <v>1554</v>
      </c>
      <c r="F560" t="s">
        <v>1085</v>
      </c>
      <c r="G560" t="s">
        <v>1557</v>
      </c>
      <c r="H560" t="s">
        <v>1086</v>
      </c>
      <c r="I560" s="7">
        <v>3.79</v>
      </c>
      <c r="J560" s="7">
        <v>4</v>
      </c>
      <c r="K560" s="7">
        <v>4</v>
      </c>
      <c r="L560" s="7">
        <v>3.5</v>
      </c>
      <c r="M560" s="7">
        <v>3.5</v>
      </c>
      <c r="N560" s="7">
        <v>3.5</v>
      </c>
      <c r="O560" s="7">
        <v>4</v>
      </c>
      <c r="P560" s="7">
        <v>4</v>
      </c>
      <c r="Q560" t="s">
        <v>266</v>
      </c>
      <c r="R560" s="7">
        <v>120</v>
      </c>
      <c r="S560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561" spans="2:19" x14ac:dyDescent="0.35">
      <c r="B561" s="35">
        <v>558</v>
      </c>
      <c r="C561" t="s">
        <v>1087</v>
      </c>
      <c r="D561" s="7">
        <v>1981</v>
      </c>
      <c r="E561" t="s">
        <v>1554</v>
      </c>
      <c r="F561" t="s">
        <v>1032</v>
      </c>
      <c r="G561" t="s">
        <v>1557</v>
      </c>
      <c r="H561" t="s">
        <v>695</v>
      </c>
      <c r="I561" s="7">
        <v>2.21</v>
      </c>
      <c r="J561" s="7">
        <v>2</v>
      </c>
      <c r="K561" s="7">
        <v>2.5</v>
      </c>
      <c r="L561" s="7">
        <v>3.5</v>
      </c>
      <c r="M561" s="7">
        <v>1.5</v>
      </c>
      <c r="N561" s="7">
        <v>2</v>
      </c>
      <c r="O561" s="7">
        <v>2</v>
      </c>
      <c r="P561" s="7">
        <v>2</v>
      </c>
      <c r="Q561" t="s">
        <v>240</v>
      </c>
      <c r="R561" s="7">
        <v>90</v>
      </c>
      <c r="S561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562" spans="2:19" x14ac:dyDescent="0.35">
      <c r="B562" s="35">
        <v>559</v>
      </c>
      <c r="C562" t="s">
        <v>1088</v>
      </c>
      <c r="D562" s="7">
        <v>1982</v>
      </c>
      <c r="E562" t="s">
        <v>1556</v>
      </c>
      <c r="F562" t="s">
        <v>1089</v>
      </c>
      <c r="G562" t="s">
        <v>1557</v>
      </c>
      <c r="H562" t="s">
        <v>267</v>
      </c>
      <c r="I562" s="7">
        <v>3.21</v>
      </c>
      <c r="J562" s="7">
        <v>2.5</v>
      </c>
      <c r="K562" s="7">
        <v>3</v>
      </c>
      <c r="L562" s="7">
        <v>3</v>
      </c>
      <c r="M562" s="7">
        <v>3.5</v>
      </c>
      <c r="N562" s="7">
        <v>3</v>
      </c>
      <c r="O562" s="7">
        <v>3.5</v>
      </c>
      <c r="P562" s="7">
        <v>4</v>
      </c>
      <c r="Q562" t="s">
        <v>195</v>
      </c>
      <c r="R562" s="7">
        <v>95</v>
      </c>
      <c r="S562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563" spans="2:19" x14ac:dyDescent="0.35">
      <c r="B563" s="35">
        <v>560</v>
      </c>
      <c r="C563" t="s">
        <v>2318</v>
      </c>
      <c r="D563" s="7">
        <v>1981</v>
      </c>
      <c r="E563" t="s">
        <v>1556</v>
      </c>
      <c r="F563" t="s">
        <v>2260</v>
      </c>
      <c r="G563" t="s">
        <v>1557</v>
      </c>
      <c r="H563" t="s">
        <v>2245</v>
      </c>
      <c r="I563" s="7">
        <v>3.43</v>
      </c>
      <c r="J563" s="7">
        <v>4</v>
      </c>
      <c r="K563" s="7">
        <v>4</v>
      </c>
      <c r="L563" s="7">
        <v>3</v>
      </c>
      <c r="M563" s="7">
        <v>3.5</v>
      </c>
      <c r="N563" s="7">
        <v>4</v>
      </c>
      <c r="O563" s="7">
        <v>2.5</v>
      </c>
      <c r="P563" s="7">
        <v>3</v>
      </c>
      <c r="Q563" t="s">
        <v>2246</v>
      </c>
      <c r="R563" s="7">
        <v>83</v>
      </c>
      <c r="S563" t="str">
        <f xml:space="preserve"> HYPERLINK("ReviewHtml/review_The_Fox_and_the_Hound.html", "https://2danicritic.github.io/ReviewHtml/review_The_Fox_and_the_Hound.html")</f>
        <v>https://2danicritic.github.io/ReviewHtml/review_The_Fox_and_the_Hound.html</v>
      </c>
    </row>
    <row r="564" spans="2:19" x14ac:dyDescent="0.35">
      <c r="B564" s="35">
        <v>561</v>
      </c>
      <c r="C564" t="s">
        <v>1322</v>
      </c>
      <c r="D564" s="7">
        <v>2014</v>
      </c>
      <c r="E564" t="s">
        <v>1554</v>
      </c>
      <c r="F564" t="s">
        <v>1431</v>
      </c>
      <c r="G564" t="s">
        <v>1559</v>
      </c>
      <c r="H564" t="s">
        <v>1461</v>
      </c>
      <c r="I564" s="7">
        <v>2.86</v>
      </c>
      <c r="J564" s="7">
        <v>3</v>
      </c>
      <c r="K564" s="7">
        <v>3.5</v>
      </c>
      <c r="L564" s="7">
        <v>3</v>
      </c>
      <c r="M564" s="7">
        <v>3</v>
      </c>
      <c r="N564" s="7">
        <v>2.5</v>
      </c>
      <c r="O564" s="7">
        <v>2.5</v>
      </c>
      <c r="P564" s="7">
        <v>2.5</v>
      </c>
      <c r="Q564" t="s">
        <v>1323</v>
      </c>
      <c r="R564" s="7">
        <v>625</v>
      </c>
      <c r="S564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565" spans="2:19" x14ac:dyDescent="0.35">
      <c r="B565" s="35">
        <v>562</v>
      </c>
      <c r="C565" t="s">
        <v>1090</v>
      </c>
      <c r="D565" s="7">
        <v>2011</v>
      </c>
      <c r="E565" t="s">
        <v>1554</v>
      </c>
      <c r="F565" t="s">
        <v>1091</v>
      </c>
      <c r="G565" t="s">
        <v>1559</v>
      </c>
      <c r="H565" t="s">
        <v>1092</v>
      </c>
      <c r="I565" s="7">
        <v>3.64</v>
      </c>
      <c r="J565" s="7">
        <v>3</v>
      </c>
      <c r="K565" s="7">
        <v>3</v>
      </c>
      <c r="L565" s="7">
        <v>3.5</v>
      </c>
      <c r="M565" s="7">
        <v>4</v>
      </c>
      <c r="N565" s="7">
        <v>3.5</v>
      </c>
      <c r="O565" s="7">
        <v>4.5</v>
      </c>
      <c r="P565" s="7">
        <v>4</v>
      </c>
      <c r="Q565" t="s">
        <v>347</v>
      </c>
      <c r="R565" s="7">
        <v>680</v>
      </c>
      <c r="S565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566" spans="2:19" x14ac:dyDescent="0.35">
      <c r="B566" s="35">
        <v>563</v>
      </c>
      <c r="C566" t="s">
        <v>1093</v>
      </c>
      <c r="D566" s="7">
        <v>2007</v>
      </c>
      <c r="E566" t="s">
        <v>1554</v>
      </c>
      <c r="F566" t="s">
        <v>814</v>
      </c>
      <c r="G566" t="s">
        <v>1557</v>
      </c>
      <c r="H566" t="s">
        <v>268</v>
      </c>
      <c r="I566" s="7">
        <v>4.6399999999999997</v>
      </c>
      <c r="J566" s="7">
        <v>4</v>
      </c>
      <c r="K566" s="7">
        <v>5</v>
      </c>
      <c r="L566" s="7">
        <v>5</v>
      </c>
      <c r="M566" s="7">
        <v>4.5</v>
      </c>
      <c r="N566" s="7">
        <v>4.5</v>
      </c>
      <c r="O566" s="7">
        <v>4.5</v>
      </c>
      <c r="P566" s="7">
        <v>5</v>
      </c>
      <c r="Q566" t="s">
        <v>269</v>
      </c>
      <c r="R566" s="7">
        <v>652</v>
      </c>
      <c r="S566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567" spans="2:19" x14ac:dyDescent="0.35">
      <c r="B567" s="35">
        <v>564</v>
      </c>
      <c r="C567" t="s">
        <v>1094</v>
      </c>
      <c r="D567" s="7">
        <v>2013</v>
      </c>
      <c r="E567" t="s">
        <v>1554</v>
      </c>
      <c r="F567" t="s">
        <v>652</v>
      </c>
      <c r="G567" t="s">
        <v>1557</v>
      </c>
      <c r="H567" t="s">
        <v>653</v>
      </c>
      <c r="I567" s="7">
        <v>4.1399999999999997</v>
      </c>
      <c r="J567" s="7">
        <v>4.5</v>
      </c>
      <c r="K567" s="7">
        <v>4.5</v>
      </c>
      <c r="L567" s="7">
        <v>3.5</v>
      </c>
      <c r="M567" s="7">
        <v>3.5</v>
      </c>
      <c r="N567" s="7">
        <v>4.5</v>
      </c>
      <c r="O567" s="7">
        <v>3.5</v>
      </c>
      <c r="P567" s="7">
        <v>5</v>
      </c>
      <c r="Q567" t="s">
        <v>100</v>
      </c>
      <c r="R567" s="7">
        <v>46</v>
      </c>
      <c r="S567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568" spans="2:19" x14ac:dyDescent="0.35">
      <c r="B568" s="35">
        <v>565</v>
      </c>
      <c r="C568" t="s">
        <v>2183</v>
      </c>
      <c r="D568" s="7">
        <v>2022</v>
      </c>
      <c r="E568" t="s">
        <v>1554</v>
      </c>
      <c r="F568" t="s">
        <v>1085</v>
      </c>
      <c r="G568" t="s">
        <v>1560</v>
      </c>
      <c r="H568" t="s">
        <v>2150</v>
      </c>
      <c r="I568" s="7">
        <v>3.57</v>
      </c>
      <c r="J568" s="7">
        <v>4</v>
      </c>
      <c r="K568" s="7">
        <v>4</v>
      </c>
      <c r="L568" s="7">
        <v>3.5</v>
      </c>
      <c r="M568" s="7">
        <v>3.5</v>
      </c>
      <c r="N568" s="7">
        <v>3.5</v>
      </c>
      <c r="O568" s="7">
        <v>3.5</v>
      </c>
      <c r="P568" s="7">
        <v>3</v>
      </c>
      <c r="Q568" t="s">
        <v>2151</v>
      </c>
      <c r="R568" s="7">
        <v>69</v>
      </c>
      <c r="S568" t="str">
        <f xml:space="preserve"> HYPERLINK("ReviewHtml/review_The_Girl_From_The_Other_Side_-_Siuil,_a_Run.html", "https://2danicritic.github.io/ReviewHtml/review_The_Girl_From_The_Other_Side_-_Siuil,_a_Run.html")</f>
        <v>https://2danicritic.github.io/ReviewHtml/review_The_Girl_From_The_Other_Side_-_Siuil,_a_Run.html</v>
      </c>
    </row>
    <row r="569" spans="2:19" x14ac:dyDescent="0.35">
      <c r="B569" s="35">
        <v>566</v>
      </c>
      <c r="C569" t="s">
        <v>1095</v>
      </c>
      <c r="D569" s="7">
        <v>2006</v>
      </c>
      <c r="E569" t="s">
        <v>1554</v>
      </c>
      <c r="F569" t="s">
        <v>694</v>
      </c>
      <c r="G569" t="s">
        <v>1557</v>
      </c>
      <c r="H569" t="s">
        <v>945</v>
      </c>
      <c r="I569" s="7">
        <v>4.07</v>
      </c>
      <c r="J569" s="7">
        <v>3.5</v>
      </c>
      <c r="K569" s="7">
        <v>3.5</v>
      </c>
      <c r="L569" s="7">
        <v>4.5</v>
      </c>
      <c r="M569" s="7">
        <v>4</v>
      </c>
      <c r="N569" s="7">
        <v>4</v>
      </c>
      <c r="O569" s="7">
        <v>4</v>
      </c>
      <c r="P569" s="7">
        <v>5</v>
      </c>
      <c r="Q569" t="s">
        <v>270</v>
      </c>
      <c r="R569" s="7">
        <v>98</v>
      </c>
      <c r="S569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570" spans="2:19" x14ac:dyDescent="0.35">
      <c r="B570" s="35">
        <v>567</v>
      </c>
      <c r="C570" t="s">
        <v>1096</v>
      </c>
      <c r="D570" s="7">
        <v>2016</v>
      </c>
      <c r="E570" t="s">
        <v>1619</v>
      </c>
      <c r="F570" t="s">
        <v>1097</v>
      </c>
      <c r="G570" t="s">
        <v>1557</v>
      </c>
      <c r="H570" t="s">
        <v>271</v>
      </c>
      <c r="I570" s="7">
        <v>3</v>
      </c>
      <c r="J570" s="7">
        <v>3</v>
      </c>
      <c r="K570" s="7">
        <v>2.5</v>
      </c>
      <c r="L570" s="7">
        <v>3</v>
      </c>
      <c r="M570" s="7">
        <v>3</v>
      </c>
      <c r="N570" s="7">
        <v>3.5</v>
      </c>
      <c r="O570" s="7">
        <v>3</v>
      </c>
      <c r="P570" s="7">
        <v>3</v>
      </c>
      <c r="Q570" t="s">
        <v>272</v>
      </c>
      <c r="R570" s="7">
        <v>76</v>
      </c>
      <c r="S570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571" spans="2:19" x14ac:dyDescent="0.35">
      <c r="B571" s="35">
        <v>568</v>
      </c>
      <c r="C571" t="s">
        <v>2319</v>
      </c>
      <c r="D571" s="7">
        <v>1986</v>
      </c>
      <c r="E571" t="s">
        <v>1556</v>
      </c>
      <c r="F571" t="s">
        <v>2260</v>
      </c>
      <c r="G571" t="s">
        <v>1557</v>
      </c>
      <c r="H571" t="s">
        <v>2247</v>
      </c>
      <c r="I571" s="7">
        <v>4.29</v>
      </c>
      <c r="J571" s="7">
        <v>4</v>
      </c>
      <c r="K571" s="7">
        <v>3.5</v>
      </c>
      <c r="L571" s="7">
        <v>4</v>
      </c>
      <c r="M571" s="7">
        <v>5</v>
      </c>
      <c r="N571" s="7">
        <v>4</v>
      </c>
      <c r="O571" s="7">
        <v>5</v>
      </c>
      <c r="P571" s="7">
        <v>4.5</v>
      </c>
      <c r="Q571" t="s">
        <v>2248</v>
      </c>
      <c r="R571" s="7">
        <v>74</v>
      </c>
      <c r="S571" t="str">
        <f xml:space="preserve"> HYPERLINK("ReviewHtml/review_The_Great_Mouse_Detective.html", "https://2danicritic.github.io/ReviewHtml/review_The_Great_Mouse_Detective.html")</f>
        <v>https://2danicritic.github.io/ReviewHtml/review_The_Great_Mouse_Detective.html</v>
      </c>
    </row>
    <row r="572" spans="2:19" x14ac:dyDescent="0.35">
      <c r="B572" s="35">
        <v>569</v>
      </c>
      <c r="C572" t="s">
        <v>1832</v>
      </c>
      <c r="D572" s="7">
        <v>2016</v>
      </c>
      <c r="E572" t="s">
        <v>1554</v>
      </c>
      <c r="F572" t="s">
        <v>1292</v>
      </c>
      <c r="G572" t="s">
        <v>1559</v>
      </c>
      <c r="H572" t="s">
        <v>1777</v>
      </c>
      <c r="I572" s="7">
        <v>3.43</v>
      </c>
      <c r="J572" s="7">
        <v>3.5</v>
      </c>
      <c r="K572" s="7">
        <v>3.5</v>
      </c>
      <c r="L572" s="7">
        <v>3.5</v>
      </c>
      <c r="M572" s="7">
        <v>3.5</v>
      </c>
      <c r="N572" s="7">
        <v>3.5</v>
      </c>
      <c r="O572" s="7">
        <v>3</v>
      </c>
      <c r="P572" s="7">
        <v>3.5</v>
      </c>
      <c r="Q572" t="s">
        <v>348</v>
      </c>
      <c r="R572" s="7">
        <v>275</v>
      </c>
      <c r="S572" t="str">
        <f xml:space="preserve"> HYPERLINK("ReviewHtml/review_The_Great_Passage.html", "https://2danicritic.github.io/ReviewHtml/review_The_Great_Passage.html")</f>
        <v>https://2danicritic.github.io/ReviewHtml/review_The_Great_Passage.html</v>
      </c>
    </row>
    <row r="573" spans="2:19" x14ac:dyDescent="0.35">
      <c r="B573" s="35">
        <v>570</v>
      </c>
      <c r="C573" t="s">
        <v>1415</v>
      </c>
      <c r="D573" s="7">
        <v>1977</v>
      </c>
      <c r="E573" t="s">
        <v>1556</v>
      </c>
      <c r="F573" t="s">
        <v>1432</v>
      </c>
      <c r="G573" t="s">
        <v>1557</v>
      </c>
      <c r="H573" t="s">
        <v>267</v>
      </c>
      <c r="I573" s="7">
        <v>3.64</v>
      </c>
      <c r="J573" s="7">
        <v>2</v>
      </c>
      <c r="K573" s="7">
        <v>3.5</v>
      </c>
      <c r="L573" s="7">
        <v>4.5</v>
      </c>
      <c r="M573" s="7">
        <v>4</v>
      </c>
      <c r="N573" s="7">
        <v>3.5</v>
      </c>
      <c r="O573" s="7">
        <v>3.5</v>
      </c>
      <c r="P573" s="7">
        <v>4.5</v>
      </c>
      <c r="Q573" t="s">
        <v>195</v>
      </c>
      <c r="R573" s="7">
        <v>78</v>
      </c>
      <c r="S573" t="str">
        <f xml:space="preserve"> HYPERLINK("ReviewHtml/review_The_Hobbit.html", "https://2danicritic.github.io/ReviewHtml/review_The_Hobbit.html")</f>
        <v>https://2danicritic.github.io/ReviewHtml/review_The_Hobbit.html</v>
      </c>
    </row>
    <row r="574" spans="2:19" x14ac:dyDescent="0.35">
      <c r="B574" s="35">
        <v>571</v>
      </c>
      <c r="C574" t="s">
        <v>2519</v>
      </c>
      <c r="D574" s="7">
        <v>2021</v>
      </c>
      <c r="E574" t="s">
        <v>1554</v>
      </c>
      <c r="F574" t="s">
        <v>1429</v>
      </c>
      <c r="G574" t="s">
        <v>1557</v>
      </c>
      <c r="H574" t="s">
        <v>2538</v>
      </c>
      <c r="I574" s="7">
        <v>3.36</v>
      </c>
      <c r="J574" s="7">
        <v>3</v>
      </c>
      <c r="K574" s="7">
        <v>3.5</v>
      </c>
      <c r="L574" s="7">
        <v>3</v>
      </c>
      <c r="M574" s="7">
        <v>3.5</v>
      </c>
      <c r="N574" s="7">
        <v>3.5</v>
      </c>
      <c r="O574" s="7">
        <v>3.5</v>
      </c>
      <c r="P574" s="7">
        <v>3.5</v>
      </c>
      <c r="Q574" t="s">
        <v>101</v>
      </c>
      <c r="R574" s="7">
        <v>100</v>
      </c>
      <c r="S574" t="str">
        <f xml:space="preserve"> HYPERLINK("ReviewHtml/review_The_House_of_the_Lost_on_the_Cape.html", "https://2danicritic.github.io/ReviewHtml/review_The_House_of_the_Lost_on_the_Cape.html")</f>
        <v>https://2danicritic.github.io/ReviewHtml/review_The_House_of_the_Lost_on_the_Cape.html</v>
      </c>
    </row>
    <row r="575" spans="2:19" x14ac:dyDescent="0.35">
      <c r="B575" s="35">
        <v>572</v>
      </c>
      <c r="C575" t="s">
        <v>2320</v>
      </c>
      <c r="D575" s="7">
        <v>1996</v>
      </c>
      <c r="E575" t="s">
        <v>1556</v>
      </c>
      <c r="F575" t="s">
        <v>2260</v>
      </c>
      <c r="G575" t="s">
        <v>1557</v>
      </c>
      <c r="H575" t="s">
        <v>2205</v>
      </c>
      <c r="I575" s="7">
        <v>4.6399999999999997</v>
      </c>
      <c r="J575" s="7">
        <v>5</v>
      </c>
      <c r="K575" s="7">
        <v>5</v>
      </c>
      <c r="L575" s="7">
        <v>5</v>
      </c>
      <c r="M575" s="7">
        <v>4.5</v>
      </c>
      <c r="N575" s="7">
        <v>4.5</v>
      </c>
      <c r="O575" s="7">
        <v>3.5</v>
      </c>
      <c r="P575" s="7">
        <v>5</v>
      </c>
      <c r="Q575" t="s">
        <v>2231</v>
      </c>
      <c r="R575" s="7">
        <v>91</v>
      </c>
      <c r="S575" t="str">
        <f xml:space="preserve"> HYPERLINK("ReviewHtml/review_The_Hunchback_of_Notre_Dame.html", "https://2danicritic.github.io/ReviewHtml/review_The_Hunchback_of_Notre_Dame.html")</f>
        <v>https://2danicritic.github.io/ReviewHtml/review_The_Hunchback_of_Notre_Dame.html</v>
      </c>
    </row>
    <row r="576" spans="2:19" x14ac:dyDescent="0.35">
      <c r="B576" s="35">
        <v>573</v>
      </c>
      <c r="C576" t="s">
        <v>1098</v>
      </c>
      <c r="D576" s="7">
        <v>2010</v>
      </c>
      <c r="E576" t="s">
        <v>1619</v>
      </c>
      <c r="F576" t="s">
        <v>1099</v>
      </c>
      <c r="G576" t="s">
        <v>1557</v>
      </c>
      <c r="H576" t="s">
        <v>1100</v>
      </c>
      <c r="I576" s="7">
        <v>4.1399999999999997</v>
      </c>
      <c r="J576" s="7">
        <v>5</v>
      </c>
      <c r="K576" s="7">
        <v>4.5</v>
      </c>
      <c r="L576" s="7">
        <v>3.5</v>
      </c>
      <c r="M576" s="7">
        <v>3</v>
      </c>
      <c r="N576" s="7">
        <v>5</v>
      </c>
      <c r="O576" s="7">
        <v>3</v>
      </c>
      <c r="P576" s="7">
        <v>5</v>
      </c>
      <c r="Q576" t="s">
        <v>348</v>
      </c>
      <c r="R576" s="7">
        <v>79</v>
      </c>
      <c r="S576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577" spans="2:19" x14ac:dyDescent="0.35">
      <c r="B577" s="35">
        <v>574</v>
      </c>
      <c r="C577" t="s">
        <v>2321</v>
      </c>
      <c r="D577" s="7">
        <v>2021</v>
      </c>
      <c r="E577" t="s">
        <v>1558</v>
      </c>
      <c r="F577" t="s">
        <v>2322</v>
      </c>
      <c r="G577" t="s">
        <v>1557</v>
      </c>
      <c r="H577" t="s">
        <v>1811</v>
      </c>
      <c r="I577" s="7">
        <v>3.14</v>
      </c>
      <c r="J577" s="7">
        <v>3.5</v>
      </c>
      <c r="K577" s="7">
        <v>3</v>
      </c>
      <c r="L577" s="7">
        <v>3.5</v>
      </c>
      <c r="M577" s="7">
        <v>3</v>
      </c>
      <c r="N577" s="7">
        <v>2</v>
      </c>
      <c r="O577" s="7">
        <v>3.5</v>
      </c>
      <c r="P577" s="7">
        <v>3.5</v>
      </c>
      <c r="Q577" t="s">
        <v>302</v>
      </c>
      <c r="R577" s="7">
        <v>85</v>
      </c>
      <c r="S577" t="str">
        <f xml:space="preserve"> HYPERLINK("ReviewHtml/review_The_Island.html", "https://2danicritic.github.io/ReviewHtml/review_The_Island.html")</f>
        <v>https://2danicritic.github.io/ReviewHtml/review_The_Island.html</v>
      </c>
    </row>
    <row r="578" spans="2:19" x14ac:dyDescent="0.35">
      <c r="B578" s="35">
        <v>575</v>
      </c>
      <c r="C578" t="s">
        <v>2323</v>
      </c>
      <c r="D578" s="7">
        <v>1967</v>
      </c>
      <c r="E578" t="s">
        <v>1556</v>
      </c>
      <c r="F578" t="s">
        <v>2260</v>
      </c>
      <c r="G578" t="s">
        <v>1557</v>
      </c>
      <c r="H578" t="s">
        <v>2307</v>
      </c>
      <c r="I578" s="7">
        <v>3.79</v>
      </c>
      <c r="J578" s="7">
        <v>4</v>
      </c>
      <c r="K578" s="7">
        <v>4</v>
      </c>
      <c r="L578" s="7">
        <v>4</v>
      </c>
      <c r="M578" s="7">
        <v>4</v>
      </c>
      <c r="N578" s="7">
        <v>4</v>
      </c>
      <c r="O578" s="7">
        <v>3.5</v>
      </c>
      <c r="P578" s="7">
        <v>3</v>
      </c>
      <c r="Q578" t="s">
        <v>184</v>
      </c>
      <c r="R578" s="7">
        <v>78</v>
      </c>
      <c r="S578" t="str">
        <f xml:space="preserve"> HYPERLINK("ReviewHtml/review_The_Jungle_Book.html", "https://2danicritic.github.io/ReviewHtml/review_The_Jungle_Book.html")</f>
        <v>https://2danicritic.github.io/ReviewHtml/review_The_Jungle_Book.html</v>
      </c>
    </row>
    <row r="579" spans="2:19" x14ac:dyDescent="0.35">
      <c r="B579" s="35">
        <v>576</v>
      </c>
      <c r="C579" t="s">
        <v>2042</v>
      </c>
      <c r="D579" s="7">
        <v>1999</v>
      </c>
      <c r="E579" t="s">
        <v>1556</v>
      </c>
      <c r="F579" t="s">
        <v>2043</v>
      </c>
      <c r="G579" t="s">
        <v>1557</v>
      </c>
      <c r="H579" t="s">
        <v>1920</v>
      </c>
      <c r="I579" s="7">
        <v>3</v>
      </c>
      <c r="J579" s="7">
        <v>2.5</v>
      </c>
      <c r="K579" s="7">
        <v>3</v>
      </c>
      <c r="L579" s="7">
        <v>3.5</v>
      </c>
      <c r="M579" s="7">
        <v>3.5</v>
      </c>
      <c r="N579" s="7">
        <v>2.5</v>
      </c>
      <c r="O579" s="7">
        <v>3.5</v>
      </c>
      <c r="P579" s="7">
        <v>2.5</v>
      </c>
      <c r="Q579" t="s">
        <v>2011</v>
      </c>
      <c r="R579" s="7">
        <v>89</v>
      </c>
      <c r="S579" t="str">
        <f xml:space="preserve"> HYPERLINK("ReviewHtml/review_The_King_and_I.html", "https://2danicritic.github.io/ReviewHtml/review_The_King_and_I.html")</f>
        <v>https://2danicritic.github.io/ReviewHtml/review_The_King_and_I.html</v>
      </c>
    </row>
    <row r="580" spans="2:19" x14ac:dyDescent="0.35">
      <c r="B580" s="35">
        <v>577</v>
      </c>
      <c r="C580" t="s">
        <v>2454</v>
      </c>
      <c r="D580" s="7">
        <v>1988</v>
      </c>
      <c r="E580" t="s">
        <v>1556</v>
      </c>
      <c r="F580" t="s">
        <v>2409</v>
      </c>
      <c r="G580" t="s">
        <v>1557</v>
      </c>
      <c r="H580" t="s">
        <v>1039</v>
      </c>
      <c r="I580" s="7">
        <v>3.64</v>
      </c>
      <c r="J580" s="7">
        <v>4</v>
      </c>
      <c r="K580" s="7">
        <v>3.5</v>
      </c>
      <c r="L580" s="7">
        <v>4</v>
      </c>
      <c r="M580" s="7">
        <v>3.5</v>
      </c>
      <c r="N580" s="7">
        <v>3.5</v>
      </c>
      <c r="O580" s="7">
        <v>3.5</v>
      </c>
      <c r="P580" s="7">
        <v>3.5</v>
      </c>
      <c r="Q580" t="s">
        <v>240</v>
      </c>
      <c r="R580" s="7">
        <v>69</v>
      </c>
      <c r="S580" t="str">
        <f xml:space="preserve"> HYPERLINK("ReviewHtml/review_The_Land_Before_Time.html", "https://2danicritic.github.io/ReviewHtml/review_The_Land_Before_Time.html")</f>
        <v>https://2danicritic.github.io/ReviewHtml/review_The_Land_Before_Time.html</v>
      </c>
    </row>
    <row r="581" spans="2:19" x14ac:dyDescent="0.35">
      <c r="B581" s="35">
        <v>578</v>
      </c>
      <c r="C581" t="s">
        <v>1101</v>
      </c>
      <c r="D581" s="7">
        <v>1982</v>
      </c>
      <c r="E581" t="s">
        <v>1556</v>
      </c>
      <c r="F581" t="s">
        <v>1102</v>
      </c>
      <c r="G581" t="s">
        <v>1557</v>
      </c>
      <c r="H581" t="s">
        <v>273</v>
      </c>
      <c r="I581" s="7">
        <v>3.64</v>
      </c>
      <c r="J581" s="7">
        <v>3</v>
      </c>
      <c r="K581" s="7">
        <v>4</v>
      </c>
      <c r="L581" s="7">
        <v>3.5</v>
      </c>
      <c r="M581" s="7">
        <v>3.5</v>
      </c>
      <c r="N581" s="7">
        <v>3.5</v>
      </c>
      <c r="O581" s="7">
        <v>3</v>
      </c>
      <c r="P581" s="7">
        <v>5</v>
      </c>
      <c r="Q581" t="s">
        <v>80</v>
      </c>
      <c r="R581" s="7">
        <v>84</v>
      </c>
      <c r="S581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582" spans="2:19" x14ac:dyDescent="0.35">
      <c r="B582" s="35">
        <v>579</v>
      </c>
      <c r="C582" t="s">
        <v>2044</v>
      </c>
      <c r="D582" s="7">
        <v>2019</v>
      </c>
      <c r="E582" t="s">
        <v>1565</v>
      </c>
      <c r="F582" t="s">
        <v>2045</v>
      </c>
      <c r="G582" t="s">
        <v>1557</v>
      </c>
      <c r="H582" t="s">
        <v>2046</v>
      </c>
      <c r="I582" s="7">
        <v>3.36</v>
      </c>
      <c r="J582" s="7">
        <v>4</v>
      </c>
      <c r="K582" s="7">
        <v>3</v>
      </c>
      <c r="L582" s="7">
        <v>3</v>
      </c>
      <c r="M582" s="7">
        <v>3</v>
      </c>
      <c r="N582" s="7">
        <v>3.5</v>
      </c>
      <c r="O582" s="7">
        <v>3.5</v>
      </c>
      <c r="P582" s="7">
        <v>3.5</v>
      </c>
      <c r="Q582" t="s">
        <v>230</v>
      </c>
      <c r="R582" s="7">
        <v>101</v>
      </c>
      <c r="S582" t="str">
        <f xml:space="preserve"> HYPERLINK("ReviewHtml/review_The_Legend_of_Hei.html", "https://2danicritic.github.io/ReviewHtml/review_The_Legend_of_Hei.html")</f>
        <v>https://2danicritic.github.io/ReviewHtml/review_The_Legend_of_Hei.html</v>
      </c>
    </row>
    <row r="583" spans="2:19" x14ac:dyDescent="0.35">
      <c r="B583" s="35">
        <v>580</v>
      </c>
      <c r="C583" t="s">
        <v>1103</v>
      </c>
      <c r="D583" s="7">
        <v>2011</v>
      </c>
      <c r="E583" t="s">
        <v>1554</v>
      </c>
      <c r="F583" t="s">
        <v>1104</v>
      </c>
      <c r="G583" t="s">
        <v>1557</v>
      </c>
      <c r="H583" t="s">
        <v>1105</v>
      </c>
      <c r="I583" s="7">
        <v>2.21</v>
      </c>
      <c r="J583" s="7">
        <v>3.5</v>
      </c>
      <c r="K583" s="7">
        <v>2</v>
      </c>
      <c r="L583" s="7">
        <v>2</v>
      </c>
      <c r="M583" s="7">
        <v>2</v>
      </c>
      <c r="N583" s="7">
        <v>2</v>
      </c>
      <c r="O583" s="7">
        <v>2</v>
      </c>
      <c r="P583" s="7">
        <v>2</v>
      </c>
      <c r="Q583" t="s">
        <v>207</v>
      </c>
      <c r="R583" s="7">
        <v>98</v>
      </c>
      <c r="S583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584" spans="2:19" x14ac:dyDescent="0.35">
      <c r="B584" s="35">
        <v>581</v>
      </c>
      <c r="C584" t="s">
        <v>1106</v>
      </c>
      <c r="D584" s="7">
        <v>2012</v>
      </c>
      <c r="E584" t="s">
        <v>1554</v>
      </c>
      <c r="F584" t="s">
        <v>1107</v>
      </c>
      <c r="G584" t="s">
        <v>1557</v>
      </c>
      <c r="H584" t="s">
        <v>975</v>
      </c>
      <c r="I584" s="7">
        <v>3.29</v>
      </c>
      <c r="J584" s="7">
        <v>3.5</v>
      </c>
      <c r="K584" s="7">
        <v>3.5</v>
      </c>
      <c r="L584" s="7">
        <v>3.5</v>
      </c>
      <c r="M584" s="7">
        <v>2.5</v>
      </c>
      <c r="N584" s="7">
        <v>3</v>
      </c>
      <c r="O584" s="7">
        <v>3</v>
      </c>
      <c r="P584" s="7">
        <v>4</v>
      </c>
      <c r="Q584" t="s">
        <v>274</v>
      </c>
      <c r="R584" s="7">
        <v>105</v>
      </c>
      <c r="S58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585" spans="2:19" x14ac:dyDescent="0.35">
      <c r="B585" s="35">
        <v>582</v>
      </c>
      <c r="C585" t="s">
        <v>2324</v>
      </c>
      <c r="D585" s="7">
        <v>1994</v>
      </c>
      <c r="E585" t="s">
        <v>1556</v>
      </c>
      <c r="F585" t="s">
        <v>2260</v>
      </c>
      <c r="G585" t="s">
        <v>1557</v>
      </c>
      <c r="H585" t="s">
        <v>2249</v>
      </c>
      <c r="I585" s="7">
        <v>4.5</v>
      </c>
      <c r="J585" s="7">
        <v>4.5</v>
      </c>
      <c r="K585" s="7">
        <v>4.5</v>
      </c>
      <c r="L585" s="7">
        <v>5</v>
      </c>
      <c r="M585" s="7">
        <v>4.5</v>
      </c>
      <c r="N585" s="7">
        <v>4</v>
      </c>
      <c r="O585" s="7">
        <v>4</v>
      </c>
      <c r="P585" s="7">
        <v>5</v>
      </c>
      <c r="Q585" t="s">
        <v>127</v>
      </c>
      <c r="R585" s="7">
        <v>88</v>
      </c>
      <c r="S585" t="str">
        <f xml:space="preserve"> HYPERLINK("ReviewHtml/review_The_Lion_King.html", "https://2danicritic.github.io/ReviewHtml/review_The_Lion_King.html")</f>
        <v>https://2danicritic.github.io/ReviewHtml/review_The_Lion_King.html</v>
      </c>
    </row>
    <row r="586" spans="2:19" x14ac:dyDescent="0.35">
      <c r="B586" s="35">
        <v>583</v>
      </c>
      <c r="C586" t="s">
        <v>2325</v>
      </c>
      <c r="D586" s="7">
        <v>1989</v>
      </c>
      <c r="E586" t="s">
        <v>1556</v>
      </c>
      <c r="F586" t="s">
        <v>2260</v>
      </c>
      <c r="G586" t="s">
        <v>1557</v>
      </c>
      <c r="H586" t="s">
        <v>2202</v>
      </c>
      <c r="I586" s="7">
        <v>4.07</v>
      </c>
      <c r="J586" s="7">
        <v>4</v>
      </c>
      <c r="K586" s="7">
        <v>4</v>
      </c>
      <c r="L586" s="7">
        <v>4.5</v>
      </c>
      <c r="M586" s="7">
        <v>4.5</v>
      </c>
      <c r="N586" s="7">
        <v>4</v>
      </c>
      <c r="O586" s="7">
        <v>3.5</v>
      </c>
      <c r="P586" s="7">
        <v>4</v>
      </c>
      <c r="Q586" t="s">
        <v>2250</v>
      </c>
      <c r="R586" s="7">
        <v>83</v>
      </c>
      <c r="S586" t="str">
        <f xml:space="preserve"> HYPERLINK("ReviewHtml/review_The_Little_Mermaid.html", "https://2danicritic.github.io/ReviewHtml/review_The_Little_Mermaid.html")</f>
        <v>https://2danicritic.github.io/ReviewHtml/review_The_Little_Mermaid.html</v>
      </c>
    </row>
    <row r="587" spans="2:19" x14ac:dyDescent="0.35">
      <c r="B587" s="35">
        <v>584</v>
      </c>
      <c r="C587" t="s">
        <v>1416</v>
      </c>
      <c r="D587" s="7">
        <v>1978</v>
      </c>
      <c r="E587" t="s">
        <v>1556</v>
      </c>
      <c r="F587" t="s">
        <v>1433</v>
      </c>
      <c r="G587" t="s">
        <v>1557</v>
      </c>
      <c r="H587" t="s">
        <v>1173</v>
      </c>
      <c r="I587" s="7">
        <v>3.29</v>
      </c>
      <c r="J587" s="7">
        <v>3.5</v>
      </c>
      <c r="K587" s="7">
        <v>3.5</v>
      </c>
      <c r="L587" s="7">
        <v>3</v>
      </c>
      <c r="M587" s="7">
        <v>3.5</v>
      </c>
      <c r="N587" s="7">
        <v>3.5</v>
      </c>
      <c r="O587" s="7">
        <v>3</v>
      </c>
      <c r="P587" s="7">
        <v>3</v>
      </c>
      <c r="Q587" t="s">
        <v>1359</v>
      </c>
      <c r="R587" s="7">
        <v>133</v>
      </c>
      <c r="S587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588" spans="2:19" x14ac:dyDescent="0.35">
      <c r="B588" s="35">
        <v>585</v>
      </c>
      <c r="C588" t="s">
        <v>2654</v>
      </c>
      <c r="D588" s="7">
        <v>2024</v>
      </c>
      <c r="E588" t="s">
        <v>1554</v>
      </c>
      <c r="F588" t="s">
        <v>2655</v>
      </c>
      <c r="G588" t="s">
        <v>1557</v>
      </c>
      <c r="H588" t="s">
        <v>801</v>
      </c>
      <c r="I588" s="7">
        <v>3.57</v>
      </c>
      <c r="J588" s="7">
        <v>3</v>
      </c>
      <c r="K588" s="7">
        <v>3.5</v>
      </c>
      <c r="L588" s="7">
        <v>4</v>
      </c>
      <c r="M588" s="7">
        <v>4</v>
      </c>
      <c r="N588" s="7">
        <v>4</v>
      </c>
      <c r="O588" s="7">
        <v>3.5</v>
      </c>
      <c r="P588" s="7">
        <v>3</v>
      </c>
      <c r="Q588" t="s">
        <v>146</v>
      </c>
      <c r="R588" s="7">
        <v>134</v>
      </c>
      <c r="S588" t="str">
        <f xml:space="preserve"> HYPERLINK("ReviewHtml/review_The_Lord_of_the_Rings_-_The_War_of_the_Rohirrim.html", "https://2danicritic.github.io/ReviewHtml/review_The_Lord_of_the_Rings_-_The_War_of_the_Rohirrim.html")</f>
        <v>https://2danicritic.github.io/ReviewHtml/review_The_Lord_of_the_Rings_-_The_War_of_the_Rohirrim.html</v>
      </c>
    </row>
    <row r="589" spans="2:19" x14ac:dyDescent="0.35">
      <c r="B589" s="35">
        <v>586</v>
      </c>
      <c r="C589" t="s">
        <v>2326</v>
      </c>
      <c r="D589" s="7">
        <v>1977</v>
      </c>
      <c r="E589" t="s">
        <v>1556</v>
      </c>
      <c r="F589" t="s">
        <v>2260</v>
      </c>
      <c r="G589" t="s">
        <v>1557</v>
      </c>
      <c r="H589" t="s">
        <v>2251</v>
      </c>
      <c r="I589" s="7">
        <v>3.93</v>
      </c>
      <c r="J589" s="7">
        <v>3.5</v>
      </c>
      <c r="K589" s="7">
        <v>4</v>
      </c>
      <c r="L589" s="7">
        <v>4.5</v>
      </c>
      <c r="M589" s="7">
        <v>4.5</v>
      </c>
      <c r="N589" s="7">
        <v>2.5</v>
      </c>
      <c r="O589" s="7">
        <v>4</v>
      </c>
      <c r="P589" s="7">
        <v>4.5</v>
      </c>
      <c r="Q589" t="s">
        <v>184</v>
      </c>
      <c r="R589" s="7">
        <v>74</v>
      </c>
      <c r="S589" t="str">
        <f xml:space="preserve"> HYPERLINK("ReviewHtml/review_The_Many_Adventures_of_Winnie_the_Pooh.html", "https://2danicritic.github.io/ReviewHtml/review_The_Many_Adventures_of_Winnie_the_Pooh.html")</f>
        <v>https://2danicritic.github.io/ReviewHtml/review_The_Many_Adventures_of_Winnie_the_Pooh.html</v>
      </c>
    </row>
    <row r="590" spans="2:19" x14ac:dyDescent="0.35">
      <c r="B590" s="35">
        <v>587</v>
      </c>
      <c r="C590" t="s">
        <v>1108</v>
      </c>
      <c r="D590" s="7">
        <v>2006</v>
      </c>
      <c r="E590" t="s">
        <v>1554</v>
      </c>
      <c r="F590" t="s">
        <v>658</v>
      </c>
      <c r="G590" t="s">
        <v>1559</v>
      </c>
      <c r="H590" t="s">
        <v>909</v>
      </c>
      <c r="I590" s="7">
        <v>2.93</v>
      </c>
      <c r="J590" s="7">
        <v>3</v>
      </c>
      <c r="K590" s="7">
        <v>3</v>
      </c>
      <c r="L590" s="7">
        <v>3.5</v>
      </c>
      <c r="M590" s="7">
        <v>3.5</v>
      </c>
      <c r="N590" s="7">
        <v>2.5</v>
      </c>
      <c r="O590" s="7">
        <v>2.5</v>
      </c>
      <c r="P590" s="7">
        <v>2.5</v>
      </c>
      <c r="Q590" t="s">
        <v>275</v>
      </c>
      <c r="R590" s="7">
        <v>700</v>
      </c>
      <c r="S590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591" spans="2:19" x14ac:dyDescent="0.35">
      <c r="B591" s="35">
        <v>588</v>
      </c>
      <c r="C591" t="s">
        <v>1109</v>
      </c>
      <c r="D591" s="7">
        <v>2009</v>
      </c>
      <c r="E591" t="s">
        <v>1554</v>
      </c>
      <c r="F591" t="s">
        <v>658</v>
      </c>
      <c r="G591" t="s">
        <v>1568</v>
      </c>
      <c r="H591" t="s">
        <v>1110</v>
      </c>
      <c r="I591" s="7">
        <v>2.36</v>
      </c>
      <c r="J591" s="7">
        <v>1.5</v>
      </c>
      <c r="K591" s="7">
        <v>2.5</v>
      </c>
      <c r="L591" s="7">
        <v>2.5</v>
      </c>
      <c r="M591" s="7">
        <v>3</v>
      </c>
      <c r="N591" s="7">
        <v>1.5</v>
      </c>
      <c r="O591" s="7">
        <v>2.5</v>
      </c>
      <c r="P591" s="7">
        <v>3</v>
      </c>
      <c r="Q591" t="s">
        <v>276</v>
      </c>
      <c r="R591" s="7">
        <v>129</v>
      </c>
      <c r="S591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592" spans="2:19" x14ac:dyDescent="0.35">
      <c r="B592" s="35">
        <v>589</v>
      </c>
      <c r="C592" t="s">
        <v>1111</v>
      </c>
      <c r="D592" s="7">
        <v>2011</v>
      </c>
      <c r="E592" t="s">
        <v>1554</v>
      </c>
      <c r="F592" t="s">
        <v>965</v>
      </c>
      <c r="G592" t="s">
        <v>1559</v>
      </c>
      <c r="H592" t="s">
        <v>1021</v>
      </c>
      <c r="I592" s="7">
        <v>3.71</v>
      </c>
      <c r="J592" s="7">
        <v>3.5</v>
      </c>
      <c r="K592" s="7">
        <v>4</v>
      </c>
      <c r="L592" s="7">
        <v>3.5</v>
      </c>
      <c r="M592" s="7">
        <v>3.5</v>
      </c>
      <c r="N592" s="7">
        <v>4</v>
      </c>
      <c r="O592" s="7">
        <v>3.5</v>
      </c>
      <c r="P592" s="7">
        <v>4</v>
      </c>
      <c r="Q592" t="s">
        <v>256</v>
      </c>
      <c r="R592" s="7">
        <v>325</v>
      </c>
      <c r="S592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593" spans="2:19" x14ac:dyDescent="0.35">
      <c r="B593" s="35">
        <v>590</v>
      </c>
      <c r="C593" t="s">
        <v>1112</v>
      </c>
      <c r="D593" s="7">
        <v>2017</v>
      </c>
      <c r="E593" t="s">
        <v>1554</v>
      </c>
      <c r="F593" t="s">
        <v>787</v>
      </c>
      <c r="G593" t="s">
        <v>1557</v>
      </c>
      <c r="H593" t="s">
        <v>788</v>
      </c>
      <c r="I593" s="7">
        <v>4.71</v>
      </c>
      <c r="J593" s="7">
        <v>4</v>
      </c>
      <c r="K593" s="7">
        <v>5</v>
      </c>
      <c r="L593" s="7">
        <v>5</v>
      </c>
      <c r="M593" s="7">
        <v>5</v>
      </c>
      <c r="N593" s="7">
        <v>4</v>
      </c>
      <c r="O593" s="7">
        <v>5</v>
      </c>
      <c r="P593" s="7">
        <v>5</v>
      </c>
      <c r="Q593" t="s">
        <v>277</v>
      </c>
      <c r="R593" s="7">
        <v>93</v>
      </c>
      <c r="S593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594" spans="2:19" x14ac:dyDescent="0.35">
      <c r="B594" s="35">
        <v>591</v>
      </c>
      <c r="C594" t="s">
        <v>2327</v>
      </c>
      <c r="D594" s="7">
        <v>1974</v>
      </c>
      <c r="E594" t="s">
        <v>1556</v>
      </c>
      <c r="F594" t="s">
        <v>2028</v>
      </c>
      <c r="G594" t="s">
        <v>1557</v>
      </c>
      <c r="H594" t="s">
        <v>2328</v>
      </c>
      <c r="I594" s="7">
        <v>2.79</v>
      </c>
      <c r="J594" s="7">
        <v>2.5</v>
      </c>
      <c r="K594" s="7">
        <v>2.5</v>
      </c>
      <c r="L594" s="7">
        <v>3</v>
      </c>
      <c r="M594" s="7">
        <v>3</v>
      </c>
      <c r="N594" s="7">
        <v>2.5</v>
      </c>
      <c r="O594" s="7">
        <v>3.5</v>
      </c>
      <c r="P594" s="7">
        <v>2.5</v>
      </c>
      <c r="Q594" t="s">
        <v>2252</v>
      </c>
      <c r="R594" s="7">
        <v>76</v>
      </c>
      <c r="S594" t="str">
        <f xml:space="preserve"> HYPERLINK("ReviewHtml/review_The_Nine_Lives_of_Fritz_the_Cat.html", "https://2danicritic.github.io/ReviewHtml/review_The_Nine_Lives_of_Fritz_the_Cat.html")</f>
        <v>https://2danicritic.github.io/ReviewHtml/review_The_Nine_Lives_of_Fritz_the_Cat.html</v>
      </c>
    </row>
    <row r="595" spans="2:19" x14ac:dyDescent="0.35">
      <c r="B595" s="35">
        <v>592</v>
      </c>
      <c r="C595" t="s">
        <v>1833</v>
      </c>
      <c r="D595" s="7">
        <v>2020</v>
      </c>
      <c r="E595" t="s">
        <v>1791</v>
      </c>
      <c r="F595" t="s">
        <v>1834</v>
      </c>
      <c r="G595" t="s">
        <v>1557</v>
      </c>
      <c r="H595" t="s">
        <v>1778</v>
      </c>
      <c r="I595" s="7">
        <v>2.93</v>
      </c>
      <c r="J595" s="7">
        <v>2.5</v>
      </c>
      <c r="K595" s="7">
        <v>3</v>
      </c>
      <c r="L595" s="7">
        <v>3.5</v>
      </c>
      <c r="M595" s="7">
        <v>3</v>
      </c>
      <c r="N595" s="7">
        <v>3</v>
      </c>
      <c r="O595" s="7">
        <v>2.5</v>
      </c>
      <c r="P595" s="7">
        <v>3</v>
      </c>
      <c r="Q595" t="s">
        <v>1779</v>
      </c>
      <c r="R595" s="7">
        <v>89</v>
      </c>
      <c r="S595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</row>
    <row r="596" spans="2:19" x14ac:dyDescent="0.35">
      <c r="B596" s="35">
        <v>593</v>
      </c>
      <c r="C596" t="s">
        <v>2520</v>
      </c>
      <c r="D596" s="7">
        <v>2023</v>
      </c>
      <c r="E596" t="s">
        <v>1590</v>
      </c>
      <c r="F596" t="s">
        <v>911</v>
      </c>
      <c r="G596" t="s">
        <v>1557</v>
      </c>
      <c r="H596" t="s">
        <v>2498</v>
      </c>
      <c r="I596" s="7">
        <v>3.29</v>
      </c>
      <c r="J596" s="7">
        <v>4.5</v>
      </c>
      <c r="K596" s="7">
        <v>4.5</v>
      </c>
      <c r="L596" s="7">
        <v>4.5</v>
      </c>
      <c r="M596" s="7">
        <v>4</v>
      </c>
      <c r="N596" s="7">
        <v>2</v>
      </c>
      <c r="O596" s="7">
        <v>1.5</v>
      </c>
      <c r="P596" s="7">
        <v>2</v>
      </c>
      <c r="Q596" t="s">
        <v>2499</v>
      </c>
      <c r="R596" s="7">
        <v>115</v>
      </c>
      <c r="S596" t="str">
        <f xml:space="preserve"> HYPERLINK("ReviewHtml/review_The_Peasants.html", "https://2danicritic.github.io/ReviewHtml/review_The_Peasants.html")</f>
        <v>https://2danicritic.github.io/ReviewHtml/review_The_Peasants.html</v>
      </c>
    </row>
    <row r="597" spans="2:19" x14ac:dyDescent="0.35">
      <c r="B597" s="35">
        <v>594</v>
      </c>
      <c r="C597" t="s">
        <v>2455</v>
      </c>
      <c r="D597" s="7">
        <v>1995</v>
      </c>
      <c r="E597" t="s">
        <v>1556</v>
      </c>
      <c r="F597" t="s">
        <v>2456</v>
      </c>
      <c r="G597" t="s">
        <v>1557</v>
      </c>
      <c r="H597" t="s">
        <v>293</v>
      </c>
      <c r="I597" s="7">
        <v>3.71</v>
      </c>
      <c r="J597" s="7">
        <v>4</v>
      </c>
      <c r="K597" s="7">
        <v>3.5</v>
      </c>
      <c r="L597" s="7">
        <v>4.5</v>
      </c>
      <c r="M597" s="7">
        <v>4</v>
      </c>
      <c r="N597" s="7">
        <v>2.5</v>
      </c>
      <c r="O597" s="7">
        <v>4</v>
      </c>
      <c r="P597" s="7">
        <v>3.5</v>
      </c>
      <c r="Q597" t="s">
        <v>280</v>
      </c>
      <c r="R597" s="7">
        <v>74</v>
      </c>
      <c r="S597" t="str">
        <f xml:space="preserve"> HYPERLINK("ReviewHtml/review_The_Pebble_and_the_Penguin.html", "https://2danicritic.github.io/ReviewHtml/review_The_Pebble_and_the_Penguin.html")</f>
        <v>https://2danicritic.github.io/ReviewHtml/review_The_Pebble_and_the_Penguin.html</v>
      </c>
    </row>
    <row r="598" spans="2:19" x14ac:dyDescent="0.35">
      <c r="B598" s="35">
        <v>595</v>
      </c>
      <c r="C598" t="s">
        <v>1113</v>
      </c>
      <c r="D598" s="7">
        <v>2012</v>
      </c>
      <c r="E598" t="s">
        <v>1554</v>
      </c>
      <c r="F598" t="s">
        <v>670</v>
      </c>
      <c r="G598" t="s">
        <v>1559</v>
      </c>
      <c r="H598" t="s">
        <v>983</v>
      </c>
      <c r="I598" s="7">
        <v>4</v>
      </c>
      <c r="J598" s="7">
        <v>3</v>
      </c>
      <c r="K598" s="7">
        <v>4</v>
      </c>
      <c r="L598" s="7">
        <v>4</v>
      </c>
      <c r="M598" s="7">
        <v>4.5</v>
      </c>
      <c r="N598" s="7">
        <v>4.5</v>
      </c>
      <c r="O598" s="7">
        <v>4</v>
      </c>
      <c r="P598" s="7">
        <v>4</v>
      </c>
      <c r="Q598" t="s">
        <v>349</v>
      </c>
      <c r="R598" s="7">
        <v>600</v>
      </c>
      <c r="S598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599" spans="2:19" x14ac:dyDescent="0.35">
      <c r="B599" s="35">
        <v>596</v>
      </c>
      <c r="C599" t="s">
        <v>1114</v>
      </c>
      <c r="D599" s="7">
        <v>2004</v>
      </c>
      <c r="E599" t="s">
        <v>1554</v>
      </c>
      <c r="F599" t="s">
        <v>652</v>
      </c>
      <c r="G599" t="s">
        <v>1557</v>
      </c>
      <c r="H599" t="s">
        <v>653</v>
      </c>
      <c r="I599" s="7">
        <v>2.93</v>
      </c>
      <c r="J599" s="7">
        <v>2.5</v>
      </c>
      <c r="K599" s="7">
        <v>2.5</v>
      </c>
      <c r="L599" s="7">
        <v>4</v>
      </c>
      <c r="M599" s="7">
        <v>3.5</v>
      </c>
      <c r="N599" s="7">
        <v>2</v>
      </c>
      <c r="O599" s="7">
        <v>3</v>
      </c>
      <c r="P599" s="7">
        <v>3</v>
      </c>
      <c r="Q599" t="s">
        <v>278</v>
      </c>
      <c r="R599" s="7">
        <v>90</v>
      </c>
      <c r="S599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600" spans="2:19" x14ac:dyDescent="0.35">
      <c r="B600" s="35">
        <v>597</v>
      </c>
      <c r="C600" t="s">
        <v>1279</v>
      </c>
      <c r="D600" s="7">
        <v>1982</v>
      </c>
      <c r="E600" t="s">
        <v>56</v>
      </c>
      <c r="F600" t="s">
        <v>1293</v>
      </c>
      <c r="G600" t="s">
        <v>1557</v>
      </c>
      <c r="H600" t="s">
        <v>1304</v>
      </c>
      <c r="I600" s="7">
        <v>3.93</v>
      </c>
      <c r="J600" s="7">
        <v>3.5</v>
      </c>
      <c r="K600" s="7">
        <v>3</v>
      </c>
      <c r="L600" s="7">
        <v>3</v>
      </c>
      <c r="M600" s="7">
        <v>4.5</v>
      </c>
      <c r="N600" s="7">
        <v>5</v>
      </c>
      <c r="O600" s="7">
        <v>4</v>
      </c>
      <c r="P600" s="7">
        <v>4.5</v>
      </c>
      <c r="Q600" t="s">
        <v>1219</v>
      </c>
      <c r="R600" s="7">
        <v>103</v>
      </c>
      <c r="S600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601" spans="2:19" x14ac:dyDescent="0.35">
      <c r="B601" s="35">
        <v>598</v>
      </c>
      <c r="C601" t="s">
        <v>1115</v>
      </c>
      <c r="D601" s="7">
        <v>1998</v>
      </c>
      <c r="E601" t="s">
        <v>1556</v>
      </c>
      <c r="F601" t="s">
        <v>1116</v>
      </c>
      <c r="G601" t="s">
        <v>1557</v>
      </c>
      <c r="H601" t="s">
        <v>279</v>
      </c>
      <c r="I601" s="7">
        <v>4.07</v>
      </c>
      <c r="J601" s="7">
        <v>4</v>
      </c>
      <c r="K601" s="7">
        <v>4.5</v>
      </c>
      <c r="L601" s="7">
        <v>4</v>
      </c>
      <c r="M601" s="7">
        <v>4</v>
      </c>
      <c r="N601" s="7">
        <v>3.5</v>
      </c>
      <c r="O601" s="7">
        <v>4</v>
      </c>
      <c r="P601" s="7">
        <v>4.5</v>
      </c>
      <c r="Q601" t="s">
        <v>280</v>
      </c>
      <c r="R601" s="7">
        <v>98</v>
      </c>
      <c r="S601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602" spans="2:19" x14ac:dyDescent="0.35">
      <c r="B602" s="35">
        <v>599</v>
      </c>
      <c r="C602" t="s">
        <v>2329</v>
      </c>
      <c r="D602" s="7">
        <v>2009</v>
      </c>
      <c r="E602" t="s">
        <v>1556</v>
      </c>
      <c r="F602" t="s">
        <v>2260</v>
      </c>
      <c r="G602" t="s">
        <v>1557</v>
      </c>
      <c r="H602" t="s">
        <v>2202</v>
      </c>
      <c r="I602" s="7">
        <v>4.79</v>
      </c>
      <c r="J602" s="7">
        <v>4.5</v>
      </c>
      <c r="K602" s="7">
        <v>5</v>
      </c>
      <c r="L602" s="7">
        <v>5</v>
      </c>
      <c r="M602" s="7">
        <v>4.5</v>
      </c>
      <c r="N602" s="7">
        <v>5</v>
      </c>
      <c r="O602" s="7">
        <v>4.5</v>
      </c>
      <c r="P602" s="7">
        <v>5</v>
      </c>
      <c r="Q602" t="s">
        <v>173</v>
      </c>
      <c r="R602" s="7">
        <v>97</v>
      </c>
      <c r="S602" t="str">
        <f xml:space="preserve"> HYPERLINK("ReviewHtml/review_The_Princess_and_the_Frog.html", "https://2danicritic.github.io/ReviewHtml/review_The_Princess_and_the_Frog.html")</f>
        <v>https://2danicritic.github.io/ReviewHtml/review_The_Princess_and_the_Frog.html</v>
      </c>
    </row>
    <row r="603" spans="2:19" x14ac:dyDescent="0.35">
      <c r="B603" s="35">
        <v>600</v>
      </c>
      <c r="C603" t="s">
        <v>1117</v>
      </c>
      <c r="D603" s="7">
        <v>2011</v>
      </c>
      <c r="E603" t="s">
        <v>1554</v>
      </c>
      <c r="F603" t="s">
        <v>694</v>
      </c>
      <c r="G603" t="s">
        <v>1557</v>
      </c>
      <c r="H603" t="s">
        <v>1118</v>
      </c>
      <c r="I603" s="7">
        <v>3.07</v>
      </c>
      <c r="J603" s="7">
        <v>3</v>
      </c>
      <c r="K603" s="7">
        <v>3.5</v>
      </c>
      <c r="L603" s="7">
        <v>3</v>
      </c>
      <c r="M603" s="7">
        <v>3</v>
      </c>
      <c r="N603" s="7">
        <v>3</v>
      </c>
      <c r="O603" s="7">
        <v>3</v>
      </c>
      <c r="P603" s="7">
        <v>3</v>
      </c>
      <c r="Q603" t="s">
        <v>281</v>
      </c>
      <c r="R603" s="7">
        <v>100</v>
      </c>
      <c r="S603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604" spans="2:19" x14ac:dyDescent="0.35">
      <c r="B604" s="35">
        <v>601</v>
      </c>
      <c r="C604" t="s">
        <v>1965</v>
      </c>
      <c r="D604" s="7">
        <v>2019</v>
      </c>
      <c r="E604" t="s">
        <v>1554</v>
      </c>
      <c r="F604" t="s">
        <v>1976</v>
      </c>
      <c r="G604" t="s">
        <v>1559</v>
      </c>
      <c r="H604" t="s">
        <v>1977</v>
      </c>
      <c r="I604" s="7">
        <v>3.5</v>
      </c>
      <c r="J604" s="7">
        <v>3</v>
      </c>
      <c r="K604" s="7">
        <v>3</v>
      </c>
      <c r="L604" s="7">
        <v>3</v>
      </c>
      <c r="M604" s="7">
        <v>3.5</v>
      </c>
      <c r="N604" s="7">
        <v>4</v>
      </c>
      <c r="O604" s="7">
        <v>4</v>
      </c>
      <c r="P604" s="7">
        <v>4</v>
      </c>
      <c r="Q604" t="s">
        <v>1951</v>
      </c>
      <c r="R604" s="7">
        <v>300</v>
      </c>
      <c r="S604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</row>
    <row r="605" spans="2:19" x14ac:dyDescent="0.35">
      <c r="B605" s="35">
        <v>602</v>
      </c>
      <c r="C605" t="s">
        <v>2047</v>
      </c>
      <c r="D605" s="7">
        <v>2010</v>
      </c>
      <c r="E605" t="s">
        <v>1554</v>
      </c>
      <c r="F605" t="s">
        <v>1422</v>
      </c>
      <c r="G605" t="s">
        <v>1559</v>
      </c>
      <c r="H605" t="s">
        <v>2048</v>
      </c>
      <c r="I605" s="7">
        <v>2.57</v>
      </c>
      <c r="J605" s="7">
        <v>2.5</v>
      </c>
      <c r="K605" s="7">
        <v>2.5</v>
      </c>
      <c r="L605" s="7">
        <v>3</v>
      </c>
      <c r="M605" s="7">
        <v>3</v>
      </c>
      <c r="N605" s="7">
        <v>2.5</v>
      </c>
      <c r="O605" s="7">
        <v>2.5</v>
      </c>
      <c r="P605" s="7">
        <v>2</v>
      </c>
      <c r="Q605" t="s">
        <v>2012</v>
      </c>
      <c r="R605" s="7">
        <v>925</v>
      </c>
      <c r="S605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</row>
    <row r="606" spans="2:19" x14ac:dyDescent="0.35">
      <c r="B606" s="35">
        <v>603</v>
      </c>
      <c r="C606" t="s">
        <v>1119</v>
      </c>
      <c r="D606" s="7">
        <v>2011</v>
      </c>
      <c r="E606" t="s">
        <v>1558</v>
      </c>
      <c r="F606" t="s">
        <v>1120</v>
      </c>
      <c r="G606" t="s">
        <v>1557</v>
      </c>
      <c r="H606" t="s">
        <v>282</v>
      </c>
      <c r="I606" s="7">
        <v>3.14</v>
      </c>
      <c r="J606" s="7">
        <v>3</v>
      </c>
      <c r="K606" s="7">
        <v>3.5</v>
      </c>
      <c r="L606" s="7">
        <v>3</v>
      </c>
      <c r="M606" s="7">
        <v>3</v>
      </c>
      <c r="N606" s="7">
        <v>3</v>
      </c>
      <c r="O606" s="7">
        <v>3.5</v>
      </c>
      <c r="P606" s="7">
        <v>3</v>
      </c>
      <c r="Q606" t="s">
        <v>283</v>
      </c>
      <c r="R606" s="7">
        <v>80</v>
      </c>
      <c r="S606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607" spans="2:19" x14ac:dyDescent="0.35">
      <c r="B607" s="35">
        <v>604</v>
      </c>
      <c r="C607" t="s">
        <v>1121</v>
      </c>
      <c r="D607" s="7">
        <v>2016</v>
      </c>
      <c r="E607" t="s">
        <v>1558</v>
      </c>
      <c r="F607" t="s">
        <v>1122</v>
      </c>
      <c r="G607" t="s">
        <v>1557</v>
      </c>
      <c r="H607" t="s">
        <v>284</v>
      </c>
      <c r="I607" s="7">
        <v>3.71</v>
      </c>
      <c r="J607" s="7">
        <v>4</v>
      </c>
      <c r="K607" s="7">
        <v>4</v>
      </c>
      <c r="L607" s="7">
        <v>4</v>
      </c>
      <c r="M607" s="7">
        <v>3</v>
      </c>
      <c r="N607" s="7">
        <v>4</v>
      </c>
      <c r="O607" s="7">
        <v>2</v>
      </c>
      <c r="P607" s="7">
        <v>5</v>
      </c>
      <c r="Q607" t="s">
        <v>285</v>
      </c>
      <c r="R607" s="7">
        <v>80</v>
      </c>
      <c r="S607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608" spans="2:19" x14ac:dyDescent="0.35">
      <c r="B608" s="35">
        <v>605</v>
      </c>
      <c r="C608" t="s">
        <v>2330</v>
      </c>
      <c r="D608" s="7">
        <v>1977</v>
      </c>
      <c r="E608" t="s">
        <v>1556</v>
      </c>
      <c r="F608" t="s">
        <v>2260</v>
      </c>
      <c r="G608" t="s">
        <v>1557</v>
      </c>
      <c r="H608" t="s">
        <v>2253</v>
      </c>
      <c r="I608" s="7">
        <v>3.79</v>
      </c>
      <c r="J608" s="7">
        <v>3.5</v>
      </c>
      <c r="K608" s="7">
        <v>4</v>
      </c>
      <c r="L608" s="7">
        <v>3.5</v>
      </c>
      <c r="M608" s="7">
        <v>4</v>
      </c>
      <c r="N608" s="7">
        <v>4.5</v>
      </c>
      <c r="O608" s="7">
        <v>3.5</v>
      </c>
      <c r="P608" s="7">
        <v>3.5</v>
      </c>
      <c r="Q608" t="s">
        <v>305</v>
      </c>
      <c r="R608" s="7">
        <v>77</v>
      </c>
      <c r="S608" t="str">
        <f xml:space="preserve"> HYPERLINK("ReviewHtml/review_The_Rescuers.html", "https://2danicritic.github.io/ReviewHtml/review_The_Rescuers.html")</f>
        <v>https://2danicritic.github.io/ReviewHtml/review_The_Rescuers.html</v>
      </c>
    </row>
    <row r="609" spans="2:19" x14ac:dyDescent="0.35">
      <c r="B609" s="35">
        <v>606</v>
      </c>
      <c r="C609" t="s">
        <v>2331</v>
      </c>
      <c r="D609" s="7">
        <v>1990</v>
      </c>
      <c r="E609" t="s">
        <v>1556</v>
      </c>
      <c r="F609" t="s">
        <v>2260</v>
      </c>
      <c r="G609" t="s">
        <v>1557</v>
      </c>
      <c r="H609" t="s">
        <v>2254</v>
      </c>
      <c r="I609" s="7">
        <v>4.07</v>
      </c>
      <c r="J609" s="7">
        <v>4.5</v>
      </c>
      <c r="K609" s="7">
        <v>4</v>
      </c>
      <c r="L609" s="7">
        <v>4</v>
      </c>
      <c r="M609" s="7">
        <v>4</v>
      </c>
      <c r="N609" s="7">
        <v>3.5</v>
      </c>
      <c r="O609" s="7">
        <v>4.5</v>
      </c>
      <c r="P609" s="7">
        <v>4</v>
      </c>
      <c r="Q609" t="s">
        <v>1950</v>
      </c>
      <c r="R609" s="7">
        <v>77</v>
      </c>
      <c r="S609" t="str">
        <f xml:space="preserve"> HYPERLINK("ReviewHtml/review_The_Rescuers_Down_Under.html", "https://2danicritic.github.io/ReviewHtml/review_The_Rescuers_Down_Under.html")</f>
        <v>https://2danicritic.github.io/ReviewHtml/review_The_Rescuers_Down_Under.html</v>
      </c>
    </row>
    <row r="610" spans="2:19" x14ac:dyDescent="0.35">
      <c r="B610" s="35">
        <v>607</v>
      </c>
      <c r="C610" t="s">
        <v>1417</v>
      </c>
      <c r="D610" s="7">
        <v>1980</v>
      </c>
      <c r="E610" t="s">
        <v>1556</v>
      </c>
      <c r="F610" t="s">
        <v>1102</v>
      </c>
      <c r="G610" t="s">
        <v>1557</v>
      </c>
      <c r="H610" t="s">
        <v>1360</v>
      </c>
      <c r="I610" s="7">
        <v>2.57</v>
      </c>
      <c r="J610" s="7">
        <v>2.5</v>
      </c>
      <c r="K610" s="7">
        <v>2.5</v>
      </c>
      <c r="L610" s="7">
        <v>3</v>
      </c>
      <c r="M610" s="7">
        <v>3</v>
      </c>
      <c r="N610" s="7">
        <v>2.5</v>
      </c>
      <c r="O610" s="7">
        <v>2.5</v>
      </c>
      <c r="P610" s="7">
        <v>2</v>
      </c>
      <c r="Q610" t="s">
        <v>1361</v>
      </c>
      <c r="R610" s="7">
        <v>98</v>
      </c>
      <c r="S610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611" spans="2:19" x14ac:dyDescent="0.35">
      <c r="B611" s="35">
        <v>608</v>
      </c>
      <c r="C611" t="s">
        <v>1280</v>
      </c>
      <c r="D611" s="7">
        <v>2000</v>
      </c>
      <c r="E611" t="s">
        <v>1556</v>
      </c>
      <c r="F611" t="s">
        <v>1294</v>
      </c>
      <c r="G611" t="s">
        <v>1557</v>
      </c>
      <c r="H611" t="s">
        <v>1220</v>
      </c>
      <c r="I611" s="7">
        <v>3.71</v>
      </c>
      <c r="J611" s="7">
        <v>3.5</v>
      </c>
      <c r="K611" s="7">
        <v>4</v>
      </c>
      <c r="L611" s="7">
        <v>3.5</v>
      </c>
      <c r="M611" s="7">
        <v>4</v>
      </c>
      <c r="N611" s="7">
        <v>2.5</v>
      </c>
      <c r="O611" s="7">
        <v>4.5</v>
      </c>
      <c r="P611" s="7">
        <v>4</v>
      </c>
      <c r="Q611" t="s">
        <v>184</v>
      </c>
      <c r="R611" s="7">
        <v>90</v>
      </c>
      <c r="S611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612" spans="2:19" x14ac:dyDescent="0.35">
      <c r="B612" s="35">
        <v>609</v>
      </c>
      <c r="C612" t="s">
        <v>1123</v>
      </c>
      <c r="D612" s="7">
        <v>2009</v>
      </c>
      <c r="E612" t="s">
        <v>1613</v>
      </c>
      <c r="F612" t="s">
        <v>1055</v>
      </c>
      <c r="G612" t="s">
        <v>1557</v>
      </c>
      <c r="H612" t="s">
        <v>350</v>
      </c>
      <c r="I612" s="7">
        <v>3.79</v>
      </c>
      <c r="J612" s="7">
        <v>3.5</v>
      </c>
      <c r="K612" s="7">
        <v>5</v>
      </c>
      <c r="L612" s="7">
        <v>3.5</v>
      </c>
      <c r="M612" s="7">
        <v>3.5</v>
      </c>
      <c r="N612" s="7">
        <v>3</v>
      </c>
      <c r="O612" s="7">
        <v>3.5</v>
      </c>
      <c r="P612" s="7">
        <v>4.5</v>
      </c>
      <c r="Q612" t="s">
        <v>346</v>
      </c>
      <c r="R612" s="7">
        <v>75</v>
      </c>
      <c r="S612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613" spans="2:19" x14ac:dyDescent="0.35">
      <c r="B613" s="35">
        <v>610</v>
      </c>
      <c r="C613" t="s">
        <v>1124</v>
      </c>
      <c r="D613" s="7">
        <v>1982</v>
      </c>
      <c r="E613" t="s">
        <v>1556</v>
      </c>
      <c r="F613" t="s">
        <v>1038</v>
      </c>
      <c r="G613" t="s">
        <v>1557</v>
      </c>
      <c r="H613" t="s">
        <v>1039</v>
      </c>
      <c r="I613" s="7">
        <v>4.3600000000000003</v>
      </c>
      <c r="J613" s="7">
        <v>4.5</v>
      </c>
      <c r="K613" s="7">
        <v>4</v>
      </c>
      <c r="L613" s="7">
        <v>4.5</v>
      </c>
      <c r="M613" s="7">
        <v>4.5</v>
      </c>
      <c r="N613" s="7">
        <v>4.5</v>
      </c>
      <c r="O613" s="7">
        <v>4.5</v>
      </c>
      <c r="P613" s="7">
        <v>4</v>
      </c>
      <c r="Q613" t="s">
        <v>286</v>
      </c>
      <c r="R613" s="7">
        <v>82</v>
      </c>
      <c r="S613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614" spans="2:19" x14ac:dyDescent="0.35">
      <c r="B614" s="35">
        <v>611</v>
      </c>
      <c r="C614" t="s">
        <v>1125</v>
      </c>
      <c r="D614" s="7">
        <v>2010</v>
      </c>
      <c r="E614" t="s">
        <v>1554</v>
      </c>
      <c r="F614" t="s">
        <v>747</v>
      </c>
      <c r="G614" t="s">
        <v>1557</v>
      </c>
      <c r="H614" t="s">
        <v>194</v>
      </c>
      <c r="I614" s="7">
        <v>3.43</v>
      </c>
      <c r="J614" s="7">
        <v>3.5</v>
      </c>
      <c r="K614" s="7">
        <v>4</v>
      </c>
      <c r="L614" s="7">
        <v>4</v>
      </c>
      <c r="M614" s="7">
        <v>3.5</v>
      </c>
      <c r="N614" s="7">
        <v>2.5</v>
      </c>
      <c r="O614" s="7">
        <v>2.5</v>
      </c>
      <c r="P614" s="7">
        <v>4</v>
      </c>
      <c r="Q614" t="s">
        <v>195</v>
      </c>
      <c r="R614" s="7">
        <v>95</v>
      </c>
      <c r="S614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615" spans="2:19" x14ac:dyDescent="0.35">
      <c r="B615" s="35">
        <v>612</v>
      </c>
      <c r="C615" t="s">
        <v>2332</v>
      </c>
      <c r="D615" s="7">
        <v>2007</v>
      </c>
      <c r="E615" t="s">
        <v>1556</v>
      </c>
      <c r="F615" t="s">
        <v>2333</v>
      </c>
      <c r="G615" t="s">
        <v>1557</v>
      </c>
      <c r="H615" t="s">
        <v>2334</v>
      </c>
      <c r="I615" s="7">
        <v>3.43</v>
      </c>
      <c r="J615" s="7">
        <v>3</v>
      </c>
      <c r="K615" s="7">
        <v>3</v>
      </c>
      <c r="L615" s="7">
        <v>3.5</v>
      </c>
      <c r="M615" s="7">
        <v>4</v>
      </c>
      <c r="N615" s="7">
        <v>3.5</v>
      </c>
      <c r="O615" s="7">
        <v>4</v>
      </c>
      <c r="P615" s="7">
        <v>3</v>
      </c>
      <c r="Q615" t="s">
        <v>210</v>
      </c>
      <c r="R615" s="7">
        <v>87</v>
      </c>
      <c r="S615" t="str">
        <f xml:space="preserve"> HYPERLINK("ReviewHtml/review_The_Simpsons_Movie.html", "https://2danicritic.github.io/ReviewHtml/review_The_Simpsons_Movie.html")</f>
        <v>https://2danicritic.github.io/ReviewHtml/review_The_Simpsons_Movie.html</v>
      </c>
    </row>
    <row r="616" spans="2:19" x14ac:dyDescent="0.35">
      <c r="B616" s="35">
        <v>613</v>
      </c>
      <c r="C616" t="s">
        <v>1126</v>
      </c>
      <c r="D616" s="7">
        <v>2008</v>
      </c>
      <c r="E616" t="s">
        <v>1554</v>
      </c>
      <c r="F616" t="s">
        <v>731</v>
      </c>
      <c r="G616" t="s">
        <v>1557</v>
      </c>
      <c r="H616" t="s">
        <v>836</v>
      </c>
      <c r="I616" s="7">
        <v>3.36</v>
      </c>
      <c r="J616" s="7">
        <v>4</v>
      </c>
      <c r="K616" s="7">
        <v>3</v>
      </c>
      <c r="L616" s="7">
        <v>4</v>
      </c>
      <c r="M616" s="7">
        <v>3.5</v>
      </c>
      <c r="N616" s="7">
        <v>4</v>
      </c>
      <c r="O616" s="7">
        <v>2</v>
      </c>
      <c r="P616" s="7">
        <v>3.5</v>
      </c>
      <c r="Q616" t="s">
        <v>287</v>
      </c>
      <c r="R616" s="7">
        <v>122</v>
      </c>
      <c r="S616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617" spans="2:19" x14ac:dyDescent="0.35">
      <c r="B617" s="35">
        <v>614</v>
      </c>
      <c r="C617" t="s">
        <v>2049</v>
      </c>
      <c r="D617" s="7">
        <v>2021</v>
      </c>
      <c r="E617" t="s">
        <v>1556</v>
      </c>
      <c r="F617" t="s">
        <v>2050</v>
      </c>
      <c r="G617" t="s">
        <v>1557</v>
      </c>
      <c r="H617" t="s">
        <v>2013</v>
      </c>
      <c r="I617" s="7">
        <v>3.43</v>
      </c>
      <c r="J617" s="7">
        <v>3</v>
      </c>
      <c r="K617" s="7">
        <v>2.5</v>
      </c>
      <c r="L617" s="7">
        <v>4</v>
      </c>
      <c r="M617" s="7">
        <v>3.5</v>
      </c>
      <c r="N617" s="7">
        <v>4</v>
      </c>
      <c r="O617" s="7">
        <v>3.5</v>
      </c>
      <c r="P617" s="7">
        <v>3.5</v>
      </c>
      <c r="Q617" t="s">
        <v>77</v>
      </c>
      <c r="R617" s="7">
        <v>93</v>
      </c>
      <c r="S617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</row>
    <row r="618" spans="2:19" x14ac:dyDescent="0.35">
      <c r="B618" s="35">
        <v>615</v>
      </c>
      <c r="C618" t="s">
        <v>2590</v>
      </c>
      <c r="D618" s="7">
        <v>2024</v>
      </c>
      <c r="E618" t="s">
        <v>1565</v>
      </c>
      <c r="F618" t="s">
        <v>2601</v>
      </c>
      <c r="G618" t="s">
        <v>1557</v>
      </c>
      <c r="H618" t="s">
        <v>2602</v>
      </c>
      <c r="I618" s="7">
        <v>3.57</v>
      </c>
      <c r="J618" s="7">
        <v>3</v>
      </c>
      <c r="K618" s="7">
        <v>4</v>
      </c>
      <c r="L618" s="7">
        <v>4</v>
      </c>
      <c r="M618" s="7">
        <v>3.5</v>
      </c>
      <c r="N618" s="7">
        <v>3.5</v>
      </c>
      <c r="O618" s="7">
        <v>3.5</v>
      </c>
      <c r="P618" s="7">
        <v>3.5</v>
      </c>
      <c r="Q618" t="s">
        <v>2575</v>
      </c>
      <c r="R618" s="7">
        <v>102</v>
      </c>
      <c r="S618" t="str">
        <f xml:space="preserve"> HYPERLINK("ReviewHtml/review_The_Storm.html", "https://2danicritic.github.io/ReviewHtml/review_The_Storm.html")</f>
        <v>https://2danicritic.github.io/ReviewHtml/review_The_Storm.html</v>
      </c>
    </row>
    <row r="619" spans="2:19" x14ac:dyDescent="0.35">
      <c r="B619" s="35">
        <v>616</v>
      </c>
      <c r="C619" t="s">
        <v>1918</v>
      </c>
      <c r="D619" s="7">
        <v>1994</v>
      </c>
      <c r="E619" t="s">
        <v>1556</v>
      </c>
      <c r="F619" t="s">
        <v>1919</v>
      </c>
      <c r="G619" t="s">
        <v>1557</v>
      </c>
      <c r="H619" t="s">
        <v>1920</v>
      </c>
      <c r="I619" s="7">
        <v>3.14</v>
      </c>
      <c r="J619" s="7">
        <v>3.5</v>
      </c>
      <c r="K619" s="7">
        <v>3.5</v>
      </c>
      <c r="L619" s="7">
        <v>3.5</v>
      </c>
      <c r="M619" s="7">
        <v>3.5</v>
      </c>
      <c r="N619" s="7">
        <v>2</v>
      </c>
      <c r="O619" s="7">
        <v>3.5</v>
      </c>
      <c r="P619" s="7">
        <v>2.5</v>
      </c>
      <c r="Q619" t="s">
        <v>1883</v>
      </c>
      <c r="R619" s="7">
        <v>90</v>
      </c>
      <c r="S619" t="str">
        <f xml:space="preserve"> HYPERLINK("ReviewHtml/review_The_Swan_Princess.html", "https://2danicritic.github.io/ReviewHtml/review_The_Swan_Princess.html")</f>
        <v>https://2danicritic.github.io/ReviewHtml/review_The_Swan_Princess.html</v>
      </c>
    </row>
    <row r="620" spans="2:19" x14ac:dyDescent="0.35">
      <c r="B620" s="35">
        <v>617</v>
      </c>
      <c r="C620" t="s">
        <v>2335</v>
      </c>
      <c r="D620" s="7">
        <v>1963</v>
      </c>
      <c r="E620" t="s">
        <v>1556</v>
      </c>
      <c r="F620" t="s">
        <v>2260</v>
      </c>
      <c r="G620" t="s">
        <v>1557</v>
      </c>
      <c r="H620" t="s">
        <v>2307</v>
      </c>
      <c r="I620" s="7">
        <v>3.43</v>
      </c>
      <c r="J620" s="7">
        <v>3.5</v>
      </c>
      <c r="K620" s="7">
        <v>3.5</v>
      </c>
      <c r="L620" s="7">
        <v>4.5</v>
      </c>
      <c r="M620" s="7">
        <v>3.5</v>
      </c>
      <c r="N620" s="7">
        <v>2</v>
      </c>
      <c r="O620" s="7">
        <v>4</v>
      </c>
      <c r="P620" s="7">
        <v>3</v>
      </c>
      <c r="Q620" t="s">
        <v>2244</v>
      </c>
      <c r="R620" s="7">
        <v>74</v>
      </c>
      <c r="S620" t="str">
        <f xml:space="preserve"> HYPERLINK("ReviewHtml/review_The_Sword_in_the_Stone.html", "https://2danicritic.github.io/ReviewHtml/review_The_Sword_in_the_Stone.html")</f>
        <v>https://2danicritic.github.io/ReviewHtml/review_The_Sword_in_the_Stone.html</v>
      </c>
    </row>
    <row r="621" spans="2:19" x14ac:dyDescent="0.35">
      <c r="B621" s="35">
        <v>618</v>
      </c>
      <c r="C621" t="s">
        <v>1127</v>
      </c>
      <c r="D621" s="7">
        <v>2013</v>
      </c>
      <c r="E621" t="s">
        <v>1554</v>
      </c>
      <c r="F621" t="s">
        <v>747</v>
      </c>
      <c r="G621" t="s">
        <v>1557</v>
      </c>
      <c r="H621" t="s">
        <v>843</v>
      </c>
      <c r="I621" s="7">
        <v>4.43</v>
      </c>
      <c r="J621" s="7">
        <v>4.5</v>
      </c>
      <c r="K621" s="7">
        <v>5</v>
      </c>
      <c r="L621" s="7">
        <v>4.5</v>
      </c>
      <c r="M621" s="7">
        <v>4</v>
      </c>
      <c r="N621" s="7">
        <v>4</v>
      </c>
      <c r="O621" s="7">
        <v>4</v>
      </c>
      <c r="P621" s="7">
        <v>5</v>
      </c>
      <c r="Q621" t="s">
        <v>288</v>
      </c>
      <c r="R621" s="7">
        <v>137</v>
      </c>
      <c r="S621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622" spans="2:19" x14ac:dyDescent="0.35">
      <c r="B622" s="35">
        <v>619</v>
      </c>
      <c r="C622" t="s">
        <v>1620</v>
      </c>
      <c r="D622" s="7">
        <v>2010</v>
      </c>
      <c r="E622" t="s">
        <v>1554</v>
      </c>
      <c r="F622" t="s">
        <v>694</v>
      </c>
      <c r="G622" t="s">
        <v>1559</v>
      </c>
      <c r="H622" t="s">
        <v>788</v>
      </c>
      <c r="I622" s="7">
        <v>3.43</v>
      </c>
      <c r="J622" s="7">
        <v>3</v>
      </c>
      <c r="K622" s="7">
        <v>4</v>
      </c>
      <c r="L622" s="7">
        <v>3</v>
      </c>
      <c r="M622" s="7">
        <v>3.5</v>
      </c>
      <c r="N622" s="7">
        <v>3.5</v>
      </c>
      <c r="O622" s="7">
        <v>3.5</v>
      </c>
      <c r="P622" s="7">
        <v>3.5</v>
      </c>
      <c r="Q622" t="s">
        <v>1549</v>
      </c>
      <c r="R622" s="7">
        <v>300</v>
      </c>
      <c r="S622" t="str">
        <f xml:space="preserve"> HYPERLINK("ReviewHtml/review_The_Tatami_Galaxy.html", "https://2danicritic.github.io/ReviewHtml/review_The_Tatami_Galaxy.html")</f>
        <v>https://2danicritic.github.io/ReviewHtml/review_The_Tatami_Galaxy.html</v>
      </c>
    </row>
    <row r="623" spans="2:19" x14ac:dyDescent="0.35">
      <c r="B623" s="35">
        <v>620</v>
      </c>
      <c r="C623" t="s">
        <v>1921</v>
      </c>
      <c r="D623" s="7">
        <v>2015</v>
      </c>
      <c r="E623" t="s">
        <v>1554</v>
      </c>
      <c r="F623" t="s">
        <v>1891</v>
      </c>
      <c r="G623" t="s">
        <v>1559</v>
      </c>
      <c r="H623" t="s">
        <v>853</v>
      </c>
      <c r="I623" s="7">
        <v>2.71</v>
      </c>
      <c r="J623" s="7">
        <v>2.5</v>
      </c>
      <c r="K623" s="7">
        <v>2.5</v>
      </c>
      <c r="L623" s="7">
        <v>3.5</v>
      </c>
      <c r="M623" s="7">
        <v>3</v>
      </c>
      <c r="N623" s="7">
        <v>2.5</v>
      </c>
      <c r="O623" s="7">
        <v>2.5</v>
      </c>
      <c r="P623" s="7">
        <v>2.5</v>
      </c>
      <c r="Q623" t="s">
        <v>1884</v>
      </c>
      <c r="R623" s="7">
        <v>600</v>
      </c>
      <c r="S623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</row>
    <row r="624" spans="2:19" x14ac:dyDescent="0.35">
      <c r="B624" s="35">
        <v>621</v>
      </c>
      <c r="C624" t="s">
        <v>1128</v>
      </c>
      <c r="D624" s="7">
        <v>1993</v>
      </c>
      <c r="E624" t="s">
        <v>1556</v>
      </c>
      <c r="F624" t="s">
        <v>289</v>
      </c>
      <c r="G624" t="s">
        <v>1557</v>
      </c>
      <c r="H624" t="s">
        <v>1129</v>
      </c>
      <c r="I624" s="7">
        <v>4</v>
      </c>
      <c r="J624" s="7">
        <v>5</v>
      </c>
      <c r="K624" s="7">
        <v>5</v>
      </c>
      <c r="L624" s="7">
        <v>3</v>
      </c>
      <c r="M624" s="7">
        <v>3.5</v>
      </c>
      <c r="N624" s="7">
        <v>2.5</v>
      </c>
      <c r="O624" s="7">
        <v>4</v>
      </c>
      <c r="P624" s="7">
        <v>5</v>
      </c>
      <c r="Q624" t="s">
        <v>290</v>
      </c>
      <c r="R624" s="7">
        <v>80</v>
      </c>
      <c r="S624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625" spans="2:19" x14ac:dyDescent="0.35">
      <c r="B625" s="35">
        <v>622</v>
      </c>
      <c r="C625" t="s">
        <v>2336</v>
      </c>
      <c r="D625" s="7">
        <v>1944</v>
      </c>
      <c r="E625" t="s">
        <v>1556</v>
      </c>
      <c r="F625" t="s">
        <v>2260</v>
      </c>
      <c r="G625" t="s">
        <v>1555</v>
      </c>
      <c r="H625" t="s">
        <v>2337</v>
      </c>
      <c r="I625" s="7">
        <v>3.07</v>
      </c>
      <c r="J625" s="7">
        <v>3</v>
      </c>
      <c r="K625" s="7">
        <v>3.5</v>
      </c>
      <c r="L625" s="7">
        <v>3.5</v>
      </c>
      <c r="M625" s="7">
        <v>3</v>
      </c>
      <c r="N625" s="7">
        <v>1.5</v>
      </c>
      <c r="O625" s="7">
        <v>4</v>
      </c>
      <c r="P625" s="7">
        <v>3</v>
      </c>
      <c r="Q625" t="s">
        <v>2255</v>
      </c>
      <c r="R625" s="7">
        <v>71</v>
      </c>
      <c r="S625" t="str">
        <f xml:space="preserve"> HYPERLINK("ReviewHtml/review_The_Three_Caballeros.html", "https://2danicritic.github.io/ReviewHtml/review_The_Three_Caballeros.html")</f>
        <v>https://2danicritic.github.io/ReviewHtml/review_The_Three_Caballeros.html</v>
      </c>
    </row>
    <row r="626" spans="2:19" x14ac:dyDescent="0.35">
      <c r="B626" s="35">
        <v>623</v>
      </c>
      <c r="C626" t="s">
        <v>1621</v>
      </c>
      <c r="D626" s="7">
        <v>2011</v>
      </c>
      <c r="E626" t="s">
        <v>1554</v>
      </c>
      <c r="F626" t="s">
        <v>694</v>
      </c>
      <c r="G626" t="s">
        <v>1557</v>
      </c>
      <c r="H626" t="s">
        <v>713</v>
      </c>
      <c r="I626" s="7">
        <v>3.5</v>
      </c>
      <c r="J626" s="7">
        <v>3.5</v>
      </c>
      <c r="K626" s="7">
        <v>3.5</v>
      </c>
      <c r="L626" s="7">
        <v>3</v>
      </c>
      <c r="M626" s="7">
        <v>3</v>
      </c>
      <c r="N626" s="7">
        <v>3.5</v>
      </c>
      <c r="O626" s="7">
        <v>4</v>
      </c>
      <c r="P626" s="7">
        <v>4</v>
      </c>
      <c r="Q626" t="s">
        <v>305</v>
      </c>
      <c r="R626" s="7">
        <v>90</v>
      </c>
      <c r="S626" t="str">
        <f xml:space="preserve"> HYPERLINK("ReviewHtml/review_The_Tibetan_Dog.html", "https://2danicritic.github.io/ReviewHtml/review_The_Tibetan_Dog.html")</f>
        <v>https://2danicritic.github.io/ReviewHtml/review_The_Tibetan_Dog.html</v>
      </c>
    </row>
    <row r="627" spans="2:19" x14ac:dyDescent="0.35">
      <c r="B627" s="35">
        <v>624</v>
      </c>
      <c r="C627" t="s">
        <v>2656</v>
      </c>
      <c r="D627" s="7">
        <v>1982</v>
      </c>
      <c r="E627" t="s">
        <v>1558</v>
      </c>
      <c r="F627" t="s">
        <v>2657</v>
      </c>
      <c r="G627" t="s">
        <v>1557</v>
      </c>
      <c r="H627" t="s">
        <v>2658</v>
      </c>
      <c r="I627" s="7">
        <v>2.5</v>
      </c>
      <c r="J627" s="7">
        <v>2</v>
      </c>
      <c r="K627" s="7">
        <v>3</v>
      </c>
      <c r="L627" s="7">
        <v>2.5</v>
      </c>
      <c r="M627" s="7">
        <v>3</v>
      </c>
      <c r="N627" s="7">
        <v>2.5</v>
      </c>
      <c r="O627" s="7">
        <v>2.5</v>
      </c>
      <c r="P627" s="7">
        <v>2</v>
      </c>
      <c r="Q627" t="s">
        <v>2633</v>
      </c>
      <c r="R627" s="7">
        <v>79</v>
      </c>
      <c r="S627" t="str">
        <f xml:space="preserve"> HYPERLINK("ReviewHtml/review_The_Time_Masters.html", "https://2danicritic.github.io/ReviewHtml/review_The_Time_Masters.html")</f>
        <v>https://2danicritic.github.io/ReviewHtml/review_The_Time_Masters.html</v>
      </c>
    </row>
    <row r="628" spans="2:19" x14ac:dyDescent="0.35">
      <c r="B628" s="35">
        <v>625</v>
      </c>
      <c r="C628" t="s">
        <v>1130</v>
      </c>
      <c r="D628" s="7">
        <v>2003</v>
      </c>
      <c r="E628" t="s">
        <v>1558</v>
      </c>
      <c r="F628" t="s">
        <v>1131</v>
      </c>
      <c r="G628" t="s">
        <v>1557</v>
      </c>
      <c r="H628" t="s">
        <v>1100</v>
      </c>
      <c r="I628" s="7">
        <v>3.93</v>
      </c>
      <c r="J628" s="7">
        <v>4.5</v>
      </c>
      <c r="K628" s="7">
        <v>5</v>
      </c>
      <c r="L628" s="7">
        <v>4.5</v>
      </c>
      <c r="M628" s="7">
        <v>3</v>
      </c>
      <c r="N628" s="7">
        <v>3.5</v>
      </c>
      <c r="O628" s="7">
        <v>2.5</v>
      </c>
      <c r="P628" s="7">
        <v>4.5</v>
      </c>
      <c r="Q628" t="s">
        <v>351</v>
      </c>
      <c r="R628" s="7">
        <v>78</v>
      </c>
      <c r="S628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629" spans="2:19" x14ac:dyDescent="0.35">
      <c r="B629" s="35">
        <v>626</v>
      </c>
      <c r="C629" t="s">
        <v>1132</v>
      </c>
      <c r="D629" s="7">
        <v>2013</v>
      </c>
      <c r="E629" t="s">
        <v>1554</v>
      </c>
      <c r="F629" t="s">
        <v>747</v>
      </c>
      <c r="G629" t="s">
        <v>1557</v>
      </c>
      <c r="H629" t="s">
        <v>748</v>
      </c>
      <c r="I629" s="7">
        <v>3.36</v>
      </c>
      <c r="J629" s="7">
        <v>4</v>
      </c>
      <c r="K629" s="7">
        <v>3.5</v>
      </c>
      <c r="L629" s="7">
        <v>3.5</v>
      </c>
      <c r="M629" s="7">
        <v>3.5</v>
      </c>
      <c r="N629" s="7">
        <v>3.5</v>
      </c>
      <c r="O629" s="7">
        <v>2.5</v>
      </c>
      <c r="P629" s="7">
        <v>3</v>
      </c>
      <c r="Q629" t="s">
        <v>291</v>
      </c>
      <c r="R629" s="7">
        <v>126</v>
      </c>
      <c r="S629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630" spans="2:19" x14ac:dyDescent="0.35">
      <c r="B630" s="35">
        <v>627</v>
      </c>
      <c r="C630" t="s">
        <v>2591</v>
      </c>
      <c r="D630" s="7">
        <v>1969</v>
      </c>
      <c r="E630" t="s">
        <v>1554</v>
      </c>
      <c r="F630" t="s">
        <v>681</v>
      </c>
      <c r="G630" t="s">
        <v>1557</v>
      </c>
      <c r="H630" t="s">
        <v>2603</v>
      </c>
      <c r="I630" s="7">
        <v>2.93</v>
      </c>
      <c r="J630" s="7">
        <v>2.5</v>
      </c>
      <c r="K630" s="7">
        <v>2.5</v>
      </c>
      <c r="L630" s="7">
        <v>3</v>
      </c>
      <c r="M630" s="7">
        <v>2.5</v>
      </c>
      <c r="N630" s="7">
        <v>3</v>
      </c>
      <c r="O630" s="7">
        <v>3.5</v>
      </c>
      <c r="P630" s="7">
        <v>3.5</v>
      </c>
      <c r="Q630" t="s">
        <v>97</v>
      </c>
      <c r="R630" s="7">
        <v>82</v>
      </c>
      <c r="S630" t="str">
        <f xml:space="preserve"> HYPERLINK("ReviewHtml/review_The_Wonderful_World_of_Puss_'N_Boots.html", "https://2danicritic.github.io/ReviewHtml/review_The_Wonderful_World_of_Puss_'N_Boots.html")</f>
        <v>https://2danicritic.github.io/ReviewHtml/review_The_Wonderful_World_of_Puss_'N_Boots.html</v>
      </c>
    </row>
    <row r="631" spans="2:19" x14ac:dyDescent="0.35">
      <c r="B631" s="35">
        <v>628</v>
      </c>
      <c r="C631" t="s">
        <v>1745</v>
      </c>
      <c r="D631" s="7">
        <v>2019</v>
      </c>
      <c r="E631" t="s">
        <v>1554</v>
      </c>
      <c r="F631" t="s">
        <v>1746</v>
      </c>
      <c r="G631" t="s">
        <v>1557</v>
      </c>
      <c r="H631" t="s">
        <v>767</v>
      </c>
      <c r="I631" s="7">
        <v>3.07</v>
      </c>
      <c r="J631" s="7">
        <v>3.5</v>
      </c>
      <c r="K631" s="7">
        <v>3.5</v>
      </c>
      <c r="L631" s="7">
        <v>3.5</v>
      </c>
      <c r="M631" s="7">
        <v>3.5</v>
      </c>
      <c r="N631" s="7">
        <v>2</v>
      </c>
      <c r="O631" s="7">
        <v>3</v>
      </c>
      <c r="P631" s="7">
        <v>2.5</v>
      </c>
      <c r="Q631" t="s">
        <v>1674</v>
      </c>
      <c r="R631" s="7">
        <v>115</v>
      </c>
      <c r="S631" t="str">
        <f xml:space="preserve"> HYPERLINK("ReviewHtml/review_The_Wonderland.html", "https://2danicritic.github.io/ReviewHtml/review_The_Wonderland.html")</f>
        <v>https://2danicritic.github.io/ReviewHtml/review_The_Wonderland.html</v>
      </c>
    </row>
    <row r="632" spans="2:19" x14ac:dyDescent="0.35">
      <c r="B632" s="35">
        <v>629</v>
      </c>
      <c r="C632" t="s">
        <v>2592</v>
      </c>
      <c r="D632" s="7">
        <v>2023</v>
      </c>
      <c r="E632" t="s">
        <v>1566</v>
      </c>
      <c r="F632" t="s">
        <v>2604</v>
      </c>
      <c r="G632" t="s">
        <v>1557</v>
      </c>
      <c r="H632" t="s">
        <v>2576</v>
      </c>
      <c r="I632" s="7">
        <v>2.5</v>
      </c>
      <c r="J632" s="7">
        <v>2</v>
      </c>
      <c r="K632" s="7">
        <v>2.5</v>
      </c>
      <c r="L632" s="7">
        <v>3.5</v>
      </c>
      <c r="M632" s="7">
        <v>2.5</v>
      </c>
      <c r="N632" s="7">
        <v>2</v>
      </c>
      <c r="O632" s="7">
        <v>2.5</v>
      </c>
      <c r="P632" s="7">
        <v>2.5</v>
      </c>
      <c r="Q632" t="s">
        <v>2577</v>
      </c>
      <c r="R632" s="7">
        <v>103</v>
      </c>
      <c r="S632" t="str">
        <f xml:space="preserve"> HYPERLINK("ReviewHtml/review_They_Shot_The_Piano_Player.html", "https://2danicritic.github.io/ReviewHtml/review_They_Shot_The_Piano_Player.html")</f>
        <v>https://2danicritic.github.io/ReviewHtml/review_They_Shot_The_Piano_Player.html</v>
      </c>
    </row>
    <row r="633" spans="2:19" x14ac:dyDescent="0.35">
      <c r="B633" s="35">
        <v>630</v>
      </c>
      <c r="C633" t="s">
        <v>1133</v>
      </c>
      <c r="D633" s="7">
        <v>2011</v>
      </c>
      <c r="E633" t="s">
        <v>1554</v>
      </c>
      <c r="F633" t="s">
        <v>652</v>
      </c>
      <c r="G633" t="s">
        <v>1560</v>
      </c>
      <c r="H633" t="s">
        <v>1134</v>
      </c>
      <c r="I633" s="7">
        <v>1.86</v>
      </c>
      <c r="J633" s="7">
        <v>1</v>
      </c>
      <c r="K633" s="7">
        <v>2.5</v>
      </c>
      <c r="L633" s="7">
        <v>1</v>
      </c>
      <c r="M633" s="7">
        <v>2</v>
      </c>
      <c r="N633" s="7">
        <v>2.5</v>
      </c>
      <c r="O633" s="7">
        <v>2</v>
      </c>
      <c r="P633" s="7">
        <v>2</v>
      </c>
      <c r="Q633" t="s">
        <v>292</v>
      </c>
      <c r="R633" s="7">
        <v>28</v>
      </c>
      <c r="S633" s="3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634" spans="2:19" x14ac:dyDescent="0.35">
      <c r="B634" s="35">
        <v>631</v>
      </c>
      <c r="C634" t="s">
        <v>1135</v>
      </c>
      <c r="D634" s="7">
        <v>1994</v>
      </c>
      <c r="E634" t="s">
        <v>1556</v>
      </c>
      <c r="F634" t="s">
        <v>1038</v>
      </c>
      <c r="G634" t="s">
        <v>1557</v>
      </c>
      <c r="H634" t="s">
        <v>293</v>
      </c>
      <c r="I634" s="7">
        <v>3.79</v>
      </c>
      <c r="J634" s="7">
        <v>4</v>
      </c>
      <c r="K634" s="7">
        <v>4</v>
      </c>
      <c r="L634" s="7">
        <v>4</v>
      </c>
      <c r="M634" s="7">
        <v>4</v>
      </c>
      <c r="N634" s="7">
        <v>3.5</v>
      </c>
      <c r="O634" s="7">
        <v>4</v>
      </c>
      <c r="P634" s="7">
        <v>3</v>
      </c>
      <c r="Q634" t="s">
        <v>294</v>
      </c>
      <c r="R634" s="7">
        <v>86</v>
      </c>
      <c r="S634" t="str">
        <f xml:space="preserve"> HYPERLINK("ReviewHtml/review_Thumbelina.html", "https://2danicritic.github.io/ReviewHtml/review_Thumbelina.html")</f>
        <v>https://2danicritic.github.io/ReviewHtml/review_Thumbelina.html</v>
      </c>
    </row>
    <row r="635" spans="2:19" x14ac:dyDescent="0.35">
      <c r="B635" s="35">
        <v>632</v>
      </c>
      <c r="C635" t="s">
        <v>2593</v>
      </c>
      <c r="D635" s="7">
        <v>1971</v>
      </c>
      <c r="E635" t="s">
        <v>1607</v>
      </c>
      <c r="F635" t="s">
        <v>2605</v>
      </c>
      <c r="G635" t="s">
        <v>1557</v>
      </c>
      <c r="H635" t="s">
        <v>2606</v>
      </c>
      <c r="I635" s="7">
        <v>2.79</v>
      </c>
      <c r="J635" s="7">
        <v>2.5</v>
      </c>
      <c r="K635" s="7">
        <v>3</v>
      </c>
      <c r="L635" s="7">
        <v>3.5</v>
      </c>
      <c r="M635" s="7">
        <v>2.5</v>
      </c>
      <c r="N635" s="7">
        <v>2</v>
      </c>
      <c r="O635" s="7">
        <v>3.5</v>
      </c>
      <c r="P635" s="7">
        <v>2.5</v>
      </c>
      <c r="Q635" t="s">
        <v>310</v>
      </c>
      <c r="R635" s="7">
        <v>71</v>
      </c>
      <c r="S635" t="str">
        <f xml:space="preserve"> HYPERLINK("ReviewHtml/review_Tiki_Tiki.html", "https://2danicritic.github.io/ReviewHtml/review_Tiki_Tiki.html")</f>
        <v>https://2danicritic.github.io/ReviewHtml/review_Tiki_Tiki.html</v>
      </c>
    </row>
    <row r="636" spans="2:19" x14ac:dyDescent="0.35">
      <c r="B636" s="35">
        <v>633</v>
      </c>
      <c r="C636" t="s">
        <v>1136</v>
      </c>
      <c r="D636" s="7">
        <v>2010</v>
      </c>
      <c r="E636" t="s">
        <v>1554</v>
      </c>
      <c r="F636" t="s">
        <v>1137</v>
      </c>
      <c r="G636" t="s">
        <v>1557</v>
      </c>
      <c r="H636" t="s">
        <v>1138</v>
      </c>
      <c r="I636" s="7">
        <v>3.5</v>
      </c>
      <c r="J636" s="7">
        <v>4</v>
      </c>
      <c r="K636" s="7">
        <v>3.5</v>
      </c>
      <c r="L636" s="7">
        <v>3.5</v>
      </c>
      <c r="M636" s="7">
        <v>3.5</v>
      </c>
      <c r="N636" s="7">
        <v>3.5</v>
      </c>
      <c r="O636" s="7">
        <v>3</v>
      </c>
      <c r="P636" s="7">
        <v>3.5</v>
      </c>
      <c r="Q636" t="s">
        <v>295</v>
      </c>
      <c r="R636" s="7">
        <v>0</v>
      </c>
      <c r="S636" t="str">
        <f xml:space="preserve"> HYPERLINK("ReviewHtml/review_Time_of_Eve.html", "https://2danicritic.github.io/ReviewHtml/review_Time_of_Eve.html")</f>
        <v>https://2danicritic.github.io/ReviewHtml/review_Time_of_Eve.html</v>
      </c>
    </row>
    <row r="637" spans="2:19" x14ac:dyDescent="0.35">
      <c r="B637" s="35">
        <v>634</v>
      </c>
      <c r="C637" t="s">
        <v>2457</v>
      </c>
      <c r="D637" s="7">
        <v>2000</v>
      </c>
      <c r="E637" t="s">
        <v>1556</v>
      </c>
      <c r="F637" t="s">
        <v>2411</v>
      </c>
      <c r="G637" t="s">
        <v>1557</v>
      </c>
      <c r="H637" t="s">
        <v>293</v>
      </c>
      <c r="I637" s="7">
        <v>3.29</v>
      </c>
      <c r="J637" s="7">
        <v>3.5</v>
      </c>
      <c r="K637" s="7">
        <v>3.5</v>
      </c>
      <c r="L637" s="7">
        <v>3.5</v>
      </c>
      <c r="M637" s="7">
        <v>3.5</v>
      </c>
      <c r="N637" s="7">
        <v>3</v>
      </c>
      <c r="O637" s="7">
        <v>3</v>
      </c>
      <c r="P637" s="7">
        <v>3</v>
      </c>
      <c r="Q637" t="s">
        <v>2458</v>
      </c>
      <c r="R637" s="7">
        <v>94</v>
      </c>
      <c r="S637" t="str">
        <f xml:space="preserve"> HYPERLINK("ReviewHtml/review_Titan_A.E..html", "https://2danicritic.github.io/ReviewHtml/review_Titan_A.E..html")</f>
        <v>https://2danicritic.github.io/ReviewHtml/review_Titan_A.E..html</v>
      </c>
    </row>
    <row r="638" spans="2:19" x14ac:dyDescent="0.35">
      <c r="B638" s="35">
        <v>635</v>
      </c>
      <c r="C638" t="s">
        <v>1281</v>
      </c>
      <c r="D638" s="7">
        <v>2018</v>
      </c>
      <c r="E638" t="s">
        <v>1569</v>
      </c>
      <c r="F638" t="s">
        <v>1295</v>
      </c>
      <c r="G638" t="s">
        <v>1557</v>
      </c>
      <c r="H638" t="s">
        <v>1221</v>
      </c>
      <c r="I638" s="7">
        <v>3.43</v>
      </c>
      <c r="J638" s="7">
        <v>3</v>
      </c>
      <c r="K638" s="7">
        <v>3.5</v>
      </c>
      <c r="L638" s="7">
        <v>3.5</v>
      </c>
      <c r="M638" s="7">
        <v>3.5</v>
      </c>
      <c r="N638" s="7">
        <v>3.5</v>
      </c>
      <c r="O638" s="7">
        <v>3.5</v>
      </c>
      <c r="P638" s="7">
        <v>3.5</v>
      </c>
      <c r="Q638" t="s">
        <v>1222</v>
      </c>
      <c r="R638" s="7">
        <v>73</v>
      </c>
      <c r="S638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639" spans="2:19" x14ac:dyDescent="0.35">
      <c r="B639" s="35">
        <v>636</v>
      </c>
      <c r="C639" t="s">
        <v>1966</v>
      </c>
      <c r="D639" s="7">
        <v>2008</v>
      </c>
      <c r="E639" t="s">
        <v>1554</v>
      </c>
      <c r="F639" t="s">
        <v>888</v>
      </c>
      <c r="G639" t="s">
        <v>1559</v>
      </c>
      <c r="H639" t="s">
        <v>1978</v>
      </c>
      <c r="I639" s="7">
        <v>2.86</v>
      </c>
      <c r="J639" s="7">
        <v>3</v>
      </c>
      <c r="K639" s="7">
        <v>2.5</v>
      </c>
      <c r="L639" s="7">
        <v>3.5</v>
      </c>
      <c r="M639" s="7">
        <v>2.5</v>
      </c>
      <c r="N639" s="7">
        <v>1.5</v>
      </c>
      <c r="O639" s="7">
        <v>3.5</v>
      </c>
      <c r="P639" s="7">
        <v>3.5</v>
      </c>
      <c r="Q639" t="s">
        <v>1952</v>
      </c>
      <c r="R639" s="7">
        <v>650</v>
      </c>
      <c r="S639" t="str">
        <f xml:space="preserve"> HYPERLINK("ReviewHtml/review_To_Love_Ru.html", "https://2danicritic.github.io/ReviewHtml/review_To_Love_Ru.html")</f>
        <v>https://2danicritic.github.io/ReviewHtml/review_To_Love_Ru.html</v>
      </c>
    </row>
    <row r="640" spans="2:19" x14ac:dyDescent="0.35">
      <c r="B640" s="35">
        <v>637</v>
      </c>
      <c r="C640" t="s">
        <v>2120</v>
      </c>
      <c r="D640" s="7">
        <v>2010</v>
      </c>
      <c r="E640" t="s">
        <v>1554</v>
      </c>
      <c r="F640" t="s">
        <v>888</v>
      </c>
      <c r="G640" t="s">
        <v>1559</v>
      </c>
      <c r="H640" t="s">
        <v>889</v>
      </c>
      <c r="I640" s="7">
        <v>2.64</v>
      </c>
      <c r="J640" s="7">
        <v>2.5</v>
      </c>
      <c r="K640" s="7">
        <v>3</v>
      </c>
      <c r="L640" s="7">
        <v>3</v>
      </c>
      <c r="M640" s="7">
        <v>2.5</v>
      </c>
      <c r="N640" s="7">
        <v>2</v>
      </c>
      <c r="O640" s="7">
        <v>3</v>
      </c>
      <c r="P640" s="7">
        <v>2.5</v>
      </c>
      <c r="Q640" t="s">
        <v>98</v>
      </c>
      <c r="R640" s="7">
        <v>950</v>
      </c>
      <c r="S640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</row>
    <row r="641" spans="2:19" x14ac:dyDescent="0.35">
      <c r="B641" s="35">
        <v>638</v>
      </c>
      <c r="C641" t="s">
        <v>2634</v>
      </c>
      <c r="D641" s="7">
        <v>2022</v>
      </c>
      <c r="E641" t="s">
        <v>1554</v>
      </c>
      <c r="F641" t="s">
        <v>915</v>
      </c>
      <c r="G641" t="s">
        <v>1557</v>
      </c>
      <c r="H641" t="s">
        <v>2659</v>
      </c>
      <c r="I641" s="7">
        <v>3</v>
      </c>
      <c r="J641" s="7">
        <v>2.5</v>
      </c>
      <c r="K641" s="7">
        <v>3</v>
      </c>
      <c r="L641" s="7">
        <v>3</v>
      </c>
      <c r="M641" s="7">
        <v>3</v>
      </c>
      <c r="N641" s="7">
        <v>3.5</v>
      </c>
      <c r="O641" s="7">
        <v>3</v>
      </c>
      <c r="P641" s="7">
        <v>3</v>
      </c>
      <c r="Q641" t="s">
        <v>2635</v>
      </c>
      <c r="R641" s="7">
        <v>200</v>
      </c>
      <c r="S641" t="str">
        <f xml:space="preserve"> HYPERLINK("ReviewHtml/review_To_Me,_The_One_Who_Loved_You,_and_To_Every_You_I've_Loved_Before.html", "https://2danicritic.github.io/ReviewHtml/review_To_Me,_The_One_Who_Loved_You,_and_To_Every_You_I've_Loved_Before.html")</f>
        <v>https://2danicritic.github.io/ReviewHtml/review_To_Me,_The_One_Who_Loved_You,_and_To_Every_You_I've_Loved_Before.html</v>
      </c>
    </row>
    <row r="642" spans="2:19" x14ac:dyDescent="0.35">
      <c r="B642" s="35">
        <v>639</v>
      </c>
      <c r="C642" t="s">
        <v>1747</v>
      </c>
      <c r="D642" s="7">
        <v>2014</v>
      </c>
      <c r="E642" t="s">
        <v>1554</v>
      </c>
      <c r="F642" t="s">
        <v>1748</v>
      </c>
      <c r="G642" t="s">
        <v>1559</v>
      </c>
      <c r="H642" t="s">
        <v>1749</v>
      </c>
      <c r="I642" s="7">
        <v>3.36</v>
      </c>
      <c r="J642" s="7">
        <v>3</v>
      </c>
      <c r="K642" s="7">
        <v>3.5</v>
      </c>
      <c r="L642" s="7">
        <v>3.5</v>
      </c>
      <c r="M642" s="7">
        <v>3.5</v>
      </c>
      <c r="N642" s="7">
        <v>3</v>
      </c>
      <c r="O642" s="7">
        <v>3.5</v>
      </c>
      <c r="P642" s="7">
        <v>3.5</v>
      </c>
      <c r="Q642" t="s">
        <v>1675</v>
      </c>
      <c r="R642" s="7">
        <v>600</v>
      </c>
      <c r="S642" t="str">
        <f xml:space="preserve"> HYPERLINK("ReviewHtml/review_Tokyo_Ghoul.html", "https://2danicritic.github.io/ReviewHtml/review_Tokyo_Ghoul.html")</f>
        <v>https://2danicritic.github.io/ReviewHtml/review_Tokyo_Ghoul.html</v>
      </c>
    </row>
    <row r="643" spans="2:19" x14ac:dyDescent="0.35">
      <c r="B643" s="35">
        <v>640</v>
      </c>
      <c r="C643" t="s">
        <v>1139</v>
      </c>
      <c r="D643" s="7">
        <v>2003</v>
      </c>
      <c r="E643" t="s">
        <v>1554</v>
      </c>
      <c r="F643" t="s">
        <v>694</v>
      </c>
      <c r="G643" t="s">
        <v>1557</v>
      </c>
      <c r="H643" t="s">
        <v>999</v>
      </c>
      <c r="I643" s="7">
        <v>3.5</v>
      </c>
      <c r="J643" s="7">
        <v>3.5</v>
      </c>
      <c r="K643" s="7">
        <v>3.5</v>
      </c>
      <c r="L643" s="7">
        <v>3</v>
      </c>
      <c r="M643" s="7">
        <v>4</v>
      </c>
      <c r="N643" s="7">
        <v>3.5</v>
      </c>
      <c r="O643" s="7">
        <v>3</v>
      </c>
      <c r="P643" s="7">
        <v>4</v>
      </c>
      <c r="Q643" t="s">
        <v>296</v>
      </c>
      <c r="R643" s="7">
        <v>92</v>
      </c>
      <c r="S643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644" spans="2:19" x14ac:dyDescent="0.35">
      <c r="B644" s="35">
        <v>641</v>
      </c>
      <c r="C644" t="s">
        <v>1140</v>
      </c>
      <c r="D644" s="7">
        <v>1980</v>
      </c>
      <c r="E644" t="s">
        <v>1554</v>
      </c>
      <c r="F644" t="s">
        <v>667</v>
      </c>
      <c r="G644" t="s">
        <v>1557</v>
      </c>
      <c r="H644" t="s">
        <v>297</v>
      </c>
      <c r="I644" s="7">
        <v>3.14</v>
      </c>
      <c r="J644" s="7">
        <v>2.5</v>
      </c>
      <c r="K644" s="7">
        <v>2.5</v>
      </c>
      <c r="L644" s="7">
        <v>3.5</v>
      </c>
      <c r="M644" s="7">
        <v>2</v>
      </c>
      <c r="N644" s="7">
        <v>4</v>
      </c>
      <c r="O644" s="7">
        <v>3.5</v>
      </c>
      <c r="P644" s="7">
        <v>4</v>
      </c>
      <c r="Q644" t="s">
        <v>298</v>
      </c>
      <c r="R644" s="7">
        <v>150</v>
      </c>
      <c r="S644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645" spans="2:19" x14ac:dyDescent="0.35">
      <c r="B645" s="35">
        <v>642</v>
      </c>
      <c r="C645" t="s">
        <v>1282</v>
      </c>
      <c r="D645" s="7">
        <v>2014</v>
      </c>
      <c r="E645" t="s">
        <v>1554</v>
      </c>
      <c r="F645" t="s">
        <v>1296</v>
      </c>
      <c r="G645" t="s">
        <v>1559</v>
      </c>
      <c r="H645" t="s">
        <v>1305</v>
      </c>
      <c r="I645" s="7">
        <v>2.86</v>
      </c>
      <c r="J645" s="7">
        <v>2</v>
      </c>
      <c r="K645" s="7">
        <v>2</v>
      </c>
      <c r="L645" s="7">
        <v>3.5</v>
      </c>
      <c r="M645" s="7">
        <v>3.5</v>
      </c>
      <c r="N645" s="7">
        <v>2</v>
      </c>
      <c r="O645" s="7">
        <v>4</v>
      </c>
      <c r="P645" s="7">
        <v>3</v>
      </c>
      <c r="Q645" t="s">
        <v>144</v>
      </c>
      <c r="R645" s="7">
        <v>168</v>
      </c>
      <c r="S645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646" spans="2:19" x14ac:dyDescent="0.35">
      <c r="B646" s="35">
        <v>643</v>
      </c>
      <c r="C646" t="s">
        <v>1141</v>
      </c>
      <c r="D646" s="7">
        <v>2008</v>
      </c>
      <c r="E646" t="s">
        <v>1554</v>
      </c>
      <c r="F646" t="s">
        <v>670</v>
      </c>
      <c r="G646" t="s">
        <v>1559</v>
      </c>
      <c r="H646" t="s">
        <v>1142</v>
      </c>
      <c r="I646" s="7">
        <v>3.93</v>
      </c>
      <c r="J646" s="7">
        <v>3.5</v>
      </c>
      <c r="K646" s="7">
        <v>3.5</v>
      </c>
      <c r="L646" s="7">
        <v>4</v>
      </c>
      <c r="M646" s="7">
        <v>4</v>
      </c>
      <c r="N646" s="7">
        <v>4</v>
      </c>
      <c r="O646" s="7">
        <v>4.5</v>
      </c>
      <c r="P646" s="7">
        <v>4</v>
      </c>
      <c r="Q646" t="s">
        <v>170</v>
      </c>
      <c r="R646" s="7">
        <v>625</v>
      </c>
      <c r="S646" t="str">
        <f xml:space="preserve"> HYPERLINK("ReviewHtml/review_Toradora.html", "https://2danicritic.github.io/ReviewHtml/review_Toradora.html")</f>
        <v>https://2danicritic.github.io/ReviewHtml/review_Toradora.html</v>
      </c>
    </row>
    <row r="647" spans="2:19" x14ac:dyDescent="0.35">
      <c r="B647" s="35">
        <v>644</v>
      </c>
      <c r="C647" t="s">
        <v>1143</v>
      </c>
      <c r="D647" s="7">
        <v>2011</v>
      </c>
      <c r="E647" t="s">
        <v>1554</v>
      </c>
      <c r="F647" t="s">
        <v>734</v>
      </c>
      <c r="G647" t="s">
        <v>1557</v>
      </c>
      <c r="H647" t="s">
        <v>791</v>
      </c>
      <c r="I647" s="7">
        <v>1.5</v>
      </c>
      <c r="J647" s="7">
        <v>1.5</v>
      </c>
      <c r="K647" s="7">
        <v>2</v>
      </c>
      <c r="L647" s="7">
        <v>1.5</v>
      </c>
      <c r="M647" s="7">
        <v>1.5</v>
      </c>
      <c r="N647" s="7">
        <v>1.5</v>
      </c>
      <c r="O647" s="7">
        <v>1.5</v>
      </c>
      <c r="P647" s="7">
        <v>1</v>
      </c>
      <c r="Q647" t="s">
        <v>299</v>
      </c>
      <c r="R647" s="7">
        <v>300</v>
      </c>
      <c r="S647" t="str">
        <f xml:space="preserve"> HYPERLINK("ReviewHtml/review_Towanoquon.html", "https://2danicritic.github.io/ReviewHtml/review_Towanoquon.html")</f>
        <v>https://2danicritic.github.io/ReviewHtml/review_Towanoquon.html</v>
      </c>
    </row>
    <row r="648" spans="2:19" x14ac:dyDescent="0.35">
      <c r="B648" s="35">
        <v>645</v>
      </c>
      <c r="C648" t="s">
        <v>2660</v>
      </c>
      <c r="D648" s="7">
        <v>2024</v>
      </c>
      <c r="E648" t="s">
        <v>1554</v>
      </c>
      <c r="F648" t="s">
        <v>2661</v>
      </c>
      <c r="G648" t="s">
        <v>1557</v>
      </c>
      <c r="H648" t="s">
        <v>2662</v>
      </c>
      <c r="I648" s="7">
        <v>3.14</v>
      </c>
      <c r="J648" s="7">
        <v>3</v>
      </c>
      <c r="K648" s="7">
        <v>3</v>
      </c>
      <c r="L648" s="7">
        <v>3</v>
      </c>
      <c r="M648" s="7">
        <v>3.5</v>
      </c>
      <c r="N648" s="7">
        <v>3.5</v>
      </c>
      <c r="O648" s="7">
        <v>3</v>
      </c>
      <c r="P648" s="7">
        <v>3</v>
      </c>
      <c r="Q648" t="s">
        <v>287</v>
      </c>
      <c r="R648" s="7">
        <v>94</v>
      </c>
      <c r="S648" t="str">
        <f xml:space="preserve"> HYPERLINK("ReviewHtml/review_Trapezium.html", "https://2danicritic.github.io/ReviewHtml/review_Trapezium.html")</f>
        <v>https://2danicritic.github.io/ReviewHtml/review_Trapezium.html</v>
      </c>
    </row>
    <row r="649" spans="2:19" x14ac:dyDescent="0.35">
      <c r="B649" s="35">
        <v>646</v>
      </c>
      <c r="C649" t="s">
        <v>2338</v>
      </c>
      <c r="D649" s="7">
        <v>2002</v>
      </c>
      <c r="E649" t="s">
        <v>1556</v>
      </c>
      <c r="F649" t="s">
        <v>2260</v>
      </c>
      <c r="G649" t="s">
        <v>1557</v>
      </c>
      <c r="H649" t="s">
        <v>2202</v>
      </c>
      <c r="I649" s="7">
        <v>4.3600000000000003</v>
      </c>
      <c r="J649" s="7">
        <v>5</v>
      </c>
      <c r="K649" s="7">
        <v>5</v>
      </c>
      <c r="L649" s="7">
        <v>4</v>
      </c>
      <c r="M649" s="7">
        <v>3.5</v>
      </c>
      <c r="N649" s="7">
        <v>4</v>
      </c>
      <c r="O649" s="7">
        <v>4</v>
      </c>
      <c r="P649" s="7">
        <v>5</v>
      </c>
      <c r="Q649" t="s">
        <v>2256</v>
      </c>
      <c r="R649" s="7">
        <v>95</v>
      </c>
      <c r="S649" t="str">
        <f xml:space="preserve"> HYPERLINK("ReviewHtml/review_Treasure_Planet.html", "https://2danicritic.github.io/ReviewHtml/review_Treasure_Planet.html")</f>
        <v>https://2danicritic.github.io/ReviewHtml/review_Treasure_Planet.html</v>
      </c>
    </row>
    <row r="650" spans="2:19" x14ac:dyDescent="0.35">
      <c r="B650" s="35">
        <v>647</v>
      </c>
      <c r="C650" t="s">
        <v>1750</v>
      </c>
      <c r="D650" s="7">
        <v>2015</v>
      </c>
      <c r="E650" t="s">
        <v>1554</v>
      </c>
      <c r="F650" t="s">
        <v>888</v>
      </c>
      <c r="G650" t="s">
        <v>1559</v>
      </c>
      <c r="H650" t="s">
        <v>1676</v>
      </c>
      <c r="I650" s="7">
        <v>2.93</v>
      </c>
      <c r="J650" s="7">
        <v>2.5</v>
      </c>
      <c r="K650" s="7">
        <v>3</v>
      </c>
      <c r="L650" s="7">
        <v>3.5</v>
      </c>
      <c r="M650" s="7">
        <v>3</v>
      </c>
      <c r="N650" s="7">
        <v>2.5</v>
      </c>
      <c r="O650" s="7">
        <v>3.5</v>
      </c>
      <c r="P650" s="7">
        <v>2.5</v>
      </c>
      <c r="Q650" t="s">
        <v>1198</v>
      </c>
      <c r="R650" s="7">
        <v>275</v>
      </c>
      <c r="S650" t="str">
        <f xml:space="preserve"> HYPERLINK("ReviewHtml/review_Triage_X.html", "https://2danicritic.github.io/ReviewHtml/review_Triage_X.html")</f>
        <v>https://2danicritic.github.io/ReviewHtml/review_Triage_X.html</v>
      </c>
    </row>
    <row r="651" spans="2:19" x14ac:dyDescent="0.35">
      <c r="B651" s="35">
        <v>648</v>
      </c>
      <c r="C651" t="s">
        <v>1144</v>
      </c>
      <c r="D651" s="7">
        <v>1998</v>
      </c>
      <c r="E651" t="s">
        <v>1554</v>
      </c>
      <c r="F651" t="s">
        <v>694</v>
      </c>
      <c r="G651" t="s">
        <v>1559</v>
      </c>
      <c r="H651" t="s">
        <v>1145</v>
      </c>
      <c r="I651" s="7">
        <v>2.79</v>
      </c>
      <c r="J651" s="7">
        <v>2</v>
      </c>
      <c r="K651" s="7">
        <v>3</v>
      </c>
      <c r="L651" s="7">
        <v>3.5</v>
      </c>
      <c r="M651" s="7">
        <v>3.5</v>
      </c>
      <c r="N651" s="7">
        <v>2</v>
      </c>
      <c r="O651" s="7">
        <v>2.5</v>
      </c>
      <c r="P651" s="7">
        <v>3</v>
      </c>
      <c r="Q651" t="s">
        <v>300</v>
      </c>
      <c r="R651" s="7">
        <v>650</v>
      </c>
      <c r="S651" t="str">
        <f xml:space="preserve"> HYPERLINK("ReviewHtml/review_Trigun.html", "https://2danicritic.github.io/ReviewHtml/review_Trigun.html")</f>
        <v>https://2danicritic.github.io/ReviewHtml/review_Trigun.html</v>
      </c>
    </row>
    <row r="652" spans="2:19" x14ac:dyDescent="0.35">
      <c r="B652" s="35">
        <v>649</v>
      </c>
      <c r="C652" t="s">
        <v>1146</v>
      </c>
      <c r="D652" s="7">
        <v>2010</v>
      </c>
      <c r="E652" t="s">
        <v>1554</v>
      </c>
      <c r="F652" t="s">
        <v>694</v>
      </c>
      <c r="G652" t="s">
        <v>1557</v>
      </c>
      <c r="H652" t="s">
        <v>1145</v>
      </c>
      <c r="I652" s="7">
        <v>3.64</v>
      </c>
      <c r="J652" s="7">
        <v>3.5</v>
      </c>
      <c r="K652" s="7">
        <v>3.5</v>
      </c>
      <c r="L652" s="7">
        <v>3.5</v>
      </c>
      <c r="M652" s="7">
        <v>4</v>
      </c>
      <c r="N652" s="7">
        <v>3.5</v>
      </c>
      <c r="O652" s="7">
        <v>3.5</v>
      </c>
      <c r="P652" s="7">
        <v>4</v>
      </c>
      <c r="Q652" t="s">
        <v>188</v>
      </c>
      <c r="R652" s="7">
        <v>90</v>
      </c>
      <c r="S652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653" spans="2:19" x14ac:dyDescent="0.35">
      <c r="B653" s="35">
        <v>650</v>
      </c>
      <c r="C653" t="s">
        <v>1622</v>
      </c>
      <c r="D653" s="7">
        <v>2005</v>
      </c>
      <c r="E653" t="s">
        <v>1554</v>
      </c>
      <c r="F653" t="s">
        <v>664</v>
      </c>
      <c r="G653" t="s">
        <v>1559</v>
      </c>
      <c r="H653" t="s">
        <v>1623</v>
      </c>
      <c r="I653" s="7">
        <v>3.5</v>
      </c>
      <c r="J653" s="7">
        <v>3</v>
      </c>
      <c r="K653" s="7">
        <v>4</v>
      </c>
      <c r="L653" s="7">
        <v>3.5</v>
      </c>
      <c r="M653" s="7">
        <v>3.5</v>
      </c>
      <c r="N653" s="7">
        <v>3.5</v>
      </c>
      <c r="O653" s="7">
        <v>3.5</v>
      </c>
      <c r="P653" s="7">
        <v>3.5</v>
      </c>
      <c r="Q653" t="s">
        <v>1550</v>
      </c>
      <c r="R653" s="7">
        <v>600</v>
      </c>
      <c r="S653" t="str">
        <f xml:space="preserve"> HYPERLINK("ReviewHtml/review_Trinity_Blood.html", "https://2danicritic.github.io/ReviewHtml/review_Trinity_Blood.html")</f>
        <v>https://2danicritic.github.io/ReviewHtml/review_Trinity_Blood.html</v>
      </c>
    </row>
    <row r="654" spans="2:19" x14ac:dyDescent="0.35">
      <c r="B654" s="35">
        <v>651</v>
      </c>
      <c r="C654" t="s">
        <v>1147</v>
      </c>
      <c r="D654" s="7">
        <v>2014</v>
      </c>
      <c r="E654" t="s">
        <v>1554</v>
      </c>
      <c r="F654" t="s">
        <v>1148</v>
      </c>
      <c r="G654" t="s">
        <v>1559</v>
      </c>
      <c r="H654" t="s">
        <v>684</v>
      </c>
      <c r="I654" s="7">
        <v>2.57</v>
      </c>
      <c r="J654" s="7">
        <v>2.5</v>
      </c>
      <c r="K654" s="7">
        <v>3</v>
      </c>
      <c r="L654" s="7">
        <v>2.5</v>
      </c>
      <c r="M654" s="7">
        <v>2.5</v>
      </c>
      <c r="N654" s="7">
        <v>2</v>
      </c>
      <c r="O654" s="7">
        <v>3</v>
      </c>
      <c r="P654" s="7">
        <v>2.5</v>
      </c>
      <c r="Q654" t="s">
        <v>156</v>
      </c>
      <c r="R654" s="7">
        <v>300</v>
      </c>
      <c r="S654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655" spans="2:19" x14ac:dyDescent="0.35">
      <c r="B655" s="35">
        <v>652</v>
      </c>
      <c r="C655" t="s">
        <v>1149</v>
      </c>
      <c r="D655" s="7">
        <v>2015</v>
      </c>
      <c r="E655" t="s">
        <v>1554</v>
      </c>
      <c r="F655" t="s">
        <v>1150</v>
      </c>
      <c r="G655" t="s">
        <v>1560</v>
      </c>
      <c r="H655" t="s">
        <v>1151</v>
      </c>
      <c r="I655" s="7">
        <v>3.36</v>
      </c>
      <c r="J655" s="7">
        <v>3.5</v>
      </c>
      <c r="K655" s="7">
        <v>3.5</v>
      </c>
      <c r="L655" s="7">
        <v>4</v>
      </c>
      <c r="M655" s="7">
        <v>3</v>
      </c>
      <c r="N655" s="7">
        <v>3</v>
      </c>
      <c r="O655" s="7">
        <v>3</v>
      </c>
      <c r="P655" s="7">
        <v>3.5</v>
      </c>
      <c r="Q655" t="s">
        <v>301</v>
      </c>
      <c r="R655" s="7">
        <v>27</v>
      </c>
      <c r="S655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656" spans="2:19" x14ac:dyDescent="0.35">
      <c r="B656" s="35">
        <v>653</v>
      </c>
      <c r="C656" t="s">
        <v>1835</v>
      </c>
      <c r="D656" s="7">
        <v>2009</v>
      </c>
      <c r="E656" t="s">
        <v>1554</v>
      </c>
      <c r="F656" t="s">
        <v>1292</v>
      </c>
      <c r="G656" t="s">
        <v>1559</v>
      </c>
      <c r="H656" t="s">
        <v>1780</v>
      </c>
      <c r="I656" s="7">
        <v>3.21</v>
      </c>
      <c r="J656" s="7">
        <v>3</v>
      </c>
      <c r="K656" s="7">
        <v>3</v>
      </c>
      <c r="L656" s="7">
        <v>3</v>
      </c>
      <c r="M656" s="7">
        <v>3.5</v>
      </c>
      <c r="N656" s="7">
        <v>3</v>
      </c>
      <c r="O656" s="7">
        <v>3.5</v>
      </c>
      <c r="P656" s="7">
        <v>3.5</v>
      </c>
      <c r="Q656" t="s">
        <v>1362</v>
      </c>
      <c r="R656" s="7">
        <v>325</v>
      </c>
      <c r="S656" t="str">
        <f xml:space="preserve"> HYPERLINK("ReviewHtml/review_Umi_Monogatari.html", "https://2danicritic.github.io/ReviewHtml/review_Umi_Monogatari.html")</f>
        <v>https://2danicritic.github.io/ReviewHtml/review_Umi_Monogatari.html</v>
      </c>
    </row>
    <row r="657" spans="2:19" x14ac:dyDescent="0.35">
      <c r="B657" s="35">
        <v>654</v>
      </c>
      <c r="C657" t="s">
        <v>1418</v>
      </c>
      <c r="D657" s="7">
        <v>2013</v>
      </c>
      <c r="E657" t="s">
        <v>1554</v>
      </c>
      <c r="F657" t="s">
        <v>948</v>
      </c>
      <c r="G657" t="s">
        <v>1559</v>
      </c>
      <c r="H657" t="s">
        <v>1462</v>
      </c>
      <c r="I657" s="7">
        <v>2.93</v>
      </c>
      <c r="J657" s="7">
        <v>3</v>
      </c>
      <c r="K657" s="7">
        <v>3.5</v>
      </c>
      <c r="L657" s="7">
        <v>3</v>
      </c>
      <c r="M657" s="7">
        <v>3.5</v>
      </c>
      <c r="N657" s="7">
        <v>2.5</v>
      </c>
      <c r="O657" s="7">
        <v>2.5</v>
      </c>
      <c r="P657" s="7">
        <v>2.5</v>
      </c>
      <c r="Q657" t="s">
        <v>1362</v>
      </c>
      <c r="R657" s="7">
        <v>300</v>
      </c>
      <c r="S657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658" spans="2:19" x14ac:dyDescent="0.35">
      <c r="B658" s="35">
        <v>655</v>
      </c>
      <c r="C658" t="s">
        <v>1152</v>
      </c>
      <c r="D658" s="7">
        <v>1983</v>
      </c>
      <c r="E658" t="s">
        <v>1554</v>
      </c>
      <c r="F658" t="s">
        <v>1032</v>
      </c>
      <c r="G658" t="s">
        <v>1557</v>
      </c>
      <c r="H658" t="s">
        <v>1153</v>
      </c>
      <c r="I658" s="7">
        <v>1.86</v>
      </c>
      <c r="J658" s="7">
        <v>2</v>
      </c>
      <c r="K658" s="7">
        <v>3</v>
      </c>
      <c r="L658" s="7">
        <v>1.5</v>
      </c>
      <c r="M658" s="7">
        <v>1.5</v>
      </c>
      <c r="N658" s="7">
        <v>1.5</v>
      </c>
      <c r="O658" s="7">
        <v>1.5</v>
      </c>
      <c r="P658" s="7">
        <v>2</v>
      </c>
      <c r="Q658" t="s">
        <v>240</v>
      </c>
      <c r="R658" s="7">
        <v>91</v>
      </c>
      <c r="S65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659" spans="2:19" x14ac:dyDescent="0.35">
      <c r="B659" s="35">
        <v>656</v>
      </c>
      <c r="C659" t="s">
        <v>2521</v>
      </c>
      <c r="D659" s="7">
        <v>2023</v>
      </c>
      <c r="E659" t="s">
        <v>1556</v>
      </c>
      <c r="F659" t="s">
        <v>2539</v>
      </c>
      <c r="G659" t="s">
        <v>1557</v>
      </c>
      <c r="H659" t="s">
        <v>2539</v>
      </c>
      <c r="I659" s="7">
        <v>2.86</v>
      </c>
      <c r="J659" s="7">
        <v>2</v>
      </c>
      <c r="K659" s="7">
        <v>2.5</v>
      </c>
      <c r="L659" s="7">
        <v>3</v>
      </c>
      <c r="M659" s="7">
        <v>3</v>
      </c>
      <c r="N659" s="7">
        <v>2.5</v>
      </c>
      <c r="O659" s="7">
        <v>4</v>
      </c>
      <c r="P659" s="7">
        <v>3</v>
      </c>
      <c r="Q659" t="s">
        <v>2500</v>
      </c>
      <c r="R659" s="7">
        <v>90</v>
      </c>
      <c r="S659" t="str">
        <f xml:space="preserve"> HYPERLINK("ReviewHtml/review_Unicorn_Boy.html", "https://2danicritic.github.io/ReviewHtml/review_Unicorn_Boy.html")</f>
        <v>https://2danicritic.github.io/ReviewHtml/review_Unicorn_Boy.html</v>
      </c>
    </row>
    <row r="660" spans="2:19" x14ac:dyDescent="0.35">
      <c r="B660" s="35">
        <v>657</v>
      </c>
      <c r="C660" t="s">
        <v>2339</v>
      </c>
      <c r="D660" s="7">
        <v>2022</v>
      </c>
      <c r="E660" t="s">
        <v>1566</v>
      </c>
      <c r="F660" t="s">
        <v>2340</v>
      </c>
      <c r="G660" t="s">
        <v>1557</v>
      </c>
      <c r="H660" t="s">
        <v>2341</v>
      </c>
      <c r="I660" s="7">
        <v>3.29</v>
      </c>
      <c r="J660" s="7">
        <v>3</v>
      </c>
      <c r="K660" s="7">
        <v>3.5</v>
      </c>
      <c r="L660" s="7">
        <v>3.5</v>
      </c>
      <c r="M660" s="7">
        <v>3.5</v>
      </c>
      <c r="N660" s="7">
        <v>3</v>
      </c>
      <c r="O660" s="7">
        <v>3</v>
      </c>
      <c r="P660" s="7">
        <v>3.5</v>
      </c>
      <c r="Q660" t="s">
        <v>2257</v>
      </c>
      <c r="R660" s="7">
        <v>80</v>
      </c>
      <c r="S660" t="str">
        <f xml:space="preserve"> HYPERLINK("ReviewHtml/review_Unicorn_Wars.html", "https://2danicritic.github.io/ReviewHtml/review_Unicorn_Wars.html")</f>
        <v>https://2danicritic.github.io/ReviewHtml/review_Unicorn_Wars.html</v>
      </c>
    </row>
    <row r="661" spans="2:19" x14ac:dyDescent="0.35">
      <c r="B661" s="35">
        <v>658</v>
      </c>
      <c r="C661" t="s">
        <v>2706</v>
      </c>
      <c r="D661" s="7">
        <v>1989</v>
      </c>
      <c r="E661" t="s">
        <v>1554</v>
      </c>
      <c r="F661" t="s">
        <v>1052</v>
      </c>
      <c r="G661" t="s">
        <v>2723</v>
      </c>
      <c r="H661" t="s">
        <v>2724</v>
      </c>
      <c r="I661" s="7">
        <v>2.29</v>
      </c>
      <c r="J661" s="7">
        <v>3</v>
      </c>
      <c r="K661" s="7">
        <v>2.5</v>
      </c>
      <c r="L661" s="7">
        <v>2.5</v>
      </c>
      <c r="M661" s="7">
        <v>2</v>
      </c>
      <c r="N661" s="7">
        <v>2</v>
      </c>
      <c r="O661" s="7">
        <v>2</v>
      </c>
      <c r="P661" s="7">
        <v>2</v>
      </c>
      <c r="Q661" t="s">
        <v>113</v>
      </c>
      <c r="R661" s="7">
        <v>245</v>
      </c>
      <c r="S661" t="str">
        <f xml:space="preserve"> HYPERLINK("ReviewHtml/review_Urotsukidoji_-_Legend_of_the_Overfiend.html", "https://2danicritic.github.io/ReviewHtml/review_Urotsukidoji_-_Legend_of_the_Overfiend.html")</f>
        <v>https://2danicritic.github.io/ReviewHtml/review_Urotsukidoji_-_Legend_of_the_Overfiend.html</v>
      </c>
    </row>
    <row r="662" spans="2:19" x14ac:dyDescent="0.35">
      <c r="B662" s="35">
        <v>659</v>
      </c>
      <c r="C662" t="s">
        <v>1154</v>
      </c>
      <c r="D662" s="7">
        <v>1984</v>
      </c>
      <c r="E662" t="s">
        <v>1554</v>
      </c>
      <c r="F662" t="s">
        <v>1104</v>
      </c>
      <c r="G662" t="s">
        <v>1557</v>
      </c>
      <c r="H662" t="s">
        <v>836</v>
      </c>
      <c r="I662" s="7">
        <v>2.4300000000000002</v>
      </c>
      <c r="J662" s="7">
        <v>2</v>
      </c>
      <c r="K662" s="7">
        <v>2</v>
      </c>
      <c r="L662" s="7">
        <v>2.5</v>
      </c>
      <c r="M662" s="7">
        <v>2.5</v>
      </c>
      <c r="N662" s="7">
        <v>2.5</v>
      </c>
      <c r="O662" s="7">
        <v>2.5</v>
      </c>
      <c r="P662" s="7">
        <v>3</v>
      </c>
      <c r="Q662" t="s">
        <v>302</v>
      </c>
      <c r="R662" s="7">
        <v>97</v>
      </c>
      <c r="S662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663" spans="2:19" x14ac:dyDescent="0.35">
      <c r="B663" s="35">
        <v>660</v>
      </c>
      <c r="C663" t="s">
        <v>1155</v>
      </c>
      <c r="D663" s="7">
        <v>1985</v>
      </c>
      <c r="E663" t="s">
        <v>1554</v>
      </c>
      <c r="F663" t="s">
        <v>1156</v>
      </c>
      <c r="G663" t="s">
        <v>1557</v>
      </c>
      <c r="H663" t="s">
        <v>1157</v>
      </c>
      <c r="I663" s="7">
        <v>2.4300000000000002</v>
      </c>
      <c r="J663" s="7">
        <v>1.5</v>
      </c>
      <c r="K663" s="7">
        <v>2.5</v>
      </c>
      <c r="L663" s="7">
        <v>3</v>
      </c>
      <c r="M663" s="7">
        <v>2</v>
      </c>
      <c r="N663" s="7">
        <v>2.5</v>
      </c>
      <c r="O663" s="7">
        <v>2.5</v>
      </c>
      <c r="P663" s="7">
        <v>3</v>
      </c>
      <c r="Q663" t="s">
        <v>77</v>
      </c>
      <c r="R663" s="7">
        <v>80</v>
      </c>
      <c r="S663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664" spans="2:19" x14ac:dyDescent="0.35">
      <c r="B664" s="35">
        <v>661</v>
      </c>
      <c r="C664" t="s">
        <v>1158</v>
      </c>
      <c r="D664" s="7">
        <v>2000</v>
      </c>
      <c r="E664" t="s">
        <v>1554</v>
      </c>
      <c r="F664" t="s">
        <v>694</v>
      </c>
      <c r="G664" t="s">
        <v>1557</v>
      </c>
      <c r="H664" t="s">
        <v>979</v>
      </c>
      <c r="I664" s="7">
        <v>3.14</v>
      </c>
      <c r="J664" s="7">
        <v>3.5</v>
      </c>
      <c r="K664" s="7">
        <v>3.5</v>
      </c>
      <c r="L664" s="7">
        <v>3</v>
      </c>
      <c r="M664" s="7">
        <v>2</v>
      </c>
      <c r="N664" s="7">
        <v>3.5</v>
      </c>
      <c r="O664" s="7">
        <v>3</v>
      </c>
      <c r="P664" s="7">
        <v>3.5</v>
      </c>
      <c r="Q664" t="s">
        <v>352</v>
      </c>
      <c r="R664" s="7">
        <v>105</v>
      </c>
      <c r="S664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665" spans="2:19" x14ac:dyDescent="0.35">
      <c r="B665" s="35">
        <v>662</v>
      </c>
      <c r="C665" t="s">
        <v>1751</v>
      </c>
      <c r="D665" s="7">
        <v>2018</v>
      </c>
      <c r="E665" t="s">
        <v>1554</v>
      </c>
      <c r="F665" t="s">
        <v>658</v>
      </c>
      <c r="G665" t="s">
        <v>1559</v>
      </c>
      <c r="H665" t="s">
        <v>705</v>
      </c>
      <c r="I665" s="7">
        <v>3.57</v>
      </c>
      <c r="J665" s="7">
        <v>4</v>
      </c>
      <c r="K665" s="7">
        <v>4</v>
      </c>
      <c r="L665" s="7">
        <v>4</v>
      </c>
      <c r="M665" s="7">
        <v>3.5</v>
      </c>
      <c r="N665" s="7">
        <v>3</v>
      </c>
      <c r="O665" s="7">
        <v>3</v>
      </c>
      <c r="P665" s="7">
        <v>3.5</v>
      </c>
      <c r="Q665" t="s">
        <v>59</v>
      </c>
      <c r="R665" s="7">
        <v>325</v>
      </c>
      <c r="S665" t="str">
        <f xml:space="preserve"> HYPERLINK("ReviewHtml/review_Violet_Evergarden.html", "https://2danicritic.github.io/ReviewHtml/review_Violet_Evergarden.html")</f>
        <v>https://2danicritic.github.io/ReviewHtml/review_Violet_Evergarden.html</v>
      </c>
    </row>
    <row r="666" spans="2:19" x14ac:dyDescent="0.35">
      <c r="B666" s="35">
        <v>663</v>
      </c>
      <c r="C666" t="s">
        <v>1967</v>
      </c>
      <c r="D666" s="7">
        <v>2019</v>
      </c>
      <c r="E666" t="s">
        <v>1554</v>
      </c>
      <c r="F666" t="s">
        <v>658</v>
      </c>
      <c r="G666" t="s">
        <v>1557</v>
      </c>
      <c r="H666" t="s">
        <v>1979</v>
      </c>
      <c r="I666" s="7">
        <v>3.36</v>
      </c>
      <c r="J666" s="7">
        <v>3.5</v>
      </c>
      <c r="K666" s="7">
        <v>4</v>
      </c>
      <c r="L666" s="7">
        <v>4</v>
      </c>
      <c r="M666" s="7">
        <v>3</v>
      </c>
      <c r="N666" s="7">
        <v>3</v>
      </c>
      <c r="O666" s="7">
        <v>3</v>
      </c>
      <c r="P666" s="7">
        <v>3</v>
      </c>
      <c r="Q666" t="s">
        <v>1953</v>
      </c>
      <c r="R666" s="7">
        <v>93</v>
      </c>
      <c r="S666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</row>
    <row r="667" spans="2:19" x14ac:dyDescent="0.35">
      <c r="B667" s="35">
        <v>664</v>
      </c>
      <c r="C667" t="s">
        <v>1968</v>
      </c>
      <c r="D667" s="7">
        <v>2020</v>
      </c>
      <c r="E667" t="s">
        <v>1554</v>
      </c>
      <c r="F667" t="s">
        <v>658</v>
      </c>
      <c r="G667" t="s">
        <v>1557</v>
      </c>
      <c r="H667" t="s">
        <v>705</v>
      </c>
      <c r="I667" s="7">
        <v>3.79</v>
      </c>
      <c r="J667" s="7">
        <v>4</v>
      </c>
      <c r="K667" s="7">
        <v>4</v>
      </c>
      <c r="L667" s="7">
        <v>4</v>
      </c>
      <c r="M667" s="7">
        <v>3.5</v>
      </c>
      <c r="N667" s="7">
        <v>3.5</v>
      </c>
      <c r="O667" s="7">
        <v>4</v>
      </c>
      <c r="P667" s="7">
        <v>3.5</v>
      </c>
      <c r="Q667" t="s">
        <v>59</v>
      </c>
      <c r="R667" s="7">
        <v>140</v>
      </c>
      <c r="S667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</row>
    <row r="668" spans="2:19" x14ac:dyDescent="0.35">
      <c r="B668" s="35">
        <v>665</v>
      </c>
      <c r="C668" t="s">
        <v>1159</v>
      </c>
      <c r="D668" s="7">
        <v>2002</v>
      </c>
      <c r="E668" t="s">
        <v>1554</v>
      </c>
      <c r="F668" t="s">
        <v>652</v>
      </c>
      <c r="G668" t="s">
        <v>1560</v>
      </c>
      <c r="H668" t="s">
        <v>653</v>
      </c>
      <c r="I668" s="7">
        <v>3.07</v>
      </c>
      <c r="J668" s="7">
        <v>2.5</v>
      </c>
      <c r="K668" s="7">
        <v>3</v>
      </c>
      <c r="L668" s="7">
        <v>3</v>
      </c>
      <c r="M668" s="7">
        <v>3.5</v>
      </c>
      <c r="N668" s="7">
        <v>3</v>
      </c>
      <c r="O668" s="7">
        <v>2.5</v>
      </c>
      <c r="P668" s="7">
        <v>4</v>
      </c>
      <c r="Q668" t="s">
        <v>303</v>
      </c>
      <c r="R668" s="7">
        <v>25</v>
      </c>
      <c r="S668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669" spans="2:19" x14ac:dyDescent="0.35">
      <c r="B669" s="37">
        <v>666</v>
      </c>
      <c r="C669" t="s">
        <v>1969</v>
      </c>
      <c r="D669" s="7">
        <v>2012</v>
      </c>
      <c r="E669" t="s">
        <v>1554</v>
      </c>
      <c r="F669" t="s">
        <v>670</v>
      </c>
      <c r="G669" t="s">
        <v>1559</v>
      </c>
      <c r="H669" t="s">
        <v>1142</v>
      </c>
      <c r="I669" s="38">
        <v>3.5</v>
      </c>
      <c r="J669" s="7">
        <v>3</v>
      </c>
      <c r="K669" s="7">
        <v>3.5</v>
      </c>
      <c r="L669" s="7">
        <v>3.5</v>
      </c>
      <c r="M669" s="7">
        <v>3</v>
      </c>
      <c r="N669" s="7">
        <v>3.5</v>
      </c>
      <c r="O669" s="7">
        <v>4</v>
      </c>
      <c r="P669" s="7">
        <v>4</v>
      </c>
      <c r="Q669" t="s">
        <v>1757</v>
      </c>
      <c r="R669" s="7">
        <v>325</v>
      </c>
      <c r="S669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</row>
    <row r="670" spans="2:19" x14ac:dyDescent="0.35">
      <c r="B670" s="37">
        <v>667</v>
      </c>
      <c r="C670" t="s">
        <v>1283</v>
      </c>
      <c r="D670" s="7">
        <v>1978</v>
      </c>
      <c r="E670" t="s">
        <v>56</v>
      </c>
      <c r="F670" t="s">
        <v>1293</v>
      </c>
      <c r="G670" t="s">
        <v>1557</v>
      </c>
      <c r="H670" t="s">
        <v>1304</v>
      </c>
      <c r="I670" s="38">
        <v>4.21</v>
      </c>
      <c r="J670" s="7">
        <v>3.5</v>
      </c>
      <c r="K670" s="7">
        <v>3.5</v>
      </c>
      <c r="L670" s="7">
        <v>4</v>
      </c>
      <c r="M670" s="7">
        <v>4.5</v>
      </c>
      <c r="N670" s="7">
        <v>5</v>
      </c>
      <c r="O670" s="7">
        <v>4</v>
      </c>
      <c r="P670" s="7">
        <v>5</v>
      </c>
      <c r="Q670" t="s">
        <v>1223</v>
      </c>
      <c r="R670" s="7">
        <v>91</v>
      </c>
      <c r="S670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671" spans="2:19" x14ac:dyDescent="0.35">
      <c r="B671" s="37">
        <v>668</v>
      </c>
      <c r="C671" t="s">
        <v>1624</v>
      </c>
      <c r="D671" s="7">
        <v>2019</v>
      </c>
      <c r="E671" t="s">
        <v>1554</v>
      </c>
      <c r="F671" t="s">
        <v>1625</v>
      </c>
      <c r="G671" t="s">
        <v>1557</v>
      </c>
      <c r="H671" t="s">
        <v>653</v>
      </c>
      <c r="I671" s="38">
        <v>3.79</v>
      </c>
      <c r="J671" s="7">
        <v>4</v>
      </c>
      <c r="K671" s="7">
        <v>4</v>
      </c>
      <c r="L671" s="7">
        <v>4</v>
      </c>
      <c r="M671" s="7">
        <v>3.5</v>
      </c>
      <c r="N671" s="7">
        <v>3.5</v>
      </c>
      <c r="O671" s="7">
        <v>4</v>
      </c>
      <c r="P671" s="7">
        <v>3.5</v>
      </c>
      <c r="Q671" t="s">
        <v>1551</v>
      </c>
      <c r="R671" s="7">
        <v>112</v>
      </c>
      <c r="S671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</row>
    <row r="672" spans="2:19" x14ac:dyDescent="0.35">
      <c r="B672" s="37">
        <v>669</v>
      </c>
      <c r="C672" t="s">
        <v>1160</v>
      </c>
      <c r="D672" s="7">
        <v>2006</v>
      </c>
      <c r="E672" t="s">
        <v>1554</v>
      </c>
      <c r="F672" t="s">
        <v>664</v>
      </c>
      <c r="G672" t="s">
        <v>1559</v>
      </c>
      <c r="H672" t="s">
        <v>1161</v>
      </c>
      <c r="I672" s="38">
        <v>3.43</v>
      </c>
      <c r="J672" s="7">
        <v>3</v>
      </c>
      <c r="K672" s="7">
        <v>3</v>
      </c>
      <c r="L672" s="7">
        <v>3.5</v>
      </c>
      <c r="M672" s="7">
        <v>3</v>
      </c>
      <c r="N672" s="7">
        <v>3.5</v>
      </c>
      <c r="O672" s="7">
        <v>4</v>
      </c>
      <c r="P672" s="7">
        <v>4</v>
      </c>
      <c r="Q672" t="s">
        <v>304</v>
      </c>
      <c r="R672" s="7">
        <v>600</v>
      </c>
      <c r="S672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673" spans="2:19" x14ac:dyDescent="0.35">
      <c r="B673" s="37">
        <v>670</v>
      </c>
      <c r="C673" t="s">
        <v>1626</v>
      </c>
      <c r="D673" s="7">
        <v>2010</v>
      </c>
      <c r="E673" t="s">
        <v>1554</v>
      </c>
      <c r="F673" t="s">
        <v>715</v>
      </c>
      <c r="G673" t="s">
        <v>1557</v>
      </c>
      <c r="H673" t="s">
        <v>1627</v>
      </c>
      <c r="I673" s="38">
        <v>3.14</v>
      </c>
      <c r="J673" s="7">
        <v>3.5</v>
      </c>
      <c r="K673" s="7">
        <v>3.5</v>
      </c>
      <c r="L673" s="7">
        <v>3</v>
      </c>
      <c r="M673" s="7">
        <v>3</v>
      </c>
      <c r="N673" s="7">
        <v>3</v>
      </c>
      <c r="O673" s="7">
        <v>3</v>
      </c>
      <c r="P673" s="7">
        <v>3</v>
      </c>
      <c r="Q673" t="s">
        <v>1552</v>
      </c>
      <c r="R673" s="7">
        <v>136</v>
      </c>
      <c r="S673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</row>
    <row r="674" spans="2:19" x14ac:dyDescent="0.35">
      <c r="B674" s="37">
        <v>671</v>
      </c>
      <c r="C674" t="s">
        <v>2522</v>
      </c>
      <c r="D674" s="7">
        <v>2023</v>
      </c>
      <c r="E674" t="s">
        <v>1607</v>
      </c>
      <c r="F674" t="s">
        <v>2540</v>
      </c>
      <c r="G674" t="s">
        <v>1557</v>
      </c>
      <c r="H674" t="s">
        <v>2541</v>
      </c>
      <c r="I674" s="38">
        <v>1.79</v>
      </c>
      <c r="J674" s="7">
        <v>1.5</v>
      </c>
      <c r="K674" s="7">
        <v>1.5</v>
      </c>
      <c r="L674" s="7">
        <v>2</v>
      </c>
      <c r="M674" s="7">
        <v>2.5</v>
      </c>
      <c r="N674" s="7">
        <v>2</v>
      </c>
      <c r="O674" s="7">
        <v>1.5</v>
      </c>
      <c r="P674" s="7">
        <v>1.5</v>
      </c>
      <c r="Q674" t="s">
        <v>246</v>
      </c>
      <c r="R674" s="7">
        <v>96</v>
      </c>
      <c r="S674" t="str">
        <f xml:space="preserve"> HYPERLINK("ReviewHtml/review_When_Adam_Changes.html", "https://2danicritic.github.io/ReviewHtml/review_When_Adam_Changes.html")</f>
        <v>https://2danicritic.github.io/ReviewHtml/review_When_Adam_Changes.html</v>
      </c>
    </row>
    <row r="675" spans="2:19" x14ac:dyDescent="0.35">
      <c r="B675" s="37">
        <v>672</v>
      </c>
      <c r="C675" t="s">
        <v>1162</v>
      </c>
      <c r="D675" s="7">
        <v>2014</v>
      </c>
      <c r="E675" t="s">
        <v>1554</v>
      </c>
      <c r="F675" t="s">
        <v>747</v>
      </c>
      <c r="G675" t="s">
        <v>1557</v>
      </c>
      <c r="H675" t="s">
        <v>194</v>
      </c>
      <c r="I675" s="38">
        <v>3.64</v>
      </c>
      <c r="J675" s="7">
        <v>4</v>
      </c>
      <c r="K675" s="7">
        <v>3.5</v>
      </c>
      <c r="L675" s="7">
        <v>3.5</v>
      </c>
      <c r="M675" s="7">
        <v>4</v>
      </c>
      <c r="N675" s="7">
        <v>3.5</v>
      </c>
      <c r="O675" s="7">
        <v>3</v>
      </c>
      <c r="P675" s="7">
        <v>4</v>
      </c>
      <c r="Q675" t="s">
        <v>305</v>
      </c>
      <c r="R675" s="7">
        <v>103</v>
      </c>
      <c r="S675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676" spans="2:19" x14ac:dyDescent="0.35">
      <c r="B676" s="37">
        <v>673</v>
      </c>
      <c r="C676" t="s">
        <v>1163</v>
      </c>
      <c r="D676" s="7">
        <v>1986</v>
      </c>
      <c r="E676" t="s">
        <v>56</v>
      </c>
      <c r="F676" t="s">
        <v>1164</v>
      </c>
      <c r="G676" t="s">
        <v>1557</v>
      </c>
      <c r="H676" t="s">
        <v>1165</v>
      </c>
      <c r="I676" s="38">
        <v>3.79</v>
      </c>
      <c r="J676" s="7">
        <v>4</v>
      </c>
      <c r="K676" s="7">
        <v>4</v>
      </c>
      <c r="L676" s="7">
        <v>4</v>
      </c>
      <c r="M676" s="7">
        <v>4</v>
      </c>
      <c r="N676" s="7">
        <v>3.5</v>
      </c>
      <c r="O676" s="7">
        <v>3</v>
      </c>
      <c r="P676" s="7">
        <v>4</v>
      </c>
      <c r="Q676" t="s">
        <v>306</v>
      </c>
      <c r="R676" s="7">
        <v>85</v>
      </c>
      <c r="S676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677" spans="2:19" x14ac:dyDescent="0.35">
      <c r="B677" s="37">
        <v>674</v>
      </c>
      <c r="C677" t="s">
        <v>1166</v>
      </c>
      <c r="D677" s="7">
        <v>1995</v>
      </c>
      <c r="E677" t="s">
        <v>1554</v>
      </c>
      <c r="F677" t="s">
        <v>747</v>
      </c>
      <c r="G677" t="s">
        <v>1557</v>
      </c>
      <c r="H677" t="s">
        <v>1167</v>
      </c>
      <c r="I677" s="38">
        <v>4.07</v>
      </c>
      <c r="J677" s="7">
        <v>3.5</v>
      </c>
      <c r="K677" s="7">
        <v>3</v>
      </c>
      <c r="L677" s="7">
        <v>4</v>
      </c>
      <c r="M677" s="7">
        <v>3.5</v>
      </c>
      <c r="N677" s="7">
        <v>5</v>
      </c>
      <c r="O677" s="7">
        <v>4.5</v>
      </c>
      <c r="P677" s="7">
        <v>5</v>
      </c>
      <c r="Q677" t="s">
        <v>307</v>
      </c>
      <c r="R677" s="7">
        <v>111</v>
      </c>
      <c r="S677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678" spans="2:19" x14ac:dyDescent="0.35">
      <c r="B678" s="37">
        <v>675</v>
      </c>
      <c r="C678" t="s">
        <v>2523</v>
      </c>
      <c r="D678" s="7">
        <v>2023</v>
      </c>
      <c r="E678" t="s">
        <v>1609</v>
      </c>
      <c r="F678" t="s">
        <v>2542</v>
      </c>
      <c r="G678" t="s">
        <v>1557</v>
      </c>
      <c r="H678" t="s">
        <v>2501</v>
      </c>
      <c r="I678" s="38">
        <v>3.5</v>
      </c>
      <c r="J678" s="7">
        <v>3</v>
      </c>
      <c r="K678" s="7">
        <v>3.5</v>
      </c>
      <c r="L678" s="7">
        <v>4</v>
      </c>
      <c r="M678" s="7">
        <v>4</v>
      </c>
      <c r="N678" s="7">
        <v>3.5</v>
      </c>
      <c r="O678" s="7">
        <v>3</v>
      </c>
      <c r="P678" s="7">
        <v>3.5</v>
      </c>
      <c r="Q678" t="s">
        <v>2502</v>
      </c>
      <c r="R678" s="7">
        <v>110</v>
      </c>
      <c r="S678" t="str">
        <f xml:space="preserve"> HYPERLINK("ReviewHtml/review_White_Plastic_Sky.html", "https://2danicritic.github.io/ReviewHtml/review_White_Plastic_Sky.html")</f>
        <v>https://2danicritic.github.io/ReviewHtml/review_White_Plastic_Sky.html</v>
      </c>
    </row>
    <row r="679" spans="2:19" x14ac:dyDescent="0.35">
      <c r="B679" s="37">
        <v>676</v>
      </c>
      <c r="C679" t="s">
        <v>1168</v>
      </c>
      <c r="D679" s="7">
        <v>2016</v>
      </c>
      <c r="E679" t="s">
        <v>1607</v>
      </c>
      <c r="F679" t="s">
        <v>1169</v>
      </c>
      <c r="G679" t="s">
        <v>1557</v>
      </c>
      <c r="H679" t="s">
        <v>1170</v>
      </c>
      <c r="I679" s="38">
        <v>3.14</v>
      </c>
      <c r="J679" s="7">
        <v>2</v>
      </c>
      <c r="K679" s="7">
        <v>2</v>
      </c>
      <c r="L679" s="7">
        <v>2.5</v>
      </c>
      <c r="M679" s="7">
        <v>4</v>
      </c>
      <c r="N679" s="7">
        <v>4</v>
      </c>
      <c r="O679" s="7">
        <v>3.5</v>
      </c>
      <c r="P679" s="7">
        <v>4</v>
      </c>
      <c r="Q679" t="s">
        <v>110</v>
      </c>
      <c r="R679" s="7">
        <v>89</v>
      </c>
      <c r="S67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680" spans="2:19" x14ac:dyDescent="0.35">
      <c r="B680" s="37">
        <v>677</v>
      </c>
      <c r="C680" t="s">
        <v>1419</v>
      </c>
      <c r="D680" s="7">
        <v>2004</v>
      </c>
      <c r="E680" t="s">
        <v>1554</v>
      </c>
      <c r="F680" t="s">
        <v>731</v>
      </c>
      <c r="G680" t="s">
        <v>1559</v>
      </c>
      <c r="H680" t="s">
        <v>1463</v>
      </c>
      <c r="I680" s="38">
        <v>2.4300000000000002</v>
      </c>
      <c r="J680" s="7">
        <v>2</v>
      </c>
      <c r="K680" s="7">
        <v>2.5</v>
      </c>
      <c r="L680" s="7">
        <v>2.5</v>
      </c>
      <c r="M680" s="7">
        <v>3</v>
      </c>
      <c r="N680" s="7">
        <v>2.5</v>
      </c>
      <c r="O680" s="7">
        <v>2</v>
      </c>
      <c r="P680" s="7">
        <v>2.5</v>
      </c>
      <c r="Q680" t="s">
        <v>1363</v>
      </c>
      <c r="R680" s="7">
        <v>325</v>
      </c>
      <c r="S680" t="str">
        <f xml:space="preserve"> HYPERLINK("ReviewHtml/review_Windy_Tales.html", "https://2danicritic.github.io/ReviewHtml/review_Windy_Tales.html")</f>
        <v>https://2danicritic.github.io/ReviewHtml/review_Windy_Tales.html</v>
      </c>
    </row>
    <row r="681" spans="2:19" x14ac:dyDescent="0.35">
      <c r="B681" s="37">
        <v>678</v>
      </c>
      <c r="C681" t="s">
        <v>2342</v>
      </c>
      <c r="D681" s="7">
        <v>2011</v>
      </c>
      <c r="E681" t="s">
        <v>1556</v>
      </c>
      <c r="F681" t="s">
        <v>2260</v>
      </c>
      <c r="G681" t="s">
        <v>1557</v>
      </c>
      <c r="H681" t="s">
        <v>2258</v>
      </c>
      <c r="I681" s="38">
        <v>3.71</v>
      </c>
      <c r="J681" s="7">
        <v>3.5</v>
      </c>
      <c r="K681" s="7">
        <v>3.5</v>
      </c>
      <c r="L681" s="7">
        <v>4</v>
      </c>
      <c r="M681" s="7">
        <v>4</v>
      </c>
      <c r="N681" s="7">
        <v>3</v>
      </c>
      <c r="O681" s="7">
        <v>4</v>
      </c>
      <c r="P681" s="7">
        <v>4</v>
      </c>
      <c r="Q681" t="s">
        <v>184</v>
      </c>
      <c r="R681" s="7">
        <v>63</v>
      </c>
      <c r="S681" t="str">
        <f xml:space="preserve"> HYPERLINK("ReviewHtml/review_Winnie_the_Pooh.html", "https://2danicritic.github.io/ReviewHtml/review_Winnie_the_Pooh.html")</f>
        <v>https://2danicritic.github.io/ReviewHtml/review_Winnie_the_Pooh.html</v>
      </c>
    </row>
    <row r="682" spans="2:19" x14ac:dyDescent="0.35">
      <c r="B682" s="37">
        <v>679</v>
      </c>
      <c r="C682" t="s">
        <v>1970</v>
      </c>
      <c r="D682" s="7">
        <v>2014</v>
      </c>
      <c r="E682" t="s">
        <v>1554</v>
      </c>
      <c r="F682" t="s">
        <v>1980</v>
      </c>
      <c r="G682" t="s">
        <v>1559</v>
      </c>
      <c r="H682" t="s">
        <v>939</v>
      </c>
      <c r="I682" s="38">
        <v>3.14</v>
      </c>
      <c r="J682" s="7">
        <v>4</v>
      </c>
      <c r="K682" s="7">
        <v>3.5</v>
      </c>
      <c r="L682" s="7">
        <v>3</v>
      </c>
      <c r="M682" s="7">
        <v>2.5</v>
      </c>
      <c r="N682" s="7">
        <v>2.5</v>
      </c>
      <c r="O682" s="7">
        <v>3</v>
      </c>
      <c r="P682" s="7">
        <v>3.5</v>
      </c>
      <c r="Q682" t="s">
        <v>1954</v>
      </c>
      <c r="R682" s="7">
        <v>300</v>
      </c>
      <c r="S682" t="str">
        <f xml:space="preserve"> HYPERLINK("ReviewHtml/review_Wizard_Barristers.html", "https://2danicritic.github.io/ReviewHtml/review_Wizard_Barristers.html")</f>
        <v>https://2danicritic.github.io/ReviewHtml/review_Wizard_Barristers.html</v>
      </c>
    </row>
    <row r="683" spans="2:19" x14ac:dyDescent="0.35">
      <c r="B683" s="37">
        <v>680</v>
      </c>
      <c r="C683" t="s">
        <v>1171</v>
      </c>
      <c r="D683" s="7">
        <v>1977</v>
      </c>
      <c r="E683" t="s">
        <v>1556</v>
      </c>
      <c r="F683" t="s">
        <v>1172</v>
      </c>
      <c r="G683" t="s">
        <v>1557</v>
      </c>
      <c r="H683" t="s">
        <v>1173</v>
      </c>
      <c r="I683" s="38">
        <v>1.79</v>
      </c>
      <c r="J683" s="7">
        <v>1.5</v>
      </c>
      <c r="K683" s="7">
        <v>2.5</v>
      </c>
      <c r="L683" s="7">
        <v>2.5</v>
      </c>
      <c r="M683" s="7">
        <v>2.5</v>
      </c>
      <c r="N683" s="7">
        <v>1</v>
      </c>
      <c r="O683" s="7">
        <v>1.5</v>
      </c>
      <c r="P683" s="7">
        <v>1</v>
      </c>
      <c r="Q683" t="s">
        <v>265</v>
      </c>
      <c r="R683" s="7">
        <v>80</v>
      </c>
      <c r="S683" t="str">
        <f xml:space="preserve"> HYPERLINK("ReviewHtml/review_Wizards.html", "https://2danicritic.github.io/ReviewHtml/review_Wizards.html")</f>
        <v>https://2danicritic.github.io/ReviewHtml/review_Wizards.html</v>
      </c>
    </row>
    <row r="684" spans="2:19" x14ac:dyDescent="0.35">
      <c r="B684" s="37">
        <v>681</v>
      </c>
      <c r="C684" t="s">
        <v>1174</v>
      </c>
      <c r="D684" s="7">
        <v>2012</v>
      </c>
      <c r="E684" t="s">
        <v>1554</v>
      </c>
      <c r="F684" t="s">
        <v>1175</v>
      </c>
      <c r="G684" t="s">
        <v>1557</v>
      </c>
      <c r="H684" t="s">
        <v>945</v>
      </c>
      <c r="I684" s="38">
        <v>4.21</v>
      </c>
      <c r="J684" s="7">
        <v>4</v>
      </c>
      <c r="K684" s="7">
        <v>4.5</v>
      </c>
      <c r="L684" s="7">
        <v>3.5</v>
      </c>
      <c r="M684" s="7">
        <v>4.5</v>
      </c>
      <c r="N684" s="7">
        <v>4.5</v>
      </c>
      <c r="O684" s="7">
        <v>3.5</v>
      </c>
      <c r="P684" s="7">
        <v>5</v>
      </c>
      <c r="Q684" t="s">
        <v>308</v>
      </c>
      <c r="R684" s="7">
        <v>117</v>
      </c>
      <c r="S684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685" spans="2:19" x14ac:dyDescent="0.35">
      <c r="B685" s="37">
        <v>682</v>
      </c>
      <c r="C685" t="s">
        <v>1922</v>
      </c>
      <c r="D685" s="7">
        <v>2020</v>
      </c>
      <c r="E685" t="s">
        <v>1613</v>
      </c>
      <c r="F685" t="s">
        <v>1055</v>
      </c>
      <c r="G685" t="s">
        <v>1557</v>
      </c>
      <c r="H685" t="s">
        <v>1885</v>
      </c>
      <c r="I685" s="38">
        <v>3.86</v>
      </c>
      <c r="J685" s="7">
        <v>3.5</v>
      </c>
      <c r="K685" s="7">
        <v>4</v>
      </c>
      <c r="L685" s="7">
        <v>4.5</v>
      </c>
      <c r="M685" s="7">
        <v>3.5</v>
      </c>
      <c r="N685" s="7">
        <v>3.5</v>
      </c>
      <c r="O685" s="7">
        <v>4</v>
      </c>
      <c r="P685" s="7">
        <v>4</v>
      </c>
      <c r="Q685" t="s">
        <v>1886</v>
      </c>
      <c r="R685" s="7">
        <v>103</v>
      </c>
      <c r="S685" t="str">
        <f xml:space="preserve"> HYPERLINK("ReviewHtml/review_Wolfwalkers.html", "https://2danicritic.github.io/ReviewHtml/review_Wolfwalkers.html")</f>
        <v>https://2danicritic.github.io/ReviewHtml/review_Wolfwalkers.html</v>
      </c>
    </row>
    <row r="686" spans="2:19" x14ac:dyDescent="0.35">
      <c r="B686" s="37">
        <v>683</v>
      </c>
      <c r="C686" t="s">
        <v>2459</v>
      </c>
      <c r="D686" s="7">
        <v>2021</v>
      </c>
      <c r="E686" t="s">
        <v>1554</v>
      </c>
      <c r="F686" t="s">
        <v>1976</v>
      </c>
      <c r="G686" t="s">
        <v>1559</v>
      </c>
      <c r="H686" t="s">
        <v>2460</v>
      </c>
      <c r="I686" s="38">
        <v>3.79</v>
      </c>
      <c r="J686" s="7">
        <v>3.5</v>
      </c>
      <c r="K686" s="7">
        <v>4</v>
      </c>
      <c r="L686" s="7">
        <v>3.5</v>
      </c>
      <c r="M686" s="7">
        <v>3.5</v>
      </c>
      <c r="N686" s="7">
        <v>4</v>
      </c>
      <c r="O686" s="7">
        <v>4</v>
      </c>
      <c r="P686" s="7">
        <v>4</v>
      </c>
      <c r="Q686" t="s">
        <v>2461</v>
      </c>
      <c r="R686" s="7">
        <v>325</v>
      </c>
      <c r="S686" t="str">
        <f xml:space="preserve"> HYPERLINK("ReviewHtml/review_Wonder_Egg_Priority.html", "https://2danicritic.github.io/ReviewHtml/review_Wonder_Egg_Priority.html")</f>
        <v>https://2danicritic.github.io/ReviewHtml/review_Wonder_Egg_Priority.html</v>
      </c>
    </row>
    <row r="687" spans="2:19" x14ac:dyDescent="0.35">
      <c r="B687" s="37">
        <v>684</v>
      </c>
      <c r="C687" t="s">
        <v>1176</v>
      </c>
      <c r="D687" s="7">
        <v>2011</v>
      </c>
      <c r="E687" t="s">
        <v>1566</v>
      </c>
      <c r="F687" t="s">
        <v>1177</v>
      </c>
      <c r="G687" t="s">
        <v>1557</v>
      </c>
      <c r="H687" t="s">
        <v>1178</v>
      </c>
      <c r="I687" s="38">
        <v>3.5</v>
      </c>
      <c r="J687" s="7">
        <v>3</v>
      </c>
      <c r="K687" s="7">
        <v>3</v>
      </c>
      <c r="L687" s="7">
        <v>3.5</v>
      </c>
      <c r="M687" s="7">
        <v>4</v>
      </c>
      <c r="N687" s="7">
        <v>4.5</v>
      </c>
      <c r="O687" s="7">
        <v>3.5</v>
      </c>
      <c r="P687" s="7">
        <v>3</v>
      </c>
      <c r="Q687" t="s">
        <v>246</v>
      </c>
      <c r="R687" s="7">
        <v>89</v>
      </c>
      <c r="S687" t="str">
        <f xml:space="preserve"> HYPERLINK("ReviewHtml/review_Wrinkles.html", "https://2danicritic.github.io/ReviewHtml/review_Wrinkles.html")</f>
        <v>https://2danicritic.github.io/ReviewHtml/review_Wrinkles.html</v>
      </c>
    </row>
    <row r="688" spans="2:19" x14ac:dyDescent="0.35">
      <c r="B688" s="37">
        <v>685</v>
      </c>
      <c r="C688" t="s">
        <v>1420</v>
      </c>
      <c r="D688" s="7">
        <v>2001</v>
      </c>
      <c r="E688" t="s">
        <v>1554</v>
      </c>
      <c r="F688" t="s">
        <v>694</v>
      </c>
      <c r="G688" t="s">
        <v>1559</v>
      </c>
      <c r="H688" t="s">
        <v>979</v>
      </c>
      <c r="I688" s="38">
        <v>2.4300000000000002</v>
      </c>
      <c r="J688" s="7">
        <v>2.5</v>
      </c>
      <c r="K688" s="7">
        <v>3.5</v>
      </c>
      <c r="L688" s="7">
        <v>3.5</v>
      </c>
      <c r="M688" s="7">
        <v>2.5</v>
      </c>
      <c r="N688" s="7">
        <v>1.5</v>
      </c>
      <c r="O688" s="7">
        <v>1.5</v>
      </c>
      <c r="P688" s="7">
        <v>2</v>
      </c>
      <c r="Q688" t="s">
        <v>1336</v>
      </c>
      <c r="R688" s="7">
        <v>625</v>
      </c>
      <c r="S688" t="str">
        <f xml:space="preserve"> HYPERLINK("ReviewHtml/review_X.html", "https://2danicritic.github.io/ReviewHtml/review_X.html")</f>
        <v>https://2danicritic.github.io/ReviewHtml/review_X.html</v>
      </c>
    </row>
    <row r="689" spans="2:19" x14ac:dyDescent="0.35">
      <c r="B689" s="37">
        <v>686</v>
      </c>
      <c r="C689" t="s">
        <v>1628</v>
      </c>
      <c r="D689" s="7">
        <v>1996</v>
      </c>
      <c r="E689" t="s">
        <v>1554</v>
      </c>
      <c r="F689" t="s">
        <v>694</v>
      </c>
      <c r="G689" t="s">
        <v>1557</v>
      </c>
      <c r="H689" t="s">
        <v>936</v>
      </c>
      <c r="I689" s="38">
        <v>2.36</v>
      </c>
      <c r="J689" s="7">
        <v>3.5</v>
      </c>
      <c r="K689" s="7">
        <v>3.5</v>
      </c>
      <c r="L689" s="7">
        <v>2.5</v>
      </c>
      <c r="M689" s="7">
        <v>1.5</v>
      </c>
      <c r="N689" s="7">
        <v>1.5</v>
      </c>
      <c r="O689" s="7">
        <v>2</v>
      </c>
      <c r="P689" s="7">
        <v>2</v>
      </c>
      <c r="Q689" t="s">
        <v>1553</v>
      </c>
      <c r="R689" s="7">
        <v>100</v>
      </c>
      <c r="S689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690" spans="2:19" x14ac:dyDescent="0.35">
      <c r="B690" s="37">
        <v>687</v>
      </c>
      <c r="C690" t="s">
        <v>1179</v>
      </c>
      <c r="D690" s="7">
        <v>2006</v>
      </c>
      <c r="E690" t="s">
        <v>1554</v>
      </c>
      <c r="F690" t="s">
        <v>731</v>
      </c>
      <c r="G690" t="s">
        <v>1559</v>
      </c>
      <c r="H690" t="s">
        <v>1018</v>
      </c>
      <c r="I690" s="38">
        <v>2.36</v>
      </c>
      <c r="J690" s="7">
        <v>3</v>
      </c>
      <c r="K690" s="7">
        <v>3.5</v>
      </c>
      <c r="L690" s="7">
        <v>2.5</v>
      </c>
      <c r="M690" s="7">
        <v>2</v>
      </c>
      <c r="N690" s="7">
        <v>2</v>
      </c>
      <c r="O690" s="7">
        <v>1.5</v>
      </c>
      <c r="P690" s="7">
        <v>2</v>
      </c>
      <c r="Q690" t="s">
        <v>309</v>
      </c>
      <c r="R690" s="7">
        <v>600</v>
      </c>
      <c r="S690" t="str">
        <f xml:space="preserve"> HYPERLINK("ReviewHtml/review_xxxHolic.html", "https://2danicritic.github.io/ReviewHtml/review_xxxHolic.html")</f>
        <v>https://2danicritic.github.io/ReviewHtml/review_xxxHolic.html</v>
      </c>
    </row>
    <row r="691" spans="2:19" x14ac:dyDescent="0.35">
      <c r="B691" s="37">
        <v>688</v>
      </c>
      <c r="C691" t="s">
        <v>1752</v>
      </c>
      <c r="D691" s="7">
        <v>2015</v>
      </c>
      <c r="E691" t="s">
        <v>1554</v>
      </c>
      <c r="F691" t="s">
        <v>1753</v>
      </c>
      <c r="G691" t="s">
        <v>1559</v>
      </c>
      <c r="H691" t="s">
        <v>1754</v>
      </c>
      <c r="I691" s="38">
        <v>3.14</v>
      </c>
      <c r="J691" s="7">
        <v>2</v>
      </c>
      <c r="K691" s="7">
        <v>2.5</v>
      </c>
      <c r="L691" s="7">
        <v>2.5</v>
      </c>
      <c r="M691" s="7">
        <v>3.5</v>
      </c>
      <c r="N691" s="7">
        <v>3.5</v>
      </c>
      <c r="O691" s="7">
        <v>4.5</v>
      </c>
      <c r="P691" s="7">
        <v>3.5</v>
      </c>
      <c r="Q691" t="s">
        <v>1677</v>
      </c>
      <c r="R691" s="7">
        <v>300</v>
      </c>
      <c r="S691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692" spans="2:19" x14ac:dyDescent="0.35">
      <c r="B692" s="37">
        <v>689</v>
      </c>
      <c r="C692" t="s">
        <v>1180</v>
      </c>
      <c r="D692" s="7">
        <v>1968</v>
      </c>
      <c r="E692" t="s">
        <v>56</v>
      </c>
      <c r="F692" t="s">
        <v>1181</v>
      </c>
      <c r="G692" t="s">
        <v>1557</v>
      </c>
      <c r="H692" t="s">
        <v>1182</v>
      </c>
      <c r="I692" s="38">
        <v>3.79</v>
      </c>
      <c r="J692" s="7">
        <v>2</v>
      </c>
      <c r="K692" s="7">
        <v>4</v>
      </c>
      <c r="L692" s="7">
        <v>4</v>
      </c>
      <c r="M692" s="7">
        <v>4</v>
      </c>
      <c r="N692" s="7">
        <v>3.5</v>
      </c>
      <c r="O692" s="7">
        <v>4</v>
      </c>
      <c r="P692" s="7">
        <v>5</v>
      </c>
      <c r="Q692" t="s">
        <v>310</v>
      </c>
      <c r="R692" s="7">
        <v>87</v>
      </c>
      <c r="S692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693" spans="2:19" x14ac:dyDescent="0.35">
      <c r="B693" s="37">
        <v>690</v>
      </c>
      <c r="C693" t="s">
        <v>2663</v>
      </c>
      <c r="D693" s="7">
        <v>2024</v>
      </c>
      <c r="E693" t="s">
        <v>1567</v>
      </c>
      <c r="F693" t="s">
        <v>2664</v>
      </c>
      <c r="G693" t="s">
        <v>1557</v>
      </c>
      <c r="H693" t="s">
        <v>2665</v>
      </c>
      <c r="I693" s="38">
        <v>3.43</v>
      </c>
      <c r="J693" s="7">
        <v>3</v>
      </c>
      <c r="K693" s="7">
        <v>3</v>
      </c>
      <c r="L693" s="7">
        <v>3.5</v>
      </c>
      <c r="M693" s="7">
        <v>3.5</v>
      </c>
      <c r="N693" s="7">
        <v>3.5</v>
      </c>
      <c r="O693" s="7">
        <v>4</v>
      </c>
      <c r="P693" s="7">
        <v>3.5</v>
      </c>
      <c r="Q693" t="s">
        <v>2636</v>
      </c>
      <c r="R693" s="7">
        <v>100</v>
      </c>
      <c r="S693" t="str">
        <f xml:space="preserve"> HYPERLINK("ReviewHtml/review_Your_Letter.html", "https://2danicritic.github.io/ReviewHtml/review_Your_Letter.html")</f>
        <v>https://2danicritic.github.io/ReviewHtml/review_Your_Letter.html</v>
      </c>
    </row>
    <row r="694" spans="2:19" x14ac:dyDescent="0.35">
      <c r="B694" s="37">
        <v>691</v>
      </c>
      <c r="C694" t="s">
        <v>1183</v>
      </c>
      <c r="D694" s="7">
        <v>2016</v>
      </c>
      <c r="E694" t="s">
        <v>1554</v>
      </c>
      <c r="F694" t="s">
        <v>652</v>
      </c>
      <c r="G694" t="s">
        <v>1557</v>
      </c>
      <c r="H694" t="s">
        <v>653</v>
      </c>
      <c r="I694" s="38">
        <v>4.29</v>
      </c>
      <c r="J694" s="7">
        <v>4.5</v>
      </c>
      <c r="K694" s="7">
        <v>4.5</v>
      </c>
      <c r="L694" s="7">
        <v>4</v>
      </c>
      <c r="M694" s="7">
        <v>4</v>
      </c>
      <c r="N694" s="7">
        <v>4</v>
      </c>
      <c r="O694" s="7">
        <v>4</v>
      </c>
      <c r="P694" s="7">
        <v>5</v>
      </c>
      <c r="Q694" t="s">
        <v>280</v>
      </c>
      <c r="R694" s="7">
        <v>107</v>
      </c>
      <c r="S694" t="str">
        <f xml:space="preserve"> HYPERLINK("ReviewHtml/review_Your_Name..html", "https://2danicritic.github.io/ReviewHtml/review_Your_Name..html")</f>
        <v>https://2danicritic.github.io/ReviewHtml/review_Your_Name..html</v>
      </c>
    </row>
    <row r="695" spans="2:19" x14ac:dyDescent="0.35">
      <c r="B695" s="37">
        <v>692</v>
      </c>
      <c r="C695" t="s">
        <v>2707</v>
      </c>
      <c r="D695" s="7">
        <v>2016</v>
      </c>
      <c r="E695" t="s">
        <v>1554</v>
      </c>
      <c r="F695" t="s">
        <v>2725</v>
      </c>
      <c r="G695" t="s">
        <v>1557</v>
      </c>
      <c r="H695" t="s">
        <v>2726</v>
      </c>
      <c r="I695" s="38">
        <v>3.57</v>
      </c>
      <c r="J695" s="7">
        <v>3</v>
      </c>
      <c r="K695" s="7">
        <v>3.5</v>
      </c>
      <c r="L695" s="7">
        <v>3.5</v>
      </c>
      <c r="M695" s="7">
        <v>3.5</v>
      </c>
      <c r="N695" s="7">
        <v>3</v>
      </c>
      <c r="O695" s="7">
        <v>4</v>
      </c>
      <c r="P695" s="7">
        <v>4.5</v>
      </c>
      <c r="Q695" t="s">
        <v>2691</v>
      </c>
      <c r="R695" s="7">
        <v>129</v>
      </c>
      <c r="S695" t="str">
        <f xml:space="preserve"> HYPERLINK("ReviewHtml/review_Yu-Gi-Oh_-_The_Dark_Side_of_Dimensions.html", "https://2danicritic.github.io/ReviewHtml/review_Yu-Gi-Oh_-_The_Dark_Side_of_Dimensions.html")</f>
        <v>https://2danicritic.github.io/ReviewHtml/review_Yu-Gi-Oh_-_The_Dark_Side_of_Dimensions.html</v>
      </c>
    </row>
    <row r="696" spans="2:19" x14ac:dyDescent="0.35">
      <c r="B696" s="37">
        <v>693</v>
      </c>
      <c r="C696" t="s">
        <v>2708</v>
      </c>
      <c r="D696" s="7">
        <v>2004</v>
      </c>
      <c r="E696" t="s">
        <v>1554</v>
      </c>
      <c r="F696" t="s">
        <v>2725</v>
      </c>
      <c r="G696" t="s">
        <v>1557</v>
      </c>
      <c r="H696" t="s">
        <v>2692</v>
      </c>
      <c r="I696" s="38">
        <v>2.5</v>
      </c>
      <c r="J696" s="7">
        <v>2</v>
      </c>
      <c r="K696" s="7">
        <v>2.5</v>
      </c>
      <c r="L696" s="7">
        <v>2.5</v>
      </c>
      <c r="M696" s="7">
        <v>3</v>
      </c>
      <c r="N696" s="7">
        <v>2</v>
      </c>
      <c r="O696" s="7">
        <v>3</v>
      </c>
      <c r="P696" s="7">
        <v>2.5</v>
      </c>
      <c r="Q696" t="s">
        <v>2693</v>
      </c>
      <c r="R696" s="7">
        <v>140</v>
      </c>
      <c r="S696" t="str">
        <f xml:space="preserve"> HYPERLINK("ReviewHtml/review_Yu-Gi-Oh_-_The_Movie,_Bonds_Beyond_Time.html", "https://2danicritic.github.io/ReviewHtml/review_Yu-Gi-Oh_-_The_Movie,_Bonds_Beyond_Time.html")</f>
        <v>https://2danicritic.github.io/ReviewHtml/review_Yu-Gi-Oh_-_The_Movie,_Bonds_Beyond_Time.html</v>
      </c>
    </row>
    <row r="697" spans="2:19" x14ac:dyDescent="0.35">
      <c r="B697" s="37">
        <v>694</v>
      </c>
      <c r="C697" t="s">
        <v>1184</v>
      </c>
      <c r="D697" s="7">
        <v>2016</v>
      </c>
      <c r="E697" t="s">
        <v>1554</v>
      </c>
      <c r="F697" t="s">
        <v>868</v>
      </c>
      <c r="G697" t="s">
        <v>1559</v>
      </c>
      <c r="H697" t="s">
        <v>925</v>
      </c>
      <c r="I697" s="38">
        <v>3.86</v>
      </c>
      <c r="J697" s="7">
        <v>3.5</v>
      </c>
      <c r="K697" s="7">
        <v>4</v>
      </c>
      <c r="L697" s="7">
        <v>4</v>
      </c>
      <c r="M697" s="7">
        <v>3.5</v>
      </c>
      <c r="N697" s="7">
        <v>3.5</v>
      </c>
      <c r="O697" s="7">
        <v>4</v>
      </c>
      <c r="P697" s="7">
        <v>4.5</v>
      </c>
      <c r="Q697" t="s">
        <v>311</v>
      </c>
      <c r="R697" s="7">
        <v>300</v>
      </c>
      <c r="S697" t="str">
        <f xml:space="preserve"> HYPERLINK("ReviewHtml/review_Yuri_on_Ice.html", "https://2danicritic.github.io/ReviewHtml/review_Yuri_on_Ice.html")</f>
        <v>https://2danicritic.github.io/ReviewHtml/review_Yuri_on_Ice.html</v>
      </c>
    </row>
    <row r="698" spans="2:19" x14ac:dyDescent="0.35">
      <c r="B698" s="37">
        <v>695</v>
      </c>
      <c r="C698" t="s">
        <v>1755</v>
      </c>
      <c r="D698" s="7">
        <v>2012</v>
      </c>
      <c r="E698" t="s">
        <v>1558</v>
      </c>
      <c r="F698" t="s">
        <v>1577</v>
      </c>
      <c r="G698" t="s">
        <v>1557</v>
      </c>
      <c r="H698" t="s">
        <v>1678</v>
      </c>
      <c r="I698" s="38">
        <v>3.64</v>
      </c>
      <c r="J698" s="7">
        <v>4</v>
      </c>
      <c r="K698" s="7">
        <v>3.5</v>
      </c>
      <c r="L698" s="7">
        <v>3</v>
      </c>
      <c r="M698" s="7">
        <v>4</v>
      </c>
      <c r="N698" s="7">
        <v>3.5</v>
      </c>
      <c r="O698" s="7">
        <v>3.5</v>
      </c>
      <c r="P698" s="7">
        <v>4</v>
      </c>
      <c r="Q698" t="s">
        <v>1679</v>
      </c>
      <c r="R698" s="7">
        <v>78</v>
      </c>
      <c r="S698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hyperlinks>
    <hyperlink ref="S633" r:id="rId1" display="https://2danicritic.github.io/ReviewHtml/review_This_Boy_Can_Fight_Aliens.html" xr:uid="{A1D0E96E-E99E-42B9-9D44-3AAC8D672DF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16" t="s">
        <v>817</v>
      </c>
      <c r="C4" s="17">
        <v>4.57</v>
      </c>
      <c r="D4" s="18"/>
      <c r="E4" s="16" t="s">
        <v>669</v>
      </c>
      <c r="F4" s="17">
        <v>3.79</v>
      </c>
      <c r="G4" s="18"/>
      <c r="H4" s="16" t="s">
        <v>838</v>
      </c>
      <c r="I4" s="17">
        <v>4.1399999999999997</v>
      </c>
      <c r="J4" s="18"/>
      <c r="K4" s="16" t="s">
        <v>896</v>
      </c>
      <c r="L4" s="17">
        <v>3.43</v>
      </c>
      <c r="M4" s="18"/>
      <c r="N4" s="16" t="s">
        <v>827</v>
      </c>
      <c r="O4" s="17">
        <v>4.29</v>
      </c>
      <c r="P4" s="18"/>
      <c r="Q4" s="16" t="s">
        <v>950</v>
      </c>
      <c r="R4" s="17">
        <v>4.6399999999999997</v>
      </c>
      <c r="S4" s="18"/>
      <c r="T4" s="16" t="s">
        <v>782</v>
      </c>
      <c r="U4" s="17">
        <v>4.71</v>
      </c>
      <c r="V4" s="18"/>
      <c r="W4" s="16" t="s">
        <v>685</v>
      </c>
      <c r="X4" s="17">
        <v>4.07</v>
      </c>
      <c r="Z4" s="16" t="s">
        <v>1060</v>
      </c>
      <c r="AA4" s="17">
        <v>4</v>
      </c>
      <c r="AC4" s="16" t="s">
        <v>688</v>
      </c>
      <c r="AD4" s="17">
        <v>4.29</v>
      </c>
      <c r="AF4" s="16" t="s">
        <v>862</v>
      </c>
      <c r="AG4" s="17">
        <v>4.07</v>
      </c>
      <c r="AI4" s="16" t="s">
        <v>813</v>
      </c>
      <c r="AJ4" s="17">
        <v>4.93</v>
      </c>
      <c r="AL4" s="21" t="s">
        <v>1961</v>
      </c>
      <c r="AM4" s="22">
        <v>4</v>
      </c>
      <c r="AO4" s="16" t="s">
        <v>901</v>
      </c>
      <c r="AP4" s="17">
        <v>4.71</v>
      </c>
      <c r="AR4" s="16" t="s">
        <v>1009</v>
      </c>
      <c r="AS4" s="17">
        <v>4.21</v>
      </c>
      <c r="AU4" s="16" t="s">
        <v>733</v>
      </c>
      <c r="AV4" s="17">
        <v>4.1399999999999997</v>
      </c>
      <c r="AX4" s="16" t="s">
        <v>1797</v>
      </c>
      <c r="AY4" s="17">
        <v>4</v>
      </c>
      <c r="BA4" s="21" t="s">
        <v>1593</v>
      </c>
      <c r="BB4" s="22">
        <v>4</v>
      </c>
      <c r="BD4" s="16" t="s">
        <v>1391</v>
      </c>
      <c r="BE4" s="17">
        <v>3.79</v>
      </c>
      <c r="BG4" s="16" t="s">
        <v>1898</v>
      </c>
      <c r="BH4" s="17">
        <v>3.79</v>
      </c>
      <c r="BJ4" s="19" t="s">
        <v>1901</v>
      </c>
      <c r="BK4" s="20">
        <v>4.1399999999999997</v>
      </c>
    </row>
    <row r="5" spans="2:63" x14ac:dyDescent="0.35">
      <c r="B5" s="21" t="s">
        <v>940</v>
      </c>
      <c r="C5" s="22">
        <v>3.14</v>
      </c>
      <c r="D5" s="18"/>
      <c r="E5" s="16" t="s">
        <v>1420</v>
      </c>
      <c r="F5" s="17">
        <v>2.4300000000000002</v>
      </c>
      <c r="G5" s="18"/>
      <c r="H5" s="16" t="s">
        <v>1377</v>
      </c>
      <c r="I5" s="17">
        <v>3</v>
      </c>
      <c r="J5" s="18"/>
      <c r="K5" s="21" t="s">
        <v>1406</v>
      </c>
      <c r="L5" s="22">
        <v>3.29</v>
      </c>
      <c r="M5" s="18"/>
      <c r="N5" s="21" t="s">
        <v>1273</v>
      </c>
      <c r="O5" s="22">
        <v>3.71</v>
      </c>
      <c r="P5" s="18"/>
      <c r="Q5" s="21" t="s">
        <v>1622</v>
      </c>
      <c r="R5" s="22">
        <v>3.5</v>
      </c>
      <c r="S5" s="18"/>
      <c r="T5" s="21" t="s">
        <v>761</v>
      </c>
      <c r="U5" s="22">
        <v>4.3600000000000003</v>
      </c>
      <c r="V5" s="18"/>
      <c r="W5" s="21" t="s">
        <v>663</v>
      </c>
      <c r="X5" s="22">
        <v>3.93</v>
      </c>
      <c r="Z5" s="21" t="s">
        <v>1057</v>
      </c>
      <c r="AA5" s="22">
        <v>3.93</v>
      </c>
      <c r="AC5" s="21" t="s">
        <v>800</v>
      </c>
      <c r="AD5" s="22">
        <v>4.21</v>
      </c>
      <c r="AF5" s="16" t="s">
        <v>673</v>
      </c>
      <c r="AG5" s="17">
        <v>3.43</v>
      </c>
      <c r="AI5" s="21" t="s">
        <v>1401</v>
      </c>
      <c r="AJ5" s="22">
        <v>4.29</v>
      </c>
      <c r="AL5" s="16" t="s">
        <v>1113</v>
      </c>
      <c r="AM5" s="17">
        <v>4</v>
      </c>
      <c r="AO5" s="21" t="s">
        <v>893</v>
      </c>
      <c r="AP5" s="22">
        <v>4.1399999999999997</v>
      </c>
      <c r="AR5" s="21" t="s">
        <v>1022</v>
      </c>
      <c r="AS5" s="22">
        <v>4</v>
      </c>
      <c r="AU5" s="21" t="s">
        <v>947</v>
      </c>
      <c r="AV5" s="22">
        <v>3.93</v>
      </c>
      <c r="AX5" s="21" t="s">
        <v>1184</v>
      </c>
      <c r="AY5" s="22">
        <v>3.86</v>
      </c>
      <c r="BA5" s="16" t="s">
        <v>1614</v>
      </c>
      <c r="BB5" s="17">
        <v>3.93</v>
      </c>
      <c r="BD5" s="21" t="s">
        <v>1751</v>
      </c>
      <c r="BE5" s="22">
        <v>3.57</v>
      </c>
      <c r="BG5" s="21" t="s">
        <v>1965</v>
      </c>
      <c r="BH5" s="22">
        <v>3.5</v>
      </c>
    </row>
    <row r="6" spans="2:63" x14ac:dyDescent="0.35">
      <c r="B6" s="18"/>
      <c r="C6" s="18"/>
      <c r="D6" s="18"/>
      <c r="E6" s="18"/>
      <c r="F6" s="18"/>
      <c r="G6" s="18"/>
      <c r="H6" s="21" t="s">
        <v>683</v>
      </c>
      <c r="I6" s="22">
        <v>2.93</v>
      </c>
      <c r="J6" s="18"/>
      <c r="K6" s="21" t="s">
        <v>1324</v>
      </c>
      <c r="L6" s="22">
        <v>3.07</v>
      </c>
      <c r="M6" s="18"/>
      <c r="N6" s="16" t="s">
        <v>1405</v>
      </c>
      <c r="O6" s="17">
        <v>3.64</v>
      </c>
      <c r="P6" s="18"/>
      <c r="Q6" s="21" t="s">
        <v>1794</v>
      </c>
      <c r="R6" s="22">
        <v>3.07</v>
      </c>
      <c r="S6" s="18"/>
      <c r="T6" s="16" t="s">
        <v>723</v>
      </c>
      <c r="U6" s="17">
        <v>4.29</v>
      </c>
      <c r="V6" s="18"/>
      <c r="W6" s="21" t="s">
        <v>1404</v>
      </c>
      <c r="X6" s="22">
        <v>3.64</v>
      </c>
      <c r="Z6" s="16" t="s">
        <v>1141</v>
      </c>
      <c r="AA6" s="17">
        <v>3.93</v>
      </c>
      <c r="AC6" s="16" t="s">
        <v>1414</v>
      </c>
      <c r="AD6" s="17">
        <v>3.29</v>
      </c>
      <c r="AF6" s="21" t="s">
        <v>749</v>
      </c>
      <c r="AG6" s="22">
        <v>3.43</v>
      </c>
      <c r="AI6" s="16" t="s">
        <v>973</v>
      </c>
      <c r="AJ6" s="17">
        <v>4.1399999999999997</v>
      </c>
      <c r="AL6" s="21" t="s">
        <v>924</v>
      </c>
      <c r="AM6" s="22">
        <v>3.93</v>
      </c>
      <c r="AO6" s="16" t="s">
        <v>1366</v>
      </c>
      <c r="AP6" s="17">
        <v>3.86</v>
      </c>
      <c r="AR6" s="16" t="s">
        <v>1059</v>
      </c>
      <c r="AS6" s="17">
        <v>3.93</v>
      </c>
      <c r="AU6" s="16" t="s">
        <v>758</v>
      </c>
      <c r="AV6" s="17">
        <v>3.86</v>
      </c>
      <c r="AX6" s="16" t="s">
        <v>1328</v>
      </c>
      <c r="AY6" s="17">
        <v>3.79</v>
      </c>
      <c r="BA6" s="21" t="s">
        <v>1727</v>
      </c>
      <c r="BB6" s="22">
        <v>3.86</v>
      </c>
      <c r="BD6" s="16" t="s">
        <v>1902</v>
      </c>
      <c r="BE6" s="17">
        <v>3.43</v>
      </c>
      <c r="BG6" s="16" t="s">
        <v>1963</v>
      </c>
      <c r="BH6" s="17">
        <v>3.14</v>
      </c>
    </row>
    <row r="7" spans="2:63" x14ac:dyDescent="0.35">
      <c r="B7" s="18"/>
      <c r="C7" s="18"/>
      <c r="D7" s="18"/>
      <c r="E7" s="18"/>
      <c r="F7" s="18"/>
      <c r="G7" s="18"/>
      <c r="H7" s="18"/>
      <c r="I7" s="18"/>
      <c r="J7" s="18"/>
      <c r="K7" s="16" t="s">
        <v>1325</v>
      </c>
      <c r="L7" s="17">
        <v>2.93</v>
      </c>
      <c r="M7" s="18"/>
      <c r="N7" s="25" t="s">
        <v>1382</v>
      </c>
      <c r="O7" s="26">
        <v>3.43</v>
      </c>
      <c r="P7" s="18"/>
      <c r="Q7" s="21" t="s">
        <v>1410</v>
      </c>
      <c r="R7" s="22">
        <v>2.93</v>
      </c>
      <c r="S7" s="18"/>
      <c r="T7" s="21" t="s">
        <v>856</v>
      </c>
      <c r="U7" s="22">
        <v>4.21</v>
      </c>
      <c r="V7" s="18"/>
      <c r="W7" s="21" t="s">
        <v>1597</v>
      </c>
      <c r="X7" s="22">
        <v>3.5</v>
      </c>
      <c r="Z7" s="21" t="s">
        <v>714</v>
      </c>
      <c r="AA7" s="22">
        <v>3.5</v>
      </c>
      <c r="AC7" s="25" t="s">
        <v>1407</v>
      </c>
      <c r="AD7" s="26">
        <v>3.21</v>
      </c>
      <c r="AF7" s="16" t="s">
        <v>1620</v>
      </c>
      <c r="AG7" s="17">
        <v>3.43</v>
      </c>
      <c r="AI7" s="21" t="s">
        <v>779</v>
      </c>
      <c r="AJ7" s="22">
        <v>3.86</v>
      </c>
      <c r="AL7" s="16" t="s">
        <v>878</v>
      </c>
      <c r="AM7" s="17">
        <v>3.71</v>
      </c>
      <c r="AO7" s="21" t="s">
        <v>704</v>
      </c>
      <c r="AP7" s="22">
        <v>3.5</v>
      </c>
      <c r="AR7" s="21" t="s">
        <v>1375</v>
      </c>
      <c r="AS7" s="22">
        <v>3.86</v>
      </c>
      <c r="AU7" s="21" t="s">
        <v>784</v>
      </c>
      <c r="AV7" s="22">
        <v>3.64</v>
      </c>
      <c r="AX7" s="21" t="s">
        <v>794</v>
      </c>
      <c r="AY7" s="22">
        <v>3.71</v>
      </c>
      <c r="BA7" s="16" t="s">
        <v>946</v>
      </c>
      <c r="BB7" s="17">
        <v>3.86</v>
      </c>
      <c r="BD7" s="16" t="s">
        <v>786</v>
      </c>
      <c r="BE7" s="17">
        <v>3.29</v>
      </c>
      <c r="BG7" s="31" t="s">
        <v>2031</v>
      </c>
      <c r="BH7" s="32">
        <v>2.71</v>
      </c>
    </row>
    <row r="8" spans="2:63" x14ac:dyDescent="0.35">
      <c r="B8" s="18"/>
      <c r="C8" s="18"/>
      <c r="D8" s="18"/>
      <c r="E8" s="18"/>
      <c r="F8" s="18"/>
      <c r="G8" s="18"/>
      <c r="H8" s="18"/>
      <c r="I8" s="18"/>
      <c r="J8" s="18"/>
      <c r="K8" s="29" t="s">
        <v>980</v>
      </c>
      <c r="L8" s="30">
        <v>2.14</v>
      </c>
      <c r="M8" s="18"/>
      <c r="N8" s="16" t="s">
        <v>829</v>
      </c>
      <c r="O8" s="17">
        <v>3.29</v>
      </c>
      <c r="P8" s="18"/>
      <c r="Q8" s="16" t="s">
        <v>1369</v>
      </c>
      <c r="R8" s="17">
        <v>2.21</v>
      </c>
      <c r="S8" s="18"/>
      <c r="T8" s="16" t="s">
        <v>1326</v>
      </c>
      <c r="U8" s="17">
        <v>3.5</v>
      </c>
      <c r="V8" s="18"/>
      <c r="W8" s="16" t="s">
        <v>1958</v>
      </c>
      <c r="X8" s="17">
        <v>3.14</v>
      </c>
      <c r="Z8" s="16" t="s">
        <v>768</v>
      </c>
      <c r="AA8" s="17">
        <v>3.29</v>
      </c>
      <c r="AC8" s="16" t="s">
        <v>1835</v>
      </c>
      <c r="AD8" s="17">
        <v>3.21</v>
      </c>
      <c r="AF8" s="21" t="s">
        <v>997</v>
      </c>
      <c r="AG8" s="22">
        <v>3.36</v>
      </c>
      <c r="AI8" s="16" t="s">
        <v>1064</v>
      </c>
      <c r="AJ8" s="17">
        <v>3.86</v>
      </c>
      <c r="AL8" s="21" t="s">
        <v>881</v>
      </c>
      <c r="AM8" s="22">
        <v>3.71</v>
      </c>
      <c r="AO8" s="21" t="s">
        <v>831</v>
      </c>
      <c r="AP8" s="22">
        <v>3.14</v>
      </c>
      <c r="AR8" s="16" t="s">
        <v>982</v>
      </c>
      <c r="AS8" s="17">
        <v>3.71</v>
      </c>
      <c r="AU8" s="16" t="s">
        <v>825</v>
      </c>
      <c r="AV8" s="17">
        <v>3.5</v>
      </c>
      <c r="AX8" s="16" t="s">
        <v>820</v>
      </c>
      <c r="AY8" s="17">
        <v>3.71</v>
      </c>
      <c r="BA8" s="21" t="s">
        <v>1915</v>
      </c>
      <c r="BB8" s="22">
        <v>3.79</v>
      </c>
      <c r="BD8" s="23" t="s">
        <v>1575</v>
      </c>
      <c r="BE8" s="24">
        <v>3.21</v>
      </c>
    </row>
    <row r="9" spans="2:63" x14ac:dyDescent="0.35">
      <c r="B9" s="18"/>
      <c r="C9" s="18"/>
      <c r="D9" s="18"/>
      <c r="E9" s="18"/>
      <c r="F9" s="18"/>
      <c r="G9" s="18"/>
      <c r="H9" s="18"/>
      <c r="I9" s="18"/>
      <c r="J9" s="18"/>
      <c r="K9" s="21" t="s">
        <v>913</v>
      </c>
      <c r="L9" s="22">
        <v>1.93</v>
      </c>
      <c r="M9" s="18"/>
      <c r="N9" s="23" t="s">
        <v>937</v>
      </c>
      <c r="O9" s="24">
        <v>2.79</v>
      </c>
      <c r="P9" s="18"/>
      <c r="Q9" s="18"/>
      <c r="R9" s="18"/>
      <c r="S9" s="18"/>
      <c r="T9" s="23" t="s">
        <v>1160</v>
      </c>
      <c r="U9" s="24">
        <v>3.43</v>
      </c>
      <c r="V9" s="18"/>
      <c r="W9" s="19" t="s">
        <v>1610</v>
      </c>
      <c r="X9" s="20">
        <v>2.71</v>
      </c>
      <c r="Z9" s="23" t="s">
        <v>1402</v>
      </c>
      <c r="AA9" s="24">
        <v>3.21</v>
      </c>
      <c r="AC9" s="21" t="s">
        <v>744</v>
      </c>
      <c r="AD9" s="22">
        <v>3.14</v>
      </c>
      <c r="AF9" s="27" t="s">
        <v>2040</v>
      </c>
      <c r="AG9" s="28">
        <v>3.29</v>
      </c>
      <c r="AI9" s="23" t="s">
        <v>1111</v>
      </c>
      <c r="AJ9" s="24">
        <v>3.71</v>
      </c>
      <c r="AL9" s="27" t="s">
        <v>797</v>
      </c>
      <c r="AM9" s="28">
        <v>3.57</v>
      </c>
      <c r="AO9" s="19" t="s">
        <v>1611</v>
      </c>
      <c r="AP9" s="20">
        <v>3.07</v>
      </c>
      <c r="AR9" s="23" t="s">
        <v>1413</v>
      </c>
      <c r="AS9" s="24">
        <v>3.57</v>
      </c>
      <c r="AU9" s="23" t="s">
        <v>872</v>
      </c>
      <c r="AV9" s="24">
        <v>3.5</v>
      </c>
      <c r="AX9" s="23" t="s">
        <v>844</v>
      </c>
      <c r="AY9" s="24">
        <v>3.64</v>
      </c>
      <c r="BA9" s="27" t="s">
        <v>1889</v>
      </c>
      <c r="BB9" s="28">
        <v>3.5</v>
      </c>
      <c r="BD9" s="19" t="s">
        <v>1719</v>
      </c>
      <c r="BE9" s="20">
        <v>2.57</v>
      </c>
    </row>
    <row r="10" spans="2:63" x14ac:dyDescent="0.3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 t="s">
        <v>1419</v>
      </c>
      <c r="O10" s="17">
        <v>2.4300000000000002</v>
      </c>
      <c r="P10" s="18"/>
      <c r="Q10" s="18"/>
      <c r="R10" s="18"/>
      <c r="S10" s="18"/>
      <c r="T10" s="19" t="s">
        <v>1788</v>
      </c>
      <c r="U10" s="20">
        <v>3.29</v>
      </c>
      <c r="V10" s="18"/>
      <c r="W10" s="31" t="s">
        <v>1784</v>
      </c>
      <c r="X10" s="32">
        <v>2.57</v>
      </c>
      <c r="Z10" s="19" t="s">
        <v>884</v>
      </c>
      <c r="AA10" s="20">
        <v>2.93</v>
      </c>
      <c r="AC10" s="19" t="s">
        <v>852</v>
      </c>
      <c r="AD10" s="20">
        <v>2.86</v>
      </c>
      <c r="AF10" s="23" t="s">
        <v>1823</v>
      </c>
      <c r="AG10" s="24">
        <v>3.21</v>
      </c>
      <c r="AI10" s="19" t="s">
        <v>1006</v>
      </c>
      <c r="AJ10" s="20">
        <v>3.64</v>
      </c>
      <c r="AL10" s="27" t="s">
        <v>1831</v>
      </c>
      <c r="AM10" s="28">
        <v>3.57</v>
      </c>
      <c r="AO10" s="25" t="s">
        <v>1418</v>
      </c>
      <c r="AP10" s="26">
        <v>2.93</v>
      </c>
      <c r="AR10" s="25" t="s">
        <v>985</v>
      </c>
      <c r="AS10" s="26">
        <v>3.5</v>
      </c>
      <c r="AU10" s="19" t="s">
        <v>1821</v>
      </c>
      <c r="AV10" s="20">
        <v>3.5</v>
      </c>
      <c r="AX10" s="19" t="s">
        <v>1738</v>
      </c>
      <c r="AY10" s="20">
        <v>3.64</v>
      </c>
      <c r="BA10" s="23" t="s">
        <v>1573</v>
      </c>
      <c r="BB10" s="24">
        <v>3.5</v>
      </c>
      <c r="BD10" s="25" t="s">
        <v>1962</v>
      </c>
      <c r="BE10" s="26">
        <v>2.5</v>
      </c>
    </row>
    <row r="11" spans="2:63" x14ac:dyDescent="0.3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31" t="s">
        <v>976</v>
      </c>
      <c r="O11" s="32">
        <v>1.93</v>
      </c>
      <c r="P11" s="18"/>
      <c r="Q11" s="18"/>
      <c r="R11" s="18"/>
      <c r="S11" s="18"/>
      <c r="T11" s="25" t="s">
        <v>1957</v>
      </c>
      <c r="U11" s="26">
        <v>3.14</v>
      </c>
      <c r="V11" s="18"/>
      <c r="W11" s="19" t="s">
        <v>1399</v>
      </c>
      <c r="X11" s="20">
        <v>2.5</v>
      </c>
      <c r="Z11" s="23" t="s">
        <v>1966</v>
      </c>
      <c r="AA11" s="24">
        <v>2.86</v>
      </c>
      <c r="AC11" s="29" t="s">
        <v>857</v>
      </c>
      <c r="AD11" s="30">
        <v>1.79</v>
      </c>
      <c r="AF11" s="27" t="s">
        <v>1564</v>
      </c>
      <c r="AG11" s="28">
        <v>3.14</v>
      </c>
      <c r="AI11" s="23" t="s">
        <v>1090</v>
      </c>
      <c r="AJ11" s="24">
        <v>3.64</v>
      </c>
      <c r="AL11" s="25" t="s">
        <v>1969</v>
      </c>
      <c r="AM11" s="26">
        <v>3.5</v>
      </c>
      <c r="AO11" s="19" t="s">
        <v>1572</v>
      </c>
      <c r="AP11" s="20">
        <v>2.86</v>
      </c>
      <c r="AR11" s="19" t="s">
        <v>1712</v>
      </c>
      <c r="AS11" s="20">
        <v>3.36</v>
      </c>
      <c r="AU11" s="25" t="s">
        <v>1040</v>
      </c>
      <c r="AV11" s="26">
        <v>3.5</v>
      </c>
      <c r="AX11" s="23" t="s">
        <v>890</v>
      </c>
      <c r="AY11" s="24">
        <v>3.43</v>
      </c>
      <c r="BA11" s="27" t="s">
        <v>2030</v>
      </c>
      <c r="BB11" s="28">
        <v>3.5</v>
      </c>
    </row>
    <row r="12" spans="2:63" x14ac:dyDescent="0.3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3" t="s">
        <v>1108</v>
      </c>
      <c r="U12" s="24">
        <v>2.93</v>
      </c>
      <c r="V12" s="18"/>
      <c r="W12" s="31" t="s">
        <v>992</v>
      </c>
      <c r="X12" s="32">
        <v>2.29</v>
      </c>
      <c r="Z12" s="31" t="s">
        <v>885</v>
      </c>
      <c r="AA12" s="32">
        <v>2.29</v>
      </c>
      <c r="AF12" s="25" t="s">
        <v>776</v>
      </c>
      <c r="AG12" s="26">
        <v>3.14</v>
      </c>
      <c r="AI12" s="27" t="s">
        <v>847</v>
      </c>
      <c r="AJ12" s="28">
        <v>3.21</v>
      </c>
      <c r="AL12" s="19" t="s">
        <v>742</v>
      </c>
      <c r="AM12" s="20">
        <v>3.43</v>
      </c>
      <c r="AO12" s="31" t="s">
        <v>1912</v>
      </c>
      <c r="AP12" s="32">
        <v>2.79</v>
      </c>
      <c r="AR12" s="23" t="s">
        <v>1050</v>
      </c>
      <c r="AS12" s="24">
        <v>3.36</v>
      </c>
      <c r="AU12" s="27" t="s">
        <v>1956</v>
      </c>
      <c r="AV12" s="28">
        <v>3.43</v>
      </c>
      <c r="AX12" s="27" t="s">
        <v>1601</v>
      </c>
      <c r="AY12" s="28">
        <v>3.43</v>
      </c>
      <c r="BA12" s="27" t="s">
        <v>1909</v>
      </c>
      <c r="BB12" s="28">
        <v>3.14</v>
      </c>
    </row>
    <row r="13" spans="2:63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9" t="s">
        <v>680</v>
      </c>
      <c r="U13" s="30">
        <v>2.86</v>
      </c>
      <c r="V13" s="18"/>
      <c r="W13" s="29" t="s">
        <v>869</v>
      </c>
      <c r="X13" s="30">
        <v>1.5</v>
      </c>
      <c r="Z13" s="29" t="s">
        <v>887</v>
      </c>
      <c r="AA13" s="30">
        <v>1.29</v>
      </c>
      <c r="AF13" s="25" t="s">
        <v>2047</v>
      </c>
      <c r="AG13" s="26">
        <v>2.57</v>
      </c>
      <c r="AI13" s="25" t="s">
        <v>1370</v>
      </c>
      <c r="AJ13" s="26">
        <v>3.14</v>
      </c>
      <c r="AL13" s="23" t="s">
        <v>859</v>
      </c>
      <c r="AM13" s="24">
        <v>3.43</v>
      </c>
      <c r="AO13" s="19" t="s">
        <v>1368</v>
      </c>
      <c r="AP13" s="20">
        <v>2.5</v>
      </c>
      <c r="AR13" s="27" t="s">
        <v>1747</v>
      </c>
      <c r="AS13" s="28">
        <v>3.36</v>
      </c>
      <c r="AU13" s="23" t="s">
        <v>1964</v>
      </c>
      <c r="AV13" s="24">
        <v>3.43</v>
      </c>
      <c r="AX13" s="23" t="s">
        <v>1832</v>
      </c>
      <c r="AY13" s="24">
        <v>3.43</v>
      </c>
      <c r="BA13" s="25" t="s">
        <v>2015</v>
      </c>
      <c r="BB13" s="26">
        <v>3.07</v>
      </c>
    </row>
    <row r="14" spans="2:63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31" t="s">
        <v>1570</v>
      </c>
      <c r="U14" s="32">
        <v>2.79</v>
      </c>
      <c r="V14" s="18"/>
      <c r="W14" s="18"/>
      <c r="X14" s="18"/>
      <c r="AI14" s="29" t="s">
        <v>771</v>
      </c>
      <c r="AJ14" s="30">
        <v>3.14</v>
      </c>
      <c r="AL14" s="19" t="s">
        <v>1042</v>
      </c>
      <c r="AM14" s="20">
        <v>3.43</v>
      </c>
      <c r="AO14" s="31" t="s">
        <v>792</v>
      </c>
      <c r="AP14" s="32">
        <v>2.29</v>
      </c>
      <c r="AR14" s="19" t="s">
        <v>1717</v>
      </c>
      <c r="AS14" s="20">
        <v>3.21</v>
      </c>
      <c r="AU14" s="27" t="s">
        <v>1809</v>
      </c>
      <c r="AV14" s="28">
        <v>3.43</v>
      </c>
      <c r="AX14" s="19" t="s">
        <v>1801</v>
      </c>
      <c r="AY14" s="20">
        <v>3.36</v>
      </c>
      <c r="BA14" s="19" t="s">
        <v>1904</v>
      </c>
      <c r="BB14" s="20">
        <v>3.07</v>
      </c>
    </row>
    <row r="15" spans="2:63" x14ac:dyDescent="0.3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7" t="s">
        <v>810</v>
      </c>
      <c r="U15" s="28">
        <v>2.64</v>
      </c>
      <c r="V15" s="18"/>
      <c r="W15" s="18"/>
      <c r="X15" s="18"/>
      <c r="AI15" s="25" t="s">
        <v>846</v>
      </c>
      <c r="AJ15" s="26">
        <v>3.07</v>
      </c>
      <c r="AL15" s="25" t="s">
        <v>1875</v>
      </c>
      <c r="AM15" s="26">
        <v>3.36</v>
      </c>
      <c r="AR15" s="25" t="s">
        <v>671</v>
      </c>
      <c r="AS15" s="26">
        <v>3.14</v>
      </c>
      <c r="AU15" s="23" t="s">
        <v>1914</v>
      </c>
      <c r="AV15" s="24">
        <v>3.43</v>
      </c>
      <c r="AX15" s="25" t="s">
        <v>1706</v>
      </c>
      <c r="AY15" s="26">
        <v>3.29</v>
      </c>
      <c r="BA15" s="23" t="s">
        <v>1710</v>
      </c>
      <c r="BB15" s="24">
        <v>2.93</v>
      </c>
    </row>
    <row r="16" spans="2:63" x14ac:dyDescent="0.35">
      <c r="B16" s="18"/>
      <c r="C16" s="18"/>
      <c r="D16" s="18"/>
      <c r="E16" s="18"/>
      <c r="F16" s="18"/>
      <c r="G16" s="18"/>
      <c r="H16" s="18"/>
      <c r="I16" s="18"/>
      <c r="J16" s="18"/>
      <c r="M16" s="18"/>
      <c r="N16" s="18"/>
      <c r="O16" s="18"/>
      <c r="P16" s="18"/>
      <c r="S16" s="18"/>
      <c r="T16" s="29" t="s">
        <v>1179</v>
      </c>
      <c r="U16" s="30">
        <v>2.36</v>
      </c>
      <c r="V16" s="18"/>
      <c r="W16" s="18"/>
      <c r="X16" s="18"/>
      <c r="Z16" s="18"/>
      <c r="AA16" s="18"/>
      <c r="AI16" s="29" t="s">
        <v>1067</v>
      </c>
      <c r="AJ16" s="30">
        <v>3</v>
      </c>
      <c r="AL16" s="19" t="s">
        <v>900</v>
      </c>
      <c r="AM16" s="20">
        <v>3.29</v>
      </c>
      <c r="AR16" s="19" t="s">
        <v>1970</v>
      </c>
      <c r="AS16" s="20">
        <v>3.14</v>
      </c>
      <c r="AU16" s="19" t="s">
        <v>1781</v>
      </c>
      <c r="AV16" s="20">
        <v>3.36</v>
      </c>
      <c r="AX16" s="19" t="s">
        <v>1799</v>
      </c>
      <c r="AY16" s="20">
        <v>3.21</v>
      </c>
      <c r="BA16" s="29" t="s">
        <v>2014</v>
      </c>
      <c r="BB16" s="30">
        <v>2.71</v>
      </c>
    </row>
    <row r="17" spans="4:54" x14ac:dyDescent="0.35">
      <c r="D17" s="18"/>
      <c r="G17" s="18"/>
      <c r="J17" s="18"/>
      <c r="M17" s="18"/>
      <c r="N17" s="18"/>
      <c r="O17" s="18"/>
      <c r="P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I17" s="31" t="s">
        <v>854</v>
      </c>
      <c r="AJ17" s="32">
        <v>2.93</v>
      </c>
      <c r="AL17" s="25" t="s">
        <v>1327</v>
      </c>
      <c r="AM17" s="26">
        <v>3.21</v>
      </c>
      <c r="AR17" s="31" t="s">
        <v>1025</v>
      </c>
      <c r="AS17" s="32">
        <v>3</v>
      </c>
      <c r="AU17" s="25" t="s">
        <v>1825</v>
      </c>
      <c r="AV17" s="26">
        <v>3.36</v>
      </c>
      <c r="AX17" s="25" t="s">
        <v>1803</v>
      </c>
      <c r="AY17" s="26">
        <v>3.21</v>
      </c>
      <c r="BA17" s="25" t="s">
        <v>1598</v>
      </c>
      <c r="BB17" s="26">
        <v>2.4300000000000002</v>
      </c>
    </row>
    <row r="18" spans="4:54" x14ac:dyDescent="0.35">
      <c r="T18" s="18"/>
      <c r="U18" s="18"/>
      <c r="V18" s="18"/>
      <c r="W18" s="18"/>
      <c r="X18" s="18"/>
      <c r="Y18" s="18"/>
      <c r="Z18" s="18"/>
      <c r="AA18" s="18"/>
      <c r="AB18" s="18"/>
      <c r="AI18" s="19" t="s">
        <v>933</v>
      </c>
      <c r="AJ18" s="20">
        <v>2.86</v>
      </c>
      <c r="AL18" s="19" t="s">
        <v>1903</v>
      </c>
      <c r="AM18" s="20">
        <v>3.14</v>
      </c>
      <c r="AR18" s="19" t="s">
        <v>1322</v>
      </c>
      <c r="AS18" s="20">
        <v>2.86</v>
      </c>
      <c r="AU18" s="25" t="s">
        <v>1890</v>
      </c>
      <c r="AV18" s="26">
        <v>3.21</v>
      </c>
      <c r="AX18" s="25" t="s">
        <v>1735</v>
      </c>
      <c r="AY18" s="26">
        <v>2.93</v>
      </c>
      <c r="BA18" s="19" t="s">
        <v>1827</v>
      </c>
      <c r="BB18" s="20">
        <v>2.36</v>
      </c>
    </row>
    <row r="19" spans="4:54" x14ac:dyDescent="0.35">
      <c r="T19" s="18"/>
      <c r="U19" s="18"/>
      <c r="V19" s="18"/>
      <c r="Y19" s="18"/>
      <c r="Z19" s="18"/>
      <c r="AA19" s="18"/>
      <c r="AB19" s="18"/>
      <c r="AL19" s="31" t="s">
        <v>1409</v>
      </c>
      <c r="AM19" s="32">
        <v>3.14</v>
      </c>
      <c r="AR19" s="31" t="s">
        <v>1282</v>
      </c>
      <c r="AS19" s="32">
        <v>2.86</v>
      </c>
      <c r="AU19" s="19" t="s">
        <v>994</v>
      </c>
      <c r="AV19" s="20">
        <v>3.21</v>
      </c>
      <c r="AX19" s="31" t="s">
        <v>1829</v>
      </c>
      <c r="AY19" s="32">
        <v>2.64</v>
      </c>
    </row>
    <row r="20" spans="4:54" x14ac:dyDescent="0.35">
      <c r="V20" s="18"/>
      <c r="Y20" s="18"/>
      <c r="Z20" s="18"/>
      <c r="AA20" s="18"/>
      <c r="AB20" s="18"/>
      <c r="AL20" s="31" t="s">
        <v>908</v>
      </c>
      <c r="AM20" s="32">
        <v>2.71</v>
      </c>
      <c r="AR20" s="29" t="s">
        <v>711</v>
      </c>
      <c r="AS20" s="30">
        <v>2.71</v>
      </c>
      <c r="AU20" s="25" t="s">
        <v>1016</v>
      </c>
      <c r="AV20" s="26">
        <v>3.21</v>
      </c>
      <c r="AX20" s="29" t="s">
        <v>774</v>
      </c>
      <c r="AY20" s="30">
        <v>2.57</v>
      </c>
    </row>
    <row r="21" spans="4:54" x14ac:dyDescent="0.35">
      <c r="V21" s="18"/>
      <c r="Y21" s="18"/>
      <c r="AB21" s="18"/>
      <c r="AL21" s="29" t="s">
        <v>1795</v>
      </c>
      <c r="AM21" s="30">
        <v>2.4300000000000002</v>
      </c>
      <c r="AR21" s="25" t="s">
        <v>1147</v>
      </c>
      <c r="AS21" s="26">
        <v>2.57</v>
      </c>
      <c r="AU21" s="29" t="s">
        <v>1752</v>
      </c>
      <c r="AV21" s="30">
        <v>3.14</v>
      </c>
    </row>
    <row r="22" spans="4:54" x14ac:dyDescent="0.35">
      <c r="AL22" s="31" t="s">
        <v>840</v>
      </c>
      <c r="AM22" s="32">
        <v>2.14</v>
      </c>
      <c r="AR22" s="29" t="s">
        <v>1278</v>
      </c>
      <c r="AS22" s="30">
        <v>2.36</v>
      </c>
      <c r="AU22" s="25" t="s">
        <v>1786</v>
      </c>
      <c r="AV22" s="26">
        <v>3.07</v>
      </c>
    </row>
    <row r="23" spans="4:54" x14ac:dyDescent="0.35">
      <c r="AU23" s="29" t="s">
        <v>1020</v>
      </c>
      <c r="AV23" s="30">
        <v>3.07</v>
      </c>
    </row>
    <row r="24" spans="4:54" x14ac:dyDescent="0.35">
      <c r="AU24" s="29" t="s">
        <v>1383</v>
      </c>
      <c r="AV24" s="30">
        <v>2.93</v>
      </c>
    </row>
    <row r="25" spans="4:54" x14ac:dyDescent="0.35">
      <c r="AU25" s="25" t="s">
        <v>1750</v>
      </c>
      <c r="AV25" s="26">
        <v>2.93</v>
      </c>
    </row>
    <row r="26" spans="4:54" x14ac:dyDescent="0.35">
      <c r="AU26" s="19" t="s">
        <v>1921</v>
      </c>
      <c r="AV26" s="20">
        <v>2.71</v>
      </c>
    </row>
    <row r="27" spans="4:54" x14ac:dyDescent="0.35">
      <c r="AU27" s="31" t="s">
        <v>244</v>
      </c>
      <c r="AV27" s="32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BB299" sqref="BB299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316</v>
      </c>
      <c r="U1" s="5" t="s">
        <v>316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315</v>
      </c>
      <c r="U2" s="6" t="s">
        <v>314</v>
      </c>
      <c r="AN2" s="6" t="s">
        <v>313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647</v>
      </c>
      <c r="C3" s="7" t="s">
        <v>328</v>
      </c>
      <c r="D3" t="s">
        <v>648</v>
      </c>
      <c r="E3" t="s">
        <v>649</v>
      </c>
      <c r="F3" t="s">
        <v>650</v>
      </c>
      <c r="G3" t="s">
        <v>41</v>
      </c>
      <c r="H3" s="7" t="s">
        <v>42</v>
      </c>
      <c r="I3" s="7" t="s">
        <v>43</v>
      </c>
      <c r="J3" s="7" t="s">
        <v>44</v>
      </c>
      <c r="K3" s="7" t="s">
        <v>45</v>
      </c>
      <c r="L3" s="7" t="s">
        <v>46</v>
      </c>
      <c r="M3" s="7" t="s">
        <v>47</v>
      </c>
      <c r="N3" s="7" t="s">
        <v>48</v>
      </c>
      <c r="O3" s="7" t="s">
        <v>49</v>
      </c>
      <c r="P3" t="s">
        <v>50</v>
      </c>
      <c r="Q3" s="7" t="s">
        <v>312</v>
      </c>
      <c r="R3" t="s">
        <v>51</v>
      </c>
      <c r="U3" s="15" t="s">
        <v>647</v>
      </c>
      <c r="V3" s="7" t="s">
        <v>328</v>
      </c>
      <c r="W3" t="s">
        <v>648</v>
      </c>
      <c r="X3" t="s">
        <v>649</v>
      </c>
      <c r="Y3" t="s">
        <v>650</v>
      </c>
      <c r="Z3" t="s">
        <v>41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t="s">
        <v>50</v>
      </c>
      <c r="AJ3" s="7" t="s">
        <v>312</v>
      </c>
      <c r="AK3" t="s">
        <v>51</v>
      </c>
      <c r="AN3" s="15" t="s">
        <v>647</v>
      </c>
      <c r="AO3" s="7" t="s">
        <v>328</v>
      </c>
      <c r="AP3" t="s">
        <v>648</v>
      </c>
      <c r="AQ3" t="s">
        <v>649</v>
      </c>
      <c r="AR3" t="s">
        <v>650</v>
      </c>
      <c r="AS3" t="s">
        <v>41</v>
      </c>
      <c r="AT3" s="7" t="s">
        <v>42</v>
      </c>
      <c r="AU3" s="7" t="s">
        <v>43</v>
      </c>
      <c r="AV3" s="7" t="s">
        <v>44</v>
      </c>
      <c r="AW3" s="7" t="s">
        <v>45</v>
      </c>
      <c r="AX3" s="7" t="s">
        <v>46</v>
      </c>
      <c r="AY3" s="7" t="s">
        <v>47</v>
      </c>
      <c r="AZ3" s="7" t="s">
        <v>48</v>
      </c>
      <c r="BA3" s="7" t="s">
        <v>49</v>
      </c>
      <c r="BB3" t="s">
        <v>50</v>
      </c>
      <c r="BC3" s="7" t="s">
        <v>312</v>
      </c>
      <c r="BD3" t="s">
        <v>51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2697</v>
      </c>
      <c r="C4" s="7">
        <v>2025</v>
      </c>
      <c r="D4" t="s">
        <v>1607</v>
      </c>
      <c r="E4" t="s">
        <v>2711</v>
      </c>
      <c r="F4" t="s">
        <v>1557</v>
      </c>
      <c r="G4" t="s">
        <v>2711</v>
      </c>
      <c r="H4" s="7">
        <v>2.36</v>
      </c>
      <c r="I4" s="7">
        <v>2</v>
      </c>
      <c r="J4" s="7">
        <v>1.5</v>
      </c>
      <c r="K4" s="7">
        <v>2</v>
      </c>
      <c r="L4" s="7">
        <v>2.5</v>
      </c>
      <c r="M4" s="7">
        <v>2.5</v>
      </c>
      <c r="N4" s="7">
        <v>3</v>
      </c>
      <c r="O4" s="7">
        <v>3</v>
      </c>
      <c r="P4" t="s">
        <v>2685</v>
      </c>
      <c r="Q4" s="7">
        <v>98</v>
      </c>
      <c r="R4" t="s">
        <v>2730</v>
      </c>
      <c r="U4" t="s">
        <v>2694</v>
      </c>
      <c r="V4" s="7">
        <v>2025</v>
      </c>
      <c r="W4" t="s">
        <v>1554</v>
      </c>
      <c r="X4" t="s">
        <v>702</v>
      </c>
      <c r="Y4" t="s">
        <v>1557</v>
      </c>
      <c r="Z4" t="s">
        <v>2709</v>
      </c>
      <c r="AA4" s="7">
        <v>3.64</v>
      </c>
      <c r="AB4" s="7">
        <v>3.5</v>
      </c>
      <c r="AC4" s="7">
        <v>3</v>
      </c>
      <c r="AD4" s="7">
        <v>4</v>
      </c>
      <c r="AE4" s="7">
        <v>3.5</v>
      </c>
      <c r="AF4" s="7">
        <v>3.5</v>
      </c>
      <c r="AG4" s="7">
        <v>4.5</v>
      </c>
      <c r="AH4" s="7">
        <v>3.5</v>
      </c>
      <c r="AI4" t="s">
        <v>2682</v>
      </c>
      <c r="AJ4" s="7">
        <v>82</v>
      </c>
      <c r="AK4" t="s">
        <v>2727</v>
      </c>
      <c r="AN4" t="s">
        <v>2696</v>
      </c>
      <c r="AO4" s="7">
        <v>2024</v>
      </c>
      <c r="AP4" t="s">
        <v>1554</v>
      </c>
      <c r="AQ4" t="s">
        <v>787</v>
      </c>
      <c r="AR4" t="s">
        <v>1559</v>
      </c>
      <c r="AS4" t="s">
        <v>2710</v>
      </c>
      <c r="AT4" s="7">
        <v>3.86</v>
      </c>
      <c r="AU4" s="7">
        <v>4</v>
      </c>
      <c r="AV4" s="7">
        <v>3.5</v>
      </c>
      <c r="AW4" s="7">
        <v>4</v>
      </c>
      <c r="AX4" s="7">
        <v>3.5</v>
      </c>
      <c r="AY4" s="7">
        <v>3.5</v>
      </c>
      <c r="AZ4" s="7">
        <v>4.5</v>
      </c>
      <c r="BA4" s="7">
        <v>4</v>
      </c>
      <c r="BB4" t="s">
        <v>2684</v>
      </c>
      <c r="BC4" s="7">
        <v>300</v>
      </c>
      <c r="BD4" t="s">
        <v>2729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2699</v>
      </c>
      <c r="C5" s="7">
        <v>2025</v>
      </c>
      <c r="D5" t="s">
        <v>1556</v>
      </c>
      <c r="E5" t="s">
        <v>2715</v>
      </c>
      <c r="F5" t="s">
        <v>1557</v>
      </c>
      <c r="G5" t="s">
        <v>2716</v>
      </c>
      <c r="H5" s="7">
        <v>3.07</v>
      </c>
      <c r="I5" s="7">
        <v>3</v>
      </c>
      <c r="J5" s="7">
        <v>2.5</v>
      </c>
      <c r="K5" s="7">
        <v>3</v>
      </c>
      <c r="L5" s="7">
        <v>4</v>
      </c>
      <c r="M5" s="7">
        <v>3</v>
      </c>
      <c r="N5" s="7">
        <v>3.5</v>
      </c>
      <c r="O5" s="7">
        <v>2.5</v>
      </c>
      <c r="P5" t="s">
        <v>2687</v>
      </c>
      <c r="Q5" s="7">
        <v>86</v>
      </c>
      <c r="R5" t="s">
        <v>2732</v>
      </c>
      <c r="U5" t="s">
        <v>2700</v>
      </c>
      <c r="V5" s="7">
        <v>2025</v>
      </c>
      <c r="W5" t="s">
        <v>1554</v>
      </c>
      <c r="X5" t="s">
        <v>2529</v>
      </c>
      <c r="Y5" t="s">
        <v>1557</v>
      </c>
      <c r="Z5" t="s">
        <v>2688</v>
      </c>
      <c r="AA5" s="7">
        <v>3.71</v>
      </c>
      <c r="AB5" s="7">
        <v>3.5</v>
      </c>
      <c r="AC5" s="7">
        <v>4</v>
      </c>
      <c r="AD5" s="7">
        <v>4</v>
      </c>
      <c r="AE5" s="7">
        <v>3.5</v>
      </c>
      <c r="AF5" s="7">
        <v>3.5</v>
      </c>
      <c r="AG5" s="7">
        <v>3.5</v>
      </c>
      <c r="AH5" s="7">
        <v>4</v>
      </c>
      <c r="AI5" t="s">
        <v>2571</v>
      </c>
      <c r="AJ5" s="7">
        <v>74</v>
      </c>
      <c r="AK5" t="s">
        <v>2733</v>
      </c>
      <c r="AN5" t="s">
        <v>2580</v>
      </c>
      <c r="AO5" s="7">
        <v>2022</v>
      </c>
      <c r="AP5" t="s">
        <v>1554</v>
      </c>
      <c r="AQ5" t="s">
        <v>1753</v>
      </c>
      <c r="AR5" t="s">
        <v>1559</v>
      </c>
      <c r="AS5" t="s">
        <v>2565</v>
      </c>
      <c r="AT5" s="7">
        <v>3.79</v>
      </c>
      <c r="AU5" s="7">
        <v>3</v>
      </c>
      <c r="AV5" s="7">
        <v>4</v>
      </c>
      <c r="AW5" s="7">
        <v>4.5</v>
      </c>
      <c r="AX5" s="7">
        <v>3</v>
      </c>
      <c r="AY5" s="7">
        <v>3.5</v>
      </c>
      <c r="AZ5" s="7">
        <v>4</v>
      </c>
      <c r="BA5" s="7">
        <v>4.5</v>
      </c>
      <c r="BB5" t="s">
        <v>69</v>
      </c>
      <c r="BC5" s="7">
        <v>325</v>
      </c>
      <c r="BD5" t="s">
        <v>2618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2705</v>
      </c>
      <c r="C6" s="7">
        <v>2025</v>
      </c>
      <c r="D6" t="s">
        <v>1556</v>
      </c>
      <c r="E6" t="s">
        <v>697</v>
      </c>
      <c r="F6" t="s">
        <v>1557</v>
      </c>
      <c r="G6" t="s">
        <v>2722</v>
      </c>
      <c r="H6" s="7">
        <v>3.36</v>
      </c>
      <c r="I6" s="7">
        <v>3</v>
      </c>
      <c r="J6" s="7">
        <v>3</v>
      </c>
      <c r="K6" s="7">
        <v>3.5</v>
      </c>
      <c r="L6" s="7">
        <v>3.5</v>
      </c>
      <c r="M6" s="7">
        <v>3</v>
      </c>
      <c r="N6" s="7">
        <v>4</v>
      </c>
      <c r="O6" s="7">
        <v>3.5</v>
      </c>
      <c r="P6" t="s">
        <v>2690</v>
      </c>
      <c r="Q6" s="7">
        <v>91</v>
      </c>
      <c r="R6" t="s">
        <v>2738</v>
      </c>
      <c r="U6" t="s">
        <v>2703</v>
      </c>
      <c r="V6" s="7">
        <v>2025</v>
      </c>
      <c r="W6" t="s">
        <v>1554</v>
      </c>
      <c r="X6" t="s">
        <v>2721</v>
      </c>
      <c r="Y6" t="s">
        <v>1557</v>
      </c>
      <c r="Z6" t="s">
        <v>2721</v>
      </c>
      <c r="AA6" s="7">
        <v>2.36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2</v>
      </c>
      <c r="AH6" s="7">
        <v>2</v>
      </c>
      <c r="AI6" t="s">
        <v>2689</v>
      </c>
      <c r="AJ6" s="7">
        <v>129</v>
      </c>
      <c r="AK6" t="s">
        <v>2736</v>
      </c>
      <c r="AN6" t="s">
        <v>2585</v>
      </c>
      <c r="AO6" s="7">
        <v>2022</v>
      </c>
      <c r="AP6" t="s">
        <v>1554</v>
      </c>
      <c r="AQ6" t="s">
        <v>1976</v>
      </c>
      <c r="AR6" t="s">
        <v>1559</v>
      </c>
      <c r="AS6" t="s">
        <v>2594</v>
      </c>
      <c r="AT6" s="7">
        <v>3.29</v>
      </c>
      <c r="AU6" s="7">
        <v>3</v>
      </c>
      <c r="AV6" s="7">
        <v>3.5</v>
      </c>
      <c r="AW6" s="7">
        <v>3</v>
      </c>
      <c r="AX6" s="7">
        <v>3.5</v>
      </c>
      <c r="AY6" s="7">
        <v>3</v>
      </c>
      <c r="AZ6" s="7">
        <v>3.5</v>
      </c>
      <c r="BA6" s="7">
        <v>3.5</v>
      </c>
      <c r="BB6" t="s">
        <v>2572</v>
      </c>
      <c r="BC6" s="7">
        <v>300</v>
      </c>
      <c r="BD6" t="s">
        <v>2619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2649</v>
      </c>
      <c r="C7" s="7">
        <v>2024</v>
      </c>
      <c r="D7" t="s">
        <v>2630</v>
      </c>
      <c r="E7" t="s">
        <v>2650</v>
      </c>
      <c r="F7" t="s">
        <v>1557</v>
      </c>
      <c r="G7" t="s">
        <v>2631</v>
      </c>
      <c r="H7" s="7">
        <v>2.36</v>
      </c>
      <c r="I7" s="7">
        <v>2.5</v>
      </c>
      <c r="J7" s="7">
        <v>2</v>
      </c>
      <c r="K7" s="7">
        <v>3</v>
      </c>
      <c r="L7" s="7">
        <v>3</v>
      </c>
      <c r="M7" s="7">
        <v>2</v>
      </c>
      <c r="N7" s="7">
        <v>2</v>
      </c>
      <c r="O7" s="7">
        <v>2</v>
      </c>
      <c r="P7" t="s">
        <v>2632</v>
      </c>
      <c r="Q7" s="7">
        <v>80</v>
      </c>
      <c r="R7" t="s">
        <v>2675</v>
      </c>
      <c r="U7" t="s">
        <v>2582</v>
      </c>
      <c r="V7" s="7">
        <v>2024</v>
      </c>
      <c r="W7" t="s">
        <v>1554</v>
      </c>
      <c r="X7" t="s">
        <v>2567</v>
      </c>
      <c r="Y7" t="s">
        <v>1557</v>
      </c>
      <c r="Z7" t="s">
        <v>2568</v>
      </c>
      <c r="AA7" s="7">
        <v>3</v>
      </c>
      <c r="AB7" s="7">
        <v>3</v>
      </c>
      <c r="AC7" s="7">
        <v>3</v>
      </c>
      <c r="AD7" s="7">
        <v>3</v>
      </c>
      <c r="AE7" s="7">
        <v>3.5</v>
      </c>
      <c r="AF7" s="7">
        <v>2.5</v>
      </c>
      <c r="AG7" s="7">
        <v>3.5</v>
      </c>
      <c r="AH7" s="7">
        <v>2.5</v>
      </c>
      <c r="AI7" t="s">
        <v>2569</v>
      </c>
      <c r="AJ7" s="7">
        <v>97</v>
      </c>
      <c r="AK7" t="s">
        <v>2612</v>
      </c>
      <c r="AN7" t="s">
        <v>2587</v>
      </c>
      <c r="AO7" s="7">
        <v>2022</v>
      </c>
      <c r="AP7" t="s">
        <v>1554</v>
      </c>
      <c r="AQ7" t="s">
        <v>2596</v>
      </c>
      <c r="AR7" t="s">
        <v>1559</v>
      </c>
      <c r="AS7" t="s">
        <v>2597</v>
      </c>
      <c r="AT7" s="7">
        <v>3.5</v>
      </c>
      <c r="AU7" s="7">
        <v>3</v>
      </c>
      <c r="AV7" s="7">
        <v>3.5</v>
      </c>
      <c r="AW7" s="7">
        <v>4</v>
      </c>
      <c r="AX7" s="7">
        <v>3.5</v>
      </c>
      <c r="AY7" s="7">
        <v>3</v>
      </c>
      <c r="AZ7" s="7">
        <v>4</v>
      </c>
      <c r="BA7" s="7">
        <v>3.5</v>
      </c>
      <c r="BB7" t="s">
        <v>2573</v>
      </c>
      <c r="BC7" s="7">
        <v>625</v>
      </c>
      <c r="BD7" t="s">
        <v>2620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2590</v>
      </c>
      <c r="C8" s="7">
        <v>2024</v>
      </c>
      <c r="D8" t="s">
        <v>1565</v>
      </c>
      <c r="E8" t="s">
        <v>2601</v>
      </c>
      <c r="F8" t="s">
        <v>1557</v>
      </c>
      <c r="G8" t="s">
        <v>2602</v>
      </c>
      <c r="H8" s="7">
        <v>3.57</v>
      </c>
      <c r="I8" s="7">
        <v>3</v>
      </c>
      <c r="J8" s="7">
        <v>4</v>
      </c>
      <c r="K8" s="7">
        <v>4</v>
      </c>
      <c r="L8" s="7">
        <v>3.5</v>
      </c>
      <c r="M8" s="7">
        <v>3.5</v>
      </c>
      <c r="N8" s="7">
        <v>3.5</v>
      </c>
      <c r="O8" s="7">
        <v>3.5</v>
      </c>
      <c r="P8" t="s">
        <v>2575</v>
      </c>
      <c r="Q8" s="7">
        <v>102</v>
      </c>
      <c r="R8" t="s">
        <v>2607</v>
      </c>
      <c r="U8" t="s">
        <v>2641</v>
      </c>
      <c r="V8" s="7">
        <v>2024</v>
      </c>
      <c r="W8" t="s">
        <v>1554</v>
      </c>
      <c r="X8" t="s">
        <v>2642</v>
      </c>
      <c r="Y8" t="s">
        <v>1557</v>
      </c>
      <c r="Z8" t="s">
        <v>822</v>
      </c>
      <c r="AA8" s="7">
        <v>3.93</v>
      </c>
      <c r="AB8" s="7">
        <v>4</v>
      </c>
      <c r="AC8" s="7">
        <v>3.5</v>
      </c>
      <c r="AD8" s="7">
        <v>3.5</v>
      </c>
      <c r="AE8" s="7">
        <v>4</v>
      </c>
      <c r="AF8" s="7">
        <v>4.5</v>
      </c>
      <c r="AG8" s="7">
        <v>3.5</v>
      </c>
      <c r="AH8" s="7">
        <v>4.5</v>
      </c>
      <c r="AI8" t="s">
        <v>246</v>
      </c>
      <c r="AJ8" s="7">
        <v>58</v>
      </c>
      <c r="AK8" t="s">
        <v>2670</v>
      </c>
      <c r="AN8" t="s">
        <v>2183</v>
      </c>
      <c r="AO8" s="7">
        <v>2022</v>
      </c>
      <c r="AP8" t="s">
        <v>1554</v>
      </c>
      <c r="AQ8" t="s">
        <v>1085</v>
      </c>
      <c r="AR8" t="s">
        <v>1560</v>
      </c>
      <c r="AS8" t="s">
        <v>2150</v>
      </c>
      <c r="AT8" s="7">
        <v>3.57</v>
      </c>
      <c r="AU8" s="7">
        <v>4</v>
      </c>
      <c r="AV8" s="7">
        <v>4</v>
      </c>
      <c r="AW8" s="7">
        <v>3.5</v>
      </c>
      <c r="AX8" s="7">
        <v>3.5</v>
      </c>
      <c r="AY8" s="7">
        <v>3.5</v>
      </c>
      <c r="AZ8" s="7">
        <v>3.5</v>
      </c>
      <c r="BA8" s="7">
        <v>3</v>
      </c>
      <c r="BB8" t="s">
        <v>2151</v>
      </c>
      <c r="BC8" s="7">
        <v>69</v>
      </c>
      <c r="BD8" t="s">
        <v>2196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2663</v>
      </c>
      <c r="C9" s="7">
        <v>2024</v>
      </c>
      <c r="D9" t="s">
        <v>1567</v>
      </c>
      <c r="E9" t="s">
        <v>2664</v>
      </c>
      <c r="F9" t="s">
        <v>1557</v>
      </c>
      <c r="G9" t="s">
        <v>2665</v>
      </c>
      <c r="H9" s="38">
        <v>3.43</v>
      </c>
      <c r="I9" s="7">
        <v>3</v>
      </c>
      <c r="J9" s="7">
        <v>3</v>
      </c>
      <c r="K9" s="7">
        <v>3.5</v>
      </c>
      <c r="L9" s="7">
        <v>3.5</v>
      </c>
      <c r="M9" s="7">
        <v>3.5</v>
      </c>
      <c r="N9" s="7">
        <v>4</v>
      </c>
      <c r="O9" s="7">
        <v>3.5</v>
      </c>
      <c r="P9" t="s">
        <v>2636</v>
      </c>
      <c r="Q9" s="7">
        <v>100</v>
      </c>
      <c r="R9" t="s">
        <v>2681</v>
      </c>
      <c r="U9" t="s">
        <v>2584</v>
      </c>
      <c r="V9" s="7">
        <v>2024</v>
      </c>
      <c r="W9" t="s">
        <v>1554</v>
      </c>
      <c r="X9" t="s">
        <v>2529</v>
      </c>
      <c r="Y9" t="s">
        <v>1557</v>
      </c>
      <c r="Z9" t="s">
        <v>682</v>
      </c>
      <c r="AA9" s="7">
        <v>3.64</v>
      </c>
      <c r="AB9" s="7">
        <v>3</v>
      </c>
      <c r="AC9" s="7">
        <v>4</v>
      </c>
      <c r="AD9" s="7">
        <v>4.5</v>
      </c>
      <c r="AE9" s="7">
        <v>3.5</v>
      </c>
      <c r="AF9" s="7">
        <v>3</v>
      </c>
      <c r="AG9" s="7">
        <v>3.5</v>
      </c>
      <c r="AH9" s="7">
        <v>4</v>
      </c>
      <c r="AI9" t="s">
        <v>2571</v>
      </c>
      <c r="AJ9" s="7">
        <v>87</v>
      </c>
      <c r="AK9" t="s">
        <v>2613</v>
      </c>
      <c r="AN9" t="s">
        <v>2583</v>
      </c>
      <c r="AO9" s="7">
        <v>2021</v>
      </c>
      <c r="AP9" t="s">
        <v>1554</v>
      </c>
      <c r="AQ9" t="s">
        <v>658</v>
      </c>
      <c r="AR9" t="s">
        <v>1559</v>
      </c>
      <c r="AS9" t="s">
        <v>909</v>
      </c>
      <c r="AT9" s="7">
        <v>3.64</v>
      </c>
      <c r="AU9" s="7">
        <v>3.5</v>
      </c>
      <c r="AV9" s="7">
        <v>4</v>
      </c>
      <c r="AW9" s="7">
        <v>4</v>
      </c>
      <c r="AX9" s="7">
        <v>3</v>
      </c>
      <c r="AY9" s="7">
        <v>3</v>
      </c>
      <c r="AZ9" s="7">
        <v>4</v>
      </c>
      <c r="BA9" s="7">
        <v>4</v>
      </c>
      <c r="BB9" t="s">
        <v>2570</v>
      </c>
      <c r="BC9" s="7">
        <v>325</v>
      </c>
      <c r="BD9" t="s">
        <v>2621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2504</v>
      </c>
      <c r="C10" s="7">
        <v>2023</v>
      </c>
      <c r="D10" t="s">
        <v>1558</v>
      </c>
      <c r="E10" t="s">
        <v>2527</v>
      </c>
      <c r="F10" t="s">
        <v>1557</v>
      </c>
      <c r="G10" t="s">
        <v>2484</v>
      </c>
      <c r="H10" s="7">
        <v>3.57</v>
      </c>
      <c r="I10" s="7">
        <v>3</v>
      </c>
      <c r="J10" s="7">
        <v>3</v>
      </c>
      <c r="K10" s="7">
        <v>4</v>
      </c>
      <c r="L10" s="7">
        <v>3.5</v>
      </c>
      <c r="M10" s="7">
        <v>3.5</v>
      </c>
      <c r="N10" s="7">
        <v>4.5</v>
      </c>
      <c r="O10" s="7">
        <v>3.5</v>
      </c>
      <c r="P10" t="s">
        <v>184</v>
      </c>
      <c r="Q10" s="7">
        <v>73</v>
      </c>
      <c r="R10" t="s">
        <v>2543</v>
      </c>
      <c r="U10" t="s">
        <v>2704</v>
      </c>
      <c r="V10" s="7">
        <v>2024</v>
      </c>
      <c r="W10" t="s">
        <v>1554</v>
      </c>
      <c r="X10" t="s">
        <v>787</v>
      </c>
      <c r="Y10" t="s">
        <v>1557</v>
      </c>
      <c r="Z10" t="s">
        <v>659</v>
      </c>
      <c r="AA10" s="7">
        <v>3.71</v>
      </c>
      <c r="AB10" s="7">
        <v>3.5</v>
      </c>
      <c r="AC10" s="7">
        <v>3</v>
      </c>
      <c r="AD10" s="7">
        <v>4</v>
      </c>
      <c r="AE10" s="7">
        <v>3.5</v>
      </c>
      <c r="AF10" s="7">
        <v>4</v>
      </c>
      <c r="AG10" s="7">
        <v>3.5</v>
      </c>
      <c r="AH10" s="7">
        <v>4.5</v>
      </c>
      <c r="AI10" t="s">
        <v>136</v>
      </c>
      <c r="AJ10" s="7">
        <v>100</v>
      </c>
      <c r="AK10" t="s">
        <v>2737</v>
      </c>
      <c r="AN10" t="s">
        <v>2459</v>
      </c>
      <c r="AO10" s="7">
        <v>2021</v>
      </c>
      <c r="AP10" t="s">
        <v>1554</v>
      </c>
      <c r="AQ10" t="s">
        <v>1976</v>
      </c>
      <c r="AR10" t="s">
        <v>1559</v>
      </c>
      <c r="AS10" t="s">
        <v>2460</v>
      </c>
      <c r="AT10" s="38">
        <v>3.79</v>
      </c>
      <c r="AU10" s="7">
        <v>3.5</v>
      </c>
      <c r="AV10" s="7">
        <v>4</v>
      </c>
      <c r="AW10" s="7">
        <v>3.5</v>
      </c>
      <c r="AX10" s="7">
        <v>3.5</v>
      </c>
      <c r="AY10" s="7">
        <v>4</v>
      </c>
      <c r="AZ10" s="7">
        <v>4</v>
      </c>
      <c r="BA10" s="7">
        <v>4</v>
      </c>
      <c r="BB10" t="s">
        <v>2461</v>
      </c>
      <c r="BC10" s="7">
        <v>325</v>
      </c>
      <c r="BD10" t="s">
        <v>2479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2640</v>
      </c>
      <c r="C11" s="7">
        <v>2023</v>
      </c>
      <c r="D11" t="s">
        <v>56</v>
      </c>
      <c r="E11" t="s">
        <v>806</v>
      </c>
      <c r="F11" t="s">
        <v>1557</v>
      </c>
      <c r="G11" t="s">
        <v>2626</v>
      </c>
      <c r="H11" s="7">
        <v>3.21</v>
      </c>
      <c r="I11" s="7">
        <v>3.5</v>
      </c>
      <c r="J11" s="7">
        <v>3</v>
      </c>
      <c r="K11" s="7">
        <v>3</v>
      </c>
      <c r="L11" s="7">
        <v>3.5</v>
      </c>
      <c r="M11" s="7">
        <v>3.5</v>
      </c>
      <c r="N11" s="7">
        <v>3</v>
      </c>
      <c r="O11" s="7">
        <v>3</v>
      </c>
      <c r="P11" t="s">
        <v>1345</v>
      </c>
      <c r="Q11" s="7">
        <v>85</v>
      </c>
      <c r="R11" t="s">
        <v>2669</v>
      </c>
      <c r="U11" t="s">
        <v>2654</v>
      </c>
      <c r="V11" s="7">
        <v>2024</v>
      </c>
      <c r="W11" t="s">
        <v>1554</v>
      </c>
      <c r="X11" t="s">
        <v>2655</v>
      </c>
      <c r="Y11" t="s">
        <v>1557</v>
      </c>
      <c r="Z11" t="s">
        <v>801</v>
      </c>
      <c r="AA11" s="7">
        <v>3.57</v>
      </c>
      <c r="AB11" s="7">
        <v>3</v>
      </c>
      <c r="AC11" s="7">
        <v>3.5</v>
      </c>
      <c r="AD11" s="7">
        <v>4</v>
      </c>
      <c r="AE11" s="7">
        <v>4</v>
      </c>
      <c r="AF11" s="7">
        <v>4</v>
      </c>
      <c r="AG11" s="7">
        <v>3.5</v>
      </c>
      <c r="AH11" s="7">
        <v>3</v>
      </c>
      <c r="AI11" t="s">
        <v>146</v>
      </c>
      <c r="AJ11" s="7">
        <v>134</v>
      </c>
      <c r="AK11" t="s">
        <v>2677</v>
      </c>
      <c r="AN11" t="s">
        <v>2422</v>
      </c>
      <c r="AO11" s="7">
        <v>2020</v>
      </c>
      <c r="AP11" t="s">
        <v>1554</v>
      </c>
      <c r="AQ11" t="s">
        <v>1150</v>
      </c>
      <c r="AR11" t="s">
        <v>1560</v>
      </c>
      <c r="AS11" t="s">
        <v>2423</v>
      </c>
      <c r="AT11" s="7">
        <v>3</v>
      </c>
      <c r="AU11" s="7">
        <v>3</v>
      </c>
      <c r="AV11" s="7">
        <v>3.5</v>
      </c>
      <c r="AW11" s="7">
        <v>3.5</v>
      </c>
      <c r="AX11" s="7">
        <v>3</v>
      </c>
      <c r="AY11" s="7">
        <v>2.5</v>
      </c>
      <c r="AZ11" s="7">
        <v>3</v>
      </c>
      <c r="BA11" s="7">
        <v>2.5</v>
      </c>
      <c r="BB11" t="s">
        <v>123</v>
      </c>
      <c r="BC11" s="7">
        <v>63</v>
      </c>
      <c r="BD11" t="s">
        <v>2480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2515</v>
      </c>
      <c r="C12" s="7">
        <v>2023</v>
      </c>
      <c r="D12" t="s">
        <v>1566</v>
      </c>
      <c r="E12" t="s">
        <v>2533</v>
      </c>
      <c r="F12" t="s">
        <v>1557</v>
      </c>
      <c r="G12" t="s">
        <v>2534</v>
      </c>
      <c r="H12" s="7">
        <v>3.21</v>
      </c>
      <c r="I12" s="7">
        <v>3.5</v>
      </c>
      <c r="J12" s="7">
        <v>3</v>
      </c>
      <c r="K12" s="7">
        <v>3.5</v>
      </c>
      <c r="L12" s="7">
        <v>3</v>
      </c>
      <c r="M12" s="7">
        <v>3.5</v>
      </c>
      <c r="N12" s="7">
        <v>3</v>
      </c>
      <c r="O12" s="7">
        <v>3</v>
      </c>
      <c r="P12" t="s">
        <v>2494</v>
      </c>
      <c r="Q12" s="7">
        <v>102</v>
      </c>
      <c r="R12" t="s">
        <v>2544</v>
      </c>
      <c r="U12" t="s">
        <v>2660</v>
      </c>
      <c r="V12" s="7">
        <v>2024</v>
      </c>
      <c r="W12" t="s">
        <v>1554</v>
      </c>
      <c r="X12" t="s">
        <v>2661</v>
      </c>
      <c r="Y12" t="s">
        <v>1557</v>
      </c>
      <c r="Z12" t="s">
        <v>2662</v>
      </c>
      <c r="AA12" s="7">
        <v>3.14</v>
      </c>
      <c r="AB12" s="7">
        <v>3</v>
      </c>
      <c r="AC12" s="7">
        <v>3</v>
      </c>
      <c r="AD12" s="7">
        <v>3</v>
      </c>
      <c r="AE12" s="7">
        <v>3.5</v>
      </c>
      <c r="AF12" s="7">
        <v>3.5</v>
      </c>
      <c r="AG12" s="7">
        <v>3</v>
      </c>
      <c r="AH12" s="7">
        <v>3</v>
      </c>
      <c r="AI12" t="s">
        <v>287</v>
      </c>
      <c r="AJ12" s="7">
        <v>94</v>
      </c>
      <c r="AK12" t="s">
        <v>2680</v>
      </c>
      <c r="AN12" t="s">
        <v>2427</v>
      </c>
      <c r="AO12" s="7">
        <v>2020</v>
      </c>
      <c r="AP12" t="s">
        <v>1554</v>
      </c>
      <c r="AQ12" t="s">
        <v>1916</v>
      </c>
      <c r="AR12" t="s">
        <v>1559</v>
      </c>
      <c r="AS12" t="s">
        <v>785</v>
      </c>
      <c r="AT12" s="7">
        <v>3.43</v>
      </c>
      <c r="AU12" s="7">
        <v>3</v>
      </c>
      <c r="AV12" s="7">
        <v>3</v>
      </c>
      <c r="AW12" s="7">
        <v>4</v>
      </c>
      <c r="AX12" s="7">
        <v>3.5</v>
      </c>
      <c r="AY12" s="7">
        <v>3.5</v>
      </c>
      <c r="AZ12" s="7">
        <v>3.5</v>
      </c>
      <c r="BA12" s="7">
        <v>3.5</v>
      </c>
      <c r="BB12" t="s">
        <v>2428</v>
      </c>
      <c r="BC12" s="7">
        <v>300</v>
      </c>
      <c r="BD12" t="s">
        <v>2481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2651</v>
      </c>
      <c r="C13" s="7">
        <v>2023</v>
      </c>
      <c r="D13" t="s">
        <v>1566</v>
      </c>
      <c r="E13" t="s">
        <v>2652</v>
      </c>
      <c r="F13" t="s">
        <v>1557</v>
      </c>
      <c r="G13" t="s">
        <v>2653</v>
      </c>
      <c r="H13" s="7">
        <v>2.79</v>
      </c>
      <c r="I13" s="7">
        <v>2.5</v>
      </c>
      <c r="J13" s="7">
        <v>3</v>
      </c>
      <c r="K13" s="7">
        <v>3</v>
      </c>
      <c r="L13" s="7">
        <v>3</v>
      </c>
      <c r="M13" s="7">
        <v>2.5</v>
      </c>
      <c r="N13" s="7">
        <v>3</v>
      </c>
      <c r="O13" s="7">
        <v>2.5</v>
      </c>
      <c r="P13" t="s">
        <v>1770</v>
      </c>
      <c r="Q13" s="7">
        <v>86</v>
      </c>
      <c r="R13" t="s">
        <v>2676</v>
      </c>
      <c r="U13" t="s">
        <v>2507</v>
      </c>
      <c r="V13" s="7">
        <v>2023</v>
      </c>
      <c r="W13" t="s">
        <v>1554</v>
      </c>
      <c r="X13" t="s">
        <v>2529</v>
      </c>
      <c r="Y13" t="s">
        <v>1557</v>
      </c>
      <c r="Z13" t="s">
        <v>2486</v>
      </c>
      <c r="AA13" s="7">
        <v>3.14</v>
      </c>
      <c r="AB13" s="7">
        <v>2.5</v>
      </c>
      <c r="AC13" s="7">
        <v>3.5</v>
      </c>
      <c r="AD13" s="7">
        <v>3.5</v>
      </c>
      <c r="AE13" s="7">
        <v>3.5</v>
      </c>
      <c r="AF13" s="7">
        <v>3</v>
      </c>
      <c r="AG13" s="7">
        <v>3</v>
      </c>
      <c r="AH13" s="7">
        <v>3</v>
      </c>
      <c r="AI13" t="s">
        <v>241</v>
      </c>
      <c r="AJ13" s="7">
        <v>62</v>
      </c>
      <c r="AK13" t="s">
        <v>2551</v>
      </c>
      <c r="AN13" t="s">
        <v>2429</v>
      </c>
      <c r="AO13" s="7">
        <v>2020</v>
      </c>
      <c r="AP13" t="s">
        <v>1554</v>
      </c>
      <c r="AQ13" t="s">
        <v>2430</v>
      </c>
      <c r="AR13" t="s">
        <v>1559</v>
      </c>
      <c r="AS13" t="s">
        <v>2431</v>
      </c>
      <c r="AT13" s="7">
        <v>3.21</v>
      </c>
      <c r="AU13" s="7">
        <v>2.5</v>
      </c>
      <c r="AV13" s="7">
        <v>3.5</v>
      </c>
      <c r="AW13" s="7">
        <v>3.5</v>
      </c>
      <c r="AX13" s="7">
        <v>3</v>
      </c>
      <c r="AY13" s="7">
        <v>2.5</v>
      </c>
      <c r="AZ13" s="7">
        <v>4</v>
      </c>
      <c r="BA13" s="7">
        <v>3.5</v>
      </c>
      <c r="BB13" t="s">
        <v>2432</v>
      </c>
      <c r="BC13" s="7">
        <v>325</v>
      </c>
      <c r="BD13" t="s">
        <v>2482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2520</v>
      </c>
      <c r="C14" s="7">
        <v>2023</v>
      </c>
      <c r="D14" t="s">
        <v>1590</v>
      </c>
      <c r="E14" t="s">
        <v>911</v>
      </c>
      <c r="F14" t="s">
        <v>1557</v>
      </c>
      <c r="G14" t="s">
        <v>2498</v>
      </c>
      <c r="H14" s="7">
        <v>3.29</v>
      </c>
      <c r="I14" s="7">
        <v>4.5</v>
      </c>
      <c r="J14" s="7">
        <v>4.5</v>
      </c>
      <c r="K14" s="7">
        <v>4.5</v>
      </c>
      <c r="L14" s="7">
        <v>4</v>
      </c>
      <c r="M14" s="7">
        <v>2</v>
      </c>
      <c r="N14" s="7">
        <v>1.5</v>
      </c>
      <c r="O14" s="7">
        <v>2</v>
      </c>
      <c r="P14" t="s">
        <v>2499</v>
      </c>
      <c r="Q14" s="7">
        <v>115</v>
      </c>
      <c r="R14" t="s">
        <v>2545</v>
      </c>
      <c r="U14" t="s">
        <v>2510</v>
      </c>
      <c r="V14" s="7">
        <v>2023</v>
      </c>
      <c r="W14" t="s">
        <v>1554</v>
      </c>
      <c r="X14" t="s">
        <v>731</v>
      </c>
      <c r="Y14" t="s">
        <v>1557</v>
      </c>
      <c r="Z14" t="s">
        <v>738</v>
      </c>
      <c r="AA14" s="7">
        <v>4</v>
      </c>
      <c r="AB14" s="7">
        <v>4</v>
      </c>
      <c r="AC14" s="7">
        <v>4</v>
      </c>
      <c r="AD14" s="7">
        <v>4.5</v>
      </c>
      <c r="AE14" s="7">
        <v>3.5</v>
      </c>
      <c r="AF14" s="7">
        <v>4</v>
      </c>
      <c r="AG14" s="7">
        <v>4</v>
      </c>
      <c r="AH14" s="7">
        <v>4</v>
      </c>
      <c r="AI14" t="s">
        <v>1190</v>
      </c>
      <c r="AJ14" s="7">
        <v>120</v>
      </c>
      <c r="AK14" t="s">
        <v>2552</v>
      </c>
      <c r="AN14" t="s">
        <v>1901</v>
      </c>
      <c r="AO14" s="7">
        <v>2020</v>
      </c>
      <c r="AP14" t="s">
        <v>1554</v>
      </c>
      <c r="AQ14" t="s">
        <v>1085</v>
      </c>
      <c r="AR14" t="s">
        <v>1559</v>
      </c>
      <c r="AS14" t="s">
        <v>1708</v>
      </c>
      <c r="AT14" s="7">
        <v>4.1399999999999997</v>
      </c>
      <c r="AU14" s="7">
        <v>3</v>
      </c>
      <c r="AV14" s="7">
        <v>4.5</v>
      </c>
      <c r="AW14" s="7">
        <v>4</v>
      </c>
      <c r="AX14" s="7">
        <v>4</v>
      </c>
      <c r="AY14" s="7">
        <v>4.5</v>
      </c>
      <c r="AZ14" s="7">
        <v>4.5</v>
      </c>
      <c r="BA14" s="7">
        <v>4.5</v>
      </c>
      <c r="BB14" t="s">
        <v>1873</v>
      </c>
      <c r="BC14" s="7">
        <v>575</v>
      </c>
      <c r="BD14" t="s">
        <v>1930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2592</v>
      </c>
      <c r="C15" s="7">
        <v>2023</v>
      </c>
      <c r="D15" t="s">
        <v>1566</v>
      </c>
      <c r="E15" t="s">
        <v>2604</v>
      </c>
      <c r="F15" t="s">
        <v>1557</v>
      </c>
      <c r="G15" t="s">
        <v>2576</v>
      </c>
      <c r="H15" s="7">
        <v>2.5</v>
      </c>
      <c r="I15" s="7">
        <v>2</v>
      </c>
      <c r="J15" s="7">
        <v>2.5</v>
      </c>
      <c r="K15" s="7">
        <v>3.5</v>
      </c>
      <c r="L15" s="7">
        <v>2.5</v>
      </c>
      <c r="M15" s="7">
        <v>2</v>
      </c>
      <c r="N15" s="7">
        <v>2.5</v>
      </c>
      <c r="O15" s="7">
        <v>2.5</v>
      </c>
      <c r="P15" t="s">
        <v>2577</v>
      </c>
      <c r="Q15" s="7">
        <v>103</v>
      </c>
      <c r="R15" t="s">
        <v>2608</v>
      </c>
      <c r="U15" t="s">
        <v>2588</v>
      </c>
      <c r="V15" s="7">
        <v>2023</v>
      </c>
      <c r="W15" t="s">
        <v>1554</v>
      </c>
      <c r="X15" t="s">
        <v>2596</v>
      </c>
      <c r="Y15" t="s">
        <v>1557</v>
      </c>
      <c r="Z15" t="s">
        <v>2598</v>
      </c>
      <c r="AA15" s="7">
        <v>3.21</v>
      </c>
      <c r="AB15" s="7">
        <v>3</v>
      </c>
      <c r="AC15" s="7">
        <v>3.5</v>
      </c>
      <c r="AD15" s="7">
        <v>3.5</v>
      </c>
      <c r="AE15" s="7">
        <v>3.5</v>
      </c>
      <c r="AF15" s="7">
        <v>2.5</v>
      </c>
      <c r="AG15" s="7">
        <v>4</v>
      </c>
      <c r="AH15" s="7">
        <v>2.5</v>
      </c>
      <c r="AI15" t="s">
        <v>54</v>
      </c>
      <c r="AJ15" s="7">
        <v>110</v>
      </c>
      <c r="AK15" t="s">
        <v>2614</v>
      </c>
      <c r="AN15" t="s">
        <v>2161</v>
      </c>
      <c r="AO15" s="7">
        <v>2020</v>
      </c>
      <c r="AP15" t="s">
        <v>1554</v>
      </c>
      <c r="AQ15" t="s">
        <v>1026</v>
      </c>
      <c r="AR15" t="s">
        <v>1559</v>
      </c>
      <c r="AS15" t="s">
        <v>2162</v>
      </c>
      <c r="AT15" s="7">
        <v>2.86</v>
      </c>
      <c r="AU15" s="7">
        <v>2</v>
      </c>
      <c r="AV15" s="7">
        <v>3</v>
      </c>
      <c r="AW15" s="7">
        <v>3.5</v>
      </c>
      <c r="AX15" s="7">
        <v>3</v>
      </c>
      <c r="AY15" s="7">
        <v>2</v>
      </c>
      <c r="AZ15" s="7">
        <v>3.5</v>
      </c>
      <c r="BA15" s="7">
        <v>3</v>
      </c>
      <c r="BB15" t="s">
        <v>2144</v>
      </c>
      <c r="BC15" s="7">
        <v>300</v>
      </c>
      <c r="BD15" t="s">
        <v>2197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2521</v>
      </c>
      <c r="C16" s="7">
        <v>2023</v>
      </c>
      <c r="D16" t="s">
        <v>1556</v>
      </c>
      <c r="E16" t="s">
        <v>2539</v>
      </c>
      <c r="F16" t="s">
        <v>1557</v>
      </c>
      <c r="G16" t="s">
        <v>2539</v>
      </c>
      <c r="H16" s="7">
        <v>2.86</v>
      </c>
      <c r="I16" s="7">
        <v>2</v>
      </c>
      <c r="J16" s="7">
        <v>2.5</v>
      </c>
      <c r="K16" s="7">
        <v>3</v>
      </c>
      <c r="L16" s="7">
        <v>3</v>
      </c>
      <c r="M16" s="7">
        <v>2.5</v>
      </c>
      <c r="N16" s="7">
        <v>4</v>
      </c>
      <c r="O16" s="7">
        <v>3</v>
      </c>
      <c r="P16" t="s">
        <v>2500</v>
      </c>
      <c r="Q16" s="7">
        <v>90</v>
      </c>
      <c r="R16" t="s">
        <v>2546</v>
      </c>
      <c r="U16" t="s">
        <v>2517</v>
      </c>
      <c r="V16" s="7">
        <v>2023</v>
      </c>
      <c r="W16" t="s">
        <v>1554</v>
      </c>
      <c r="X16" t="s">
        <v>747</v>
      </c>
      <c r="Y16" t="s">
        <v>1557</v>
      </c>
      <c r="Z16" t="s">
        <v>748</v>
      </c>
      <c r="AA16" s="7">
        <v>3.5</v>
      </c>
      <c r="AB16" s="7">
        <v>4</v>
      </c>
      <c r="AC16" s="7">
        <v>3.5</v>
      </c>
      <c r="AD16" s="7">
        <v>3.5</v>
      </c>
      <c r="AE16" s="7">
        <v>4</v>
      </c>
      <c r="AF16" s="7">
        <v>3</v>
      </c>
      <c r="AG16" s="7">
        <v>3</v>
      </c>
      <c r="AH16" s="7">
        <v>3.5</v>
      </c>
      <c r="AI16" t="s">
        <v>2496</v>
      </c>
      <c r="AJ16" s="7">
        <v>124</v>
      </c>
      <c r="AK16" t="s">
        <v>2553</v>
      </c>
      <c r="AN16" t="s">
        <v>2506</v>
      </c>
      <c r="AO16" s="7">
        <v>2020</v>
      </c>
      <c r="AP16" t="s">
        <v>1554</v>
      </c>
      <c r="AQ16" t="s">
        <v>787</v>
      </c>
      <c r="AR16" t="s">
        <v>1559</v>
      </c>
      <c r="AS16" t="s">
        <v>788</v>
      </c>
      <c r="AT16" s="7">
        <v>4.07</v>
      </c>
      <c r="AU16" s="7">
        <v>3</v>
      </c>
      <c r="AV16" s="7">
        <v>4</v>
      </c>
      <c r="AW16" s="7">
        <v>4.5</v>
      </c>
      <c r="AX16" s="7">
        <v>4</v>
      </c>
      <c r="AY16" s="7">
        <v>4</v>
      </c>
      <c r="AZ16" s="7">
        <v>4.5</v>
      </c>
      <c r="BA16" s="7">
        <v>4.5</v>
      </c>
      <c r="BB16" t="s">
        <v>2485</v>
      </c>
      <c r="BC16" s="7">
        <v>300</v>
      </c>
      <c r="BD16" t="s">
        <v>2560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2522</v>
      </c>
      <c r="C17" s="7">
        <v>2023</v>
      </c>
      <c r="D17" t="s">
        <v>1607</v>
      </c>
      <c r="E17" t="s">
        <v>2540</v>
      </c>
      <c r="F17" t="s">
        <v>1557</v>
      </c>
      <c r="G17" t="s">
        <v>2541</v>
      </c>
      <c r="H17" s="38">
        <v>1.79</v>
      </c>
      <c r="I17" s="7">
        <v>1.5</v>
      </c>
      <c r="J17" s="7">
        <v>1.5</v>
      </c>
      <c r="K17" s="7">
        <v>2</v>
      </c>
      <c r="L17" s="7">
        <v>2.5</v>
      </c>
      <c r="M17" s="7">
        <v>2</v>
      </c>
      <c r="N17" s="7">
        <v>1.5</v>
      </c>
      <c r="O17" s="7">
        <v>1.5</v>
      </c>
      <c r="P17" t="s">
        <v>246</v>
      </c>
      <c r="Q17" s="7">
        <v>96</v>
      </c>
      <c r="R17" t="s">
        <v>2547</v>
      </c>
      <c r="U17" t="s">
        <v>2518</v>
      </c>
      <c r="V17" s="7">
        <v>2023</v>
      </c>
      <c r="W17" t="s">
        <v>1554</v>
      </c>
      <c r="X17" t="s">
        <v>731</v>
      </c>
      <c r="Y17" t="s">
        <v>1557</v>
      </c>
      <c r="Z17" t="s">
        <v>2537</v>
      </c>
      <c r="AA17" s="7">
        <v>3.57</v>
      </c>
      <c r="AB17" s="7">
        <v>3.5</v>
      </c>
      <c r="AC17" s="7">
        <v>3.5</v>
      </c>
      <c r="AD17" s="7">
        <v>3.5</v>
      </c>
      <c r="AE17" s="7">
        <v>3.5</v>
      </c>
      <c r="AF17" s="7">
        <v>3.5</v>
      </c>
      <c r="AG17" s="7">
        <v>4</v>
      </c>
      <c r="AH17" s="7">
        <v>3.5</v>
      </c>
      <c r="AI17" t="s">
        <v>2497</v>
      </c>
      <c r="AJ17" s="7">
        <v>70</v>
      </c>
      <c r="AK17" t="s">
        <v>2554</v>
      </c>
      <c r="AN17" t="s">
        <v>2076</v>
      </c>
      <c r="AO17" s="7">
        <v>2019</v>
      </c>
      <c r="AP17" t="s">
        <v>1554</v>
      </c>
      <c r="AQ17" t="s">
        <v>2077</v>
      </c>
      <c r="AR17" t="s">
        <v>1559</v>
      </c>
      <c r="AS17" t="s">
        <v>2078</v>
      </c>
      <c r="AT17" s="7">
        <v>3.71</v>
      </c>
      <c r="AU17" s="7">
        <v>3</v>
      </c>
      <c r="AV17" s="7">
        <v>3.5</v>
      </c>
      <c r="AW17" s="7">
        <v>4</v>
      </c>
      <c r="AX17" s="7">
        <v>4</v>
      </c>
      <c r="AY17" s="7">
        <v>4</v>
      </c>
      <c r="AZ17" s="7">
        <v>3.5</v>
      </c>
      <c r="BA17" s="7">
        <v>4</v>
      </c>
      <c r="BB17" t="s">
        <v>1358</v>
      </c>
      <c r="BC17" s="7">
        <v>300</v>
      </c>
      <c r="BD17" t="s">
        <v>2131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2523</v>
      </c>
      <c r="C18" s="7">
        <v>2023</v>
      </c>
      <c r="D18" t="s">
        <v>1609</v>
      </c>
      <c r="E18" t="s">
        <v>2542</v>
      </c>
      <c r="F18" t="s">
        <v>1557</v>
      </c>
      <c r="G18" t="s">
        <v>2501</v>
      </c>
      <c r="H18" s="38">
        <v>3.5</v>
      </c>
      <c r="I18" s="7">
        <v>3</v>
      </c>
      <c r="J18" s="7">
        <v>3.5</v>
      </c>
      <c r="K18" s="7">
        <v>4</v>
      </c>
      <c r="L18" s="7">
        <v>4</v>
      </c>
      <c r="M18" s="7">
        <v>3.5</v>
      </c>
      <c r="N18" s="7">
        <v>3</v>
      </c>
      <c r="O18" s="7">
        <v>3.5</v>
      </c>
      <c r="P18" t="s">
        <v>2502</v>
      </c>
      <c r="Q18" s="7">
        <v>110</v>
      </c>
      <c r="R18" t="s">
        <v>2548</v>
      </c>
      <c r="U18" t="s">
        <v>2503</v>
      </c>
      <c r="V18" s="7">
        <v>2022</v>
      </c>
      <c r="W18" t="s">
        <v>1554</v>
      </c>
      <c r="X18" t="s">
        <v>2526</v>
      </c>
      <c r="Y18" t="s">
        <v>1557</v>
      </c>
      <c r="Z18" t="s">
        <v>1713</v>
      </c>
      <c r="AA18" s="7">
        <v>2.86</v>
      </c>
      <c r="AB18" s="7">
        <v>2.5</v>
      </c>
      <c r="AC18" s="7">
        <v>3</v>
      </c>
      <c r="AD18" s="7">
        <v>3</v>
      </c>
      <c r="AE18" s="7">
        <v>3</v>
      </c>
      <c r="AF18" s="7">
        <v>3</v>
      </c>
      <c r="AG18" s="7">
        <v>3</v>
      </c>
      <c r="AH18" s="7">
        <v>2.5</v>
      </c>
      <c r="AI18" t="s">
        <v>2483</v>
      </c>
      <c r="AJ18" s="7">
        <v>103</v>
      </c>
      <c r="AK18" t="s">
        <v>2555</v>
      </c>
      <c r="AN18" t="s">
        <v>1898</v>
      </c>
      <c r="AO18" s="7">
        <v>2019</v>
      </c>
      <c r="AP18" t="s">
        <v>1554</v>
      </c>
      <c r="AQ18" t="s">
        <v>814</v>
      </c>
      <c r="AR18" t="s">
        <v>1559</v>
      </c>
      <c r="AS18" t="s">
        <v>1899</v>
      </c>
      <c r="AT18" s="7">
        <v>3.79</v>
      </c>
      <c r="AU18" s="7">
        <v>4</v>
      </c>
      <c r="AV18" s="7">
        <v>4</v>
      </c>
      <c r="AW18" s="7">
        <v>4</v>
      </c>
      <c r="AX18" s="7">
        <v>3</v>
      </c>
      <c r="AY18" s="7">
        <v>3</v>
      </c>
      <c r="AZ18" s="7">
        <v>4.5</v>
      </c>
      <c r="BA18" s="7">
        <v>4</v>
      </c>
      <c r="BB18" t="s">
        <v>248</v>
      </c>
      <c r="BC18" s="7">
        <v>650</v>
      </c>
      <c r="BD18" t="s">
        <v>1931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2267</v>
      </c>
      <c r="C19" s="7">
        <v>2022</v>
      </c>
      <c r="D19" t="s">
        <v>1556</v>
      </c>
      <c r="E19" t="s">
        <v>2268</v>
      </c>
      <c r="F19" t="s">
        <v>1557</v>
      </c>
      <c r="G19" t="s">
        <v>2269</v>
      </c>
      <c r="H19" s="7">
        <v>1.57</v>
      </c>
      <c r="I19" s="7">
        <v>1.5</v>
      </c>
      <c r="J19" s="7">
        <v>1</v>
      </c>
      <c r="K19" s="7">
        <v>1.5</v>
      </c>
      <c r="L19" s="7">
        <v>1.5</v>
      </c>
      <c r="M19" s="7">
        <v>1.5</v>
      </c>
      <c r="N19" s="7">
        <v>2</v>
      </c>
      <c r="O19" s="7">
        <v>2</v>
      </c>
      <c r="P19" t="s">
        <v>2207</v>
      </c>
      <c r="Q19" s="7">
        <v>78</v>
      </c>
      <c r="R19" t="s">
        <v>2343</v>
      </c>
      <c r="U19" t="s">
        <v>2433</v>
      </c>
      <c r="V19" s="7">
        <v>2022</v>
      </c>
      <c r="W19" t="s">
        <v>1554</v>
      </c>
      <c r="X19" t="s">
        <v>694</v>
      </c>
      <c r="Y19" t="s">
        <v>1557</v>
      </c>
      <c r="Z19" t="s">
        <v>983</v>
      </c>
      <c r="AA19" s="7">
        <v>3.21</v>
      </c>
      <c r="AB19" s="7">
        <v>3</v>
      </c>
      <c r="AC19" s="7">
        <v>3.5</v>
      </c>
      <c r="AD19" s="7">
        <v>3.5</v>
      </c>
      <c r="AE19" s="7">
        <v>3.5</v>
      </c>
      <c r="AF19" s="7">
        <v>3.5</v>
      </c>
      <c r="AG19" s="7">
        <v>3</v>
      </c>
      <c r="AH19" s="7">
        <v>2.5</v>
      </c>
      <c r="AI19" t="s">
        <v>296</v>
      </c>
      <c r="AJ19" s="7">
        <v>98</v>
      </c>
      <c r="AK19" t="s">
        <v>2473</v>
      </c>
      <c r="AN19" t="s">
        <v>2505</v>
      </c>
      <c r="AO19" s="7">
        <v>2019</v>
      </c>
      <c r="AP19" t="s">
        <v>1554</v>
      </c>
      <c r="AQ19" t="s">
        <v>1429</v>
      </c>
      <c r="AR19" t="s">
        <v>1559</v>
      </c>
      <c r="AS19" t="s">
        <v>2528</v>
      </c>
      <c r="AT19" s="7">
        <v>3.79</v>
      </c>
      <c r="AU19" s="7">
        <v>4</v>
      </c>
      <c r="AV19" s="7">
        <v>4</v>
      </c>
      <c r="AW19" s="7">
        <v>3.5</v>
      </c>
      <c r="AX19" s="7">
        <v>3.5</v>
      </c>
      <c r="AY19" s="7">
        <v>3.5</v>
      </c>
      <c r="AZ19" s="7">
        <v>4</v>
      </c>
      <c r="BA19" s="7">
        <v>4</v>
      </c>
      <c r="BB19" t="s">
        <v>1954</v>
      </c>
      <c r="BC19" s="7">
        <v>600</v>
      </c>
      <c r="BD19" t="s">
        <v>2561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2418</v>
      </c>
      <c r="C20" s="7">
        <v>2022</v>
      </c>
      <c r="D20" t="s">
        <v>1558</v>
      </c>
      <c r="E20" t="s">
        <v>2419</v>
      </c>
      <c r="F20" t="s">
        <v>1557</v>
      </c>
      <c r="G20" t="s">
        <v>2420</v>
      </c>
      <c r="H20" s="7">
        <v>3.21</v>
      </c>
      <c r="I20" s="7">
        <v>3</v>
      </c>
      <c r="J20" s="7">
        <v>3</v>
      </c>
      <c r="K20" s="7">
        <v>3</v>
      </c>
      <c r="L20" s="7">
        <v>3.5</v>
      </c>
      <c r="M20" s="7">
        <v>3.5</v>
      </c>
      <c r="N20" s="7">
        <v>3</v>
      </c>
      <c r="O20" s="7">
        <v>3.5</v>
      </c>
      <c r="P20" t="s">
        <v>2421</v>
      </c>
      <c r="Q20" s="7">
        <v>100</v>
      </c>
      <c r="R20" t="s">
        <v>2462</v>
      </c>
      <c r="U20" t="s">
        <v>2508</v>
      </c>
      <c r="V20" s="7">
        <v>2022</v>
      </c>
      <c r="W20" t="s">
        <v>1554</v>
      </c>
      <c r="X20" t="s">
        <v>715</v>
      </c>
      <c r="Y20" t="s">
        <v>1557</v>
      </c>
      <c r="Z20" t="s">
        <v>767</v>
      </c>
      <c r="AA20" s="7">
        <v>2.93</v>
      </c>
      <c r="AB20" s="7">
        <v>2.5</v>
      </c>
      <c r="AC20" s="7">
        <v>3</v>
      </c>
      <c r="AD20" s="7">
        <v>3</v>
      </c>
      <c r="AE20" s="7">
        <v>2.5</v>
      </c>
      <c r="AF20" s="7">
        <v>3.5</v>
      </c>
      <c r="AG20" s="7">
        <v>3</v>
      </c>
      <c r="AH20" s="7">
        <v>3</v>
      </c>
      <c r="AI20" t="s">
        <v>2487</v>
      </c>
      <c r="AJ20" s="7">
        <v>116</v>
      </c>
      <c r="AK20" t="s">
        <v>2556</v>
      </c>
      <c r="AN20" t="s">
        <v>2104</v>
      </c>
      <c r="AO20" s="7">
        <v>2019</v>
      </c>
      <c r="AP20" t="s">
        <v>1554</v>
      </c>
      <c r="AQ20" t="s">
        <v>2105</v>
      </c>
      <c r="AR20" t="s">
        <v>1560</v>
      </c>
      <c r="AS20" t="s">
        <v>1907</v>
      </c>
      <c r="AT20" s="7">
        <v>2.57</v>
      </c>
      <c r="AU20" s="7">
        <v>2.5</v>
      </c>
      <c r="AV20" s="7">
        <v>2.5</v>
      </c>
      <c r="AW20" s="7">
        <v>3</v>
      </c>
      <c r="AX20" s="7">
        <v>2.5</v>
      </c>
      <c r="AY20" s="7">
        <v>2.5</v>
      </c>
      <c r="AZ20" s="7">
        <v>2.5</v>
      </c>
      <c r="BA20" s="7">
        <v>2.5</v>
      </c>
      <c r="BB20" t="s">
        <v>2106</v>
      </c>
      <c r="BC20" s="7">
        <v>60</v>
      </c>
      <c r="BD20" t="s">
        <v>2132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2581</v>
      </c>
      <c r="C21" s="7">
        <v>2022</v>
      </c>
      <c r="D21" t="s">
        <v>1558</v>
      </c>
      <c r="E21" t="s">
        <v>1073</v>
      </c>
      <c r="F21" t="s">
        <v>1557</v>
      </c>
      <c r="G21" t="s">
        <v>2566</v>
      </c>
      <c r="H21" s="7">
        <v>3.64</v>
      </c>
      <c r="I21" s="7">
        <v>3.5</v>
      </c>
      <c r="J21" s="7">
        <v>4</v>
      </c>
      <c r="K21" s="7">
        <v>3.5</v>
      </c>
      <c r="L21" s="7">
        <v>3.5</v>
      </c>
      <c r="M21" s="7">
        <v>3.5</v>
      </c>
      <c r="N21" s="7">
        <v>4</v>
      </c>
      <c r="O21" s="7">
        <v>3.5</v>
      </c>
      <c r="P21" t="s">
        <v>342</v>
      </c>
      <c r="Q21" s="7">
        <v>80</v>
      </c>
      <c r="R21" t="s">
        <v>2609</v>
      </c>
      <c r="U21" t="s">
        <v>2437</v>
      </c>
      <c r="V21" s="7">
        <v>2022</v>
      </c>
      <c r="W21" t="s">
        <v>1554</v>
      </c>
      <c r="X21" t="s">
        <v>681</v>
      </c>
      <c r="Y21" t="s">
        <v>1557</v>
      </c>
      <c r="Z21" t="s">
        <v>762</v>
      </c>
      <c r="AA21" s="7">
        <v>3.5</v>
      </c>
      <c r="AB21" s="7">
        <v>3</v>
      </c>
      <c r="AC21" s="7">
        <v>3</v>
      </c>
      <c r="AD21" s="7">
        <v>4.5</v>
      </c>
      <c r="AE21" s="7">
        <v>3.5</v>
      </c>
      <c r="AF21" s="7">
        <v>3</v>
      </c>
      <c r="AG21" s="7">
        <v>4</v>
      </c>
      <c r="AH21" s="7">
        <v>3.5</v>
      </c>
      <c r="AI21" t="s">
        <v>230</v>
      </c>
      <c r="AJ21" s="7">
        <v>115</v>
      </c>
      <c r="AK21" t="s">
        <v>2474</v>
      </c>
      <c r="AN21" t="s">
        <v>1963</v>
      </c>
      <c r="AO21" s="7">
        <v>2019</v>
      </c>
      <c r="AP21" t="s">
        <v>1554</v>
      </c>
      <c r="AQ21" t="s">
        <v>1782</v>
      </c>
      <c r="AR21" t="s">
        <v>1559</v>
      </c>
      <c r="AS21" t="s">
        <v>1783</v>
      </c>
      <c r="AT21" s="7">
        <v>3.14</v>
      </c>
      <c r="AU21" s="7">
        <v>3</v>
      </c>
      <c r="AV21" s="7">
        <v>4</v>
      </c>
      <c r="AW21" s="7">
        <v>3.5</v>
      </c>
      <c r="AX21" s="7">
        <v>3.5</v>
      </c>
      <c r="AY21" s="7">
        <v>2.5</v>
      </c>
      <c r="AZ21" s="7">
        <v>3</v>
      </c>
      <c r="BA21" s="7">
        <v>2.5</v>
      </c>
      <c r="BB21" t="s">
        <v>1948</v>
      </c>
      <c r="BC21" s="7">
        <v>350</v>
      </c>
      <c r="BD21" t="s">
        <v>1988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2509</v>
      </c>
      <c r="C22" s="7">
        <v>2022</v>
      </c>
      <c r="D22" t="s">
        <v>2524</v>
      </c>
      <c r="E22" t="s">
        <v>2530</v>
      </c>
      <c r="F22" t="s">
        <v>1557</v>
      </c>
      <c r="G22" t="s">
        <v>2531</v>
      </c>
      <c r="H22" s="7">
        <v>3.14</v>
      </c>
      <c r="I22" s="7">
        <v>3</v>
      </c>
      <c r="J22" s="7">
        <v>3</v>
      </c>
      <c r="K22" s="7">
        <v>3</v>
      </c>
      <c r="L22" s="7">
        <v>3</v>
      </c>
      <c r="M22" s="7">
        <v>3</v>
      </c>
      <c r="N22" s="7">
        <v>3.5</v>
      </c>
      <c r="O22" s="7">
        <v>3.5</v>
      </c>
      <c r="P22" t="s">
        <v>2488</v>
      </c>
      <c r="Q22" s="7">
        <v>83</v>
      </c>
      <c r="R22" t="s">
        <v>2549</v>
      </c>
      <c r="U22" t="s">
        <v>2450</v>
      </c>
      <c r="V22" s="7">
        <v>2022</v>
      </c>
      <c r="W22" t="s">
        <v>1554</v>
      </c>
      <c r="X22" t="s">
        <v>1625</v>
      </c>
      <c r="Y22" t="s">
        <v>1557</v>
      </c>
      <c r="Z22" t="s">
        <v>653</v>
      </c>
      <c r="AA22" s="7">
        <v>3.57</v>
      </c>
      <c r="AB22" s="7">
        <v>4</v>
      </c>
      <c r="AC22" s="7">
        <v>3.5</v>
      </c>
      <c r="AD22" s="7">
        <v>3.5</v>
      </c>
      <c r="AE22" s="7">
        <v>3.5</v>
      </c>
      <c r="AF22" s="7">
        <v>3</v>
      </c>
      <c r="AG22" s="7">
        <v>4</v>
      </c>
      <c r="AH22" s="7">
        <v>3.5</v>
      </c>
      <c r="AI22" t="s">
        <v>2451</v>
      </c>
      <c r="AJ22" s="7">
        <v>122</v>
      </c>
      <c r="AK22" t="s">
        <v>2475</v>
      </c>
      <c r="AN22" t="s">
        <v>2031</v>
      </c>
      <c r="AO22" s="7">
        <v>2019</v>
      </c>
      <c r="AP22" t="s">
        <v>1554</v>
      </c>
      <c r="AQ22" t="s">
        <v>2032</v>
      </c>
      <c r="AR22" t="s">
        <v>1559</v>
      </c>
      <c r="AS22" t="s">
        <v>2033</v>
      </c>
      <c r="AT22" s="7">
        <v>2.71</v>
      </c>
      <c r="AU22" s="7">
        <v>2.5</v>
      </c>
      <c r="AV22" s="7">
        <v>3</v>
      </c>
      <c r="AW22" s="7">
        <v>3</v>
      </c>
      <c r="AX22" s="7">
        <v>3</v>
      </c>
      <c r="AY22" s="7">
        <v>2</v>
      </c>
      <c r="AZ22" s="7">
        <v>3.5</v>
      </c>
      <c r="BA22" s="7">
        <v>2</v>
      </c>
      <c r="BB22" t="s">
        <v>2007</v>
      </c>
      <c r="BC22" s="7">
        <v>150</v>
      </c>
      <c r="BD22" t="s">
        <v>2065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2298</v>
      </c>
      <c r="C23" s="7">
        <v>2022</v>
      </c>
      <c r="D23" t="s">
        <v>1569</v>
      </c>
      <c r="E23" t="s">
        <v>2299</v>
      </c>
      <c r="F23" t="s">
        <v>1557</v>
      </c>
      <c r="G23" t="s">
        <v>741</v>
      </c>
      <c r="H23" s="7">
        <v>2.64</v>
      </c>
      <c r="I23" s="7">
        <v>3</v>
      </c>
      <c r="J23" s="7">
        <v>3</v>
      </c>
      <c r="K23" s="7">
        <v>3</v>
      </c>
      <c r="L23" s="7">
        <v>3</v>
      </c>
      <c r="M23" s="7">
        <v>2</v>
      </c>
      <c r="N23" s="7">
        <v>2.5</v>
      </c>
      <c r="O23" s="7">
        <v>2</v>
      </c>
      <c r="P23" t="s">
        <v>346</v>
      </c>
      <c r="Q23" s="7">
        <v>75</v>
      </c>
      <c r="R23" t="s">
        <v>2344</v>
      </c>
      <c r="U23" t="s">
        <v>2634</v>
      </c>
      <c r="V23" s="7">
        <v>2022</v>
      </c>
      <c r="W23" t="s">
        <v>1554</v>
      </c>
      <c r="X23" t="s">
        <v>915</v>
      </c>
      <c r="Y23" t="s">
        <v>1557</v>
      </c>
      <c r="Z23" t="s">
        <v>2659</v>
      </c>
      <c r="AA23" s="7">
        <v>3</v>
      </c>
      <c r="AB23" s="7">
        <v>2.5</v>
      </c>
      <c r="AC23" s="7">
        <v>3</v>
      </c>
      <c r="AD23" s="7">
        <v>3</v>
      </c>
      <c r="AE23" s="7">
        <v>3</v>
      </c>
      <c r="AF23" s="7">
        <v>3.5</v>
      </c>
      <c r="AG23" s="7">
        <v>3</v>
      </c>
      <c r="AH23" s="7">
        <v>3</v>
      </c>
      <c r="AI23" t="s">
        <v>2635</v>
      </c>
      <c r="AJ23" s="7">
        <v>200</v>
      </c>
      <c r="AK23" t="s">
        <v>2679</v>
      </c>
      <c r="AN23" t="s">
        <v>1965</v>
      </c>
      <c r="AO23" s="7">
        <v>2019</v>
      </c>
      <c r="AP23" t="s">
        <v>1554</v>
      </c>
      <c r="AQ23" t="s">
        <v>1976</v>
      </c>
      <c r="AR23" t="s">
        <v>1559</v>
      </c>
      <c r="AS23" t="s">
        <v>1977</v>
      </c>
      <c r="AT23" s="7">
        <v>3.5</v>
      </c>
      <c r="AU23" s="7">
        <v>3</v>
      </c>
      <c r="AV23" s="7">
        <v>3</v>
      </c>
      <c r="AW23" s="7">
        <v>3</v>
      </c>
      <c r="AX23" s="7">
        <v>3.5</v>
      </c>
      <c r="AY23" s="7">
        <v>4</v>
      </c>
      <c r="AZ23" s="7">
        <v>4</v>
      </c>
      <c r="BA23" s="7">
        <v>4</v>
      </c>
      <c r="BB23" t="s">
        <v>1951</v>
      </c>
      <c r="BC23" s="7">
        <v>300</v>
      </c>
      <c r="BD23" t="s">
        <v>1989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2446</v>
      </c>
      <c r="C24" s="7">
        <v>2022</v>
      </c>
      <c r="D24" t="s">
        <v>1613</v>
      </c>
      <c r="E24" t="s">
        <v>2447</v>
      </c>
      <c r="F24" t="s">
        <v>1557</v>
      </c>
      <c r="G24" t="s">
        <v>2448</v>
      </c>
      <c r="H24" s="7">
        <v>2.79</v>
      </c>
      <c r="I24" s="7">
        <v>2</v>
      </c>
      <c r="J24" s="7">
        <v>2.5</v>
      </c>
      <c r="K24" s="7">
        <v>2.5</v>
      </c>
      <c r="L24" s="7">
        <v>2.5</v>
      </c>
      <c r="M24" s="7">
        <v>3.5</v>
      </c>
      <c r="N24" s="7">
        <v>3.5</v>
      </c>
      <c r="O24" s="7">
        <v>3</v>
      </c>
      <c r="P24" t="s">
        <v>2449</v>
      </c>
      <c r="Q24" s="7">
        <v>83</v>
      </c>
      <c r="R24" t="s">
        <v>2463</v>
      </c>
      <c r="U24" t="s">
        <v>2082</v>
      </c>
      <c r="V24" s="7">
        <v>2021</v>
      </c>
      <c r="W24" t="s">
        <v>1554</v>
      </c>
      <c r="X24" t="s">
        <v>944</v>
      </c>
      <c r="Y24" t="s">
        <v>1557</v>
      </c>
      <c r="Z24" t="s">
        <v>945</v>
      </c>
      <c r="AA24" s="7">
        <v>3.64</v>
      </c>
      <c r="AB24" s="7">
        <v>3.5</v>
      </c>
      <c r="AC24" s="7">
        <v>4</v>
      </c>
      <c r="AD24" s="7">
        <v>4</v>
      </c>
      <c r="AE24" s="7">
        <v>4</v>
      </c>
      <c r="AF24" s="7">
        <v>3.5</v>
      </c>
      <c r="AG24" s="7">
        <v>3</v>
      </c>
      <c r="AH24" s="7">
        <v>3.5</v>
      </c>
      <c r="AI24" t="s">
        <v>2083</v>
      </c>
      <c r="AJ24" s="7">
        <v>124</v>
      </c>
      <c r="AK24" t="s">
        <v>2125</v>
      </c>
      <c r="AN24" t="s">
        <v>2090</v>
      </c>
      <c r="AO24" s="7">
        <v>2018</v>
      </c>
      <c r="AP24" t="s">
        <v>1554</v>
      </c>
      <c r="AQ24" t="s">
        <v>2091</v>
      </c>
      <c r="AR24" t="s">
        <v>1559</v>
      </c>
      <c r="AS24" t="s">
        <v>2092</v>
      </c>
      <c r="AT24" s="7">
        <v>2.79</v>
      </c>
      <c r="AU24" s="7">
        <v>2.5</v>
      </c>
      <c r="AV24" s="7">
        <v>2.5</v>
      </c>
      <c r="AW24" s="7">
        <v>4</v>
      </c>
      <c r="AX24" s="7">
        <v>2.5</v>
      </c>
      <c r="AY24" s="7">
        <v>2.5</v>
      </c>
      <c r="AZ24" s="7">
        <v>3</v>
      </c>
      <c r="BA24" s="7">
        <v>2.5</v>
      </c>
      <c r="BB24" t="s">
        <v>2093</v>
      </c>
      <c r="BC24" s="7">
        <v>300</v>
      </c>
      <c r="BD24" t="s">
        <v>2133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2181</v>
      </c>
      <c r="C25" s="7">
        <v>2022</v>
      </c>
      <c r="D25" t="s">
        <v>1556</v>
      </c>
      <c r="E25" t="s">
        <v>2182</v>
      </c>
      <c r="F25" t="s">
        <v>1557</v>
      </c>
      <c r="G25" t="s">
        <v>2148</v>
      </c>
      <c r="H25" s="7">
        <v>3.21</v>
      </c>
      <c r="I25" s="7">
        <v>3</v>
      </c>
      <c r="J25" s="7">
        <v>2.5</v>
      </c>
      <c r="K25" s="7">
        <v>3.5</v>
      </c>
      <c r="L25" s="7">
        <v>4</v>
      </c>
      <c r="M25" s="7">
        <v>2.5</v>
      </c>
      <c r="N25" s="7">
        <v>4</v>
      </c>
      <c r="O25" s="7">
        <v>3</v>
      </c>
      <c r="P25" t="s">
        <v>2149</v>
      </c>
      <c r="Q25" s="7">
        <v>102</v>
      </c>
      <c r="R25" t="s">
        <v>2184</v>
      </c>
      <c r="U25" t="s">
        <v>2273</v>
      </c>
      <c r="V25" s="7">
        <v>2021</v>
      </c>
      <c r="W25" t="s">
        <v>1554</v>
      </c>
      <c r="X25" t="s">
        <v>2274</v>
      </c>
      <c r="Y25" t="s">
        <v>1557</v>
      </c>
      <c r="Z25" t="s">
        <v>2275</v>
      </c>
      <c r="AA25" s="7">
        <v>2.36</v>
      </c>
      <c r="AB25" s="7">
        <v>2</v>
      </c>
      <c r="AC25" s="7">
        <v>3.5</v>
      </c>
      <c r="AD25" s="7">
        <v>2.5</v>
      </c>
      <c r="AE25" s="7">
        <v>2.5</v>
      </c>
      <c r="AF25" s="7">
        <v>1</v>
      </c>
      <c r="AG25" s="7">
        <v>2.5</v>
      </c>
      <c r="AH25" s="7">
        <v>2.5</v>
      </c>
      <c r="AI25" t="s">
        <v>2212</v>
      </c>
      <c r="AJ25" s="7">
        <v>64</v>
      </c>
      <c r="AK25" t="s">
        <v>2396</v>
      </c>
      <c r="AN25" t="s">
        <v>786</v>
      </c>
      <c r="AO25" s="7">
        <v>2018</v>
      </c>
      <c r="AP25" t="s">
        <v>1554</v>
      </c>
      <c r="AQ25" t="s">
        <v>787</v>
      </c>
      <c r="AR25" t="s">
        <v>1568</v>
      </c>
      <c r="AS25" t="s">
        <v>788</v>
      </c>
      <c r="AT25" s="7">
        <v>3.29</v>
      </c>
      <c r="AU25" s="7">
        <v>2.5</v>
      </c>
      <c r="AV25" s="7">
        <v>3</v>
      </c>
      <c r="AW25" s="7">
        <v>3.5</v>
      </c>
      <c r="AX25" s="7">
        <v>3</v>
      </c>
      <c r="AY25" s="7">
        <v>3.5</v>
      </c>
      <c r="AZ25" s="7">
        <v>3.5</v>
      </c>
      <c r="BA25" s="7">
        <v>4</v>
      </c>
      <c r="BB25" t="s">
        <v>120</v>
      </c>
      <c r="BC25" s="7">
        <v>250</v>
      </c>
      <c r="BD25" t="s">
        <v>502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2339</v>
      </c>
      <c r="C26" s="7">
        <v>2022</v>
      </c>
      <c r="D26" t="s">
        <v>1566</v>
      </c>
      <c r="E26" t="s">
        <v>2340</v>
      </c>
      <c r="F26" t="s">
        <v>1557</v>
      </c>
      <c r="G26" t="s">
        <v>2341</v>
      </c>
      <c r="H26" s="7">
        <v>3.29</v>
      </c>
      <c r="I26" s="7">
        <v>3</v>
      </c>
      <c r="J26" s="7">
        <v>3.5</v>
      </c>
      <c r="K26" s="7">
        <v>3.5</v>
      </c>
      <c r="L26" s="7">
        <v>3.5</v>
      </c>
      <c r="M26" s="7">
        <v>3</v>
      </c>
      <c r="N26" s="7">
        <v>3</v>
      </c>
      <c r="O26" s="7">
        <v>3.5</v>
      </c>
      <c r="P26" t="s">
        <v>2257</v>
      </c>
      <c r="Q26" s="7">
        <v>80</v>
      </c>
      <c r="R26" t="s">
        <v>2345</v>
      </c>
      <c r="U26" t="s">
        <v>2021</v>
      </c>
      <c r="V26" s="7">
        <v>2021</v>
      </c>
      <c r="W26" t="s">
        <v>1554</v>
      </c>
      <c r="X26" t="s">
        <v>1286</v>
      </c>
      <c r="Y26" t="s">
        <v>1557</v>
      </c>
      <c r="Z26" t="s">
        <v>1299</v>
      </c>
      <c r="AA26" s="7">
        <v>3.71</v>
      </c>
      <c r="AB26" s="7">
        <v>3.5</v>
      </c>
      <c r="AC26" s="7">
        <v>4</v>
      </c>
      <c r="AD26" s="7">
        <v>4</v>
      </c>
      <c r="AE26" s="7">
        <v>3.5</v>
      </c>
      <c r="AF26" s="7">
        <v>3.5</v>
      </c>
      <c r="AG26" s="7">
        <v>3.5</v>
      </c>
      <c r="AH26" s="7">
        <v>4</v>
      </c>
      <c r="AI26" t="s">
        <v>1761</v>
      </c>
      <c r="AJ26" s="7">
        <v>155</v>
      </c>
      <c r="AK26" t="s">
        <v>2061</v>
      </c>
      <c r="AN26" t="s">
        <v>1719</v>
      </c>
      <c r="AO26" s="7">
        <v>2018</v>
      </c>
      <c r="AP26" t="s">
        <v>1554</v>
      </c>
      <c r="AQ26" t="s">
        <v>1720</v>
      </c>
      <c r="AR26" t="s">
        <v>1559</v>
      </c>
      <c r="AS26" t="s">
        <v>1721</v>
      </c>
      <c r="AT26" s="7">
        <v>2.57</v>
      </c>
      <c r="AU26" s="7">
        <v>2.5</v>
      </c>
      <c r="AV26" s="7">
        <v>2.5</v>
      </c>
      <c r="AW26" s="7">
        <v>3</v>
      </c>
      <c r="AX26" s="7">
        <v>3</v>
      </c>
      <c r="AY26" s="7">
        <v>2</v>
      </c>
      <c r="AZ26" s="7">
        <v>2.5</v>
      </c>
      <c r="BA26" s="7">
        <v>2.5</v>
      </c>
      <c r="BB26" t="s">
        <v>1664</v>
      </c>
      <c r="BC26" s="7">
        <v>300</v>
      </c>
      <c r="BD26" t="s">
        <v>1693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2079</v>
      </c>
      <c r="C27" s="7">
        <v>2021</v>
      </c>
      <c r="D27" t="s">
        <v>1556</v>
      </c>
      <c r="E27" t="s">
        <v>697</v>
      </c>
      <c r="F27" t="s">
        <v>1557</v>
      </c>
      <c r="G27" t="s">
        <v>2080</v>
      </c>
      <c r="H27" s="7">
        <v>3.14</v>
      </c>
      <c r="I27" s="7">
        <v>2.5</v>
      </c>
      <c r="J27" s="7">
        <v>3</v>
      </c>
      <c r="K27" s="7">
        <v>3.5</v>
      </c>
      <c r="L27" s="7">
        <v>3.5</v>
      </c>
      <c r="M27" s="7">
        <v>3.5</v>
      </c>
      <c r="N27" s="7">
        <v>3</v>
      </c>
      <c r="O27" s="7">
        <v>3</v>
      </c>
      <c r="P27" t="s">
        <v>2081</v>
      </c>
      <c r="Q27" s="7">
        <v>187</v>
      </c>
      <c r="R27" t="s">
        <v>2121</v>
      </c>
      <c r="U27" t="s">
        <v>2158</v>
      </c>
      <c r="V27" s="7">
        <v>2021</v>
      </c>
      <c r="W27" t="s">
        <v>1554</v>
      </c>
      <c r="X27" t="s">
        <v>702</v>
      </c>
      <c r="Y27" t="s">
        <v>1557</v>
      </c>
      <c r="Z27" t="s">
        <v>1894</v>
      </c>
      <c r="AA27" s="7">
        <v>3.43</v>
      </c>
      <c r="AB27" s="7">
        <v>3.5</v>
      </c>
      <c r="AC27" s="7">
        <v>3.5</v>
      </c>
      <c r="AD27" s="7">
        <v>3</v>
      </c>
      <c r="AE27" s="7">
        <v>3.5</v>
      </c>
      <c r="AF27" s="7">
        <v>3</v>
      </c>
      <c r="AG27" s="7">
        <v>4</v>
      </c>
      <c r="AH27" s="7">
        <v>3.5</v>
      </c>
      <c r="AI27" t="s">
        <v>110</v>
      </c>
      <c r="AJ27" s="7">
        <v>120</v>
      </c>
      <c r="AK27" t="s">
        <v>2189</v>
      </c>
      <c r="AN27" t="s">
        <v>1575</v>
      </c>
      <c r="AO27" s="7">
        <v>2018</v>
      </c>
      <c r="AP27" t="s">
        <v>1554</v>
      </c>
      <c r="AQ27" t="s">
        <v>689</v>
      </c>
      <c r="AR27" t="s">
        <v>1559</v>
      </c>
      <c r="AS27" t="s">
        <v>777</v>
      </c>
      <c r="AT27" s="7">
        <v>3.21</v>
      </c>
      <c r="AU27" s="7">
        <v>3.5</v>
      </c>
      <c r="AV27" s="7">
        <v>3.5</v>
      </c>
      <c r="AW27" s="7">
        <v>3.5</v>
      </c>
      <c r="AX27" s="7">
        <v>4</v>
      </c>
      <c r="AY27" s="7">
        <v>2</v>
      </c>
      <c r="AZ27" s="7">
        <v>3</v>
      </c>
      <c r="BA27" s="7">
        <v>3</v>
      </c>
      <c r="BB27" t="s">
        <v>1530</v>
      </c>
      <c r="BC27" s="7">
        <v>339</v>
      </c>
      <c r="BD27" t="s">
        <v>1644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2637</v>
      </c>
      <c r="C28" s="7">
        <v>2021</v>
      </c>
      <c r="D28" t="s">
        <v>1607</v>
      </c>
      <c r="E28" t="s">
        <v>2638</v>
      </c>
      <c r="F28" t="s">
        <v>1557</v>
      </c>
      <c r="G28" t="s">
        <v>2622</v>
      </c>
      <c r="H28" s="7">
        <v>3</v>
      </c>
      <c r="I28" s="7">
        <v>2</v>
      </c>
      <c r="J28" s="7">
        <v>2.5</v>
      </c>
      <c r="K28" s="7">
        <v>3</v>
      </c>
      <c r="L28" s="7">
        <v>3.5</v>
      </c>
      <c r="M28" s="7">
        <v>3.5</v>
      </c>
      <c r="N28" s="7">
        <v>3</v>
      </c>
      <c r="O28" s="7">
        <v>3.5</v>
      </c>
      <c r="P28" t="s">
        <v>2623</v>
      </c>
      <c r="Q28" s="7">
        <v>92</v>
      </c>
      <c r="R28" t="s">
        <v>2667</v>
      </c>
      <c r="U28" t="s">
        <v>2165</v>
      </c>
      <c r="V28" s="7">
        <v>2021</v>
      </c>
      <c r="W28" t="s">
        <v>1554</v>
      </c>
      <c r="X28" t="s">
        <v>787</v>
      </c>
      <c r="Y28" t="s">
        <v>1557</v>
      </c>
      <c r="Z28" t="s">
        <v>788</v>
      </c>
      <c r="AA28" s="7">
        <v>3.71</v>
      </c>
      <c r="AB28" s="7">
        <v>3.5</v>
      </c>
      <c r="AC28" s="7">
        <v>3.5</v>
      </c>
      <c r="AD28" s="7">
        <v>4</v>
      </c>
      <c r="AE28" s="7">
        <v>4</v>
      </c>
      <c r="AF28" s="7">
        <v>3.5</v>
      </c>
      <c r="AG28" s="7">
        <v>3.5</v>
      </c>
      <c r="AH28" s="7">
        <v>4</v>
      </c>
      <c r="AI28" t="s">
        <v>2145</v>
      </c>
      <c r="AJ28" s="7">
        <v>98</v>
      </c>
      <c r="AK28" t="s">
        <v>2190</v>
      </c>
      <c r="AN28" t="s">
        <v>1725</v>
      </c>
      <c r="AO28" s="7">
        <v>2018</v>
      </c>
      <c r="AP28" t="s">
        <v>1554</v>
      </c>
      <c r="AQ28" t="s">
        <v>731</v>
      </c>
      <c r="AR28" t="s">
        <v>1559</v>
      </c>
      <c r="AS28" t="s">
        <v>1726</v>
      </c>
      <c r="AT28" s="7">
        <v>4</v>
      </c>
      <c r="AU28" s="7">
        <v>3.5</v>
      </c>
      <c r="AV28" s="7">
        <v>4</v>
      </c>
      <c r="AW28" s="7">
        <v>4.5</v>
      </c>
      <c r="AX28" s="7">
        <v>4</v>
      </c>
      <c r="AY28" s="7">
        <v>3.5</v>
      </c>
      <c r="AZ28" s="7">
        <v>4.5</v>
      </c>
      <c r="BA28" s="7">
        <v>4</v>
      </c>
      <c r="BB28" t="s">
        <v>1665</v>
      </c>
      <c r="BC28" s="7">
        <v>264</v>
      </c>
      <c r="BD28" t="s">
        <v>1694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2152</v>
      </c>
      <c r="C29" s="7">
        <v>2021</v>
      </c>
      <c r="D29" t="s">
        <v>1567</v>
      </c>
      <c r="E29" t="s">
        <v>2153</v>
      </c>
      <c r="F29" t="s">
        <v>1557</v>
      </c>
      <c r="G29" t="s">
        <v>2154</v>
      </c>
      <c r="H29" s="7">
        <v>2.86</v>
      </c>
      <c r="I29" s="7">
        <v>3</v>
      </c>
      <c r="J29" s="7">
        <v>3.5</v>
      </c>
      <c r="K29" s="7">
        <v>3.5</v>
      </c>
      <c r="L29" s="7">
        <v>3</v>
      </c>
      <c r="M29" s="7">
        <v>2.5</v>
      </c>
      <c r="N29" s="7">
        <v>2.5</v>
      </c>
      <c r="O29" s="7">
        <v>2</v>
      </c>
      <c r="P29" t="s">
        <v>1770</v>
      </c>
      <c r="Q29" s="7">
        <v>109</v>
      </c>
      <c r="R29" t="s">
        <v>2185</v>
      </c>
      <c r="U29" t="s">
        <v>2166</v>
      </c>
      <c r="V29" s="7">
        <v>2021</v>
      </c>
      <c r="W29" t="s">
        <v>1554</v>
      </c>
      <c r="X29" t="s">
        <v>868</v>
      </c>
      <c r="Y29" t="s">
        <v>1557</v>
      </c>
      <c r="Z29" t="s">
        <v>2160</v>
      </c>
      <c r="AA29" s="7">
        <v>2.79</v>
      </c>
      <c r="AB29" s="7">
        <v>3.5</v>
      </c>
      <c r="AC29" s="7">
        <v>3</v>
      </c>
      <c r="AD29" s="7">
        <v>3.5</v>
      </c>
      <c r="AE29" s="7">
        <v>3</v>
      </c>
      <c r="AF29" s="7">
        <v>1.5</v>
      </c>
      <c r="AG29" s="7">
        <v>3</v>
      </c>
      <c r="AH29" s="7">
        <v>2</v>
      </c>
      <c r="AI29" t="s">
        <v>339</v>
      </c>
      <c r="AJ29" s="7">
        <v>105</v>
      </c>
      <c r="AK29" t="s">
        <v>2191</v>
      </c>
      <c r="AN29" t="s">
        <v>1962</v>
      </c>
      <c r="AO29" s="7">
        <v>2018</v>
      </c>
      <c r="AP29" t="s">
        <v>1554</v>
      </c>
      <c r="AQ29" t="s">
        <v>879</v>
      </c>
      <c r="AR29" t="s">
        <v>1559</v>
      </c>
      <c r="AS29" t="s">
        <v>1728</v>
      </c>
      <c r="AT29" s="7">
        <v>2.5</v>
      </c>
      <c r="AU29" s="7">
        <v>2.5</v>
      </c>
      <c r="AV29" s="7">
        <v>2.5</v>
      </c>
      <c r="AW29" s="7">
        <v>3</v>
      </c>
      <c r="AX29" s="7">
        <v>3</v>
      </c>
      <c r="AY29" s="7">
        <v>2.5</v>
      </c>
      <c r="AZ29" s="7">
        <v>2</v>
      </c>
      <c r="BA29" s="7">
        <v>2</v>
      </c>
      <c r="BB29" t="s">
        <v>63</v>
      </c>
      <c r="BC29" s="7">
        <v>300</v>
      </c>
      <c r="BD29" t="s">
        <v>1990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2019</v>
      </c>
      <c r="C30" s="7">
        <v>2021</v>
      </c>
      <c r="D30" t="s">
        <v>1556</v>
      </c>
      <c r="E30" t="s">
        <v>960</v>
      </c>
      <c r="F30" t="s">
        <v>1557</v>
      </c>
      <c r="G30" t="s">
        <v>961</v>
      </c>
      <c r="H30" s="7">
        <v>2.5</v>
      </c>
      <c r="I30" s="7">
        <v>1.5</v>
      </c>
      <c r="J30" s="7">
        <v>2</v>
      </c>
      <c r="K30" s="7">
        <v>2.5</v>
      </c>
      <c r="L30" s="7">
        <v>2.5</v>
      </c>
      <c r="M30" s="7">
        <v>3.5</v>
      </c>
      <c r="N30" s="7">
        <v>3</v>
      </c>
      <c r="O30" s="7">
        <v>2.5</v>
      </c>
      <c r="P30" t="s">
        <v>2004</v>
      </c>
      <c r="Q30" s="7">
        <v>95</v>
      </c>
      <c r="R30" t="s">
        <v>2051</v>
      </c>
      <c r="U30" t="s">
        <v>2174</v>
      </c>
      <c r="V30" s="7">
        <v>2021</v>
      </c>
      <c r="W30" t="s">
        <v>1554</v>
      </c>
      <c r="X30" t="s">
        <v>2175</v>
      </c>
      <c r="Y30" t="s">
        <v>1557</v>
      </c>
      <c r="Z30" t="s">
        <v>2176</v>
      </c>
      <c r="AA30" s="7">
        <v>3.36</v>
      </c>
      <c r="AB30" s="7">
        <v>3.5</v>
      </c>
      <c r="AC30" s="7">
        <v>3.5</v>
      </c>
      <c r="AD30" s="7">
        <v>3.5</v>
      </c>
      <c r="AE30" s="7">
        <v>3</v>
      </c>
      <c r="AF30" s="7">
        <v>3.5</v>
      </c>
      <c r="AG30" s="7">
        <v>3.5</v>
      </c>
      <c r="AH30" s="7">
        <v>3</v>
      </c>
      <c r="AI30" t="s">
        <v>2146</v>
      </c>
      <c r="AJ30" s="7">
        <v>90</v>
      </c>
      <c r="AK30" t="s">
        <v>2194</v>
      </c>
      <c r="AN30" t="s">
        <v>1902</v>
      </c>
      <c r="AO30" s="7">
        <v>2018</v>
      </c>
      <c r="AP30" t="s">
        <v>1554</v>
      </c>
      <c r="AQ30" t="s">
        <v>948</v>
      </c>
      <c r="AR30" t="s">
        <v>1559</v>
      </c>
      <c r="AS30" t="s">
        <v>1826</v>
      </c>
      <c r="AT30" s="7">
        <v>3.43</v>
      </c>
      <c r="AU30" s="7">
        <v>2.5</v>
      </c>
      <c r="AV30" s="7">
        <v>4</v>
      </c>
      <c r="AW30" s="7">
        <v>4</v>
      </c>
      <c r="AX30" s="7">
        <v>3</v>
      </c>
      <c r="AY30" s="7">
        <v>3</v>
      </c>
      <c r="AZ30" s="7">
        <v>3.5</v>
      </c>
      <c r="BA30" s="7">
        <v>4</v>
      </c>
      <c r="BB30" t="s">
        <v>195</v>
      </c>
      <c r="BC30" s="7">
        <v>325</v>
      </c>
      <c r="BD30" t="s">
        <v>1932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2099</v>
      </c>
      <c r="C31" s="7">
        <v>2021</v>
      </c>
      <c r="D31" t="s">
        <v>2100</v>
      </c>
      <c r="E31" t="s">
        <v>2101</v>
      </c>
      <c r="F31" t="s">
        <v>1557</v>
      </c>
      <c r="G31" t="s">
        <v>2102</v>
      </c>
      <c r="H31" s="7">
        <v>3.43</v>
      </c>
      <c r="I31" s="7">
        <v>2</v>
      </c>
      <c r="J31" s="7">
        <v>2.5</v>
      </c>
      <c r="K31" s="7">
        <v>4</v>
      </c>
      <c r="L31" s="7">
        <v>4</v>
      </c>
      <c r="M31" s="7">
        <v>4</v>
      </c>
      <c r="N31" s="7">
        <v>3.5</v>
      </c>
      <c r="O31" s="7">
        <v>4</v>
      </c>
      <c r="P31" t="s">
        <v>2103</v>
      </c>
      <c r="Q31" s="7">
        <v>90</v>
      </c>
      <c r="R31" t="s">
        <v>2122</v>
      </c>
      <c r="U31" t="s">
        <v>2114</v>
      </c>
      <c r="V31" s="7">
        <v>2021</v>
      </c>
      <c r="W31" t="s">
        <v>1554</v>
      </c>
      <c r="X31" t="s">
        <v>670</v>
      </c>
      <c r="Y31" t="s">
        <v>1557</v>
      </c>
      <c r="Z31" t="s">
        <v>1740</v>
      </c>
      <c r="AA31" s="7">
        <v>3.71</v>
      </c>
      <c r="AB31" s="7">
        <v>3.5</v>
      </c>
      <c r="AC31" s="7">
        <v>3.5</v>
      </c>
      <c r="AD31" s="7">
        <v>4</v>
      </c>
      <c r="AE31" s="7">
        <v>4</v>
      </c>
      <c r="AF31" s="7">
        <v>3</v>
      </c>
      <c r="AG31" s="7">
        <v>4.5</v>
      </c>
      <c r="AH31" s="7">
        <v>3.5</v>
      </c>
      <c r="AI31" t="s">
        <v>2115</v>
      </c>
      <c r="AJ31" s="7">
        <v>108</v>
      </c>
      <c r="AK31" t="s">
        <v>2126</v>
      </c>
      <c r="AN31" t="s">
        <v>1906</v>
      </c>
      <c r="AO31" s="7">
        <v>2018</v>
      </c>
      <c r="AP31" t="s">
        <v>1554</v>
      </c>
      <c r="AQ31" t="s">
        <v>1292</v>
      </c>
      <c r="AR31" t="s">
        <v>1560</v>
      </c>
      <c r="AS31" t="s">
        <v>1907</v>
      </c>
      <c r="AT31" s="7">
        <v>3.43</v>
      </c>
      <c r="AU31" s="7">
        <v>3</v>
      </c>
      <c r="AV31" s="7">
        <v>3.5</v>
      </c>
      <c r="AW31" s="7">
        <v>3.5</v>
      </c>
      <c r="AX31" s="7">
        <v>3.5</v>
      </c>
      <c r="AY31" s="7">
        <v>3</v>
      </c>
      <c r="AZ31" s="7">
        <v>4</v>
      </c>
      <c r="BA31" s="7">
        <v>3.5</v>
      </c>
      <c r="BB31" t="s">
        <v>170</v>
      </c>
      <c r="BC31" s="7">
        <v>58</v>
      </c>
      <c r="BD31" t="s">
        <v>1933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2177</v>
      </c>
      <c r="C32" s="7">
        <v>2021</v>
      </c>
      <c r="D32" t="s">
        <v>1558</v>
      </c>
      <c r="E32" t="s">
        <v>2178</v>
      </c>
      <c r="F32" t="s">
        <v>1557</v>
      </c>
      <c r="G32" t="s">
        <v>2147</v>
      </c>
      <c r="H32" s="7">
        <v>3.93</v>
      </c>
      <c r="I32" s="7">
        <v>4</v>
      </c>
      <c r="J32" s="7">
        <v>3.5</v>
      </c>
      <c r="K32" s="7">
        <v>4</v>
      </c>
      <c r="L32" s="7">
        <v>4</v>
      </c>
      <c r="M32" s="7">
        <v>4</v>
      </c>
      <c r="N32" s="7">
        <v>4</v>
      </c>
      <c r="O32" s="7">
        <v>4</v>
      </c>
      <c r="P32" t="s">
        <v>1543</v>
      </c>
      <c r="Q32" s="7">
        <v>70</v>
      </c>
      <c r="R32" t="s">
        <v>2186</v>
      </c>
      <c r="U32" t="s">
        <v>2589</v>
      </c>
      <c r="V32" s="7">
        <v>2021</v>
      </c>
      <c r="W32" t="s">
        <v>1554</v>
      </c>
      <c r="X32" t="s">
        <v>2599</v>
      </c>
      <c r="Y32" t="s">
        <v>1557</v>
      </c>
      <c r="Z32" t="s">
        <v>2600</v>
      </c>
      <c r="AA32" s="7">
        <v>2.79</v>
      </c>
      <c r="AB32" s="7">
        <v>2.5</v>
      </c>
      <c r="AC32" s="7">
        <v>2.5</v>
      </c>
      <c r="AD32" s="7">
        <v>3</v>
      </c>
      <c r="AE32" s="7">
        <v>3</v>
      </c>
      <c r="AF32" s="7">
        <v>3</v>
      </c>
      <c r="AG32" s="7">
        <v>3</v>
      </c>
      <c r="AH32" s="7">
        <v>2.5</v>
      </c>
      <c r="AI32" t="s">
        <v>2574</v>
      </c>
      <c r="AJ32" s="7">
        <v>40</v>
      </c>
      <c r="AK32" t="s">
        <v>2615</v>
      </c>
      <c r="AN32" t="s">
        <v>1391</v>
      </c>
      <c r="AO32" s="7">
        <v>2018</v>
      </c>
      <c r="AP32" t="s">
        <v>1554</v>
      </c>
      <c r="AQ32" t="s">
        <v>915</v>
      </c>
      <c r="AR32" t="s">
        <v>1559</v>
      </c>
      <c r="AS32" t="s">
        <v>1448</v>
      </c>
      <c r="AT32" s="7">
        <v>3.79</v>
      </c>
      <c r="AU32" s="7">
        <v>3</v>
      </c>
      <c r="AV32" s="7">
        <v>3.5</v>
      </c>
      <c r="AW32" s="7">
        <v>4.5</v>
      </c>
      <c r="AX32" s="7">
        <v>4</v>
      </c>
      <c r="AY32" s="7">
        <v>4</v>
      </c>
      <c r="AZ32" s="7">
        <v>4</v>
      </c>
      <c r="BA32" s="7">
        <v>3.5</v>
      </c>
      <c r="BB32" t="s">
        <v>1344</v>
      </c>
      <c r="BC32" s="7">
        <v>299</v>
      </c>
      <c r="BD32" t="s">
        <v>1510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2321</v>
      </c>
      <c r="C33" s="7">
        <v>2021</v>
      </c>
      <c r="D33" t="s">
        <v>1558</v>
      </c>
      <c r="E33" t="s">
        <v>2322</v>
      </c>
      <c r="F33" t="s">
        <v>1557</v>
      </c>
      <c r="G33" t="s">
        <v>1811</v>
      </c>
      <c r="H33" s="7">
        <v>3.14</v>
      </c>
      <c r="I33" s="7">
        <v>3.5</v>
      </c>
      <c r="J33" s="7">
        <v>3</v>
      </c>
      <c r="K33" s="7">
        <v>3.5</v>
      </c>
      <c r="L33" s="7">
        <v>3</v>
      </c>
      <c r="M33" s="7">
        <v>2</v>
      </c>
      <c r="N33" s="7">
        <v>3.5</v>
      </c>
      <c r="O33" s="7">
        <v>3.5</v>
      </c>
      <c r="P33" t="s">
        <v>302</v>
      </c>
      <c r="Q33" s="7">
        <v>85</v>
      </c>
      <c r="R33" t="s">
        <v>2346</v>
      </c>
      <c r="U33" t="s">
        <v>2452</v>
      </c>
      <c r="V33" s="7">
        <v>2021</v>
      </c>
      <c r="W33" t="s">
        <v>1554</v>
      </c>
      <c r="X33" t="s">
        <v>731</v>
      </c>
      <c r="Y33" t="s">
        <v>1557</v>
      </c>
      <c r="Z33" t="s">
        <v>2453</v>
      </c>
      <c r="AA33" s="7">
        <v>3.36</v>
      </c>
      <c r="AB33" s="7">
        <v>3.5</v>
      </c>
      <c r="AC33" s="7">
        <v>3.5</v>
      </c>
      <c r="AD33" s="7">
        <v>3.5</v>
      </c>
      <c r="AE33" s="7">
        <v>3.5</v>
      </c>
      <c r="AF33" s="7">
        <v>3.5</v>
      </c>
      <c r="AG33" s="7">
        <v>3</v>
      </c>
      <c r="AH33" s="7">
        <v>3</v>
      </c>
      <c r="AI33" t="s">
        <v>241</v>
      </c>
      <c r="AJ33" s="7">
        <v>114</v>
      </c>
      <c r="AK33" t="s">
        <v>2476</v>
      </c>
      <c r="AN33" t="s">
        <v>2303</v>
      </c>
      <c r="AO33" s="7">
        <v>2018</v>
      </c>
      <c r="AP33" t="s">
        <v>1554</v>
      </c>
      <c r="AQ33" t="s">
        <v>2304</v>
      </c>
      <c r="AR33" t="s">
        <v>1559</v>
      </c>
      <c r="AS33" t="s">
        <v>2305</v>
      </c>
      <c r="AT33" s="7">
        <v>1.93</v>
      </c>
      <c r="AU33" s="7">
        <v>1.5</v>
      </c>
      <c r="AV33" s="7">
        <v>1.5</v>
      </c>
      <c r="AW33" s="7">
        <v>2.5</v>
      </c>
      <c r="AX33" s="7">
        <v>2.5</v>
      </c>
      <c r="AY33" s="7">
        <v>1</v>
      </c>
      <c r="AZ33" s="7">
        <v>2.5</v>
      </c>
      <c r="BA33" s="7">
        <v>2</v>
      </c>
      <c r="BB33" t="s">
        <v>2008</v>
      </c>
      <c r="BC33" s="7">
        <v>300</v>
      </c>
      <c r="BD33" t="s">
        <v>2401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2049</v>
      </c>
      <c r="C34" s="7">
        <v>2021</v>
      </c>
      <c r="D34" t="s">
        <v>1556</v>
      </c>
      <c r="E34" t="s">
        <v>2050</v>
      </c>
      <c r="F34" t="s">
        <v>1557</v>
      </c>
      <c r="G34" t="s">
        <v>2013</v>
      </c>
      <c r="H34" s="7">
        <v>3.43</v>
      </c>
      <c r="I34" s="7">
        <v>3</v>
      </c>
      <c r="J34" s="7">
        <v>2.5</v>
      </c>
      <c r="K34" s="7">
        <v>4</v>
      </c>
      <c r="L34" s="7">
        <v>3.5</v>
      </c>
      <c r="M34" s="7">
        <v>4</v>
      </c>
      <c r="N34" s="7">
        <v>3.5</v>
      </c>
      <c r="O34" s="7">
        <v>3.5</v>
      </c>
      <c r="P34" t="s">
        <v>77</v>
      </c>
      <c r="Q34" s="7">
        <v>93</v>
      </c>
      <c r="R34" t="s">
        <v>2052</v>
      </c>
      <c r="U34" t="s">
        <v>2519</v>
      </c>
      <c r="V34" s="7">
        <v>2021</v>
      </c>
      <c r="W34" t="s">
        <v>1554</v>
      </c>
      <c r="X34" t="s">
        <v>1429</v>
      </c>
      <c r="Y34" t="s">
        <v>1557</v>
      </c>
      <c r="Z34" t="s">
        <v>2538</v>
      </c>
      <c r="AA34" s="7">
        <v>3.36</v>
      </c>
      <c r="AB34" s="7">
        <v>3</v>
      </c>
      <c r="AC34" s="7">
        <v>3.5</v>
      </c>
      <c r="AD34" s="7">
        <v>3</v>
      </c>
      <c r="AE34" s="7">
        <v>3.5</v>
      </c>
      <c r="AF34" s="7">
        <v>3.5</v>
      </c>
      <c r="AG34" s="7">
        <v>3.5</v>
      </c>
      <c r="AH34" s="7">
        <v>3.5</v>
      </c>
      <c r="AI34" t="s">
        <v>101</v>
      </c>
      <c r="AJ34" s="7">
        <v>100</v>
      </c>
      <c r="AK34" t="s">
        <v>2557</v>
      </c>
      <c r="AN34" t="s">
        <v>1751</v>
      </c>
      <c r="AO34" s="7">
        <v>2018</v>
      </c>
      <c r="AP34" t="s">
        <v>1554</v>
      </c>
      <c r="AQ34" t="s">
        <v>658</v>
      </c>
      <c r="AR34" t="s">
        <v>1559</v>
      </c>
      <c r="AS34" t="s">
        <v>705</v>
      </c>
      <c r="AT34" s="7">
        <v>3.57</v>
      </c>
      <c r="AU34" s="7">
        <v>4</v>
      </c>
      <c r="AV34" s="7">
        <v>4</v>
      </c>
      <c r="AW34" s="7">
        <v>4</v>
      </c>
      <c r="AX34" s="7">
        <v>3.5</v>
      </c>
      <c r="AY34" s="7">
        <v>3</v>
      </c>
      <c r="AZ34" s="7">
        <v>3</v>
      </c>
      <c r="BA34" s="7">
        <v>3.5</v>
      </c>
      <c r="BB34" t="s">
        <v>59</v>
      </c>
      <c r="BC34" s="7">
        <v>325</v>
      </c>
      <c r="BD34" t="s">
        <v>1695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2017</v>
      </c>
      <c r="C35" s="7">
        <v>2020</v>
      </c>
      <c r="D35" t="s">
        <v>1558</v>
      </c>
      <c r="E35" t="s">
        <v>2018</v>
      </c>
      <c r="F35" t="s">
        <v>1557</v>
      </c>
      <c r="G35" t="s">
        <v>1446</v>
      </c>
      <c r="H35" s="7">
        <v>3.43</v>
      </c>
      <c r="I35" s="7">
        <v>3</v>
      </c>
      <c r="J35" s="7">
        <v>3.5</v>
      </c>
      <c r="K35" s="7">
        <v>3.5</v>
      </c>
      <c r="L35" s="7">
        <v>3.5</v>
      </c>
      <c r="M35" s="7">
        <v>3.5</v>
      </c>
      <c r="N35" s="7">
        <v>3.5</v>
      </c>
      <c r="O35" s="7">
        <v>3.5</v>
      </c>
      <c r="P35" t="s">
        <v>1317</v>
      </c>
      <c r="Q35" s="7">
        <v>82</v>
      </c>
      <c r="R35" t="s">
        <v>2053</v>
      </c>
      <c r="U35" t="s">
        <v>1959</v>
      </c>
      <c r="V35" s="7">
        <v>2020</v>
      </c>
      <c r="W35" t="s">
        <v>1554</v>
      </c>
      <c r="X35" t="s">
        <v>814</v>
      </c>
      <c r="Y35" t="s">
        <v>1557</v>
      </c>
      <c r="Z35" t="s">
        <v>1899</v>
      </c>
      <c r="AA35" s="7">
        <v>3.5</v>
      </c>
      <c r="AB35" s="7">
        <v>4</v>
      </c>
      <c r="AC35" s="7">
        <v>4</v>
      </c>
      <c r="AD35" s="7">
        <v>4</v>
      </c>
      <c r="AE35" s="7">
        <v>3</v>
      </c>
      <c r="AF35" s="7">
        <v>2.5</v>
      </c>
      <c r="AG35" s="7">
        <v>4</v>
      </c>
      <c r="AH35" s="7">
        <v>3</v>
      </c>
      <c r="AI35" t="s">
        <v>1945</v>
      </c>
      <c r="AJ35" s="7">
        <v>117</v>
      </c>
      <c r="AK35" t="s">
        <v>1983</v>
      </c>
      <c r="AN35" t="s">
        <v>2014</v>
      </c>
      <c r="AO35" s="7">
        <v>2017</v>
      </c>
      <c r="AP35" t="s">
        <v>1554</v>
      </c>
      <c r="AQ35" t="s">
        <v>664</v>
      </c>
      <c r="AR35" t="s">
        <v>1559</v>
      </c>
      <c r="AS35" t="s">
        <v>2000</v>
      </c>
      <c r="AT35" s="7">
        <v>2.71</v>
      </c>
      <c r="AU35" s="7">
        <v>2.5</v>
      </c>
      <c r="AV35" s="7">
        <v>3</v>
      </c>
      <c r="AW35" s="7">
        <v>3</v>
      </c>
      <c r="AX35" s="7">
        <v>2.5</v>
      </c>
      <c r="AY35" s="7">
        <v>3</v>
      </c>
      <c r="AZ35" s="7">
        <v>2.5</v>
      </c>
      <c r="BA35" s="7">
        <v>2.5</v>
      </c>
      <c r="BB35" t="s">
        <v>2001</v>
      </c>
      <c r="BC35" s="7">
        <v>325</v>
      </c>
      <c r="BD35" t="s">
        <v>2066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2020</v>
      </c>
      <c r="C36" s="7">
        <v>2020</v>
      </c>
      <c r="D36" t="s">
        <v>1607</v>
      </c>
      <c r="E36" t="s">
        <v>988</v>
      </c>
      <c r="F36" t="s">
        <v>1557</v>
      </c>
      <c r="G36" t="s">
        <v>989</v>
      </c>
      <c r="H36" s="7">
        <v>2.21</v>
      </c>
      <c r="I36" s="7">
        <v>2.5</v>
      </c>
      <c r="J36" s="7">
        <v>2.5</v>
      </c>
      <c r="K36" s="7">
        <v>2</v>
      </c>
      <c r="L36" s="7">
        <v>1.5</v>
      </c>
      <c r="M36" s="7">
        <v>2</v>
      </c>
      <c r="N36" s="7">
        <v>2.5</v>
      </c>
      <c r="O36" s="7">
        <v>2.5</v>
      </c>
      <c r="P36" t="s">
        <v>1213</v>
      </c>
      <c r="Q36" s="7">
        <v>68</v>
      </c>
      <c r="R36" t="s">
        <v>2054</v>
      </c>
      <c r="U36" t="s">
        <v>1960</v>
      </c>
      <c r="V36" s="7">
        <v>2020</v>
      </c>
      <c r="W36" t="s">
        <v>1554</v>
      </c>
      <c r="X36" t="s">
        <v>681</v>
      </c>
      <c r="Y36" t="s">
        <v>1557</v>
      </c>
      <c r="Z36" t="s">
        <v>1974</v>
      </c>
      <c r="AA36" s="7">
        <v>2.93</v>
      </c>
      <c r="AB36" s="7">
        <v>3</v>
      </c>
      <c r="AC36" s="7">
        <v>3</v>
      </c>
      <c r="AD36" s="7">
        <v>2.5</v>
      </c>
      <c r="AE36" s="7">
        <v>3</v>
      </c>
      <c r="AF36" s="7">
        <v>3</v>
      </c>
      <c r="AG36" s="7">
        <v>3</v>
      </c>
      <c r="AH36" s="7">
        <v>3</v>
      </c>
      <c r="AI36" t="s">
        <v>1946</v>
      </c>
      <c r="AJ36" s="7">
        <v>94</v>
      </c>
      <c r="AK36" t="s">
        <v>1984</v>
      </c>
      <c r="AN36" t="s">
        <v>2015</v>
      </c>
      <c r="AO36" s="7">
        <v>2017</v>
      </c>
      <c r="AP36" t="s">
        <v>1554</v>
      </c>
      <c r="AQ36" t="s">
        <v>798</v>
      </c>
      <c r="AR36" t="s">
        <v>1559</v>
      </c>
      <c r="AS36" t="s">
        <v>2002</v>
      </c>
      <c r="AT36" s="7">
        <v>3.07</v>
      </c>
      <c r="AU36" s="7">
        <v>2.5</v>
      </c>
      <c r="AV36" s="7">
        <v>3</v>
      </c>
      <c r="AW36" s="7">
        <v>4</v>
      </c>
      <c r="AX36" s="7">
        <v>3.5</v>
      </c>
      <c r="AY36" s="7">
        <v>2.5</v>
      </c>
      <c r="AZ36" s="7">
        <v>3.5</v>
      </c>
      <c r="BA36" s="7">
        <v>2.5</v>
      </c>
      <c r="BB36" t="s">
        <v>349</v>
      </c>
      <c r="BC36" s="7">
        <v>300</v>
      </c>
      <c r="BD36" t="s">
        <v>2067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1790</v>
      </c>
      <c r="C37" s="7">
        <v>2020</v>
      </c>
      <c r="D37" t="s">
        <v>1791</v>
      </c>
      <c r="E37" t="s">
        <v>1792</v>
      </c>
      <c r="F37" t="s">
        <v>1557</v>
      </c>
      <c r="G37" t="s">
        <v>1793</v>
      </c>
      <c r="H37" s="7">
        <v>3</v>
      </c>
      <c r="I37" s="7">
        <v>3.5</v>
      </c>
      <c r="J37" s="7">
        <v>3</v>
      </c>
      <c r="K37" s="7">
        <v>3.5</v>
      </c>
      <c r="L37" s="7">
        <v>3</v>
      </c>
      <c r="M37" s="7">
        <v>2.5</v>
      </c>
      <c r="N37" s="7">
        <v>3</v>
      </c>
      <c r="O37" s="7">
        <v>2.5</v>
      </c>
      <c r="P37" t="s">
        <v>1762</v>
      </c>
      <c r="Q37" s="7">
        <v>88</v>
      </c>
      <c r="R37" t="s">
        <v>1836</v>
      </c>
      <c r="U37" t="s">
        <v>2029</v>
      </c>
      <c r="V37" s="7">
        <v>2020</v>
      </c>
      <c r="W37" t="s">
        <v>1554</v>
      </c>
      <c r="X37" t="s">
        <v>734</v>
      </c>
      <c r="Y37" t="s">
        <v>1557</v>
      </c>
      <c r="Z37" t="s">
        <v>986</v>
      </c>
      <c r="AA37" s="7">
        <v>3.07</v>
      </c>
      <c r="AB37" s="7">
        <v>3</v>
      </c>
      <c r="AC37" s="7">
        <v>3</v>
      </c>
      <c r="AD37" s="7">
        <v>3</v>
      </c>
      <c r="AE37" s="7">
        <v>3</v>
      </c>
      <c r="AF37" s="7">
        <v>3</v>
      </c>
      <c r="AG37" s="7">
        <v>3.5</v>
      </c>
      <c r="AH37" s="7">
        <v>3</v>
      </c>
      <c r="AI37" t="s">
        <v>170</v>
      </c>
      <c r="AJ37" s="7">
        <v>98</v>
      </c>
      <c r="AK37" t="s">
        <v>2062</v>
      </c>
      <c r="AN37" t="s">
        <v>1710</v>
      </c>
      <c r="AO37" s="7">
        <v>2017</v>
      </c>
      <c r="AP37" t="s">
        <v>1554</v>
      </c>
      <c r="AQ37" t="s">
        <v>694</v>
      </c>
      <c r="AR37" t="s">
        <v>1559</v>
      </c>
      <c r="AS37" t="s">
        <v>995</v>
      </c>
      <c r="AT37" s="7">
        <v>2.93</v>
      </c>
      <c r="AU37" s="7">
        <v>2.5</v>
      </c>
      <c r="AV37" s="7">
        <v>3.5</v>
      </c>
      <c r="AW37" s="7">
        <v>3</v>
      </c>
      <c r="AX37" s="7">
        <v>3</v>
      </c>
      <c r="AY37" s="7">
        <v>3.5</v>
      </c>
      <c r="AZ37" s="7">
        <v>2</v>
      </c>
      <c r="BA37" s="7">
        <v>3</v>
      </c>
      <c r="BB37" t="s">
        <v>287</v>
      </c>
      <c r="BC37" s="7">
        <v>300</v>
      </c>
      <c r="BD37" t="s">
        <v>1696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2023</v>
      </c>
      <c r="C38" s="7">
        <v>2020</v>
      </c>
      <c r="D38" t="s">
        <v>2024</v>
      </c>
      <c r="E38" t="s">
        <v>2025</v>
      </c>
      <c r="F38" t="s">
        <v>1557</v>
      </c>
      <c r="G38" t="s">
        <v>2026</v>
      </c>
      <c r="H38" s="7">
        <v>3.14</v>
      </c>
      <c r="I38" s="7">
        <v>3</v>
      </c>
      <c r="J38" s="7">
        <v>3</v>
      </c>
      <c r="K38" s="7">
        <v>3</v>
      </c>
      <c r="L38" s="7">
        <v>3.5</v>
      </c>
      <c r="M38" s="7">
        <v>3</v>
      </c>
      <c r="N38" s="7">
        <v>3.5</v>
      </c>
      <c r="O38" s="7">
        <v>3</v>
      </c>
      <c r="P38" t="s">
        <v>349</v>
      </c>
      <c r="Q38" s="7">
        <v>73</v>
      </c>
      <c r="R38" t="s">
        <v>2055</v>
      </c>
      <c r="U38" t="s">
        <v>1968</v>
      </c>
      <c r="V38" s="7">
        <v>2020</v>
      </c>
      <c r="W38" t="s">
        <v>1554</v>
      </c>
      <c r="X38" t="s">
        <v>658</v>
      </c>
      <c r="Y38" t="s">
        <v>1557</v>
      </c>
      <c r="Z38" t="s">
        <v>705</v>
      </c>
      <c r="AA38" s="7">
        <v>3.79</v>
      </c>
      <c r="AB38" s="7">
        <v>4</v>
      </c>
      <c r="AC38" s="7">
        <v>4</v>
      </c>
      <c r="AD38" s="7">
        <v>4</v>
      </c>
      <c r="AE38" s="7">
        <v>3.5</v>
      </c>
      <c r="AF38" s="7">
        <v>3.5</v>
      </c>
      <c r="AG38" s="7">
        <v>4</v>
      </c>
      <c r="AH38" s="7">
        <v>3.5</v>
      </c>
      <c r="AI38" t="s">
        <v>59</v>
      </c>
      <c r="AJ38" s="7">
        <v>140</v>
      </c>
      <c r="AK38" t="s">
        <v>1985</v>
      </c>
      <c r="AN38" t="s">
        <v>1889</v>
      </c>
      <c r="AO38" s="7">
        <v>2017</v>
      </c>
      <c r="AP38" t="s">
        <v>1554</v>
      </c>
      <c r="AQ38" t="s">
        <v>670</v>
      </c>
      <c r="AR38" t="s">
        <v>1559</v>
      </c>
      <c r="AS38" t="s">
        <v>855</v>
      </c>
      <c r="AT38" s="7">
        <v>3.5</v>
      </c>
      <c r="AU38" s="7">
        <v>3</v>
      </c>
      <c r="AV38" s="7">
        <v>3</v>
      </c>
      <c r="AW38" s="7">
        <v>3.5</v>
      </c>
      <c r="AX38" s="7">
        <v>3.5</v>
      </c>
      <c r="AY38" s="7">
        <v>4</v>
      </c>
      <c r="AZ38" s="7">
        <v>3.5</v>
      </c>
      <c r="BA38" s="7">
        <v>4</v>
      </c>
      <c r="BB38" t="s">
        <v>1866</v>
      </c>
      <c r="BC38" s="7">
        <v>325</v>
      </c>
      <c r="BD38" t="s">
        <v>1934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2170</v>
      </c>
      <c r="C39" s="7">
        <v>2020</v>
      </c>
      <c r="D39" t="s">
        <v>1558</v>
      </c>
      <c r="E39" t="s">
        <v>2171</v>
      </c>
      <c r="F39" t="s">
        <v>1557</v>
      </c>
      <c r="G39" t="s">
        <v>2172</v>
      </c>
      <c r="H39" s="7">
        <v>3.14</v>
      </c>
      <c r="I39" s="7">
        <v>3</v>
      </c>
      <c r="J39" s="7">
        <v>3.5</v>
      </c>
      <c r="K39" s="7">
        <v>3.5</v>
      </c>
      <c r="L39" s="7">
        <v>2.5</v>
      </c>
      <c r="M39" s="7">
        <v>3</v>
      </c>
      <c r="N39" s="7">
        <v>3.5</v>
      </c>
      <c r="O39" s="7">
        <v>3</v>
      </c>
      <c r="P39" t="s">
        <v>1536</v>
      </c>
      <c r="Q39" s="7">
        <v>82</v>
      </c>
      <c r="R39" t="s">
        <v>2187</v>
      </c>
      <c r="U39" t="s">
        <v>1893</v>
      </c>
      <c r="V39" s="7">
        <v>2019</v>
      </c>
      <c r="W39" t="s">
        <v>1554</v>
      </c>
      <c r="X39" t="s">
        <v>702</v>
      </c>
      <c r="Y39" t="s">
        <v>1557</v>
      </c>
      <c r="Z39" t="s">
        <v>1894</v>
      </c>
      <c r="AA39" s="7">
        <v>3.36</v>
      </c>
      <c r="AB39" s="7">
        <v>3.5</v>
      </c>
      <c r="AC39" s="7">
        <v>4.5</v>
      </c>
      <c r="AD39" s="7">
        <v>4</v>
      </c>
      <c r="AE39" s="7">
        <v>3</v>
      </c>
      <c r="AF39" s="7">
        <v>2.5</v>
      </c>
      <c r="AG39" s="7">
        <v>2.5</v>
      </c>
      <c r="AH39" s="7">
        <v>3.5</v>
      </c>
      <c r="AI39" t="s">
        <v>1868</v>
      </c>
      <c r="AJ39" s="7">
        <v>111</v>
      </c>
      <c r="AK39" t="s">
        <v>1923</v>
      </c>
      <c r="AN39" t="s">
        <v>736</v>
      </c>
      <c r="AO39" s="7">
        <v>2017</v>
      </c>
      <c r="AP39" t="s">
        <v>1554</v>
      </c>
      <c r="AQ39" t="s">
        <v>734</v>
      </c>
      <c r="AR39" t="s">
        <v>1559</v>
      </c>
      <c r="AS39" t="s">
        <v>111</v>
      </c>
      <c r="AT39" s="7">
        <v>4.29</v>
      </c>
      <c r="AU39" s="7">
        <v>4</v>
      </c>
      <c r="AV39" s="7">
        <v>4</v>
      </c>
      <c r="AW39" s="7">
        <v>4.5</v>
      </c>
      <c r="AX39" s="7">
        <v>4</v>
      </c>
      <c r="AY39" s="7">
        <v>4</v>
      </c>
      <c r="AZ39" s="7">
        <v>4.5</v>
      </c>
      <c r="BA39" s="7">
        <v>5</v>
      </c>
      <c r="BB39" t="s">
        <v>339</v>
      </c>
      <c r="BC39" s="7">
        <v>300</v>
      </c>
      <c r="BD39" t="s">
        <v>503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1812</v>
      </c>
      <c r="C40" s="7">
        <v>2020</v>
      </c>
      <c r="D40" t="s">
        <v>1813</v>
      </c>
      <c r="E40" t="s">
        <v>1814</v>
      </c>
      <c r="F40" t="s">
        <v>1557</v>
      </c>
      <c r="G40" t="s">
        <v>1769</v>
      </c>
      <c r="H40" s="7">
        <v>2.57</v>
      </c>
      <c r="I40" s="7">
        <v>2</v>
      </c>
      <c r="J40" s="7">
        <v>2.5</v>
      </c>
      <c r="K40" s="7">
        <v>2.5</v>
      </c>
      <c r="L40" s="7">
        <v>3</v>
      </c>
      <c r="M40" s="7">
        <v>3</v>
      </c>
      <c r="N40" s="7">
        <v>2.5</v>
      </c>
      <c r="O40" s="7">
        <v>2.5</v>
      </c>
      <c r="P40" t="s">
        <v>1770</v>
      </c>
      <c r="Q40" s="7">
        <v>80</v>
      </c>
      <c r="R40" t="s">
        <v>1837</v>
      </c>
      <c r="U40" t="s">
        <v>1895</v>
      </c>
      <c r="V40" s="7">
        <v>2019</v>
      </c>
      <c r="W40" t="s">
        <v>1554</v>
      </c>
      <c r="X40" t="s">
        <v>759</v>
      </c>
      <c r="Y40" t="s">
        <v>1557</v>
      </c>
      <c r="Z40" t="s">
        <v>1896</v>
      </c>
      <c r="AA40" s="7">
        <v>3.07</v>
      </c>
      <c r="AB40" s="7">
        <v>3</v>
      </c>
      <c r="AC40" s="7">
        <v>3</v>
      </c>
      <c r="AD40" s="7">
        <v>4</v>
      </c>
      <c r="AE40" s="7">
        <v>3.5</v>
      </c>
      <c r="AF40" s="7">
        <v>2</v>
      </c>
      <c r="AG40" s="7">
        <v>3.5</v>
      </c>
      <c r="AH40" s="7">
        <v>2.5</v>
      </c>
      <c r="AI40" t="s">
        <v>1869</v>
      </c>
      <c r="AJ40" s="7">
        <v>95</v>
      </c>
      <c r="AK40" t="s">
        <v>1924</v>
      </c>
      <c r="AN40" t="s">
        <v>1573</v>
      </c>
      <c r="AO40" s="7">
        <v>2017</v>
      </c>
      <c r="AP40" t="s">
        <v>1554</v>
      </c>
      <c r="AQ40" t="s">
        <v>715</v>
      </c>
      <c r="AR40" t="s">
        <v>1559</v>
      </c>
      <c r="AS40" t="s">
        <v>1574</v>
      </c>
      <c r="AT40" s="7">
        <v>3.5</v>
      </c>
      <c r="AU40" s="7">
        <v>3.5</v>
      </c>
      <c r="AV40" s="7">
        <v>3.5</v>
      </c>
      <c r="AW40" s="7">
        <v>4</v>
      </c>
      <c r="AX40" s="7">
        <v>3</v>
      </c>
      <c r="AY40" s="7">
        <v>3</v>
      </c>
      <c r="AZ40" s="7">
        <v>4</v>
      </c>
      <c r="BA40" s="7">
        <v>3.5</v>
      </c>
      <c r="BB40" t="s">
        <v>146</v>
      </c>
      <c r="BC40" s="7">
        <v>625</v>
      </c>
      <c r="BD40" t="s">
        <v>1645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1815</v>
      </c>
      <c r="C41" s="7">
        <v>2020</v>
      </c>
      <c r="D41" t="s">
        <v>1569</v>
      </c>
      <c r="E41" t="s">
        <v>1816</v>
      </c>
      <c r="F41" t="s">
        <v>1557</v>
      </c>
      <c r="G41" t="s">
        <v>1817</v>
      </c>
      <c r="H41" s="7">
        <v>3.21</v>
      </c>
      <c r="I41" s="7">
        <v>3.5</v>
      </c>
      <c r="J41" s="7">
        <v>3.5</v>
      </c>
      <c r="K41" s="7">
        <v>3</v>
      </c>
      <c r="L41" s="7">
        <v>3.5</v>
      </c>
      <c r="M41" s="7">
        <v>3</v>
      </c>
      <c r="N41" s="7">
        <v>3</v>
      </c>
      <c r="O41" s="7">
        <v>3</v>
      </c>
      <c r="P41" t="s">
        <v>195</v>
      </c>
      <c r="Q41" s="7">
        <v>99</v>
      </c>
      <c r="R41" t="s">
        <v>1838</v>
      </c>
      <c r="U41" t="s">
        <v>1371</v>
      </c>
      <c r="V41" s="7">
        <v>2019</v>
      </c>
      <c r="W41" t="s">
        <v>1554</v>
      </c>
      <c r="X41" t="s">
        <v>759</v>
      </c>
      <c r="Y41" t="s">
        <v>1557</v>
      </c>
      <c r="Z41" t="s">
        <v>762</v>
      </c>
      <c r="AA41" s="7">
        <v>3.07</v>
      </c>
      <c r="AB41" s="7">
        <v>3.5</v>
      </c>
      <c r="AC41" s="7">
        <v>3.5</v>
      </c>
      <c r="AD41" s="7">
        <v>3.5</v>
      </c>
      <c r="AE41" s="7">
        <v>4</v>
      </c>
      <c r="AF41" s="7">
        <v>1.5</v>
      </c>
      <c r="AG41" s="7">
        <v>3.5</v>
      </c>
      <c r="AH41" s="7">
        <v>2</v>
      </c>
      <c r="AI41" t="s">
        <v>1306</v>
      </c>
      <c r="AJ41" s="7">
        <v>114</v>
      </c>
      <c r="AK41" t="s">
        <v>1473</v>
      </c>
      <c r="AN41" t="s">
        <v>2159</v>
      </c>
      <c r="AO41" s="7">
        <v>2017</v>
      </c>
      <c r="AP41" t="s">
        <v>1554</v>
      </c>
      <c r="AQ41" t="s">
        <v>868</v>
      </c>
      <c r="AR41" t="s">
        <v>1559</v>
      </c>
      <c r="AS41" t="s">
        <v>2160</v>
      </c>
      <c r="AT41" s="7">
        <v>3.43</v>
      </c>
      <c r="AU41" s="7">
        <v>3</v>
      </c>
      <c r="AV41" s="7">
        <v>3.5</v>
      </c>
      <c r="AW41" s="7">
        <v>4</v>
      </c>
      <c r="AX41" s="7">
        <v>3.5</v>
      </c>
      <c r="AY41" s="7">
        <v>3.5</v>
      </c>
      <c r="AZ41" s="7">
        <v>3.5</v>
      </c>
      <c r="BA41" s="7">
        <v>3</v>
      </c>
      <c r="BB41" t="s">
        <v>2143</v>
      </c>
      <c r="BC41" s="7">
        <v>600</v>
      </c>
      <c r="BD41" t="s">
        <v>2198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1833</v>
      </c>
      <c r="C42" s="7">
        <v>2020</v>
      </c>
      <c r="D42" t="s">
        <v>1791</v>
      </c>
      <c r="E42" t="s">
        <v>1834</v>
      </c>
      <c r="F42" t="s">
        <v>1557</v>
      </c>
      <c r="G42" t="s">
        <v>1778</v>
      </c>
      <c r="H42" s="7">
        <v>2.93</v>
      </c>
      <c r="I42" s="7">
        <v>2.5</v>
      </c>
      <c r="J42" s="7">
        <v>3</v>
      </c>
      <c r="K42" s="7">
        <v>3.5</v>
      </c>
      <c r="L42" s="7">
        <v>3</v>
      </c>
      <c r="M42" s="7">
        <v>3</v>
      </c>
      <c r="N42" s="7">
        <v>2.5</v>
      </c>
      <c r="O42" s="7">
        <v>3</v>
      </c>
      <c r="P42" t="s">
        <v>1779</v>
      </c>
      <c r="Q42" s="7">
        <v>89</v>
      </c>
      <c r="R42" t="s">
        <v>1839</v>
      </c>
      <c r="U42" t="s">
        <v>1338</v>
      </c>
      <c r="V42" s="7">
        <v>2019</v>
      </c>
      <c r="W42" t="s">
        <v>1554</v>
      </c>
      <c r="X42" t="s">
        <v>670</v>
      </c>
      <c r="Y42" t="s">
        <v>1557</v>
      </c>
      <c r="Z42" t="s">
        <v>855</v>
      </c>
      <c r="AA42" s="7">
        <v>3.07</v>
      </c>
      <c r="AB42" s="7">
        <v>3</v>
      </c>
      <c r="AC42" s="7">
        <v>3</v>
      </c>
      <c r="AD42" s="7">
        <v>3.5</v>
      </c>
      <c r="AE42" s="7">
        <v>3.5</v>
      </c>
      <c r="AF42" s="7">
        <v>2.5</v>
      </c>
      <c r="AG42" s="7">
        <v>3.5</v>
      </c>
      <c r="AH42" s="7">
        <v>2.5</v>
      </c>
      <c r="AI42" t="s">
        <v>219</v>
      </c>
      <c r="AJ42" s="7">
        <v>82</v>
      </c>
      <c r="AK42" t="s">
        <v>1478</v>
      </c>
      <c r="AN42" t="s">
        <v>1727</v>
      </c>
      <c r="AO42" s="7">
        <v>2017</v>
      </c>
      <c r="AP42" t="s">
        <v>1554</v>
      </c>
      <c r="AQ42" t="s">
        <v>879</v>
      </c>
      <c r="AR42" t="s">
        <v>1559</v>
      </c>
      <c r="AS42" t="s">
        <v>1728</v>
      </c>
      <c r="AT42" s="7">
        <v>3.86</v>
      </c>
      <c r="AU42" s="7">
        <v>3</v>
      </c>
      <c r="AV42" s="7">
        <v>3.5</v>
      </c>
      <c r="AW42" s="7">
        <v>4.5</v>
      </c>
      <c r="AX42" s="7">
        <v>3</v>
      </c>
      <c r="AY42" s="7">
        <v>4</v>
      </c>
      <c r="AZ42" s="7">
        <v>4</v>
      </c>
      <c r="BA42" s="7">
        <v>5</v>
      </c>
      <c r="BB42" t="s">
        <v>1666</v>
      </c>
      <c r="BC42" s="7">
        <v>300</v>
      </c>
      <c r="BD42" t="s">
        <v>1697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1922</v>
      </c>
      <c r="C43" s="7">
        <v>2020</v>
      </c>
      <c r="D43" t="s">
        <v>1613</v>
      </c>
      <c r="E43" t="s">
        <v>1055</v>
      </c>
      <c r="F43" t="s">
        <v>1557</v>
      </c>
      <c r="G43" t="s">
        <v>1885</v>
      </c>
      <c r="H43" s="38">
        <v>3.86</v>
      </c>
      <c r="I43" s="7">
        <v>3.5</v>
      </c>
      <c r="J43" s="7">
        <v>4</v>
      </c>
      <c r="K43" s="7">
        <v>4.5</v>
      </c>
      <c r="L43" s="7">
        <v>3.5</v>
      </c>
      <c r="M43" s="7">
        <v>3.5</v>
      </c>
      <c r="N43" s="7">
        <v>4</v>
      </c>
      <c r="O43" s="7">
        <v>4</v>
      </c>
      <c r="P43" t="s">
        <v>1886</v>
      </c>
      <c r="Q43" s="7">
        <v>103</v>
      </c>
      <c r="R43" t="s">
        <v>1981</v>
      </c>
      <c r="U43" t="s">
        <v>2167</v>
      </c>
      <c r="V43" s="7">
        <v>2019</v>
      </c>
      <c r="W43" t="s">
        <v>1554</v>
      </c>
      <c r="X43" t="s">
        <v>2168</v>
      </c>
      <c r="Y43" t="s">
        <v>1557</v>
      </c>
      <c r="Z43" t="s">
        <v>2169</v>
      </c>
      <c r="AA43" s="7">
        <v>2.64</v>
      </c>
      <c r="AB43" s="7">
        <v>2.5</v>
      </c>
      <c r="AC43" s="7">
        <v>2.5</v>
      </c>
      <c r="AD43" s="7">
        <v>3.5</v>
      </c>
      <c r="AE43" s="7">
        <v>3</v>
      </c>
      <c r="AF43" s="7">
        <v>2.5</v>
      </c>
      <c r="AG43" s="7">
        <v>2.5</v>
      </c>
      <c r="AH43" s="7">
        <v>2</v>
      </c>
      <c r="AI43" t="s">
        <v>1354</v>
      </c>
      <c r="AJ43" s="7">
        <v>60</v>
      </c>
      <c r="AK43" t="s">
        <v>2192</v>
      </c>
      <c r="AN43" t="s">
        <v>2163</v>
      </c>
      <c r="AO43" s="7">
        <v>2017</v>
      </c>
      <c r="AP43" t="s">
        <v>1554</v>
      </c>
      <c r="AQ43" t="s">
        <v>715</v>
      </c>
      <c r="AR43" t="s">
        <v>1559</v>
      </c>
      <c r="AS43" t="s">
        <v>2164</v>
      </c>
      <c r="AT43" s="7">
        <v>2.93</v>
      </c>
      <c r="AU43" s="7">
        <v>2.5</v>
      </c>
      <c r="AV43" s="7">
        <v>3</v>
      </c>
      <c r="AW43" s="7">
        <v>3</v>
      </c>
      <c r="AX43" s="7">
        <v>3.5</v>
      </c>
      <c r="AY43" s="7">
        <v>2.5</v>
      </c>
      <c r="AZ43" s="7">
        <v>3.5</v>
      </c>
      <c r="BA43" s="7">
        <v>2.5</v>
      </c>
      <c r="BB43" t="s">
        <v>181</v>
      </c>
      <c r="BC43" s="7">
        <v>325</v>
      </c>
      <c r="BD43" t="s">
        <v>2199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2578</v>
      </c>
      <c r="C44" s="7">
        <v>2019</v>
      </c>
      <c r="D44" t="s">
        <v>1556</v>
      </c>
      <c r="E44" t="s">
        <v>1071</v>
      </c>
      <c r="F44" t="s">
        <v>1557</v>
      </c>
      <c r="G44" t="s">
        <v>2564</v>
      </c>
      <c r="H44" s="7">
        <v>3</v>
      </c>
      <c r="I44" s="7">
        <v>2</v>
      </c>
      <c r="J44" s="7">
        <v>2.5</v>
      </c>
      <c r="K44" s="7">
        <v>3.5</v>
      </c>
      <c r="L44" s="7">
        <v>3.5</v>
      </c>
      <c r="M44" s="7">
        <v>3</v>
      </c>
      <c r="N44" s="7">
        <v>3.5</v>
      </c>
      <c r="O44" s="7">
        <v>3</v>
      </c>
      <c r="P44" t="s">
        <v>1209</v>
      </c>
      <c r="Q44" s="7">
        <v>1355</v>
      </c>
      <c r="R44" t="s">
        <v>2610</v>
      </c>
      <c r="U44" t="s">
        <v>1732</v>
      </c>
      <c r="V44" s="7">
        <v>2019</v>
      </c>
      <c r="W44" t="s">
        <v>1554</v>
      </c>
      <c r="X44" t="s">
        <v>915</v>
      </c>
      <c r="Y44" t="s">
        <v>1557</v>
      </c>
      <c r="Z44" t="s">
        <v>1030</v>
      </c>
      <c r="AA44" s="7">
        <v>3.93</v>
      </c>
      <c r="AB44" s="7">
        <v>3.5</v>
      </c>
      <c r="AC44" s="7">
        <v>4</v>
      </c>
      <c r="AD44" s="7">
        <v>4.5</v>
      </c>
      <c r="AE44" s="7">
        <v>4</v>
      </c>
      <c r="AF44" s="7">
        <v>3.5</v>
      </c>
      <c r="AG44" s="7">
        <v>4</v>
      </c>
      <c r="AH44" s="7">
        <v>4</v>
      </c>
      <c r="AI44" t="s">
        <v>1198</v>
      </c>
      <c r="AJ44" s="7">
        <v>57</v>
      </c>
      <c r="AK44" t="s">
        <v>1687</v>
      </c>
      <c r="AN44" t="s">
        <v>1763</v>
      </c>
      <c r="AO44" s="7">
        <v>2017</v>
      </c>
      <c r="AP44" t="s">
        <v>1554</v>
      </c>
      <c r="AQ44" t="s">
        <v>670</v>
      </c>
      <c r="AR44" t="s">
        <v>1559</v>
      </c>
      <c r="AS44" t="s">
        <v>1796</v>
      </c>
      <c r="AT44" s="7">
        <v>2.79</v>
      </c>
      <c r="AU44" s="7">
        <v>2.5</v>
      </c>
      <c r="AV44" s="7">
        <v>3</v>
      </c>
      <c r="AW44" s="7">
        <v>3</v>
      </c>
      <c r="AX44" s="7">
        <v>3</v>
      </c>
      <c r="AY44" s="7">
        <v>2</v>
      </c>
      <c r="AZ44" s="7">
        <v>3.5</v>
      </c>
      <c r="BA44" s="7">
        <v>2.5</v>
      </c>
      <c r="BB44" t="s">
        <v>1764</v>
      </c>
      <c r="BC44" s="7">
        <v>300</v>
      </c>
      <c r="BD44" t="s">
        <v>1844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2579</v>
      </c>
      <c r="C45" s="7">
        <v>2019</v>
      </c>
      <c r="D45" t="s">
        <v>1556</v>
      </c>
      <c r="E45" t="s">
        <v>1071</v>
      </c>
      <c r="F45" t="s">
        <v>1557</v>
      </c>
      <c r="G45" t="s">
        <v>2564</v>
      </c>
      <c r="H45" s="7">
        <v>3</v>
      </c>
      <c r="I45" s="7">
        <v>2</v>
      </c>
      <c r="J45" s="7">
        <v>2.5</v>
      </c>
      <c r="K45" s="7">
        <v>3.5</v>
      </c>
      <c r="L45" s="7">
        <v>3.5</v>
      </c>
      <c r="M45" s="7">
        <v>3</v>
      </c>
      <c r="N45" s="7">
        <v>3.5</v>
      </c>
      <c r="O45" s="7">
        <v>3</v>
      </c>
      <c r="P45" t="s">
        <v>1209</v>
      </c>
      <c r="Q45" s="7">
        <v>0</v>
      </c>
      <c r="R45" t="s">
        <v>2666</v>
      </c>
      <c r="U45" t="s">
        <v>2034</v>
      </c>
      <c r="V45" s="7">
        <v>2019</v>
      </c>
      <c r="W45" t="s">
        <v>1554</v>
      </c>
      <c r="X45" t="s">
        <v>2035</v>
      </c>
      <c r="Y45" t="s">
        <v>1557</v>
      </c>
      <c r="Z45" t="s">
        <v>2036</v>
      </c>
      <c r="AA45" s="7">
        <v>3.43</v>
      </c>
      <c r="AB45" s="7">
        <v>3</v>
      </c>
      <c r="AC45" s="7">
        <v>2.5</v>
      </c>
      <c r="AD45" s="7">
        <v>3</v>
      </c>
      <c r="AE45" s="7">
        <v>3.5</v>
      </c>
      <c r="AF45" s="7">
        <v>3.5</v>
      </c>
      <c r="AG45" s="7">
        <v>4</v>
      </c>
      <c r="AH45" s="7">
        <v>4.5</v>
      </c>
      <c r="AI45" t="s">
        <v>2008</v>
      </c>
      <c r="AJ45" s="7">
        <v>71</v>
      </c>
      <c r="AK45" t="s">
        <v>2063</v>
      </c>
      <c r="AN45" t="s">
        <v>1904</v>
      </c>
      <c r="AO45" s="7">
        <v>2017</v>
      </c>
      <c r="AP45" t="s">
        <v>1554</v>
      </c>
      <c r="AQ45" t="s">
        <v>1905</v>
      </c>
      <c r="AR45" t="s">
        <v>1559</v>
      </c>
      <c r="AS45" t="s">
        <v>1092</v>
      </c>
      <c r="AT45" s="7">
        <v>3.07</v>
      </c>
      <c r="AU45" s="7">
        <v>3.5</v>
      </c>
      <c r="AV45" s="7">
        <v>3.5</v>
      </c>
      <c r="AW45" s="7">
        <v>3</v>
      </c>
      <c r="AX45" s="7">
        <v>3</v>
      </c>
      <c r="AY45" s="7">
        <v>3</v>
      </c>
      <c r="AZ45" s="7">
        <v>3</v>
      </c>
      <c r="BA45" s="7">
        <v>2.5</v>
      </c>
      <c r="BB45" t="s">
        <v>1878</v>
      </c>
      <c r="BC45" s="7">
        <v>300</v>
      </c>
      <c r="BD45" t="s">
        <v>1935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1582</v>
      </c>
      <c r="C46" s="7">
        <v>2019</v>
      </c>
      <c r="D46" t="s">
        <v>1558</v>
      </c>
      <c r="E46" t="s">
        <v>1583</v>
      </c>
      <c r="F46" t="s">
        <v>1557</v>
      </c>
      <c r="G46" t="s">
        <v>1584</v>
      </c>
      <c r="H46" s="7">
        <v>2.79</v>
      </c>
      <c r="I46" s="7">
        <v>3</v>
      </c>
      <c r="J46" s="7">
        <v>3</v>
      </c>
      <c r="K46" s="7">
        <v>3</v>
      </c>
      <c r="L46" s="7">
        <v>3</v>
      </c>
      <c r="M46" s="7">
        <v>2.5</v>
      </c>
      <c r="N46" s="7">
        <v>2.5</v>
      </c>
      <c r="O46" s="7">
        <v>2.5</v>
      </c>
      <c r="P46" t="s">
        <v>1535</v>
      </c>
      <c r="Q46" s="7">
        <v>81</v>
      </c>
      <c r="R46" t="s">
        <v>1629</v>
      </c>
      <c r="U46" t="s">
        <v>1400</v>
      </c>
      <c r="V46" s="7">
        <v>2019</v>
      </c>
      <c r="W46" t="s">
        <v>1554</v>
      </c>
      <c r="X46" t="s">
        <v>894</v>
      </c>
      <c r="Y46" t="s">
        <v>1557</v>
      </c>
      <c r="Z46" t="s">
        <v>895</v>
      </c>
      <c r="AA46" s="7">
        <v>3.93</v>
      </c>
      <c r="AB46" s="7">
        <v>3.5</v>
      </c>
      <c r="AC46" s="7">
        <v>4.5</v>
      </c>
      <c r="AD46" s="7">
        <v>4</v>
      </c>
      <c r="AE46" s="7">
        <v>3.5</v>
      </c>
      <c r="AF46" s="7">
        <v>3.5</v>
      </c>
      <c r="AG46" s="7">
        <v>4.5</v>
      </c>
      <c r="AH46" s="7">
        <v>4</v>
      </c>
      <c r="AI46" t="s">
        <v>1348</v>
      </c>
      <c r="AJ46" s="7">
        <v>111</v>
      </c>
      <c r="AK46" t="s">
        <v>1489</v>
      </c>
      <c r="AN46" t="s">
        <v>2030</v>
      </c>
      <c r="AO46" s="7">
        <v>2017</v>
      </c>
      <c r="AP46" t="s">
        <v>1554</v>
      </c>
      <c r="AQ46" t="s">
        <v>948</v>
      </c>
      <c r="AR46" t="s">
        <v>1559</v>
      </c>
      <c r="AS46" t="s">
        <v>1974</v>
      </c>
      <c r="AT46" s="7">
        <v>3.5</v>
      </c>
      <c r="AU46" s="7">
        <v>2.5</v>
      </c>
      <c r="AV46" s="7">
        <v>3</v>
      </c>
      <c r="AW46" s="7">
        <v>3.5</v>
      </c>
      <c r="AX46" s="7">
        <v>3.5</v>
      </c>
      <c r="AY46" s="7">
        <v>4</v>
      </c>
      <c r="AZ46" s="7">
        <v>4</v>
      </c>
      <c r="BA46" s="7">
        <v>4</v>
      </c>
      <c r="BB46" t="s">
        <v>2006</v>
      </c>
      <c r="BC46" s="7">
        <v>300</v>
      </c>
      <c r="BD46" t="s">
        <v>2068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1585</v>
      </c>
      <c r="C47" s="7">
        <v>2019</v>
      </c>
      <c r="D47" t="s">
        <v>1566</v>
      </c>
      <c r="E47" t="s">
        <v>1586</v>
      </c>
      <c r="F47" t="s">
        <v>1557</v>
      </c>
      <c r="G47" t="s">
        <v>1587</v>
      </c>
      <c r="H47" s="7">
        <v>3.71</v>
      </c>
      <c r="I47" s="7">
        <v>4</v>
      </c>
      <c r="J47" s="7">
        <v>4</v>
      </c>
      <c r="K47" s="7">
        <v>3.5</v>
      </c>
      <c r="L47" s="7">
        <v>3.5</v>
      </c>
      <c r="M47" s="7">
        <v>3.5</v>
      </c>
      <c r="N47" s="7">
        <v>4</v>
      </c>
      <c r="O47" s="7">
        <v>3.5</v>
      </c>
      <c r="P47" t="s">
        <v>1536</v>
      </c>
      <c r="Q47" s="7">
        <v>96</v>
      </c>
      <c r="R47" t="s">
        <v>1630</v>
      </c>
      <c r="U47" t="s">
        <v>1744</v>
      </c>
      <c r="V47" s="7">
        <v>2019</v>
      </c>
      <c r="W47" t="s">
        <v>1554</v>
      </c>
      <c r="X47" t="s">
        <v>787</v>
      </c>
      <c r="Y47" t="s">
        <v>1557</v>
      </c>
      <c r="Z47" t="s">
        <v>788</v>
      </c>
      <c r="AA47" s="7">
        <v>3.57</v>
      </c>
      <c r="AB47" s="7">
        <v>3.5</v>
      </c>
      <c r="AC47" s="7">
        <v>4</v>
      </c>
      <c r="AD47" s="7">
        <v>3.5</v>
      </c>
      <c r="AE47" s="7">
        <v>4</v>
      </c>
      <c r="AF47" s="7">
        <v>3</v>
      </c>
      <c r="AG47" s="7">
        <v>3.5</v>
      </c>
      <c r="AH47" s="7">
        <v>3.5</v>
      </c>
      <c r="AI47" t="s">
        <v>100</v>
      </c>
      <c r="AJ47" s="7">
        <v>96</v>
      </c>
      <c r="AK47" t="s">
        <v>1688</v>
      </c>
      <c r="AN47" t="s">
        <v>1593</v>
      </c>
      <c r="AO47" s="7">
        <v>2017</v>
      </c>
      <c r="AP47" t="s">
        <v>1554</v>
      </c>
      <c r="AQ47" t="s">
        <v>1594</v>
      </c>
      <c r="AR47" t="s">
        <v>1559</v>
      </c>
      <c r="AS47" t="s">
        <v>713</v>
      </c>
      <c r="AT47" s="7">
        <v>4</v>
      </c>
      <c r="AU47" s="7">
        <v>3</v>
      </c>
      <c r="AV47" s="7">
        <v>4</v>
      </c>
      <c r="AW47" s="7">
        <v>4.5</v>
      </c>
      <c r="AX47" s="7">
        <v>3.5</v>
      </c>
      <c r="AY47" s="7">
        <v>4</v>
      </c>
      <c r="AZ47" s="7">
        <v>4.5</v>
      </c>
      <c r="BA47" s="7">
        <v>4.5</v>
      </c>
      <c r="BB47" t="s">
        <v>1540</v>
      </c>
      <c r="BC47" s="7">
        <v>350</v>
      </c>
      <c r="BD47" t="s">
        <v>1646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1805</v>
      </c>
      <c r="C48" s="7">
        <v>2019</v>
      </c>
      <c r="D48" t="s">
        <v>1806</v>
      </c>
      <c r="E48" t="s">
        <v>1807</v>
      </c>
      <c r="F48" t="s">
        <v>1557</v>
      </c>
      <c r="G48" t="s">
        <v>1808</v>
      </c>
      <c r="H48" s="7">
        <v>1.64</v>
      </c>
      <c r="I48" s="7">
        <v>1.5</v>
      </c>
      <c r="J48" s="7">
        <v>1.5</v>
      </c>
      <c r="K48" s="7">
        <v>1.5</v>
      </c>
      <c r="L48" s="7">
        <v>1.5</v>
      </c>
      <c r="M48" s="7">
        <v>2</v>
      </c>
      <c r="N48" s="7">
        <v>2</v>
      </c>
      <c r="O48" s="7">
        <v>1.5</v>
      </c>
      <c r="P48" t="s">
        <v>1768</v>
      </c>
      <c r="Q48" s="7">
        <v>67</v>
      </c>
      <c r="R48" t="s">
        <v>1840</v>
      </c>
      <c r="U48" t="s">
        <v>2516</v>
      </c>
      <c r="V48" s="7">
        <v>2019</v>
      </c>
      <c r="W48" t="s">
        <v>1554</v>
      </c>
      <c r="X48" t="s">
        <v>2535</v>
      </c>
      <c r="Y48" t="s">
        <v>1557</v>
      </c>
      <c r="Z48" t="s">
        <v>2536</v>
      </c>
      <c r="AA48" s="7">
        <v>3.64</v>
      </c>
      <c r="AB48" s="7">
        <v>3</v>
      </c>
      <c r="AC48" s="7">
        <v>3</v>
      </c>
      <c r="AD48" s="7">
        <v>4</v>
      </c>
      <c r="AE48" s="7">
        <v>4</v>
      </c>
      <c r="AF48" s="7">
        <v>3.5</v>
      </c>
      <c r="AG48" s="7">
        <v>4.5</v>
      </c>
      <c r="AH48" s="7">
        <v>3.5</v>
      </c>
      <c r="AI48" t="s">
        <v>2495</v>
      </c>
      <c r="AJ48" s="7">
        <v>88</v>
      </c>
      <c r="AK48" t="s">
        <v>2558</v>
      </c>
      <c r="AN48" t="s">
        <v>946</v>
      </c>
      <c r="AO48" s="7">
        <v>2017</v>
      </c>
      <c r="AP48" t="s">
        <v>1554</v>
      </c>
      <c r="AQ48" t="s">
        <v>658</v>
      </c>
      <c r="AR48" t="s">
        <v>1559</v>
      </c>
      <c r="AS48" t="s">
        <v>672</v>
      </c>
      <c r="AT48" s="7">
        <v>3.86</v>
      </c>
      <c r="AU48" s="7">
        <v>4</v>
      </c>
      <c r="AV48" s="7">
        <v>4</v>
      </c>
      <c r="AW48" s="7">
        <v>4</v>
      </c>
      <c r="AX48" s="7">
        <v>3</v>
      </c>
      <c r="AY48" s="7">
        <v>3</v>
      </c>
      <c r="AZ48" s="7">
        <v>4.5</v>
      </c>
      <c r="BA48" s="7">
        <v>4.5</v>
      </c>
      <c r="BB48" t="s">
        <v>343</v>
      </c>
      <c r="BC48" s="7">
        <v>350</v>
      </c>
      <c r="BD48" t="s">
        <v>504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1810</v>
      </c>
      <c r="C49" s="7">
        <v>2019</v>
      </c>
      <c r="D49" t="s">
        <v>1558</v>
      </c>
      <c r="E49" t="s">
        <v>1427</v>
      </c>
      <c r="F49" t="s">
        <v>1557</v>
      </c>
      <c r="G49" t="s">
        <v>1811</v>
      </c>
      <c r="H49" s="7">
        <v>2.79</v>
      </c>
      <c r="I49" s="7">
        <v>2.5</v>
      </c>
      <c r="J49" s="7">
        <v>2.5</v>
      </c>
      <c r="K49" s="7">
        <v>3</v>
      </c>
      <c r="L49" s="7">
        <v>3.5</v>
      </c>
      <c r="M49" s="7">
        <v>3</v>
      </c>
      <c r="N49" s="7">
        <v>2.5</v>
      </c>
      <c r="O49" s="7">
        <v>2.5</v>
      </c>
      <c r="P49" t="s">
        <v>285</v>
      </c>
      <c r="Q49" s="7">
        <v>92</v>
      </c>
      <c r="R49" t="s">
        <v>1841</v>
      </c>
      <c r="U49" t="s">
        <v>1745</v>
      </c>
      <c r="V49" s="7">
        <v>2019</v>
      </c>
      <c r="W49" t="s">
        <v>1554</v>
      </c>
      <c r="X49" t="s">
        <v>1746</v>
      </c>
      <c r="Y49" t="s">
        <v>1557</v>
      </c>
      <c r="Z49" t="s">
        <v>767</v>
      </c>
      <c r="AA49" s="7">
        <v>3.07</v>
      </c>
      <c r="AB49" s="7">
        <v>3.5</v>
      </c>
      <c r="AC49" s="7">
        <v>3.5</v>
      </c>
      <c r="AD49" s="7">
        <v>3.5</v>
      </c>
      <c r="AE49" s="7">
        <v>3.5</v>
      </c>
      <c r="AF49" s="7">
        <v>2</v>
      </c>
      <c r="AG49" s="7">
        <v>3</v>
      </c>
      <c r="AH49" s="7">
        <v>2.5</v>
      </c>
      <c r="AI49" t="s">
        <v>1674</v>
      </c>
      <c r="AJ49" s="7">
        <v>115</v>
      </c>
      <c r="AK49" t="s">
        <v>1689</v>
      </c>
      <c r="AN49" t="s">
        <v>1909</v>
      </c>
      <c r="AO49" s="7">
        <v>2017</v>
      </c>
      <c r="AP49" t="s">
        <v>1554</v>
      </c>
      <c r="AQ49" t="s">
        <v>1910</v>
      </c>
      <c r="AR49" t="s">
        <v>1559</v>
      </c>
      <c r="AS49" t="s">
        <v>1911</v>
      </c>
      <c r="AT49" s="7">
        <v>3.14</v>
      </c>
      <c r="AU49" s="7">
        <v>2.5</v>
      </c>
      <c r="AV49" s="7">
        <v>3</v>
      </c>
      <c r="AW49" s="7">
        <v>2.5</v>
      </c>
      <c r="AX49" s="7">
        <v>4</v>
      </c>
      <c r="AY49" s="7">
        <v>3</v>
      </c>
      <c r="AZ49" s="7">
        <v>4</v>
      </c>
      <c r="BA49" s="7">
        <v>3</v>
      </c>
      <c r="BB49" t="s">
        <v>171</v>
      </c>
      <c r="BC49" s="7">
        <v>275</v>
      </c>
      <c r="BD49" t="s">
        <v>1936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2044</v>
      </c>
      <c r="C50" s="7">
        <v>2019</v>
      </c>
      <c r="D50" t="s">
        <v>1565</v>
      </c>
      <c r="E50" t="s">
        <v>2045</v>
      </c>
      <c r="F50" t="s">
        <v>1557</v>
      </c>
      <c r="G50" t="s">
        <v>2046</v>
      </c>
      <c r="H50" s="7">
        <v>3.36</v>
      </c>
      <c r="I50" s="7">
        <v>4</v>
      </c>
      <c r="J50" s="7">
        <v>3</v>
      </c>
      <c r="K50" s="7">
        <v>3</v>
      </c>
      <c r="L50" s="7">
        <v>3</v>
      </c>
      <c r="M50" s="7">
        <v>3.5</v>
      </c>
      <c r="N50" s="7">
        <v>3.5</v>
      </c>
      <c r="O50" s="7">
        <v>3.5</v>
      </c>
      <c r="P50" t="s">
        <v>230</v>
      </c>
      <c r="Q50" s="7">
        <v>101</v>
      </c>
      <c r="R50" t="s">
        <v>2056</v>
      </c>
      <c r="U50" t="s">
        <v>1967</v>
      </c>
      <c r="V50" s="7">
        <v>2019</v>
      </c>
      <c r="W50" t="s">
        <v>1554</v>
      </c>
      <c r="X50" t="s">
        <v>658</v>
      </c>
      <c r="Y50" t="s">
        <v>1557</v>
      </c>
      <c r="Z50" t="s">
        <v>1979</v>
      </c>
      <c r="AA50" s="7">
        <v>3.36</v>
      </c>
      <c r="AB50" s="7">
        <v>3.5</v>
      </c>
      <c r="AC50" s="7">
        <v>4</v>
      </c>
      <c r="AD50" s="7">
        <v>4</v>
      </c>
      <c r="AE50" s="7">
        <v>3</v>
      </c>
      <c r="AF50" s="7">
        <v>3</v>
      </c>
      <c r="AG50" s="7">
        <v>3</v>
      </c>
      <c r="AH50" s="7">
        <v>3</v>
      </c>
      <c r="AI50" t="s">
        <v>1953</v>
      </c>
      <c r="AJ50" s="7">
        <v>93</v>
      </c>
      <c r="AK50" t="s">
        <v>1986</v>
      </c>
      <c r="AN50" t="s">
        <v>1598</v>
      </c>
      <c r="AO50" s="7">
        <v>2017</v>
      </c>
      <c r="AP50" t="s">
        <v>1554</v>
      </c>
      <c r="AQ50" t="s">
        <v>1599</v>
      </c>
      <c r="AR50" t="s">
        <v>1559</v>
      </c>
      <c r="AS50" t="s">
        <v>1600</v>
      </c>
      <c r="AT50" s="7">
        <v>2.4300000000000002</v>
      </c>
      <c r="AU50" s="7">
        <v>2</v>
      </c>
      <c r="AV50" s="7">
        <v>2</v>
      </c>
      <c r="AW50" s="7">
        <v>3</v>
      </c>
      <c r="AX50" s="7">
        <v>2.5</v>
      </c>
      <c r="AY50" s="7">
        <v>2</v>
      </c>
      <c r="AZ50" s="7">
        <v>3</v>
      </c>
      <c r="BA50" s="7">
        <v>2.5</v>
      </c>
      <c r="BB50" t="s">
        <v>171</v>
      </c>
      <c r="BC50" s="7">
        <v>275</v>
      </c>
      <c r="BD50" t="s">
        <v>1647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1714</v>
      </c>
      <c r="C51" s="7">
        <v>2018</v>
      </c>
      <c r="D51" t="s">
        <v>1566</v>
      </c>
      <c r="E51" t="s">
        <v>1715</v>
      </c>
      <c r="F51" t="s">
        <v>1557</v>
      </c>
      <c r="G51" t="s">
        <v>1716</v>
      </c>
      <c r="H51" s="7">
        <v>3.14</v>
      </c>
      <c r="I51" s="7">
        <v>2</v>
      </c>
      <c r="J51" s="7">
        <v>3</v>
      </c>
      <c r="K51" s="7">
        <v>3.5</v>
      </c>
      <c r="L51" s="7">
        <v>3.5</v>
      </c>
      <c r="M51" s="7">
        <v>3.5</v>
      </c>
      <c r="N51" s="7">
        <v>3.5</v>
      </c>
      <c r="O51" s="7">
        <v>3</v>
      </c>
      <c r="P51" t="s">
        <v>336</v>
      </c>
      <c r="Q51" s="7">
        <v>77</v>
      </c>
      <c r="R51" t="s">
        <v>1680</v>
      </c>
      <c r="U51" t="s">
        <v>1624</v>
      </c>
      <c r="V51" s="7">
        <v>2019</v>
      </c>
      <c r="W51" t="s">
        <v>1554</v>
      </c>
      <c r="X51" t="s">
        <v>1625</v>
      </c>
      <c r="Y51" t="s">
        <v>1557</v>
      </c>
      <c r="Z51" t="s">
        <v>653</v>
      </c>
      <c r="AA51" s="38">
        <v>3.79</v>
      </c>
      <c r="AB51" s="7">
        <v>4</v>
      </c>
      <c r="AC51" s="7">
        <v>4</v>
      </c>
      <c r="AD51" s="7">
        <v>4</v>
      </c>
      <c r="AE51" s="7">
        <v>3.5</v>
      </c>
      <c r="AF51" s="7">
        <v>3.5</v>
      </c>
      <c r="AG51" s="7">
        <v>4</v>
      </c>
      <c r="AH51" s="7">
        <v>3.5</v>
      </c>
      <c r="AI51" t="s">
        <v>1551</v>
      </c>
      <c r="AJ51" s="7">
        <v>112</v>
      </c>
      <c r="AK51" t="s">
        <v>1633</v>
      </c>
      <c r="AN51" t="s">
        <v>1915</v>
      </c>
      <c r="AO51" s="7">
        <v>2017</v>
      </c>
      <c r="AP51" t="s">
        <v>1554</v>
      </c>
      <c r="AQ51" t="s">
        <v>1916</v>
      </c>
      <c r="AR51" t="s">
        <v>1559</v>
      </c>
      <c r="AS51" t="s">
        <v>1021</v>
      </c>
      <c r="AT51" s="7">
        <v>3.79</v>
      </c>
      <c r="AU51" s="7">
        <v>3.5</v>
      </c>
      <c r="AV51" s="7">
        <v>3.5</v>
      </c>
      <c r="AW51" s="7">
        <v>4</v>
      </c>
      <c r="AX51" s="7">
        <v>4</v>
      </c>
      <c r="AY51" s="7">
        <v>3.5</v>
      </c>
      <c r="AZ51" s="7">
        <v>4</v>
      </c>
      <c r="BA51" s="7">
        <v>4</v>
      </c>
      <c r="BB51" t="s">
        <v>1882</v>
      </c>
      <c r="BC51" s="7">
        <v>300</v>
      </c>
      <c r="BD51" t="s">
        <v>1937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1379</v>
      </c>
      <c r="C52" s="7">
        <v>2018</v>
      </c>
      <c r="D52" t="s">
        <v>1558</v>
      </c>
      <c r="E52" t="s">
        <v>1424</v>
      </c>
      <c r="F52" t="s">
        <v>1557</v>
      </c>
      <c r="G52" t="s">
        <v>1442</v>
      </c>
      <c r="H52" s="7">
        <v>3.43</v>
      </c>
      <c r="I52" s="7">
        <v>2.5</v>
      </c>
      <c r="J52" s="7">
        <v>3</v>
      </c>
      <c r="K52" s="7">
        <v>3.5</v>
      </c>
      <c r="L52" s="7">
        <v>3.5</v>
      </c>
      <c r="M52" s="7">
        <v>4</v>
      </c>
      <c r="N52" s="7">
        <v>3.5</v>
      </c>
      <c r="O52" s="7">
        <v>4</v>
      </c>
      <c r="P52" t="s">
        <v>1313</v>
      </c>
      <c r="Q52" s="7">
        <v>84</v>
      </c>
      <c r="R52" t="s">
        <v>1465</v>
      </c>
      <c r="U52" t="s">
        <v>696</v>
      </c>
      <c r="V52" s="7">
        <v>2018</v>
      </c>
      <c r="W52" t="s">
        <v>1554</v>
      </c>
      <c r="X52" t="s">
        <v>697</v>
      </c>
      <c r="Y52" t="s">
        <v>1557</v>
      </c>
      <c r="Z52" t="s">
        <v>698</v>
      </c>
      <c r="AA52" s="7">
        <v>3.57</v>
      </c>
      <c r="AB52" s="7">
        <v>4</v>
      </c>
      <c r="AC52" s="7">
        <v>4</v>
      </c>
      <c r="AD52" s="7">
        <v>4</v>
      </c>
      <c r="AE52" s="7">
        <v>3.5</v>
      </c>
      <c r="AF52" s="7">
        <v>2</v>
      </c>
      <c r="AG52" s="7">
        <v>4</v>
      </c>
      <c r="AH52" s="7">
        <v>3.5</v>
      </c>
      <c r="AI52" t="s">
        <v>337</v>
      </c>
      <c r="AJ52" s="7">
        <v>85</v>
      </c>
      <c r="AK52" t="s">
        <v>407</v>
      </c>
      <c r="AN52" t="s">
        <v>1827</v>
      </c>
      <c r="AO52" s="7">
        <v>2017</v>
      </c>
      <c r="AP52" t="s">
        <v>1554</v>
      </c>
      <c r="AQ52" t="s">
        <v>1828</v>
      </c>
      <c r="AR52" t="s">
        <v>1559</v>
      </c>
      <c r="AS52" t="s">
        <v>1774</v>
      </c>
      <c r="AT52" s="7">
        <v>2.36</v>
      </c>
      <c r="AU52" s="7">
        <v>2.5</v>
      </c>
      <c r="AV52" s="7">
        <v>2.5</v>
      </c>
      <c r="AW52" s="7">
        <v>2.5</v>
      </c>
      <c r="AX52" s="7">
        <v>2.5</v>
      </c>
      <c r="AY52" s="7">
        <v>2</v>
      </c>
      <c r="AZ52" s="7">
        <v>2.5</v>
      </c>
      <c r="BA52" s="7">
        <v>2</v>
      </c>
      <c r="BB52" t="s">
        <v>1775</v>
      </c>
      <c r="BC52" s="7">
        <v>348</v>
      </c>
      <c r="BD52" t="s">
        <v>1845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1274</v>
      </c>
      <c r="C53" s="7">
        <v>2018</v>
      </c>
      <c r="D53" t="s">
        <v>1609</v>
      </c>
      <c r="E53" t="s">
        <v>1291</v>
      </c>
      <c r="F53" t="s">
        <v>1557</v>
      </c>
      <c r="G53" t="s">
        <v>1301</v>
      </c>
      <c r="H53" s="7">
        <v>3.86</v>
      </c>
      <c r="I53" s="7">
        <v>3.5</v>
      </c>
      <c r="J53" s="7">
        <v>4</v>
      </c>
      <c r="K53" s="7">
        <v>4</v>
      </c>
      <c r="L53" s="7">
        <v>4</v>
      </c>
      <c r="M53" s="7">
        <v>3.5</v>
      </c>
      <c r="N53" s="7">
        <v>4</v>
      </c>
      <c r="O53" s="7">
        <v>4</v>
      </c>
      <c r="P53" t="s">
        <v>1211</v>
      </c>
      <c r="Q53" s="7">
        <v>96</v>
      </c>
      <c r="R53" t="s">
        <v>1224</v>
      </c>
      <c r="U53" t="s">
        <v>1787</v>
      </c>
      <c r="V53" s="7">
        <v>2018</v>
      </c>
      <c r="W53" t="s">
        <v>1554</v>
      </c>
      <c r="X53" t="s">
        <v>681</v>
      </c>
      <c r="Y53" t="s">
        <v>1557</v>
      </c>
      <c r="Z53" t="s">
        <v>1450</v>
      </c>
      <c r="AA53" s="7">
        <v>3.36</v>
      </c>
      <c r="AB53" s="7">
        <v>3.5</v>
      </c>
      <c r="AC53" s="7">
        <v>3.5</v>
      </c>
      <c r="AD53" s="7">
        <v>3.5</v>
      </c>
      <c r="AE53" s="7">
        <v>3.5</v>
      </c>
      <c r="AF53" s="7">
        <v>2.5</v>
      </c>
      <c r="AG53" s="7">
        <v>4</v>
      </c>
      <c r="AH53" s="7">
        <v>3</v>
      </c>
      <c r="AI53" t="s">
        <v>1759</v>
      </c>
      <c r="AJ53" s="7">
        <v>100</v>
      </c>
      <c r="AK53" t="s">
        <v>1842</v>
      </c>
      <c r="AN53" t="s">
        <v>1614</v>
      </c>
      <c r="AO53" s="7">
        <v>2017</v>
      </c>
      <c r="AP53" t="s">
        <v>1554</v>
      </c>
      <c r="AQ53" t="s">
        <v>1085</v>
      </c>
      <c r="AR53" t="s">
        <v>1559</v>
      </c>
      <c r="AS53" t="s">
        <v>1615</v>
      </c>
      <c r="AT53" s="7">
        <v>3.93</v>
      </c>
      <c r="AU53" s="7">
        <v>3</v>
      </c>
      <c r="AV53" s="7">
        <v>4</v>
      </c>
      <c r="AW53" s="7">
        <v>4</v>
      </c>
      <c r="AX53" s="7">
        <v>3.5</v>
      </c>
      <c r="AY53" s="7">
        <v>4</v>
      </c>
      <c r="AZ53" s="7">
        <v>4.5</v>
      </c>
      <c r="BA53" s="7">
        <v>4.5</v>
      </c>
      <c r="BB53" t="s">
        <v>1547</v>
      </c>
      <c r="BC53" s="7">
        <v>675</v>
      </c>
      <c r="BD53" t="s">
        <v>1648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1070</v>
      </c>
      <c r="C54" s="7">
        <v>2018</v>
      </c>
      <c r="D54" t="s">
        <v>1556</v>
      </c>
      <c r="E54" t="s">
        <v>1071</v>
      </c>
      <c r="F54" t="s">
        <v>1557</v>
      </c>
      <c r="G54" t="s">
        <v>258</v>
      </c>
      <c r="H54" s="7">
        <v>2.71</v>
      </c>
      <c r="I54" s="7">
        <v>2.5</v>
      </c>
      <c r="J54" s="7">
        <v>2.5</v>
      </c>
      <c r="K54" s="7">
        <v>2.5</v>
      </c>
      <c r="L54" s="7">
        <v>4</v>
      </c>
      <c r="M54" s="7">
        <v>2</v>
      </c>
      <c r="N54" s="7">
        <v>3.5</v>
      </c>
      <c r="O54" s="7">
        <v>2</v>
      </c>
      <c r="P54" t="s">
        <v>259</v>
      </c>
      <c r="Q54" s="7">
        <v>88</v>
      </c>
      <c r="R54" t="s">
        <v>353</v>
      </c>
      <c r="U54" t="s">
        <v>1264</v>
      </c>
      <c r="V54" s="7">
        <v>2018</v>
      </c>
      <c r="W54" t="s">
        <v>1554</v>
      </c>
      <c r="X54" t="s">
        <v>1288</v>
      </c>
      <c r="Y54" t="s">
        <v>1557</v>
      </c>
      <c r="Z54" t="s">
        <v>1196</v>
      </c>
      <c r="AA54" s="7">
        <v>3.5</v>
      </c>
      <c r="AB54" s="7">
        <v>3.5</v>
      </c>
      <c r="AC54" s="7">
        <v>3</v>
      </c>
      <c r="AD54" s="7">
        <v>3.5</v>
      </c>
      <c r="AE54" s="7">
        <v>3.5</v>
      </c>
      <c r="AF54" s="7">
        <v>3.5</v>
      </c>
      <c r="AG54" s="7">
        <v>4</v>
      </c>
      <c r="AH54" s="7">
        <v>3.5</v>
      </c>
      <c r="AI54" t="s">
        <v>100</v>
      </c>
      <c r="AJ54" s="7">
        <v>108</v>
      </c>
      <c r="AK54" t="s">
        <v>1234</v>
      </c>
      <c r="AN54" t="s">
        <v>1082</v>
      </c>
      <c r="AO54" s="7">
        <v>2017</v>
      </c>
      <c r="AP54" t="s">
        <v>1554</v>
      </c>
      <c r="AQ54" t="s">
        <v>1083</v>
      </c>
      <c r="AR54" t="s">
        <v>1560</v>
      </c>
      <c r="AS54" t="s">
        <v>819</v>
      </c>
      <c r="AT54" s="7">
        <v>2.93</v>
      </c>
      <c r="AU54" s="7">
        <v>3.5</v>
      </c>
      <c r="AV54" s="7">
        <v>3.5</v>
      </c>
      <c r="AW54" s="7">
        <v>2</v>
      </c>
      <c r="AX54" s="7">
        <v>2</v>
      </c>
      <c r="AY54" s="7">
        <v>2.5</v>
      </c>
      <c r="AZ54" s="7">
        <v>3</v>
      </c>
      <c r="BA54" s="7">
        <v>4</v>
      </c>
      <c r="BB54" t="s">
        <v>265</v>
      </c>
      <c r="BC54" s="7">
        <v>90</v>
      </c>
      <c r="BD54" t="s">
        <v>505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1281</v>
      </c>
      <c r="C55" s="7">
        <v>2018</v>
      </c>
      <c r="D55" t="s">
        <v>1569</v>
      </c>
      <c r="E55" t="s">
        <v>1295</v>
      </c>
      <c r="F55" t="s">
        <v>1557</v>
      </c>
      <c r="G55" t="s">
        <v>1221</v>
      </c>
      <c r="H55" s="7">
        <v>3.43</v>
      </c>
      <c r="I55" s="7">
        <v>3</v>
      </c>
      <c r="J55" s="7">
        <v>3.5</v>
      </c>
      <c r="K55" s="7">
        <v>3.5</v>
      </c>
      <c r="L55" s="7">
        <v>3.5</v>
      </c>
      <c r="M55" s="7">
        <v>3.5</v>
      </c>
      <c r="N55" s="7">
        <v>3.5</v>
      </c>
      <c r="O55" s="7">
        <v>3.5</v>
      </c>
      <c r="P55" t="s">
        <v>1222</v>
      </c>
      <c r="Q55" s="7">
        <v>73</v>
      </c>
      <c r="R55" t="s">
        <v>1225</v>
      </c>
      <c r="U55" t="s">
        <v>902</v>
      </c>
      <c r="V55" s="7">
        <v>2018</v>
      </c>
      <c r="W55" t="s">
        <v>1554</v>
      </c>
      <c r="X55" t="s">
        <v>658</v>
      </c>
      <c r="Y55" t="s">
        <v>1557</v>
      </c>
      <c r="Z55" t="s">
        <v>659</v>
      </c>
      <c r="AA55" s="7">
        <v>3.64</v>
      </c>
      <c r="AB55" s="7">
        <v>3.5</v>
      </c>
      <c r="AC55" s="7">
        <v>4</v>
      </c>
      <c r="AD55" s="7">
        <v>4</v>
      </c>
      <c r="AE55" s="7">
        <v>4</v>
      </c>
      <c r="AF55" s="7">
        <v>3.5</v>
      </c>
      <c r="AG55" s="7">
        <v>3</v>
      </c>
      <c r="AH55" s="7">
        <v>3.5</v>
      </c>
      <c r="AI55" t="s">
        <v>136</v>
      </c>
      <c r="AJ55" s="7">
        <v>90</v>
      </c>
      <c r="AK55" t="s">
        <v>433</v>
      </c>
      <c r="AN55" t="s">
        <v>1706</v>
      </c>
      <c r="AO55" s="7">
        <v>2016</v>
      </c>
      <c r="AP55" t="s">
        <v>1554</v>
      </c>
      <c r="AQ55" t="s">
        <v>1707</v>
      </c>
      <c r="AR55" t="s">
        <v>1559</v>
      </c>
      <c r="AS55" t="s">
        <v>1708</v>
      </c>
      <c r="AT55" s="7">
        <v>3.29</v>
      </c>
      <c r="AU55" s="7">
        <v>3</v>
      </c>
      <c r="AV55" s="7">
        <v>3.5</v>
      </c>
      <c r="AW55" s="7">
        <v>3.5</v>
      </c>
      <c r="AX55" s="7">
        <v>3.5</v>
      </c>
      <c r="AY55" s="7">
        <v>3.5</v>
      </c>
      <c r="AZ55" s="7">
        <v>3</v>
      </c>
      <c r="BA55" s="7">
        <v>3</v>
      </c>
      <c r="BB55" t="s">
        <v>1661</v>
      </c>
      <c r="BC55" s="7">
        <v>325</v>
      </c>
      <c r="BD55" t="s">
        <v>1698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849</v>
      </c>
      <c r="C56" s="7">
        <v>2017</v>
      </c>
      <c r="D56" t="s">
        <v>1565</v>
      </c>
      <c r="E56" t="s">
        <v>850</v>
      </c>
      <c r="F56" t="s">
        <v>1557</v>
      </c>
      <c r="G56" t="s">
        <v>851</v>
      </c>
      <c r="H56" s="7">
        <v>3.57</v>
      </c>
      <c r="I56" s="7">
        <v>1</v>
      </c>
      <c r="J56" s="7">
        <v>4</v>
      </c>
      <c r="K56" s="7">
        <v>4</v>
      </c>
      <c r="L56" s="7">
        <v>4</v>
      </c>
      <c r="M56" s="7">
        <v>4</v>
      </c>
      <c r="N56" s="7">
        <v>4</v>
      </c>
      <c r="O56" s="7">
        <v>4</v>
      </c>
      <c r="P56" t="s">
        <v>152</v>
      </c>
      <c r="Q56" s="7">
        <v>75</v>
      </c>
      <c r="R56" t="s">
        <v>354</v>
      </c>
      <c r="U56" t="s">
        <v>929</v>
      </c>
      <c r="V56" s="7">
        <v>2018</v>
      </c>
      <c r="W56" t="s">
        <v>1554</v>
      </c>
      <c r="X56" t="s">
        <v>674</v>
      </c>
      <c r="Y56" t="s">
        <v>1557</v>
      </c>
      <c r="Z56" t="s">
        <v>930</v>
      </c>
      <c r="AA56" s="7">
        <v>4</v>
      </c>
      <c r="AB56" s="7">
        <v>3.5</v>
      </c>
      <c r="AC56" s="7">
        <v>4</v>
      </c>
      <c r="AD56" s="7">
        <v>4.5</v>
      </c>
      <c r="AE56" s="7">
        <v>3.5</v>
      </c>
      <c r="AF56" s="7">
        <v>4</v>
      </c>
      <c r="AG56" s="7">
        <v>4</v>
      </c>
      <c r="AH56" s="7">
        <v>4.5</v>
      </c>
      <c r="AI56" t="s">
        <v>193</v>
      </c>
      <c r="AJ56" s="7">
        <v>115</v>
      </c>
      <c r="AK56" t="s">
        <v>442</v>
      </c>
      <c r="AN56" t="s">
        <v>774</v>
      </c>
      <c r="AO56" s="7">
        <v>2016</v>
      </c>
      <c r="AP56" t="s">
        <v>1554</v>
      </c>
      <c r="AQ56" t="s">
        <v>775</v>
      </c>
      <c r="AR56" t="s">
        <v>1559</v>
      </c>
      <c r="AS56" t="s">
        <v>111</v>
      </c>
      <c r="AT56" s="7">
        <v>2.57</v>
      </c>
      <c r="AU56" s="7">
        <v>2.5</v>
      </c>
      <c r="AV56" s="7">
        <v>3</v>
      </c>
      <c r="AW56" s="7">
        <v>2.5</v>
      </c>
      <c r="AX56" s="7">
        <v>2</v>
      </c>
      <c r="AY56" s="7">
        <v>2</v>
      </c>
      <c r="AZ56" s="7">
        <v>3</v>
      </c>
      <c r="BA56" s="7">
        <v>3</v>
      </c>
      <c r="BB56" t="s">
        <v>112</v>
      </c>
      <c r="BC56" s="7">
        <v>300</v>
      </c>
      <c r="BD56" t="s">
        <v>506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864</v>
      </c>
      <c r="C57" s="7">
        <v>2017</v>
      </c>
      <c r="D57" t="s">
        <v>1567</v>
      </c>
      <c r="E57" t="s">
        <v>865</v>
      </c>
      <c r="F57" t="s">
        <v>1557</v>
      </c>
      <c r="G57" t="s">
        <v>866</v>
      </c>
      <c r="H57" s="7">
        <v>3.43</v>
      </c>
      <c r="I57" s="7">
        <v>3</v>
      </c>
      <c r="J57" s="7">
        <v>3</v>
      </c>
      <c r="K57" s="7">
        <v>3</v>
      </c>
      <c r="L57" s="7">
        <v>4</v>
      </c>
      <c r="M57" s="7">
        <v>4</v>
      </c>
      <c r="N57" s="7">
        <v>4</v>
      </c>
      <c r="O57" s="7">
        <v>3</v>
      </c>
      <c r="P57" t="s">
        <v>164</v>
      </c>
      <c r="Q57" s="7">
        <v>85</v>
      </c>
      <c r="R57" t="s">
        <v>355</v>
      </c>
      <c r="U57" t="s">
        <v>943</v>
      </c>
      <c r="V57" s="7">
        <v>2018</v>
      </c>
      <c r="W57" t="s">
        <v>1554</v>
      </c>
      <c r="X57" t="s">
        <v>944</v>
      </c>
      <c r="Y57" t="s">
        <v>1557</v>
      </c>
      <c r="Z57" t="s">
        <v>945</v>
      </c>
      <c r="AA57" s="7">
        <v>3.79</v>
      </c>
      <c r="AB57" s="7">
        <v>4</v>
      </c>
      <c r="AC57" s="7">
        <v>3.5</v>
      </c>
      <c r="AD57" s="7">
        <v>4</v>
      </c>
      <c r="AE57" s="7">
        <v>4</v>
      </c>
      <c r="AF57" s="7">
        <v>2.5</v>
      </c>
      <c r="AG57" s="7">
        <v>4.5</v>
      </c>
      <c r="AH57" s="7">
        <v>4</v>
      </c>
      <c r="AI57" t="s">
        <v>342</v>
      </c>
      <c r="AJ57" s="7">
        <v>98</v>
      </c>
      <c r="AK57" t="s">
        <v>446</v>
      </c>
      <c r="AN57" t="s">
        <v>794</v>
      </c>
      <c r="AO57" s="7">
        <v>2016</v>
      </c>
      <c r="AP57" t="s">
        <v>1554</v>
      </c>
      <c r="AQ57" t="s">
        <v>795</v>
      </c>
      <c r="AR57" t="s">
        <v>1559</v>
      </c>
      <c r="AS57" t="s">
        <v>796</v>
      </c>
      <c r="AT57" s="7">
        <v>3.71</v>
      </c>
      <c r="AU57" s="7">
        <v>3</v>
      </c>
      <c r="AV57" s="7">
        <v>4</v>
      </c>
      <c r="AW57" s="7">
        <v>3.5</v>
      </c>
      <c r="AX57" s="7">
        <v>4</v>
      </c>
      <c r="AY57" s="7">
        <v>3</v>
      </c>
      <c r="AZ57" s="7">
        <v>4.5</v>
      </c>
      <c r="BA57" s="7">
        <v>4</v>
      </c>
      <c r="BB57" t="s">
        <v>123</v>
      </c>
      <c r="BC57" s="7">
        <v>300</v>
      </c>
      <c r="BD57" t="s">
        <v>507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910</v>
      </c>
      <c r="C58" s="7">
        <v>2017</v>
      </c>
      <c r="D58" t="s">
        <v>1590</v>
      </c>
      <c r="E58" t="s">
        <v>911</v>
      </c>
      <c r="F58" t="s">
        <v>1557</v>
      </c>
      <c r="G58" t="s">
        <v>182</v>
      </c>
      <c r="H58" s="7">
        <v>4.07</v>
      </c>
      <c r="I58" s="7">
        <v>4</v>
      </c>
      <c r="J58" s="7">
        <v>4.5</v>
      </c>
      <c r="K58" s="7">
        <v>4</v>
      </c>
      <c r="L58" s="7">
        <v>4.5</v>
      </c>
      <c r="M58" s="7">
        <v>3.5</v>
      </c>
      <c r="N58" s="7">
        <v>3</v>
      </c>
      <c r="O58" s="7">
        <v>5</v>
      </c>
      <c r="P58" t="s">
        <v>183</v>
      </c>
      <c r="Q58" s="7">
        <v>95</v>
      </c>
      <c r="R58" t="s">
        <v>356</v>
      </c>
      <c r="U58" t="s">
        <v>1267</v>
      </c>
      <c r="V58" s="7">
        <v>2018</v>
      </c>
      <c r="W58" t="s">
        <v>1554</v>
      </c>
      <c r="X58" t="s">
        <v>932</v>
      </c>
      <c r="Y58" t="s">
        <v>1555</v>
      </c>
      <c r="Z58" t="s">
        <v>1199</v>
      </c>
      <c r="AA58" s="7">
        <v>3.93</v>
      </c>
      <c r="AB58" s="7">
        <v>4.5</v>
      </c>
      <c r="AC58" s="7">
        <v>4</v>
      </c>
      <c r="AD58" s="7">
        <v>3.5</v>
      </c>
      <c r="AE58" s="7">
        <v>3</v>
      </c>
      <c r="AF58" s="7">
        <v>4</v>
      </c>
      <c r="AG58" s="7">
        <v>4</v>
      </c>
      <c r="AH58" s="7">
        <v>4.5</v>
      </c>
      <c r="AI58" t="s">
        <v>1200</v>
      </c>
      <c r="AJ58" s="7">
        <v>53</v>
      </c>
      <c r="AK58" t="s">
        <v>1235</v>
      </c>
      <c r="AN58" t="s">
        <v>1328</v>
      </c>
      <c r="AO58" s="7">
        <v>2016</v>
      </c>
      <c r="AP58" t="s">
        <v>1554</v>
      </c>
      <c r="AQ58" t="s">
        <v>715</v>
      </c>
      <c r="AR58" t="s">
        <v>1559</v>
      </c>
      <c r="AS58" t="s">
        <v>1438</v>
      </c>
      <c r="AT58" s="7">
        <v>3.79</v>
      </c>
      <c r="AU58" s="7">
        <v>3.5</v>
      </c>
      <c r="AV58" s="7">
        <v>3.5</v>
      </c>
      <c r="AW58" s="7">
        <v>3.5</v>
      </c>
      <c r="AX58" s="7">
        <v>4</v>
      </c>
      <c r="AY58" s="7">
        <v>4</v>
      </c>
      <c r="AZ58" s="7">
        <v>4</v>
      </c>
      <c r="BA58" s="7">
        <v>4</v>
      </c>
      <c r="BB58" t="s">
        <v>1308</v>
      </c>
      <c r="BC58" s="7">
        <v>300</v>
      </c>
      <c r="BD58" t="s">
        <v>1497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941</v>
      </c>
      <c r="C59" s="7">
        <v>2017</v>
      </c>
      <c r="D59" t="s">
        <v>1558</v>
      </c>
      <c r="E59" t="s">
        <v>702</v>
      </c>
      <c r="F59" t="s">
        <v>1557</v>
      </c>
      <c r="G59" t="s">
        <v>198</v>
      </c>
      <c r="H59" s="7">
        <v>3.43</v>
      </c>
      <c r="I59" s="7">
        <v>3.5</v>
      </c>
      <c r="J59" s="7">
        <v>3.5</v>
      </c>
      <c r="K59" s="7">
        <v>3.5</v>
      </c>
      <c r="L59" s="7">
        <v>3.5</v>
      </c>
      <c r="M59" s="7">
        <v>3.5</v>
      </c>
      <c r="N59" s="7">
        <v>3.5</v>
      </c>
      <c r="O59" s="7">
        <v>3</v>
      </c>
      <c r="P59" t="s">
        <v>199</v>
      </c>
      <c r="Q59" s="7">
        <v>90</v>
      </c>
      <c r="R59" t="s">
        <v>357</v>
      </c>
      <c r="U59" t="s">
        <v>1818</v>
      </c>
      <c r="V59" s="7">
        <v>2018</v>
      </c>
      <c r="W59" t="s">
        <v>1554</v>
      </c>
      <c r="X59" t="s">
        <v>1819</v>
      </c>
      <c r="Y59" t="s">
        <v>1557</v>
      </c>
      <c r="Z59" t="s">
        <v>1820</v>
      </c>
      <c r="AA59" s="7">
        <v>3.79</v>
      </c>
      <c r="AB59" s="7">
        <v>3.5</v>
      </c>
      <c r="AC59" s="7">
        <v>3.5</v>
      </c>
      <c r="AD59" s="7">
        <v>3.5</v>
      </c>
      <c r="AE59" s="7">
        <v>3.5</v>
      </c>
      <c r="AF59" s="7">
        <v>4</v>
      </c>
      <c r="AG59" s="7">
        <v>4</v>
      </c>
      <c r="AH59" s="7">
        <v>4.5</v>
      </c>
      <c r="AI59" t="s">
        <v>1771</v>
      </c>
      <c r="AJ59" s="7">
        <v>94</v>
      </c>
      <c r="AK59" t="s">
        <v>1843</v>
      </c>
      <c r="AN59" t="s">
        <v>820</v>
      </c>
      <c r="AO59" s="7">
        <v>2016</v>
      </c>
      <c r="AP59" t="s">
        <v>1554</v>
      </c>
      <c r="AQ59" t="s">
        <v>821</v>
      </c>
      <c r="AR59" t="s">
        <v>1559</v>
      </c>
      <c r="AS59" t="s">
        <v>822</v>
      </c>
      <c r="AT59" s="7">
        <v>3.71</v>
      </c>
      <c r="AU59" s="7">
        <v>4</v>
      </c>
      <c r="AV59" s="7">
        <v>4</v>
      </c>
      <c r="AW59" s="7">
        <v>3.5</v>
      </c>
      <c r="AX59" s="7">
        <v>3</v>
      </c>
      <c r="AY59" s="7">
        <v>3.5</v>
      </c>
      <c r="AZ59" s="7">
        <v>4</v>
      </c>
      <c r="BA59" s="7">
        <v>4</v>
      </c>
      <c r="BB59" t="s">
        <v>135</v>
      </c>
      <c r="BC59" s="7">
        <v>325</v>
      </c>
      <c r="BD59" t="s">
        <v>508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956</v>
      </c>
      <c r="C60" s="7">
        <v>2017</v>
      </c>
      <c r="D60" t="s">
        <v>1567</v>
      </c>
      <c r="E60" t="s">
        <v>957</v>
      </c>
      <c r="F60" t="s">
        <v>1557</v>
      </c>
      <c r="G60" t="s">
        <v>958</v>
      </c>
      <c r="H60" s="7">
        <v>2.5</v>
      </c>
      <c r="I60" s="7">
        <v>3</v>
      </c>
      <c r="J60" s="7">
        <v>2</v>
      </c>
      <c r="K60" s="7">
        <v>3</v>
      </c>
      <c r="L60" s="7">
        <v>3</v>
      </c>
      <c r="M60" s="7">
        <v>3</v>
      </c>
      <c r="N60" s="7">
        <v>2</v>
      </c>
      <c r="O60" s="7">
        <v>1.5</v>
      </c>
      <c r="P60" t="s">
        <v>203</v>
      </c>
      <c r="Q60" s="7">
        <v>80</v>
      </c>
      <c r="R60" t="s">
        <v>358</v>
      </c>
      <c r="U60" t="s">
        <v>1397</v>
      </c>
      <c r="V60" s="7">
        <v>2018</v>
      </c>
      <c r="W60" t="s">
        <v>1554</v>
      </c>
      <c r="X60" t="s">
        <v>1150</v>
      </c>
      <c r="Y60" t="s">
        <v>1557</v>
      </c>
      <c r="Z60" t="s">
        <v>1452</v>
      </c>
      <c r="AA60" s="7">
        <v>3.71</v>
      </c>
      <c r="AB60" s="7">
        <v>3.5</v>
      </c>
      <c r="AC60" s="7">
        <v>4</v>
      </c>
      <c r="AD60" s="7">
        <v>3.5</v>
      </c>
      <c r="AE60" s="7">
        <v>3</v>
      </c>
      <c r="AF60" s="7">
        <v>4</v>
      </c>
      <c r="AG60" s="7">
        <v>4</v>
      </c>
      <c r="AH60" s="7">
        <v>4</v>
      </c>
      <c r="AI60" t="s">
        <v>1319</v>
      </c>
      <c r="AJ60" s="7">
        <v>119</v>
      </c>
      <c r="AK60" t="s">
        <v>1487</v>
      </c>
      <c r="AN60" t="s">
        <v>844</v>
      </c>
      <c r="AO60" s="7">
        <v>2016</v>
      </c>
      <c r="AP60" t="s">
        <v>1554</v>
      </c>
      <c r="AQ60" t="s">
        <v>715</v>
      </c>
      <c r="AR60" t="s">
        <v>1559</v>
      </c>
      <c r="AS60" t="s">
        <v>845</v>
      </c>
      <c r="AT60" s="7">
        <v>3.64</v>
      </c>
      <c r="AU60" s="7">
        <v>3.5</v>
      </c>
      <c r="AV60" s="7">
        <v>4.5</v>
      </c>
      <c r="AW60" s="7">
        <v>3.5</v>
      </c>
      <c r="AX60" s="7">
        <v>3.5</v>
      </c>
      <c r="AY60" s="7">
        <v>3</v>
      </c>
      <c r="AZ60" s="7">
        <v>3.5</v>
      </c>
      <c r="BA60" s="7">
        <v>4</v>
      </c>
      <c r="BB60" t="s">
        <v>146</v>
      </c>
      <c r="BC60" s="7">
        <v>300</v>
      </c>
      <c r="BD60" t="s">
        <v>509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2434</v>
      </c>
      <c r="C61" s="7">
        <v>2017</v>
      </c>
      <c r="D61" t="s">
        <v>1556</v>
      </c>
      <c r="E61" t="s">
        <v>2435</v>
      </c>
      <c r="F61" t="s">
        <v>1557</v>
      </c>
      <c r="G61" t="s">
        <v>2436</v>
      </c>
      <c r="H61" s="7">
        <v>3.5</v>
      </c>
      <c r="I61" s="7">
        <v>3.5</v>
      </c>
      <c r="J61" s="7">
        <v>3.5</v>
      </c>
      <c r="K61" s="7">
        <v>3.5</v>
      </c>
      <c r="L61" s="7">
        <v>4</v>
      </c>
      <c r="M61" s="7">
        <v>2.5</v>
      </c>
      <c r="N61" s="7">
        <v>4</v>
      </c>
      <c r="O61" s="7">
        <v>3.5</v>
      </c>
      <c r="P61" t="s">
        <v>230</v>
      </c>
      <c r="Q61" s="7">
        <v>99</v>
      </c>
      <c r="R61" t="s">
        <v>2464</v>
      </c>
      <c r="U61" t="s">
        <v>720</v>
      </c>
      <c r="V61" s="7">
        <v>2017</v>
      </c>
      <c r="W61" t="s">
        <v>1554</v>
      </c>
      <c r="X61" t="s">
        <v>715</v>
      </c>
      <c r="Y61" t="s">
        <v>1557</v>
      </c>
      <c r="Z61" t="s">
        <v>718</v>
      </c>
      <c r="AA61" s="7">
        <v>3.5</v>
      </c>
      <c r="AB61" s="7">
        <v>3.5</v>
      </c>
      <c r="AC61" s="7">
        <v>3.5</v>
      </c>
      <c r="AD61" s="7">
        <v>3.5</v>
      </c>
      <c r="AE61" s="7">
        <v>3.5</v>
      </c>
      <c r="AF61" s="7">
        <v>2.5</v>
      </c>
      <c r="AG61" s="7">
        <v>4.5</v>
      </c>
      <c r="AH61" s="7">
        <v>3.5</v>
      </c>
      <c r="AI61" t="s">
        <v>338</v>
      </c>
      <c r="AJ61" s="7">
        <v>100</v>
      </c>
      <c r="AK61" t="s">
        <v>411</v>
      </c>
      <c r="AN61" t="s">
        <v>1797</v>
      </c>
      <c r="AO61" s="7">
        <v>2016</v>
      </c>
      <c r="AP61" t="s">
        <v>1554</v>
      </c>
      <c r="AQ61" t="s">
        <v>731</v>
      </c>
      <c r="AR61" t="s">
        <v>1559</v>
      </c>
      <c r="AS61" t="s">
        <v>1798</v>
      </c>
      <c r="AT61" s="7">
        <v>4</v>
      </c>
      <c r="AU61" s="7">
        <v>3</v>
      </c>
      <c r="AV61" s="7">
        <v>4</v>
      </c>
      <c r="AW61" s="7">
        <v>4</v>
      </c>
      <c r="AX61" s="7">
        <v>4</v>
      </c>
      <c r="AY61" s="7">
        <v>4.5</v>
      </c>
      <c r="AZ61" s="7">
        <v>4</v>
      </c>
      <c r="BA61" s="7">
        <v>4.5</v>
      </c>
      <c r="BB61" t="s">
        <v>1765</v>
      </c>
      <c r="BC61" s="7">
        <v>300</v>
      </c>
      <c r="BD61" t="s">
        <v>1846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1072</v>
      </c>
      <c r="C62" s="7">
        <v>2017</v>
      </c>
      <c r="D62" t="s">
        <v>1558</v>
      </c>
      <c r="E62" t="s">
        <v>1073</v>
      </c>
      <c r="F62" t="s">
        <v>1555</v>
      </c>
      <c r="G62" t="s">
        <v>260</v>
      </c>
      <c r="H62" s="7">
        <v>3.29</v>
      </c>
      <c r="I62" s="7">
        <v>3</v>
      </c>
      <c r="J62" s="7">
        <v>3.5</v>
      </c>
      <c r="K62" s="7">
        <v>3</v>
      </c>
      <c r="L62" s="7">
        <v>2.5</v>
      </c>
      <c r="M62" s="7">
        <v>2.5</v>
      </c>
      <c r="N62" s="7">
        <v>4.5</v>
      </c>
      <c r="O62" s="7">
        <v>4</v>
      </c>
      <c r="P62" t="s">
        <v>184</v>
      </c>
      <c r="Q62" s="7">
        <v>79</v>
      </c>
      <c r="R62" t="s">
        <v>359</v>
      </c>
      <c r="U62" t="s">
        <v>1257</v>
      </c>
      <c r="V62" s="7">
        <v>2017</v>
      </c>
      <c r="W62" t="s">
        <v>1554</v>
      </c>
      <c r="X62" t="s">
        <v>759</v>
      </c>
      <c r="Y62" t="s">
        <v>1557</v>
      </c>
      <c r="Z62" t="s">
        <v>762</v>
      </c>
      <c r="AA62" s="7">
        <v>3.64</v>
      </c>
      <c r="AB62" s="7">
        <v>3.5</v>
      </c>
      <c r="AC62" s="7">
        <v>3.5</v>
      </c>
      <c r="AD62" s="7">
        <v>3.5</v>
      </c>
      <c r="AE62" s="7">
        <v>3.5</v>
      </c>
      <c r="AF62" s="7">
        <v>4</v>
      </c>
      <c r="AG62" s="7">
        <v>4</v>
      </c>
      <c r="AH62" s="7">
        <v>3.5</v>
      </c>
      <c r="AI62" t="s">
        <v>1187</v>
      </c>
      <c r="AJ62" s="7">
        <v>406</v>
      </c>
      <c r="AK62" t="s">
        <v>1236</v>
      </c>
      <c r="AN62" t="s">
        <v>890</v>
      </c>
      <c r="AO62" s="7">
        <v>2016</v>
      </c>
      <c r="AP62" t="s">
        <v>1554</v>
      </c>
      <c r="AQ62" t="s">
        <v>888</v>
      </c>
      <c r="AR62" t="s">
        <v>1559</v>
      </c>
      <c r="AS62" t="s">
        <v>891</v>
      </c>
      <c r="AT62" s="7">
        <v>3.43</v>
      </c>
      <c r="AU62" s="7">
        <v>3.5</v>
      </c>
      <c r="AV62" s="7">
        <v>3.5</v>
      </c>
      <c r="AW62" s="7">
        <v>3.5</v>
      </c>
      <c r="AX62" s="7">
        <v>3</v>
      </c>
      <c r="AY62" s="7">
        <v>2</v>
      </c>
      <c r="AZ62" s="7">
        <v>4.5</v>
      </c>
      <c r="BA62" s="7">
        <v>4</v>
      </c>
      <c r="BB62" t="s">
        <v>172</v>
      </c>
      <c r="BC62" s="7">
        <v>300</v>
      </c>
      <c r="BD62" t="s">
        <v>510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1075</v>
      </c>
      <c r="C63" s="7">
        <v>2017</v>
      </c>
      <c r="D63" t="s">
        <v>1613</v>
      </c>
      <c r="E63" t="s">
        <v>1055</v>
      </c>
      <c r="F63" t="s">
        <v>1557</v>
      </c>
      <c r="G63" t="s">
        <v>1076</v>
      </c>
      <c r="H63" s="7">
        <v>4.8600000000000003</v>
      </c>
      <c r="I63" s="7">
        <v>5</v>
      </c>
      <c r="J63" s="7">
        <v>5</v>
      </c>
      <c r="K63" s="7">
        <v>4</v>
      </c>
      <c r="L63" s="7">
        <v>5</v>
      </c>
      <c r="M63" s="7">
        <v>5</v>
      </c>
      <c r="N63" s="7">
        <v>5</v>
      </c>
      <c r="O63" s="7">
        <v>5</v>
      </c>
      <c r="P63" t="s">
        <v>262</v>
      </c>
      <c r="Q63" s="7">
        <v>94</v>
      </c>
      <c r="R63" t="s">
        <v>360</v>
      </c>
      <c r="U63" t="s">
        <v>808</v>
      </c>
      <c r="V63" s="7">
        <v>2017</v>
      </c>
      <c r="W63" t="s">
        <v>1554</v>
      </c>
      <c r="X63" t="s">
        <v>715</v>
      </c>
      <c r="Y63" t="s">
        <v>1557</v>
      </c>
      <c r="Z63" t="s">
        <v>809</v>
      </c>
      <c r="AA63" s="7">
        <v>2.71</v>
      </c>
      <c r="AB63" s="7">
        <v>2.5</v>
      </c>
      <c r="AC63" s="7">
        <v>2.5</v>
      </c>
      <c r="AD63" s="7">
        <v>3</v>
      </c>
      <c r="AE63" s="7">
        <v>2.5</v>
      </c>
      <c r="AF63" s="7">
        <v>2</v>
      </c>
      <c r="AG63" s="7">
        <v>3.5</v>
      </c>
      <c r="AH63" s="7">
        <v>3</v>
      </c>
      <c r="AI63" t="s">
        <v>129</v>
      </c>
      <c r="AJ63" s="7">
        <v>85</v>
      </c>
      <c r="AK63" t="s">
        <v>419</v>
      </c>
      <c r="AN63" t="s">
        <v>1799</v>
      </c>
      <c r="AO63" s="7">
        <v>2016</v>
      </c>
      <c r="AP63" t="s">
        <v>1554</v>
      </c>
      <c r="AQ63" t="s">
        <v>894</v>
      </c>
      <c r="AR63" t="s">
        <v>1559</v>
      </c>
      <c r="AS63" t="s">
        <v>1800</v>
      </c>
      <c r="AT63" s="7">
        <v>3.21</v>
      </c>
      <c r="AU63" s="7">
        <v>3.5</v>
      </c>
      <c r="AV63" s="7">
        <v>4</v>
      </c>
      <c r="AW63" s="7">
        <v>3.5</v>
      </c>
      <c r="AX63" s="7">
        <v>2.5</v>
      </c>
      <c r="AY63" s="7">
        <v>2.5</v>
      </c>
      <c r="AZ63" s="7">
        <v>3.5</v>
      </c>
      <c r="BA63" s="7">
        <v>3</v>
      </c>
      <c r="BB63" t="s">
        <v>1766</v>
      </c>
      <c r="BC63" s="7">
        <v>300</v>
      </c>
      <c r="BD63" t="s">
        <v>1847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707</v>
      </c>
      <c r="C64" s="7">
        <v>2016</v>
      </c>
      <c r="D64" t="s">
        <v>1565</v>
      </c>
      <c r="E64" t="s">
        <v>708</v>
      </c>
      <c r="F64" t="s">
        <v>1557</v>
      </c>
      <c r="G64" t="s">
        <v>79</v>
      </c>
      <c r="H64" s="7">
        <v>3.57</v>
      </c>
      <c r="I64" s="7">
        <v>3</v>
      </c>
      <c r="J64" s="7">
        <v>4</v>
      </c>
      <c r="K64" s="7">
        <v>3</v>
      </c>
      <c r="L64" s="7">
        <v>3</v>
      </c>
      <c r="M64" s="7">
        <v>4</v>
      </c>
      <c r="N64" s="7">
        <v>3.5</v>
      </c>
      <c r="O64" s="7">
        <v>4.5</v>
      </c>
      <c r="P64" t="s">
        <v>80</v>
      </c>
      <c r="Q64" s="7">
        <v>105</v>
      </c>
      <c r="R64" t="s">
        <v>361</v>
      </c>
      <c r="U64" t="s">
        <v>2096</v>
      </c>
      <c r="V64" s="7">
        <v>2017</v>
      </c>
      <c r="W64" t="s">
        <v>1554</v>
      </c>
      <c r="X64" t="s">
        <v>814</v>
      </c>
      <c r="Y64" t="s">
        <v>1557</v>
      </c>
      <c r="Z64" t="s">
        <v>2097</v>
      </c>
      <c r="AA64" s="7">
        <v>4</v>
      </c>
      <c r="AB64" s="7">
        <v>4.5</v>
      </c>
      <c r="AC64" s="7">
        <v>4</v>
      </c>
      <c r="AD64" s="7">
        <v>5</v>
      </c>
      <c r="AE64" s="7">
        <v>3.5</v>
      </c>
      <c r="AF64" s="7">
        <v>3.5</v>
      </c>
      <c r="AG64" s="7">
        <v>4</v>
      </c>
      <c r="AH64" s="7">
        <v>3.5</v>
      </c>
      <c r="AI64" t="s">
        <v>2098</v>
      </c>
      <c r="AJ64" s="7">
        <v>359</v>
      </c>
      <c r="AK64" t="s">
        <v>2127</v>
      </c>
      <c r="AN64" t="s">
        <v>1801</v>
      </c>
      <c r="AO64" s="7">
        <v>2016</v>
      </c>
      <c r="AP64" t="s">
        <v>1554</v>
      </c>
      <c r="AQ64" t="s">
        <v>811</v>
      </c>
      <c r="AR64" t="s">
        <v>1559</v>
      </c>
      <c r="AS64" t="s">
        <v>1802</v>
      </c>
      <c r="AT64" s="7">
        <v>3.36</v>
      </c>
      <c r="AU64" s="7">
        <v>3</v>
      </c>
      <c r="AV64" s="7">
        <v>3</v>
      </c>
      <c r="AW64" s="7">
        <v>3.5</v>
      </c>
      <c r="AX64" s="7">
        <v>3.5</v>
      </c>
      <c r="AY64" s="7">
        <v>3</v>
      </c>
      <c r="AZ64" s="7">
        <v>4</v>
      </c>
      <c r="BA64" s="7">
        <v>3.5</v>
      </c>
      <c r="BB64" t="s">
        <v>1767</v>
      </c>
      <c r="BC64" s="7">
        <v>275</v>
      </c>
      <c r="BD64" t="s">
        <v>1848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805</v>
      </c>
      <c r="C65" s="7">
        <v>2016</v>
      </c>
      <c r="D65" t="s">
        <v>56</v>
      </c>
      <c r="E65" t="s">
        <v>806</v>
      </c>
      <c r="F65" t="s">
        <v>1557</v>
      </c>
      <c r="G65" t="s">
        <v>807</v>
      </c>
      <c r="H65" s="7">
        <v>3.43</v>
      </c>
      <c r="I65" s="7">
        <v>4</v>
      </c>
      <c r="J65" s="7">
        <v>4</v>
      </c>
      <c r="K65" s="7">
        <v>3.5</v>
      </c>
      <c r="L65" s="7">
        <v>3.5</v>
      </c>
      <c r="M65" s="7">
        <v>2</v>
      </c>
      <c r="N65" s="7">
        <v>3</v>
      </c>
      <c r="O65" s="7">
        <v>4</v>
      </c>
      <c r="P65" t="s">
        <v>128</v>
      </c>
      <c r="Q65" s="7">
        <v>86</v>
      </c>
      <c r="R65" t="s">
        <v>362</v>
      </c>
      <c r="U65" t="s">
        <v>816</v>
      </c>
      <c r="V65" s="7">
        <v>2017</v>
      </c>
      <c r="W65" t="s">
        <v>1554</v>
      </c>
      <c r="X65" t="s">
        <v>689</v>
      </c>
      <c r="Y65" t="s">
        <v>1557</v>
      </c>
      <c r="Z65" t="s">
        <v>132</v>
      </c>
      <c r="AA65" s="7">
        <v>2.5</v>
      </c>
      <c r="AB65" s="7">
        <v>3</v>
      </c>
      <c r="AC65" s="7">
        <v>3</v>
      </c>
      <c r="AD65" s="7">
        <v>3.5</v>
      </c>
      <c r="AE65" s="7">
        <v>2.5</v>
      </c>
      <c r="AF65" s="7">
        <v>1.5</v>
      </c>
      <c r="AG65" s="7">
        <v>2.5</v>
      </c>
      <c r="AH65" s="7">
        <v>1.5</v>
      </c>
      <c r="AI65" t="s">
        <v>133</v>
      </c>
      <c r="AJ65" s="7">
        <v>90</v>
      </c>
      <c r="AK65" t="s">
        <v>420</v>
      </c>
      <c r="AN65" t="s">
        <v>1803</v>
      </c>
      <c r="AO65" s="7">
        <v>2016</v>
      </c>
      <c r="AP65" t="s">
        <v>1554</v>
      </c>
      <c r="AQ65" t="s">
        <v>1594</v>
      </c>
      <c r="AR65" t="s">
        <v>1559</v>
      </c>
      <c r="AS65" t="s">
        <v>1804</v>
      </c>
      <c r="AT65" s="7">
        <v>3.21</v>
      </c>
      <c r="AU65" s="7">
        <v>3</v>
      </c>
      <c r="AV65" s="7">
        <v>3.5</v>
      </c>
      <c r="AW65" s="7">
        <v>3.5</v>
      </c>
      <c r="AX65" s="7">
        <v>3.5</v>
      </c>
      <c r="AY65" s="7">
        <v>2.5</v>
      </c>
      <c r="AZ65" s="7">
        <v>3.5</v>
      </c>
      <c r="BA65" s="7">
        <v>3</v>
      </c>
      <c r="BB65" t="s">
        <v>144</v>
      </c>
      <c r="BC65" s="7">
        <v>330</v>
      </c>
      <c r="BD65" t="s">
        <v>1849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903</v>
      </c>
      <c r="C66" s="7">
        <v>2016</v>
      </c>
      <c r="D66" t="s">
        <v>1558</v>
      </c>
      <c r="E66" t="s">
        <v>904</v>
      </c>
      <c r="F66" t="s">
        <v>1557</v>
      </c>
      <c r="G66" t="s">
        <v>179</v>
      </c>
      <c r="H66" s="7">
        <v>3.14</v>
      </c>
      <c r="I66" s="7">
        <v>3</v>
      </c>
      <c r="J66" s="7">
        <v>3.5</v>
      </c>
      <c r="K66" s="7">
        <v>4</v>
      </c>
      <c r="L66" s="7">
        <v>2.5</v>
      </c>
      <c r="M66" s="7">
        <v>3.5</v>
      </c>
      <c r="N66" s="7">
        <v>2.5</v>
      </c>
      <c r="O66" s="7">
        <v>3</v>
      </c>
      <c r="P66" t="s">
        <v>180</v>
      </c>
      <c r="Q66" s="7">
        <v>75</v>
      </c>
      <c r="R66" t="s">
        <v>363</v>
      </c>
      <c r="U66" t="s">
        <v>912</v>
      </c>
      <c r="V66" s="7">
        <v>2017</v>
      </c>
      <c r="W66" t="s">
        <v>1554</v>
      </c>
      <c r="X66" t="s">
        <v>787</v>
      </c>
      <c r="Y66" t="s">
        <v>1557</v>
      </c>
      <c r="Z66" t="s">
        <v>788</v>
      </c>
      <c r="AA66" s="7">
        <v>4.29</v>
      </c>
      <c r="AB66" s="7">
        <v>4</v>
      </c>
      <c r="AC66" s="7">
        <v>4</v>
      </c>
      <c r="AD66" s="7">
        <v>5</v>
      </c>
      <c r="AE66" s="7">
        <v>3.5</v>
      </c>
      <c r="AF66" s="7">
        <v>4</v>
      </c>
      <c r="AG66" s="7">
        <v>4.5</v>
      </c>
      <c r="AH66" s="7">
        <v>5</v>
      </c>
      <c r="AI66" t="s">
        <v>184</v>
      </c>
      <c r="AJ66" s="7">
        <v>112</v>
      </c>
      <c r="AK66" t="s">
        <v>435</v>
      </c>
      <c r="AN66" t="s">
        <v>1601</v>
      </c>
      <c r="AO66" s="7">
        <v>2016</v>
      </c>
      <c r="AP66" t="s">
        <v>1554</v>
      </c>
      <c r="AQ66" t="s">
        <v>734</v>
      </c>
      <c r="AR66" t="s">
        <v>1559</v>
      </c>
      <c r="AS66" t="s">
        <v>1602</v>
      </c>
      <c r="AT66" s="7">
        <v>3.43</v>
      </c>
      <c r="AU66" s="7">
        <v>3.5</v>
      </c>
      <c r="AV66" s="7">
        <v>3.5</v>
      </c>
      <c r="AW66" s="7">
        <v>3.5</v>
      </c>
      <c r="AX66" s="7">
        <v>3.5</v>
      </c>
      <c r="AY66" s="7">
        <v>3</v>
      </c>
      <c r="AZ66" s="7">
        <v>4</v>
      </c>
      <c r="BA66" s="7">
        <v>3</v>
      </c>
      <c r="BB66" t="s">
        <v>1543</v>
      </c>
      <c r="BC66" s="7">
        <v>1525</v>
      </c>
      <c r="BD66" t="s">
        <v>1649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959</v>
      </c>
      <c r="C67" s="7">
        <v>2016</v>
      </c>
      <c r="D67" t="s">
        <v>1556</v>
      </c>
      <c r="E67" t="s">
        <v>960</v>
      </c>
      <c r="F67" t="s">
        <v>1557</v>
      </c>
      <c r="G67" t="s">
        <v>961</v>
      </c>
      <c r="H67" s="7">
        <v>1.79</v>
      </c>
      <c r="I67" s="7">
        <v>1.5</v>
      </c>
      <c r="J67" s="7">
        <v>2</v>
      </c>
      <c r="K67" s="7">
        <v>2</v>
      </c>
      <c r="L67" s="7">
        <v>2</v>
      </c>
      <c r="M67" s="7">
        <v>2</v>
      </c>
      <c r="N67" s="7">
        <v>2</v>
      </c>
      <c r="O67" s="7">
        <v>1</v>
      </c>
      <c r="P67" t="s">
        <v>204</v>
      </c>
      <c r="Q67" s="7">
        <v>75</v>
      </c>
      <c r="R67" t="s">
        <v>364</v>
      </c>
      <c r="U67" t="s">
        <v>1591</v>
      </c>
      <c r="V67" s="7">
        <v>2017</v>
      </c>
      <c r="W67" t="s">
        <v>1554</v>
      </c>
      <c r="X67" t="s">
        <v>915</v>
      </c>
      <c r="Y67" t="s">
        <v>1557</v>
      </c>
      <c r="Z67" t="s">
        <v>1030</v>
      </c>
      <c r="AA67" s="7">
        <v>4</v>
      </c>
      <c r="AB67" s="7">
        <v>3.5</v>
      </c>
      <c r="AC67" s="7">
        <v>4.5</v>
      </c>
      <c r="AD67" s="7">
        <v>4.5</v>
      </c>
      <c r="AE67" s="7">
        <v>3.5</v>
      </c>
      <c r="AF67" s="7">
        <v>3</v>
      </c>
      <c r="AG67" s="7">
        <v>4.5</v>
      </c>
      <c r="AH67" s="7">
        <v>4.5</v>
      </c>
      <c r="AI67" t="s">
        <v>87</v>
      </c>
      <c r="AJ67" s="7">
        <v>52</v>
      </c>
      <c r="AK67" t="s">
        <v>1634</v>
      </c>
      <c r="AN67" t="s">
        <v>1735</v>
      </c>
      <c r="AO67" s="7">
        <v>2016</v>
      </c>
      <c r="AP67" t="s">
        <v>1554</v>
      </c>
      <c r="AQ67" t="s">
        <v>658</v>
      </c>
      <c r="AR67" t="s">
        <v>1559</v>
      </c>
      <c r="AS67" t="s">
        <v>909</v>
      </c>
      <c r="AT67" s="7">
        <v>2.93</v>
      </c>
      <c r="AU67" s="7">
        <v>3.5</v>
      </c>
      <c r="AV67" s="7">
        <v>3.5</v>
      </c>
      <c r="AW67" s="7">
        <v>3</v>
      </c>
      <c r="AX67" s="7">
        <v>3</v>
      </c>
      <c r="AY67" s="7">
        <v>2</v>
      </c>
      <c r="AZ67" s="7">
        <v>3</v>
      </c>
      <c r="BA67" s="7">
        <v>2.5</v>
      </c>
      <c r="BB67" t="s">
        <v>1669</v>
      </c>
      <c r="BC67" s="7">
        <v>350</v>
      </c>
      <c r="BD67" t="s">
        <v>1699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970</v>
      </c>
      <c r="C68" s="7">
        <v>2016</v>
      </c>
      <c r="D68" t="s">
        <v>1556</v>
      </c>
      <c r="E68" t="s">
        <v>971</v>
      </c>
      <c r="F68" t="s">
        <v>1557</v>
      </c>
      <c r="G68" t="s">
        <v>972</v>
      </c>
      <c r="H68" s="7">
        <v>2.14</v>
      </c>
      <c r="I68" s="7">
        <v>2</v>
      </c>
      <c r="J68" s="7">
        <v>2</v>
      </c>
      <c r="K68" s="7">
        <v>2</v>
      </c>
      <c r="L68" s="7">
        <v>4</v>
      </c>
      <c r="M68" s="7">
        <v>2</v>
      </c>
      <c r="N68" s="7">
        <v>2</v>
      </c>
      <c r="O68" s="7">
        <v>1</v>
      </c>
      <c r="P68" t="s">
        <v>210</v>
      </c>
      <c r="Q68" s="7">
        <v>83</v>
      </c>
      <c r="R68" t="s">
        <v>365</v>
      </c>
      <c r="U68" t="s">
        <v>931</v>
      </c>
      <c r="V68" s="7">
        <v>2017</v>
      </c>
      <c r="W68" t="s">
        <v>1554</v>
      </c>
      <c r="X68" t="s">
        <v>932</v>
      </c>
      <c r="Y68" t="s">
        <v>1557</v>
      </c>
      <c r="Z68" t="s">
        <v>194</v>
      </c>
      <c r="AA68" s="7">
        <v>2.93</v>
      </c>
      <c r="AB68" s="7">
        <v>3.5</v>
      </c>
      <c r="AC68" s="7">
        <v>3.5</v>
      </c>
      <c r="AD68" s="7">
        <v>4</v>
      </c>
      <c r="AE68" s="7">
        <v>2.5</v>
      </c>
      <c r="AF68" s="7">
        <v>2</v>
      </c>
      <c r="AG68" s="7">
        <v>2.5</v>
      </c>
      <c r="AH68" s="7">
        <v>2.5</v>
      </c>
      <c r="AI68" t="s">
        <v>195</v>
      </c>
      <c r="AJ68" s="7">
        <v>103</v>
      </c>
      <c r="AK68" t="s">
        <v>443</v>
      </c>
      <c r="AN68" t="s">
        <v>1738</v>
      </c>
      <c r="AO68" s="7">
        <v>2016</v>
      </c>
      <c r="AP68" t="s">
        <v>1554</v>
      </c>
      <c r="AQ68" t="s">
        <v>915</v>
      </c>
      <c r="AR68" t="s">
        <v>1559</v>
      </c>
      <c r="AS68" t="s">
        <v>1671</v>
      </c>
      <c r="AT68" s="7">
        <v>3.64</v>
      </c>
      <c r="AU68" s="7">
        <v>3</v>
      </c>
      <c r="AV68" s="7">
        <v>4</v>
      </c>
      <c r="AW68" s="7">
        <v>3.5</v>
      </c>
      <c r="AX68" s="7">
        <v>4</v>
      </c>
      <c r="AY68" s="7">
        <v>3.5</v>
      </c>
      <c r="AZ68" s="7">
        <v>4</v>
      </c>
      <c r="BA68" s="7">
        <v>3.5</v>
      </c>
      <c r="BB68" t="s">
        <v>100</v>
      </c>
      <c r="BC68" s="7">
        <v>325</v>
      </c>
      <c r="BD68" t="s">
        <v>1700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987</v>
      </c>
      <c r="C69" s="7">
        <v>2016</v>
      </c>
      <c r="D69" t="s">
        <v>1607</v>
      </c>
      <c r="E69" t="s">
        <v>988</v>
      </c>
      <c r="F69" t="s">
        <v>1557</v>
      </c>
      <c r="G69" t="s">
        <v>989</v>
      </c>
      <c r="H69" s="7">
        <v>2.93</v>
      </c>
      <c r="I69" s="7">
        <v>3</v>
      </c>
      <c r="J69" s="7">
        <v>2.5</v>
      </c>
      <c r="K69" s="7">
        <v>2.5</v>
      </c>
      <c r="L69" s="7">
        <v>1.5</v>
      </c>
      <c r="M69" s="7">
        <v>3.5</v>
      </c>
      <c r="N69" s="7">
        <v>3.5</v>
      </c>
      <c r="O69" s="7">
        <v>4</v>
      </c>
      <c r="P69" t="s">
        <v>218</v>
      </c>
      <c r="Q69" s="7">
        <v>65</v>
      </c>
      <c r="R69" t="s">
        <v>366</v>
      </c>
      <c r="U69" t="s">
        <v>1595</v>
      </c>
      <c r="V69" s="7">
        <v>2017</v>
      </c>
      <c r="W69" t="s">
        <v>1554</v>
      </c>
      <c r="X69" t="s">
        <v>681</v>
      </c>
      <c r="Y69" t="s">
        <v>1557</v>
      </c>
      <c r="Z69" t="s">
        <v>1596</v>
      </c>
      <c r="AA69" s="7">
        <v>2.21</v>
      </c>
      <c r="AB69" s="7">
        <v>2.5</v>
      </c>
      <c r="AC69" s="7">
        <v>2.5</v>
      </c>
      <c r="AD69" s="7">
        <v>2</v>
      </c>
      <c r="AE69" s="7">
        <v>2.5</v>
      </c>
      <c r="AF69" s="7">
        <v>2</v>
      </c>
      <c r="AG69" s="7">
        <v>2.5</v>
      </c>
      <c r="AH69" s="7">
        <v>1.5</v>
      </c>
      <c r="AI69" t="s">
        <v>1541</v>
      </c>
      <c r="AJ69" s="7">
        <v>94</v>
      </c>
      <c r="AK69" t="s">
        <v>1635</v>
      </c>
      <c r="AN69" t="s">
        <v>1398</v>
      </c>
      <c r="AO69" s="7">
        <v>2016</v>
      </c>
      <c r="AP69" t="s">
        <v>1554</v>
      </c>
      <c r="AQ69" t="s">
        <v>1429</v>
      </c>
      <c r="AR69" t="s">
        <v>1608</v>
      </c>
      <c r="AS69" t="s">
        <v>1453</v>
      </c>
      <c r="AT69" s="7">
        <v>3.07</v>
      </c>
      <c r="AU69" s="7">
        <v>3</v>
      </c>
      <c r="AV69" s="7">
        <v>3</v>
      </c>
      <c r="AW69" s="7">
        <v>3.5</v>
      </c>
      <c r="AX69" s="7">
        <v>3.5</v>
      </c>
      <c r="AY69" s="7">
        <v>3</v>
      </c>
      <c r="AZ69" s="7">
        <v>2.5</v>
      </c>
      <c r="BA69" s="7">
        <v>3</v>
      </c>
      <c r="BB69" t="s">
        <v>1214</v>
      </c>
      <c r="BC69" s="7">
        <v>210</v>
      </c>
      <c r="BD69" t="s">
        <v>1488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1096</v>
      </c>
      <c r="C70" s="7">
        <v>2016</v>
      </c>
      <c r="D70" t="s">
        <v>1619</v>
      </c>
      <c r="E70" t="s">
        <v>1097</v>
      </c>
      <c r="F70" t="s">
        <v>1557</v>
      </c>
      <c r="G70" t="s">
        <v>271</v>
      </c>
      <c r="H70" s="7">
        <v>3</v>
      </c>
      <c r="I70" s="7">
        <v>3</v>
      </c>
      <c r="J70" s="7">
        <v>2.5</v>
      </c>
      <c r="K70" s="7">
        <v>3</v>
      </c>
      <c r="L70" s="7">
        <v>3</v>
      </c>
      <c r="M70" s="7">
        <v>3.5</v>
      </c>
      <c r="N70" s="7">
        <v>3</v>
      </c>
      <c r="O70" s="7">
        <v>3</v>
      </c>
      <c r="P70" t="s">
        <v>272</v>
      </c>
      <c r="Q70" s="7">
        <v>76</v>
      </c>
      <c r="R70" t="s">
        <v>367</v>
      </c>
      <c r="U70" t="s">
        <v>966</v>
      </c>
      <c r="V70" s="7">
        <v>2017</v>
      </c>
      <c r="W70" t="s">
        <v>1554</v>
      </c>
      <c r="X70" t="s">
        <v>967</v>
      </c>
      <c r="Y70" t="s">
        <v>1557</v>
      </c>
      <c r="Z70" t="s">
        <v>801</v>
      </c>
      <c r="AA70" s="7">
        <v>2.93</v>
      </c>
      <c r="AB70" s="7">
        <v>3</v>
      </c>
      <c r="AC70" s="7">
        <v>3.5</v>
      </c>
      <c r="AD70" s="7">
        <v>3.5</v>
      </c>
      <c r="AE70" s="7">
        <v>2.5</v>
      </c>
      <c r="AF70" s="7">
        <v>2</v>
      </c>
      <c r="AG70" s="7">
        <v>3</v>
      </c>
      <c r="AH70" s="7">
        <v>3</v>
      </c>
      <c r="AI70" t="s">
        <v>208</v>
      </c>
      <c r="AJ70" s="7">
        <v>111</v>
      </c>
      <c r="AK70" t="s">
        <v>449</v>
      </c>
      <c r="AN70" t="s">
        <v>1829</v>
      </c>
      <c r="AO70" s="7">
        <v>2016</v>
      </c>
      <c r="AP70" t="s">
        <v>1554</v>
      </c>
      <c r="AQ70" t="s">
        <v>1753</v>
      </c>
      <c r="AR70" t="s">
        <v>1559</v>
      </c>
      <c r="AS70" t="s">
        <v>1830</v>
      </c>
      <c r="AT70" s="7">
        <v>2.64</v>
      </c>
      <c r="AU70" s="7">
        <v>2.5</v>
      </c>
      <c r="AV70" s="7">
        <v>3</v>
      </c>
      <c r="AW70" s="7">
        <v>2.5</v>
      </c>
      <c r="AX70" s="7">
        <v>3</v>
      </c>
      <c r="AY70" s="7">
        <v>2.5</v>
      </c>
      <c r="AZ70" s="7">
        <v>2.5</v>
      </c>
      <c r="BA70" s="7">
        <v>2.5</v>
      </c>
      <c r="BB70" t="s">
        <v>203</v>
      </c>
      <c r="BC70" s="7">
        <v>32</v>
      </c>
      <c r="BD70" t="s">
        <v>1850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1121</v>
      </c>
      <c r="C71" s="7">
        <v>2016</v>
      </c>
      <c r="D71" t="s">
        <v>1558</v>
      </c>
      <c r="E71" t="s">
        <v>1122</v>
      </c>
      <c r="F71" t="s">
        <v>1557</v>
      </c>
      <c r="G71" t="s">
        <v>284</v>
      </c>
      <c r="H71" s="7">
        <v>3.71</v>
      </c>
      <c r="I71" s="7">
        <v>4</v>
      </c>
      <c r="J71" s="7">
        <v>4</v>
      </c>
      <c r="K71" s="7">
        <v>4</v>
      </c>
      <c r="L71" s="7">
        <v>3</v>
      </c>
      <c r="M71" s="7">
        <v>4</v>
      </c>
      <c r="N71" s="7">
        <v>2</v>
      </c>
      <c r="O71" s="7">
        <v>5</v>
      </c>
      <c r="P71" t="s">
        <v>285</v>
      </c>
      <c r="Q71" s="7">
        <v>80</v>
      </c>
      <c r="R71" t="s">
        <v>368</v>
      </c>
      <c r="U71" t="s">
        <v>984</v>
      </c>
      <c r="V71" s="7">
        <v>2017</v>
      </c>
      <c r="W71" t="s">
        <v>1554</v>
      </c>
      <c r="X71" t="s">
        <v>694</v>
      </c>
      <c r="Y71" t="s">
        <v>1557</v>
      </c>
      <c r="Z71" t="s">
        <v>983</v>
      </c>
      <c r="AA71" s="7">
        <v>4</v>
      </c>
      <c r="AB71" s="7">
        <v>4</v>
      </c>
      <c r="AC71" s="7">
        <v>4</v>
      </c>
      <c r="AD71" s="7">
        <v>4</v>
      </c>
      <c r="AE71" s="7">
        <v>4</v>
      </c>
      <c r="AF71" s="7">
        <v>4</v>
      </c>
      <c r="AG71" s="7">
        <v>4</v>
      </c>
      <c r="AH71" s="7">
        <v>4</v>
      </c>
      <c r="AI71" t="s">
        <v>216</v>
      </c>
      <c r="AJ71" s="7">
        <v>106</v>
      </c>
      <c r="AK71" t="s">
        <v>453</v>
      </c>
      <c r="AN71" t="s">
        <v>1832</v>
      </c>
      <c r="AO71" s="7">
        <v>2016</v>
      </c>
      <c r="AP71" t="s">
        <v>1554</v>
      </c>
      <c r="AQ71" t="s">
        <v>1292</v>
      </c>
      <c r="AR71" t="s">
        <v>1559</v>
      </c>
      <c r="AS71" t="s">
        <v>1777</v>
      </c>
      <c r="AT71" s="7">
        <v>3.43</v>
      </c>
      <c r="AU71" s="7">
        <v>3.5</v>
      </c>
      <c r="AV71" s="7">
        <v>3.5</v>
      </c>
      <c r="AW71" s="7">
        <v>3.5</v>
      </c>
      <c r="AX71" s="7">
        <v>3.5</v>
      </c>
      <c r="AY71" s="7">
        <v>3.5</v>
      </c>
      <c r="AZ71" s="7">
        <v>3</v>
      </c>
      <c r="BA71" s="7">
        <v>3.5</v>
      </c>
      <c r="BB71" t="s">
        <v>348</v>
      </c>
      <c r="BC71" s="7">
        <v>275</v>
      </c>
      <c r="BD71" t="s">
        <v>1851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1168</v>
      </c>
      <c r="C72" s="7">
        <v>2016</v>
      </c>
      <c r="D72" t="s">
        <v>1607</v>
      </c>
      <c r="E72" t="s">
        <v>1169</v>
      </c>
      <c r="F72" t="s">
        <v>1557</v>
      </c>
      <c r="G72" t="s">
        <v>1170</v>
      </c>
      <c r="H72" s="38">
        <v>3.14</v>
      </c>
      <c r="I72" s="7">
        <v>2</v>
      </c>
      <c r="J72" s="7">
        <v>2</v>
      </c>
      <c r="K72" s="7">
        <v>2.5</v>
      </c>
      <c r="L72" s="7">
        <v>4</v>
      </c>
      <c r="M72" s="7">
        <v>4</v>
      </c>
      <c r="N72" s="7">
        <v>3.5</v>
      </c>
      <c r="O72" s="7">
        <v>4</v>
      </c>
      <c r="P72" t="s">
        <v>110</v>
      </c>
      <c r="Q72" s="7">
        <v>89</v>
      </c>
      <c r="R72" t="s">
        <v>369</v>
      </c>
      <c r="U72" t="s">
        <v>1112</v>
      </c>
      <c r="V72" s="7">
        <v>2017</v>
      </c>
      <c r="W72" t="s">
        <v>1554</v>
      </c>
      <c r="X72" t="s">
        <v>787</v>
      </c>
      <c r="Y72" t="s">
        <v>1557</v>
      </c>
      <c r="Z72" t="s">
        <v>788</v>
      </c>
      <c r="AA72" s="7">
        <v>4.71</v>
      </c>
      <c r="AB72" s="7">
        <v>4</v>
      </c>
      <c r="AC72" s="7">
        <v>5</v>
      </c>
      <c r="AD72" s="7">
        <v>5</v>
      </c>
      <c r="AE72" s="7">
        <v>5</v>
      </c>
      <c r="AF72" s="7">
        <v>4</v>
      </c>
      <c r="AG72" s="7">
        <v>5</v>
      </c>
      <c r="AH72" s="7">
        <v>5</v>
      </c>
      <c r="AI72" t="s">
        <v>277</v>
      </c>
      <c r="AJ72" s="7">
        <v>93</v>
      </c>
      <c r="AK72" t="s">
        <v>482</v>
      </c>
      <c r="AN72" t="s">
        <v>1184</v>
      </c>
      <c r="AO72" s="7">
        <v>2016</v>
      </c>
      <c r="AP72" t="s">
        <v>1554</v>
      </c>
      <c r="AQ72" t="s">
        <v>868</v>
      </c>
      <c r="AR72" t="s">
        <v>1559</v>
      </c>
      <c r="AS72" t="s">
        <v>925</v>
      </c>
      <c r="AT72" s="38">
        <v>3.86</v>
      </c>
      <c r="AU72" s="7">
        <v>3.5</v>
      </c>
      <c r="AV72" s="7">
        <v>4</v>
      </c>
      <c r="AW72" s="7">
        <v>4</v>
      </c>
      <c r="AX72" s="7">
        <v>3.5</v>
      </c>
      <c r="AY72" s="7">
        <v>3.5</v>
      </c>
      <c r="AZ72" s="7">
        <v>4</v>
      </c>
      <c r="BA72" s="7">
        <v>4.5</v>
      </c>
      <c r="BB72" t="s">
        <v>311</v>
      </c>
      <c r="BC72" s="7">
        <v>300</v>
      </c>
      <c r="BD72" t="s">
        <v>511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676</v>
      </c>
      <c r="C73" s="7">
        <v>2015</v>
      </c>
      <c r="D73" t="s">
        <v>1558</v>
      </c>
      <c r="E73" t="s">
        <v>677</v>
      </c>
      <c r="F73" t="s">
        <v>1557</v>
      </c>
      <c r="G73" t="s">
        <v>67</v>
      </c>
      <c r="H73" s="7">
        <v>3.5</v>
      </c>
      <c r="I73" s="7">
        <v>3.5</v>
      </c>
      <c r="J73" s="7">
        <v>4</v>
      </c>
      <c r="K73" s="7">
        <v>3</v>
      </c>
      <c r="L73" s="7">
        <v>3</v>
      </c>
      <c r="M73" s="7">
        <v>3.5</v>
      </c>
      <c r="N73" s="7">
        <v>3.5</v>
      </c>
      <c r="O73" s="7">
        <v>4</v>
      </c>
      <c r="P73" t="s">
        <v>68</v>
      </c>
      <c r="Q73" s="7">
        <v>106</v>
      </c>
      <c r="R73" t="s">
        <v>370</v>
      </c>
      <c r="U73" t="s">
        <v>657</v>
      </c>
      <c r="V73" s="7">
        <v>2016</v>
      </c>
      <c r="W73" t="s">
        <v>1554</v>
      </c>
      <c r="X73" t="s">
        <v>658</v>
      </c>
      <c r="Y73" t="s">
        <v>1557</v>
      </c>
      <c r="Z73" t="s">
        <v>659</v>
      </c>
      <c r="AA73" s="7">
        <v>4.5</v>
      </c>
      <c r="AB73" s="7">
        <v>4</v>
      </c>
      <c r="AC73" s="7">
        <v>4</v>
      </c>
      <c r="AD73" s="7">
        <v>5</v>
      </c>
      <c r="AE73" s="7">
        <v>5</v>
      </c>
      <c r="AF73" s="7">
        <v>4.5</v>
      </c>
      <c r="AG73" s="7">
        <v>4</v>
      </c>
      <c r="AH73" s="7">
        <v>5</v>
      </c>
      <c r="AI73" t="s">
        <v>59</v>
      </c>
      <c r="AJ73" s="7">
        <v>130</v>
      </c>
      <c r="AK73" t="s">
        <v>400</v>
      </c>
      <c r="AN73" t="s">
        <v>1956</v>
      </c>
      <c r="AO73" s="7">
        <v>2015</v>
      </c>
      <c r="AP73" t="s">
        <v>1554</v>
      </c>
      <c r="AQ73" t="s">
        <v>948</v>
      </c>
      <c r="AR73" t="s">
        <v>1559</v>
      </c>
      <c r="AS73" t="s">
        <v>675</v>
      </c>
      <c r="AT73" s="7">
        <v>3.43</v>
      </c>
      <c r="AU73" s="7">
        <v>3</v>
      </c>
      <c r="AV73" s="7">
        <v>3</v>
      </c>
      <c r="AW73" s="7">
        <v>3</v>
      </c>
      <c r="AX73" s="7">
        <v>4</v>
      </c>
      <c r="AY73" s="7">
        <v>3.5</v>
      </c>
      <c r="AZ73" s="7">
        <v>4</v>
      </c>
      <c r="BA73" s="7">
        <v>3.5</v>
      </c>
      <c r="BB73" t="s">
        <v>1541</v>
      </c>
      <c r="BC73" s="7">
        <v>1175</v>
      </c>
      <c r="BD73" t="s">
        <v>1991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709</v>
      </c>
      <c r="C74" s="7">
        <v>2015</v>
      </c>
      <c r="D74" t="s">
        <v>1566</v>
      </c>
      <c r="E74" t="s">
        <v>710</v>
      </c>
      <c r="F74" t="s">
        <v>1557</v>
      </c>
      <c r="G74" t="s">
        <v>81</v>
      </c>
      <c r="H74" s="7">
        <v>2.86</v>
      </c>
      <c r="I74" s="7">
        <v>3</v>
      </c>
      <c r="J74" s="7">
        <v>3.5</v>
      </c>
      <c r="K74" s="7">
        <v>3</v>
      </c>
      <c r="L74" s="7">
        <v>3</v>
      </c>
      <c r="M74" s="7">
        <v>3</v>
      </c>
      <c r="N74" s="7">
        <v>2.5</v>
      </c>
      <c r="O74" s="7">
        <v>2</v>
      </c>
      <c r="P74" t="s">
        <v>82</v>
      </c>
      <c r="Q74" s="7">
        <v>76</v>
      </c>
      <c r="R74" t="s">
        <v>371</v>
      </c>
      <c r="U74" t="s">
        <v>833</v>
      </c>
      <c r="V74" s="7">
        <v>2016</v>
      </c>
      <c r="W74" t="s">
        <v>1554</v>
      </c>
      <c r="X74" t="s">
        <v>834</v>
      </c>
      <c r="Y74" t="s">
        <v>1557</v>
      </c>
      <c r="Z74" t="s">
        <v>826</v>
      </c>
      <c r="AA74" s="7">
        <v>3.57</v>
      </c>
      <c r="AB74" s="7">
        <v>3.5</v>
      </c>
      <c r="AC74" s="7">
        <v>4</v>
      </c>
      <c r="AD74" s="7">
        <v>3.5</v>
      </c>
      <c r="AE74" s="7">
        <v>3</v>
      </c>
      <c r="AF74" s="7">
        <v>4</v>
      </c>
      <c r="AG74" s="7">
        <v>3</v>
      </c>
      <c r="AH74" s="7">
        <v>4</v>
      </c>
      <c r="AI74" t="s">
        <v>141</v>
      </c>
      <c r="AJ74" s="7">
        <v>115</v>
      </c>
      <c r="AK74" t="s">
        <v>422</v>
      </c>
      <c r="AN74" t="s">
        <v>1781</v>
      </c>
      <c r="AO74" s="7">
        <v>2015</v>
      </c>
      <c r="AP74" t="s">
        <v>1554</v>
      </c>
      <c r="AQ74" t="s">
        <v>1782</v>
      </c>
      <c r="AR74" t="s">
        <v>1559</v>
      </c>
      <c r="AS74" t="s">
        <v>1783</v>
      </c>
      <c r="AT74" s="7">
        <v>3.36</v>
      </c>
      <c r="AU74" s="7">
        <v>2.5</v>
      </c>
      <c r="AV74" s="7">
        <v>3.5</v>
      </c>
      <c r="AW74" s="7">
        <v>3.5</v>
      </c>
      <c r="AX74" s="7">
        <v>3.5</v>
      </c>
      <c r="AY74" s="7">
        <v>3.5</v>
      </c>
      <c r="AZ74" s="7">
        <v>3.5</v>
      </c>
      <c r="BA74" s="7">
        <v>3.5</v>
      </c>
      <c r="BB74" t="s">
        <v>1756</v>
      </c>
      <c r="BC74" s="7">
        <v>300</v>
      </c>
      <c r="BD74" t="s">
        <v>1852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1388</v>
      </c>
      <c r="C75" s="7">
        <v>2015</v>
      </c>
      <c r="D75" t="s">
        <v>1558</v>
      </c>
      <c r="E75" t="s">
        <v>1427</v>
      </c>
      <c r="F75" t="s">
        <v>1557</v>
      </c>
      <c r="G75" t="s">
        <v>1446</v>
      </c>
      <c r="H75" s="7">
        <v>3.79</v>
      </c>
      <c r="I75" s="7">
        <v>3.5</v>
      </c>
      <c r="J75" s="7">
        <v>4</v>
      </c>
      <c r="K75" s="7">
        <v>3.5</v>
      </c>
      <c r="L75" s="7">
        <v>3.5</v>
      </c>
      <c r="M75" s="7">
        <v>4</v>
      </c>
      <c r="N75" s="7">
        <v>3.5</v>
      </c>
      <c r="O75" s="7">
        <v>4.5</v>
      </c>
      <c r="P75" t="s">
        <v>1317</v>
      </c>
      <c r="Q75" s="7">
        <v>80</v>
      </c>
      <c r="R75" t="s">
        <v>1466</v>
      </c>
      <c r="U75" t="s">
        <v>867</v>
      </c>
      <c r="V75" s="7">
        <v>2016</v>
      </c>
      <c r="W75" t="s">
        <v>1554</v>
      </c>
      <c r="X75" t="s">
        <v>868</v>
      </c>
      <c r="Y75" t="s">
        <v>1557</v>
      </c>
      <c r="Z75" t="s">
        <v>724</v>
      </c>
      <c r="AA75" s="7">
        <v>3.71</v>
      </c>
      <c r="AB75" s="7">
        <v>3</v>
      </c>
      <c r="AC75" s="7">
        <v>4</v>
      </c>
      <c r="AD75" s="7">
        <v>4</v>
      </c>
      <c r="AE75" s="7">
        <v>2.5</v>
      </c>
      <c r="AF75" s="7">
        <v>4</v>
      </c>
      <c r="AG75" s="7">
        <v>3.5</v>
      </c>
      <c r="AH75" s="7">
        <v>5</v>
      </c>
      <c r="AI75" t="s">
        <v>165</v>
      </c>
      <c r="AJ75" s="7">
        <v>129</v>
      </c>
      <c r="AK75" t="s">
        <v>430</v>
      </c>
      <c r="AN75" t="s">
        <v>733</v>
      </c>
      <c r="AO75" s="7">
        <v>2015</v>
      </c>
      <c r="AP75" t="s">
        <v>1554</v>
      </c>
      <c r="AQ75" t="s">
        <v>734</v>
      </c>
      <c r="AR75" t="s">
        <v>1559</v>
      </c>
      <c r="AS75" t="s">
        <v>735</v>
      </c>
      <c r="AT75" s="7">
        <v>4.1399999999999997</v>
      </c>
      <c r="AU75" s="7">
        <v>3.5</v>
      </c>
      <c r="AV75" s="7">
        <v>4</v>
      </c>
      <c r="AW75" s="7">
        <v>4</v>
      </c>
      <c r="AX75" s="7">
        <v>4</v>
      </c>
      <c r="AY75" s="7">
        <v>4</v>
      </c>
      <c r="AZ75" s="7">
        <v>4.5</v>
      </c>
      <c r="BA75" s="7">
        <v>5</v>
      </c>
      <c r="BB75" t="s">
        <v>93</v>
      </c>
      <c r="BC75" s="7">
        <v>325</v>
      </c>
      <c r="BD75" t="s">
        <v>512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1729</v>
      </c>
      <c r="C76" s="7">
        <v>2014</v>
      </c>
      <c r="D76" t="s">
        <v>1667</v>
      </c>
      <c r="E76" t="s">
        <v>1730</v>
      </c>
      <c r="F76" t="s">
        <v>1557</v>
      </c>
      <c r="G76" t="s">
        <v>1731</v>
      </c>
      <c r="H76" s="7">
        <v>3.36</v>
      </c>
      <c r="I76" s="7">
        <v>3.5</v>
      </c>
      <c r="J76" s="7">
        <v>4</v>
      </c>
      <c r="K76" s="7">
        <v>3.5</v>
      </c>
      <c r="L76" s="7">
        <v>3.5</v>
      </c>
      <c r="M76" s="7">
        <v>3</v>
      </c>
      <c r="N76" s="7">
        <v>3</v>
      </c>
      <c r="O76" s="7">
        <v>3</v>
      </c>
      <c r="P76" t="s">
        <v>1668</v>
      </c>
      <c r="Q76" s="7">
        <v>85</v>
      </c>
      <c r="R76" t="s">
        <v>1681</v>
      </c>
      <c r="U76" t="s">
        <v>899</v>
      </c>
      <c r="V76" s="7">
        <v>2016</v>
      </c>
      <c r="W76" t="s">
        <v>1554</v>
      </c>
      <c r="X76" t="s">
        <v>689</v>
      </c>
      <c r="Y76" t="s">
        <v>1557</v>
      </c>
      <c r="Z76" t="s">
        <v>73</v>
      </c>
      <c r="AA76" s="7">
        <v>4.57</v>
      </c>
      <c r="AB76" s="7">
        <v>5</v>
      </c>
      <c r="AC76" s="7">
        <v>4.5</v>
      </c>
      <c r="AD76" s="7">
        <v>4.5</v>
      </c>
      <c r="AE76" s="7">
        <v>4</v>
      </c>
      <c r="AF76" s="7">
        <v>4</v>
      </c>
      <c r="AG76" s="7">
        <v>5</v>
      </c>
      <c r="AH76" s="7">
        <v>5</v>
      </c>
      <c r="AI76" t="s">
        <v>175</v>
      </c>
      <c r="AJ76" s="7">
        <v>216</v>
      </c>
      <c r="AK76" t="s">
        <v>432</v>
      </c>
      <c r="AN76" t="s">
        <v>1890</v>
      </c>
      <c r="AO76" s="7">
        <v>2015</v>
      </c>
      <c r="AP76" t="s">
        <v>1554</v>
      </c>
      <c r="AQ76" t="s">
        <v>1891</v>
      </c>
      <c r="AR76" t="s">
        <v>1559</v>
      </c>
      <c r="AS76" t="s">
        <v>1892</v>
      </c>
      <c r="AT76" s="7">
        <v>3.21</v>
      </c>
      <c r="AU76" s="7">
        <v>2.5</v>
      </c>
      <c r="AV76" s="7">
        <v>3</v>
      </c>
      <c r="AW76" s="7">
        <v>3.5</v>
      </c>
      <c r="AX76" s="7">
        <v>3</v>
      </c>
      <c r="AY76" s="7">
        <v>3</v>
      </c>
      <c r="AZ76" s="7">
        <v>4</v>
      </c>
      <c r="BA76" s="7">
        <v>3.5</v>
      </c>
      <c r="BB76" t="s">
        <v>1867</v>
      </c>
      <c r="BC76" s="7">
        <v>300</v>
      </c>
      <c r="BD76" t="s">
        <v>1938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1044</v>
      </c>
      <c r="C77" s="7">
        <v>2014</v>
      </c>
      <c r="D77" t="s">
        <v>1567</v>
      </c>
      <c r="E77" t="s">
        <v>1045</v>
      </c>
      <c r="F77" t="s">
        <v>1557</v>
      </c>
      <c r="G77" t="s">
        <v>1046</v>
      </c>
      <c r="H77" s="7">
        <v>2.93</v>
      </c>
      <c r="I77" s="7">
        <v>2.5</v>
      </c>
      <c r="J77" s="7">
        <v>3</v>
      </c>
      <c r="K77" s="7">
        <v>2.5</v>
      </c>
      <c r="L77" s="7">
        <v>3</v>
      </c>
      <c r="M77" s="7">
        <v>2.5</v>
      </c>
      <c r="N77" s="7">
        <v>3</v>
      </c>
      <c r="O77" s="7">
        <v>4</v>
      </c>
      <c r="P77" t="s">
        <v>242</v>
      </c>
      <c r="Q77" s="7">
        <v>81</v>
      </c>
      <c r="R77" t="s">
        <v>372</v>
      </c>
      <c r="U77" t="s">
        <v>1272</v>
      </c>
      <c r="V77" s="7">
        <v>2016</v>
      </c>
      <c r="W77" t="s">
        <v>1554</v>
      </c>
      <c r="X77" t="s">
        <v>681</v>
      </c>
      <c r="Y77" t="s">
        <v>1557</v>
      </c>
      <c r="Z77" t="s">
        <v>1300</v>
      </c>
      <c r="AA77" s="7">
        <v>3.29</v>
      </c>
      <c r="AB77" s="7">
        <v>3.5</v>
      </c>
      <c r="AC77" s="7">
        <v>3</v>
      </c>
      <c r="AD77" s="7">
        <v>3.5</v>
      </c>
      <c r="AE77" s="7">
        <v>3.5</v>
      </c>
      <c r="AF77" s="7">
        <v>2.5</v>
      </c>
      <c r="AG77" s="7">
        <v>4</v>
      </c>
      <c r="AH77" s="7">
        <v>3</v>
      </c>
      <c r="AI77" t="s">
        <v>1209</v>
      </c>
      <c r="AJ77" s="7">
        <v>120</v>
      </c>
      <c r="AK77" t="s">
        <v>1237</v>
      </c>
      <c r="AN77" t="s">
        <v>1786</v>
      </c>
      <c r="AO77" s="7">
        <v>2015</v>
      </c>
      <c r="AP77" t="s">
        <v>1554</v>
      </c>
      <c r="AQ77" t="s">
        <v>798</v>
      </c>
      <c r="AR77" t="s">
        <v>1559</v>
      </c>
      <c r="AS77" t="s">
        <v>1758</v>
      </c>
      <c r="AT77" s="7">
        <v>3.07</v>
      </c>
      <c r="AU77" s="7">
        <v>3</v>
      </c>
      <c r="AV77" s="7">
        <v>3</v>
      </c>
      <c r="AW77" s="7">
        <v>3</v>
      </c>
      <c r="AX77" s="7">
        <v>3</v>
      </c>
      <c r="AY77" s="7">
        <v>3</v>
      </c>
      <c r="AZ77" s="7">
        <v>3.5</v>
      </c>
      <c r="BA77" s="7">
        <v>3</v>
      </c>
      <c r="BB77" t="s">
        <v>156</v>
      </c>
      <c r="BC77" s="7">
        <v>300</v>
      </c>
      <c r="BD77" t="s">
        <v>1853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1054</v>
      </c>
      <c r="C78" s="7">
        <v>2014</v>
      </c>
      <c r="D78" t="s">
        <v>1613</v>
      </c>
      <c r="E78" t="s">
        <v>1055</v>
      </c>
      <c r="F78" t="s">
        <v>1557</v>
      </c>
      <c r="G78" t="s">
        <v>1056</v>
      </c>
      <c r="H78" s="7">
        <v>3.36</v>
      </c>
      <c r="I78" s="7">
        <v>3.5</v>
      </c>
      <c r="J78" s="7">
        <v>4.5</v>
      </c>
      <c r="K78" s="7">
        <v>4</v>
      </c>
      <c r="L78" s="7">
        <v>3.5</v>
      </c>
      <c r="M78" s="7">
        <v>2.5</v>
      </c>
      <c r="N78" s="7">
        <v>2.5</v>
      </c>
      <c r="O78" s="7">
        <v>3</v>
      </c>
      <c r="P78" t="s">
        <v>346</v>
      </c>
      <c r="Q78" s="7">
        <v>94</v>
      </c>
      <c r="R78" t="s">
        <v>373</v>
      </c>
      <c r="U78" t="s">
        <v>2438</v>
      </c>
      <c r="V78" s="7">
        <v>2016</v>
      </c>
      <c r="W78" t="s">
        <v>1554</v>
      </c>
      <c r="X78" t="s">
        <v>681</v>
      </c>
      <c r="Y78" t="s">
        <v>1557</v>
      </c>
      <c r="Z78" t="s">
        <v>2439</v>
      </c>
      <c r="AA78" s="7">
        <v>2.93</v>
      </c>
      <c r="AB78" s="7">
        <v>3.5</v>
      </c>
      <c r="AC78" s="7">
        <v>3</v>
      </c>
      <c r="AD78" s="7">
        <v>3.5</v>
      </c>
      <c r="AE78" s="7">
        <v>3.5</v>
      </c>
      <c r="AF78" s="7">
        <v>2</v>
      </c>
      <c r="AG78" s="7">
        <v>3</v>
      </c>
      <c r="AH78" s="7">
        <v>2</v>
      </c>
      <c r="AI78" t="s">
        <v>2440</v>
      </c>
      <c r="AJ78" s="7">
        <v>95</v>
      </c>
      <c r="AK78" t="s">
        <v>2477</v>
      </c>
      <c r="AN78" t="s">
        <v>758</v>
      </c>
      <c r="AO78" s="7">
        <v>2015</v>
      </c>
      <c r="AP78" t="s">
        <v>1554</v>
      </c>
      <c r="AQ78" t="s">
        <v>759</v>
      </c>
      <c r="AR78" t="s">
        <v>1560</v>
      </c>
      <c r="AS78" t="s">
        <v>760</v>
      </c>
      <c r="AT78" s="7">
        <v>3.86</v>
      </c>
      <c r="AU78" s="7">
        <v>4</v>
      </c>
      <c r="AV78" s="7">
        <v>4</v>
      </c>
      <c r="AW78" s="7">
        <v>4</v>
      </c>
      <c r="AX78" s="7">
        <v>4</v>
      </c>
      <c r="AY78" s="7">
        <v>3.5</v>
      </c>
      <c r="AZ78" s="7">
        <v>3.5</v>
      </c>
      <c r="BA78" s="7">
        <v>4</v>
      </c>
      <c r="BB78" t="s">
        <v>102</v>
      </c>
      <c r="BC78" s="7">
        <v>290</v>
      </c>
      <c r="BD78" t="s">
        <v>513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1711</v>
      </c>
      <c r="C79" s="7">
        <v>2013</v>
      </c>
      <c r="D79" t="s">
        <v>1558</v>
      </c>
      <c r="E79" t="s">
        <v>1120</v>
      </c>
      <c r="F79" t="s">
        <v>1557</v>
      </c>
      <c r="G79" t="s">
        <v>1663</v>
      </c>
      <c r="H79" s="7">
        <v>2.64</v>
      </c>
      <c r="I79" s="7">
        <v>2.5</v>
      </c>
      <c r="J79" s="7">
        <v>3</v>
      </c>
      <c r="K79" s="7">
        <v>2.5</v>
      </c>
      <c r="L79" s="7">
        <v>3</v>
      </c>
      <c r="M79" s="7">
        <v>2.5</v>
      </c>
      <c r="N79" s="7">
        <v>2.5</v>
      </c>
      <c r="O79" s="7">
        <v>2.5</v>
      </c>
      <c r="P79" t="s">
        <v>170</v>
      </c>
      <c r="Q79" s="7">
        <v>84</v>
      </c>
      <c r="R79" t="s">
        <v>1682</v>
      </c>
      <c r="U79" t="s">
        <v>1183</v>
      </c>
      <c r="V79" s="7">
        <v>2016</v>
      </c>
      <c r="W79" t="s">
        <v>1554</v>
      </c>
      <c r="X79" t="s">
        <v>652</v>
      </c>
      <c r="Y79" t="s">
        <v>1557</v>
      </c>
      <c r="Z79" t="s">
        <v>653</v>
      </c>
      <c r="AA79" s="38">
        <v>4.29</v>
      </c>
      <c r="AB79" s="7">
        <v>4.5</v>
      </c>
      <c r="AC79" s="7">
        <v>4.5</v>
      </c>
      <c r="AD79" s="7">
        <v>4</v>
      </c>
      <c r="AE79" s="7">
        <v>4</v>
      </c>
      <c r="AF79" s="7">
        <v>4</v>
      </c>
      <c r="AG79" s="7">
        <v>4</v>
      </c>
      <c r="AH79" s="7">
        <v>5</v>
      </c>
      <c r="AI79" t="s">
        <v>280</v>
      </c>
      <c r="AJ79" s="7">
        <v>107</v>
      </c>
      <c r="AK79" t="s">
        <v>501</v>
      </c>
      <c r="AN79" t="s">
        <v>784</v>
      </c>
      <c r="AO79" s="7">
        <v>2015</v>
      </c>
      <c r="AP79" t="s">
        <v>1554</v>
      </c>
      <c r="AQ79" t="s">
        <v>694</v>
      </c>
      <c r="AR79" t="s">
        <v>1559</v>
      </c>
      <c r="AS79" t="s">
        <v>785</v>
      </c>
      <c r="AT79" s="7">
        <v>3.64</v>
      </c>
      <c r="AU79" s="7">
        <v>3.5</v>
      </c>
      <c r="AV79" s="7">
        <v>4</v>
      </c>
      <c r="AW79" s="7">
        <v>3.5</v>
      </c>
      <c r="AX79" s="7">
        <v>3.5</v>
      </c>
      <c r="AY79" s="7">
        <v>3.5</v>
      </c>
      <c r="AZ79" s="7">
        <v>3.5</v>
      </c>
      <c r="BA79" s="7">
        <v>4</v>
      </c>
      <c r="BB79" t="s">
        <v>119</v>
      </c>
      <c r="BC79" s="7">
        <v>300</v>
      </c>
      <c r="BD79" t="s">
        <v>514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739</v>
      </c>
      <c r="C80" s="7">
        <v>2013</v>
      </c>
      <c r="D80" t="s">
        <v>1569</v>
      </c>
      <c r="E80" t="s">
        <v>740</v>
      </c>
      <c r="F80" t="s">
        <v>1557</v>
      </c>
      <c r="G80" t="s">
        <v>741</v>
      </c>
      <c r="H80" s="7">
        <v>2.93</v>
      </c>
      <c r="I80" s="7">
        <v>3</v>
      </c>
      <c r="J80" s="7">
        <v>4</v>
      </c>
      <c r="K80" s="7">
        <v>2.5</v>
      </c>
      <c r="L80" s="7">
        <v>2.5</v>
      </c>
      <c r="M80" s="7">
        <v>3.5</v>
      </c>
      <c r="N80" s="7">
        <v>2</v>
      </c>
      <c r="O80" s="7">
        <v>3</v>
      </c>
      <c r="P80" t="s">
        <v>95</v>
      </c>
      <c r="Q80" s="7">
        <v>80</v>
      </c>
      <c r="R80" t="s">
        <v>374</v>
      </c>
      <c r="U80" t="s">
        <v>2707</v>
      </c>
      <c r="V80" s="7">
        <v>2016</v>
      </c>
      <c r="W80" t="s">
        <v>1554</v>
      </c>
      <c r="X80" t="s">
        <v>2725</v>
      </c>
      <c r="Y80" t="s">
        <v>1557</v>
      </c>
      <c r="Z80" t="s">
        <v>2726</v>
      </c>
      <c r="AA80" s="38">
        <v>3.57</v>
      </c>
      <c r="AB80" s="7">
        <v>3</v>
      </c>
      <c r="AC80" s="7">
        <v>3.5</v>
      </c>
      <c r="AD80" s="7">
        <v>3.5</v>
      </c>
      <c r="AE80" s="7">
        <v>3.5</v>
      </c>
      <c r="AF80" s="7">
        <v>3</v>
      </c>
      <c r="AG80" s="7">
        <v>4</v>
      </c>
      <c r="AH80" s="7">
        <v>4.5</v>
      </c>
      <c r="AI80" t="s">
        <v>2691</v>
      </c>
      <c r="AJ80" s="7">
        <v>129</v>
      </c>
      <c r="AK80" t="s">
        <v>2740</v>
      </c>
      <c r="AN80" t="s">
        <v>825</v>
      </c>
      <c r="AO80" s="7">
        <v>2015</v>
      </c>
      <c r="AP80" t="s">
        <v>1554</v>
      </c>
      <c r="AQ80" t="s">
        <v>780</v>
      </c>
      <c r="AR80" t="s">
        <v>1559</v>
      </c>
      <c r="AS80" t="s">
        <v>826</v>
      </c>
      <c r="AT80" s="7">
        <v>3.5</v>
      </c>
      <c r="AU80" s="7">
        <v>3</v>
      </c>
      <c r="AV80" s="7">
        <v>3.5</v>
      </c>
      <c r="AW80" s="7">
        <v>4</v>
      </c>
      <c r="AX80" s="7">
        <v>3.5</v>
      </c>
      <c r="AY80" s="7">
        <v>3</v>
      </c>
      <c r="AZ80" s="7">
        <v>3.5</v>
      </c>
      <c r="BA80" s="7">
        <v>4</v>
      </c>
      <c r="BB80" t="s">
        <v>137</v>
      </c>
      <c r="BC80" s="7">
        <v>300</v>
      </c>
      <c r="BD80" t="s">
        <v>515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55</v>
      </c>
      <c r="C81" s="7">
        <v>2012</v>
      </c>
      <c r="D81" t="s">
        <v>56</v>
      </c>
      <c r="E81" t="s">
        <v>656</v>
      </c>
      <c r="F81" t="s">
        <v>1557</v>
      </c>
      <c r="G81" t="s">
        <v>57</v>
      </c>
      <c r="H81" s="7">
        <v>3.21</v>
      </c>
      <c r="I81" s="7">
        <v>3</v>
      </c>
      <c r="J81" s="7">
        <v>3.5</v>
      </c>
      <c r="K81" s="7">
        <v>2.5</v>
      </c>
      <c r="L81" s="7">
        <v>3</v>
      </c>
      <c r="M81" s="7">
        <v>3.5</v>
      </c>
      <c r="N81" s="7">
        <v>3</v>
      </c>
      <c r="O81" s="7">
        <v>4</v>
      </c>
      <c r="P81" t="s">
        <v>58</v>
      </c>
      <c r="Q81" s="7">
        <v>85</v>
      </c>
      <c r="R81" t="s">
        <v>375</v>
      </c>
      <c r="U81" t="s">
        <v>706</v>
      </c>
      <c r="V81" s="7">
        <v>2015</v>
      </c>
      <c r="W81" t="s">
        <v>1554</v>
      </c>
      <c r="X81" t="s">
        <v>658</v>
      </c>
      <c r="Y81" t="s">
        <v>1557</v>
      </c>
      <c r="Z81" t="s">
        <v>705</v>
      </c>
      <c r="AA81" s="7">
        <v>3.29</v>
      </c>
      <c r="AB81" s="7">
        <v>4</v>
      </c>
      <c r="AC81" s="7">
        <v>3.5</v>
      </c>
      <c r="AD81" s="7">
        <v>3</v>
      </c>
      <c r="AE81" s="7">
        <v>3</v>
      </c>
      <c r="AF81" s="7">
        <v>3</v>
      </c>
      <c r="AG81" s="7">
        <v>3.5</v>
      </c>
      <c r="AH81" s="7">
        <v>3</v>
      </c>
      <c r="AI81" t="s">
        <v>78</v>
      </c>
      <c r="AJ81" s="7">
        <v>172</v>
      </c>
      <c r="AK81" t="s">
        <v>410</v>
      </c>
      <c r="AN81" t="s">
        <v>1383</v>
      </c>
      <c r="AO81" s="7">
        <v>2015</v>
      </c>
      <c r="AP81" t="s">
        <v>1554</v>
      </c>
      <c r="AQ81" t="s">
        <v>1426</v>
      </c>
      <c r="AR81" t="s">
        <v>1559</v>
      </c>
      <c r="AS81" t="s">
        <v>1443</v>
      </c>
      <c r="AT81" s="7">
        <v>2.93</v>
      </c>
      <c r="AU81" s="7">
        <v>3</v>
      </c>
      <c r="AV81" s="7">
        <v>3</v>
      </c>
      <c r="AW81" s="7">
        <v>3</v>
      </c>
      <c r="AX81" s="7">
        <v>3</v>
      </c>
      <c r="AY81" s="7">
        <v>2</v>
      </c>
      <c r="AZ81" s="7">
        <v>3.5</v>
      </c>
      <c r="BA81" s="7">
        <v>3</v>
      </c>
      <c r="BB81" t="s">
        <v>71</v>
      </c>
      <c r="BC81" s="7">
        <v>300</v>
      </c>
      <c r="BD81" t="s">
        <v>1506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803</v>
      </c>
      <c r="C82" s="7">
        <v>2012</v>
      </c>
      <c r="D82" t="s">
        <v>1558</v>
      </c>
      <c r="E82" t="s">
        <v>804</v>
      </c>
      <c r="F82" t="s">
        <v>1557</v>
      </c>
      <c r="G82" t="s">
        <v>126</v>
      </c>
      <c r="H82" s="7">
        <v>3.93</v>
      </c>
      <c r="I82" s="7">
        <v>4</v>
      </c>
      <c r="J82" s="7">
        <v>4</v>
      </c>
      <c r="K82" s="7">
        <v>4</v>
      </c>
      <c r="L82" s="7">
        <v>3.5</v>
      </c>
      <c r="M82" s="7">
        <v>4</v>
      </c>
      <c r="N82" s="7">
        <v>4</v>
      </c>
      <c r="O82" s="7">
        <v>4</v>
      </c>
      <c r="P82" t="s">
        <v>127</v>
      </c>
      <c r="Q82" s="7">
        <v>79</v>
      </c>
      <c r="R82" t="s">
        <v>376</v>
      </c>
      <c r="U82" t="s">
        <v>1900</v>
      </c>
      <c r="V82" s="7">
        <v>2015</v>
      </c>
      <c r="W82" t="s">
        <v>1554</v>
      </c>
      <c r="X82" t="s">
        <v>681</v>
      </c>
      <c r="Y82" t="s">
        <v>1557</v>
      </c>
      <c r="Z82" t="s">
        <v>880</v>
      </c>
      <c r="AA82" s="7">
        <v>2.57</v>
      </c>
      <c r="AB82" s="7">
        <v>2</v>
      </c>
      <c r="AC82" s="7">
        <v>3</v>
      </c>
      <c r="AD82" s="7">
        <v>2.5</v>
      </c>
      <c r="AE82" s="7">
        <v>3.5</v>
      </c>
      <c r="AF82" s="7">
        <v>2</v>
      </c>
      <c r="AG82" s="7">
        <v>3</v>
      </c>
      <c r="AH82" s="7">
        <v>2</v>
      </c>
      <c r="AI82" t="s">
        <v>1872</v>
      </c>
      <c r="AJ82" s="7">
        <v>531</v>
      </c>
      <c r="AK82" t="s">
        <v>1925</v>
      </c>
      <c r="AN82" t="s">
        <v>872</v>
      </c>
      <c r="AO82" s="7">
        <v>2015</v>
      </c>
      <c r="AP82" t="s">
        <v>1554</v>
      </c>
      <c r="AQ82" t="s">
        <v>873</v>
      </c>
      <c r="AR82" t="s">
        <v>1559</v>
      </c>
      <c r="AS82" t="s">
        <v>874</v>
      </c>
      <c r="AT82" s="7">
        <v>3.5</v>
      </c>
      <c r="AU82" s="7">
        <v>3.5</v>
      </c>
      <c r="AV82" s="7">
        <v>3.5</v>
      </c>
      <c r="AW82" s="7">
        <v>3.5</v>
      </c>
      <c r="AX82" s="7">
        <v>3.5</v>
      </c>
      <c r="AY82" s="7">
        <v>3</v>
      </c>
      <c r="AZ82" s="7">
        <v>3.5</v>
      </c>
      <c r="BA82" s="7">
        <v>4</v>
      </c>
      <c r="BB82" t="s">
        <v>129</v>
      </c>
      <c r="BC82" s="7">
        <v>325</v>
      </c>
      <c r="BD82" t="s">
        <v>516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875</v>
      </c>
      <c r="C83" s="7">
        <v>2012</v>
      </c>
      <c r="D83" t="s">
        <v>1556</v>
      </c>
      <c r="E83" t="s">
        <v>876</v>
      </c>
      <c r="F83" t="s">
        <v>1557</v>
      </c>
      <c r="G83" t="s">
        <v>877</v>
      </c>
      <c r="H83" s="7">
        <v>3.57</v>
      </c>
      <c r="I83" s="7">
        <v>3.5</v>
      </c>
      <c r="J83" s="7">
        <v>3</v>
      </c>
      <c r="K83" s="7">
        <v>2.5</v>
      </c>
      <c r="L83" s="7">
        <v>3</v>
      </c>
      <c r="M83" s="7">
        <v>4.5</v>
      </c>
      <c r="N83" s="7">
        <v>3.5</v>
      </c>
      <c r="O83" s="7">
        <v>5</v>
      </c>
      <c r="P83" t="s">
        <v>166</v>
      </c>
      <c r="Q83" s="7">
        <v>62</v>
      </c>
      <c r="R83" t="s">
        <v>377</v>
      </c>
      <c r="U83" t="s">
        <v>2022</v>
      </c>
      <c r="V83" s="7">
        <v>2015</v>
      </c>
      <c r="W83" t="s">
        <v>1554</v>
      </c>
      <c r="X83" t="s">
        <v>731</v>
      </c>
      <c r="Y83" t="s">
        <v>1557</v>
      </c>
      <c r="Z83" t="s">
        <v>1798</v>
      </c>
      <c r="AA83" s="7">
        <v>3.21</v>
      </c>
      <c r="AB83" s="7">
        <v>3.5</v>
      </c>
      <c r="AC83" s="7">
        <v>3.5</v>
      </c>
      <c r="AD83" s="7">
        <v>3.5</v>
      </c>
      <c r="AE83" s="7">
        <v>4</v>
      </c>
      <c r="AF83" s="7">
        <v>3</v>
      </c>
      <c r="AG83" s="7">
        <v>2.5</v>
      </c>
      <c r="AH83" s="7">
        <v>2.5</v>
      </c>
      <c r="AI83" t="s">
        <v>1188</v>
      </c>
      <c r="AJ83" s="7">
        <v>100</v>
      </c>
      <c r="AK83" t="s">
        <v>2064</v>
      </c>
      <c r="AN83" t="s">
        <v>1964</v>
      </c>
      <c r="AO83" s="7">
        <v>2015</v>
      </c>
      <c r="AP83" t="s">
        <v>1554</v>
      </c>
      <c r="AQ83" t="s">
        <v>915</v>
      </c>
      <c r="AR83" t="s">
        <v>1559</v>
      </c>
      <c r="AS83" t="s">
        <v>1949</v>
      </c>
      <c r="AT83" s="7">
        <v>3.43</v>
      </c>
      <c r="AU83" s="7">
        <v>3</v>
      </c>
      <c r="AV83" s="7">
        <v>3.5</v>
      </c>
      <c r="AW83" s="7">
        <v>3.5</v>
      </c>
      <c r="AX83" s="7">
        <v>3.5</v>
      </c>
      <c r="AY83" s="7">
        <v>3.5</v>
      </c>
      <c r="AZ83" s="7">
        <v>3.5</v>
      </c>
      <c r="BA83" s="7">
        <v>3.5</v>
      </c>
      <c r="BB83" t="s">
        <v>1950</v>
      </c>
      <c r="BC83" s="7">
        <v>650</v>
      </c>
      <c r="BD83" t="s">
        <v>1992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1755</v>
      </c>
      <c r="C84" s="7">
        <v>2012</v>
      </c>
      <c r="D84" t="s">
        <v>1558</v>
      </c>
      <c r="E84" t="s">
        <v>1577</v>
      </c>
      <c r="F84" t="s">
        <v>1557</v>
      </c>
      <c r="G84" t="s">
        <v>1678</v>
      </c>
      <c r="H84" s="38">
        <v>3.64</v>
      </c>
      <c r="I84" s="7">
        <v>4</v>
      </c>
      <c r="J84" s="7">
        <v>3.5</v>
      </c>
      <c r="K84" s="7">
        <v>3</v>
      </c>
      <c r="L84" s="7">
        <v>4</v>
      </c>
      <c r="M84" s="7">
        <v>3.5</v>
      </c>
      <c r="N84" s="7">
        <v>3.5</v>
      </c>
      <c r="O84" s="7">
        <v>4</v>
      </c>
      <c r="P84" t="s">
        <v>1679</v>
      </c>
      <c r="Q84" s="7">
        <v>78</v>
      </c>
      <c r="R84" t="s">
        <v>1683</v>
      </c>
      <c r="U84" t="s">
        <v>1380</v>
      </c>
      <c r="V84" s="7">
        <v>2015</v>
      </c>
      <c r="W84" t="s">
        <v>1554</v>
      </c>
      <c r="X84" t="s">
        <v>1425</v>
      </c>
      <c r="Y84" t="s">
        <v>1557</v>
      </c>
      <c r="Z84" t="s">
        <v>1018</v>
      </c>
      <c r="AA84" s="7">
        <v>3.43</v>
      </c>
      <c r="AB84" s="7">
        <v>4</v>
      </c>
      <c r="AC84" s="7">
        <v>3.5</v>
      </c>
      <c r="AD84" s="7">
        <v>4</v>
      </c>
      <c r="AE84" s="7">
        <v>3</v>
      </c>
      <c r="AF84" s="7">
        <v>2</v>
      </c>
      <c r="AG84" s="7">
        <v>4</v>
      </c>
      <c r="AH84" s="7">
        <v>3.5</v>
      </c>
      <c r="AI84" t="s">
        <v>1314</v>
      </c>
      <c r="AJ84" s="7">
        <v>119</v>
      </c>
      <c r="AK84" t="s">
        <v>1477</v>
      </c>
      <c r="AN84" t="s">
        <v>1809</v>
      </c>
      <c r="AO84" s="7">
        <v>2015</v>
      </c>
      <c r="AP84" t="s">
        <v>1554</v>
      </c>
      <c r="AQ84" t="s">
        <v>731</v>
      </c>
      <c r="AR84" t="s">
        <v>1559</v>
      </c>
      <c r="AS84" t="s">
        <v>762</v>
      </c>
      <c r="AT84" s="7">
        <v>3.43</v>
      </c>
      <c r="AU84" s="7">
        <v>3</v>
      </c>
      <c r="AV84" s="7">
        <v>3.5</v>
      </c>
      <c r="AW84" s="7">
        <v>3</v>
      </c>
      <c r="AX84" s="7">
        <v>3.5</v>
      </c>
      <c r="AY84" s="7">
        <v>4</v>
      </c>
      <c r="AZ84" s="7">
        <v>3</v>
      </c>
      <c r="BA84" s="7">
        <v>4</v>
      </c>
      <c r="BB84" t="s">
        <v>69</v>
      </c>
      <c r="BC84" s="7">
        <v>300</v>
      </c>
      <c r="BD84" t="s">
        <v>1854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1119</v>
      </c>
      <c r="C85" s="7">
        <v>2011</v>
      </c>
      <c r="D85" t="s">
        <v>1558</v>
      </c>
      <c r="E85" t="s">
        <v>1120</v>
      </c>
      <c r="F85" t="s">
        <v>1557</v>
      </c>
      <c r="G85" t="s">
        <v>282</v>
      </c>
      <c r="H85" s="7">
        <v>3.14</v>
      </c>
      <c r="I85" s="7">
        <v>3</v>
      </c>
      <c r="J85" s="7">
        <v>3.5</v>
      </c>
      <c r="K85" s="7">
        <v>3</v>
      </c>
      <c r="L85" s="7">
        <v>3</v>
      </c>
      <c r="M85" s="7">
        <v>3</v>
      </c>
      <c r="N85" s="7">
        <v>3.5</v>
      </c>
      <c r="O85" s="7">
        <v>3</v>
      </c>
      <c r="P85" t="s">
        <v>283</v>
      </c>
      <c r="Q85" s="7">
        <v>80</v>
      </c>
      <c r="R85" t="s">
        <v>378</v>
      </c>
      <c r="U85" t="s">
        <v>848</v>
      </c>
      <c r="V85" s="7">
        <v>2015</v>
      </c>
      <c r="W85" t="s">
        <v>1554</v>
      </c>
      <c r="X85" t="s">
        <v>702</v>
      </c>
      <c r="Y85" t="s">
        <v>1557</v>
      </c>
      <c r="Z85" t="s">
        <v>150</v>
      </c>
      <c r="AA85" s="7">
        <v>4.1399999999999997</v>
      </c>
      <c r="AB85" s="7">
        <v>4</v>
      </c>
      <c r="AC85" s="7">
        <v>4.5</v>
      </c>
      <c r="AD85" s="7">
        <v>4</v>
      </c>
      <c r="AE85" s="7">
        <v>4</v>
      </c>
      <c r="AF85" s="7">
        <v>4.5</v>
      </c>
      <c r="AG85" s="7">
        <v>3.5</v>
      </c>
      <c r="AH85" s="7">
        <v>4.5</v>
      </c>
      <c r="AI85" t="s">
        <v>151</v>
      </c>
      <c r="AJ85" s="7">
        <v>119</v>
      </c>
      <c r="AK85" t="s">
        <v>427</v>
      </c>
      <c r="AN85" t="s">
        <v>947</v>
      </c>
      <c r="AO85" s="7">
        <v>2015</v>
      </c>
      <c r="AP85" t="s">
        <v>1554</v>
      </c>
      <c r="AQ85" t="s">
        <v>948</v>
      </c>
      <c r="AR85" t="s">
        <v>1559</v>
      </c>
      <c r="AS85" t="s">
        <v>949</v>
      </c>
      <c r="AT85" s="7">
        <v>3.93</v>
      </c>
      <c r="AU85" s="7">
        <v>2.5</v>
      </c>
      <c r="AV85" s="7">
        <v>3</v>
      </c>
      <c r="AW85" s="7">
        <v>4</v>
      </c>
      <c r="AX85" s="7">
        <v>4</v>
      </c>
      <c r="AY85" s="7">
        <v>4</v>
      </c>
      <c r="AZ85" s="7">
        <v>5</v>
      </c>
      <c r="BA85" s="7">
        <v>5</v>
      </c>
      <c r="BB85" t="s">
        <v>171</v>
      </c>
      <c r="BC85" s="7">
        <v>300</v>
      </c>
      <c r="BD85" t="s">
        <v>517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2342</v>
      </c>
      <c r="C86" s="7">
        <v>2011</v>
      </c>
      <c r="D86" t="s">
        <v>1556</v>
      </c>
      <c r="E86" t="s">
        <v>2260</v>
      </c>
      <c r="F86" t="s">
        <v>1557</v>
      </c>
      <c r="G86" t="s">
        <v>2258</v>
      </c>
      <c r="H86" s="38">
        <v>3.71</v>
      </c>
      <c r="I86" s="7">
        <v>3.5</v>
      </c>
      <c r="J86" s="7">
        <v>3.5</v>
      </c>
      <c r="K86" s="7">
        <v>4</v>
      </c>
      <c r="L86" s="7">
        <v>4</v>
      </c>
      <c r="M86" s="7">
        <v>3</v>
      </c>
      <c r="N86" s="7">
        <v>4</v>
      </c>
      <c r="O86" s="7">
        <v>4</v>
      </c>
      <c r="P86" t="s">
        <v>184</v>
      </c>
      <c r="Q86" s="7">
        <v>63</v>
      </c>
      <c r="R86" t="s">
        <v>2347</v>
      </c>
      <c r="U86" t="s">
        <v>2513</v>
      </c>
      <c r="V86" s="7">
        <v>2015</v>
      </c>
      <c r="W86" t="s">
        <v>1554</v>
      </c>
      <c r="X86" t="s">
        <v>731</v>
      </c>
      <c r="Y86" t="s">
        <v>1557</v>
      </c>
      <c r="Z86" t="s">
        <v>2492</v>
      </c>
      <c r="AA86" s="7">
        <v>3.71</v>
      </c>
      <c r="AB86" s="7">
        <v>3.5</v>
      </c>
      <c r="AC86" s="7">
        <v>3.5</v>
      </c>
      <c r="AD86" s="7">
        <v>4.5</v>
      </c>
      <c r="AE86" s="7">
        <v>3.5</v>
      </c>
      <c r="AF86" s="7">
        <v>3.5</v>
      </c>
      <c r="AG86" s="7">
        <v>4</v>
      </c>
      <c r="AH86" s="7">
        <v>3.5</v>
      </c>
      <c r="AI86" t="s">
        <v>143</v>
      </c>
      <c r="AJ86" s="7">
        <v>113</v>
      </c>
      <c r="AK86" t="s">
        <v>2559</v>
      </c>
      <c r="AN86" t="s">
        <v>994</v>
      </c>
      <c r="AO86" s="7">
        <v>2015</v>
      </c>
      <c r="AP86" t="s">
        <v>1554</v>
      </c>
      <c r="AQ86" t="s">
        <v>694</v>
      </c>
      <c r="AR86" t="s">
        <v>1559</v>
      </c>
      <c r="AS86" t="s">
        <v>995</v>
      </c>
      <c r="AT86" s="7">
        <v>3.21</v>
      </c>
      <c r="AU86" s="7">
        <v>3.5</v>
      </c>
      <c r="AV86" s="7">
        <v>3</v>
      </c>
      <c r="AW86" s="7">
        <v>3.5</v>
      </c>
      <c r="AX86" s="7">
        <v>2.5</v>
      </c>
      <c r="AY86" s="7">
        <v>3</v>
      </c>
      <c r="AZ86" s="7">
        <v>3.5</v>
      </c>
      <c r="BA86" s="7">
        <v>3.5</v>
      </c>
      <c r="BB86" t="s">
        <v>123</v>
      </c>
      <c r="BC86" s="7">
        <v>450</v>
      </c>
      <c r="BD86" t="s">
        <v>518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1176</v>
      </c>
      <c r="C87" s="7">
        <v>2011</v>
      </c>
      <c r="D87" t="s">
        <v>1566</v>
      </c>
      <c r="E87" t="s">
        <v>1177</v>
      </c>
      <c r="F87" t="s">
        <v>1557</v>
      </c>
      <c r="G87" t="s">
        <v>1178</v>
      </c>
      <c r="H87" s="38">
        <v>3.5</v>
      </c>
      <c r="I87" s="7">
        <v>3</v>
      </c>
      <c r="J87" s="7">
        <v>3</v>
      </c>
      <c r="K87" s="7">
        <v>3.5</v>
      </c>
      <c r="L87" s="7">
        <v>4</v>
      </c>
      <c r="M87" s="7">
        <v>4.5</v>
      </c>
      <c r="N87" s="7">
        <v>3.5</v>
      </c>
      <c r="O87" s="7">
        <v>3</v>
      </c>
      <c r="P87" t="s">
        <v>246</v>
      </c>
      <c r="Q87" s="7">
        <v>89</v>
      </c>
      <c r="R87" t="s">
        <v>379</v>
      </c>
      <c r="U87" t="s">
        <v>1074</v>
      </c>
      <c r="V87" s="7">
        <v>2015</v>
      </c>
      <c r="W87" t="s">
        <v>1554</v>
      </c>
      <c r="X87" t="s">
        <v>944</v>
      </c>
      <c r="Y87" t="s">
        <v>1557</v>
      </c>
      <c r="Z87" t="s">
        <v>945</v>
      </c>
      <c r="AA87" s="7">
        <v>3.93</v>
      </c>
      <c r="AB87" s="7">
        <v>4</v>
      </c>
      <c r="AC87" s="7">
        <v>4</v>
      </c>
      <c r="AD87" s="7">
        <v>4</v>
      </c>
      <c r="AE87" s="7">
        <v>4</v>
      </c>
      <c r="AF87" s="7">
        <v>3.5</v>
      </c>
      <c r="AG87" s="7">
        <v>4</v>
      </c>
      <c r="AH87" s="7">
        <v>4</v>
      </c>
      <c r="AI87" t="s">
        <v>261</v>
      </c>
      <c r="AJ87" s="7">
        <v>120</v>
      </c>
      <c r="AK87" t="s">
        <v>472</v>
      </c>
      <c r="AN87" t="s">
        <v>1821</v>
      </c>
      <c r="AO87" s="7">
        <v>2015</v>
      </c>
      <c r="AP87" t="s">
        <v>1554</v>
      </c>
      <c r="AQ87" t="s">
        <v>694</v>
      </c>
      <c r="AR87" t="s">
        <v>1559</v>
      </c>
      <c r="AS87" t="s">
        <v>1822</v>
      </c>
      <c r="AT87" s="7">
        <v>3.5</v>
      </c>
      <c r="AU87" s="7">
        <v>3</v>
      </c>
      <c r="AV87" s="7">
        <v>3.5</v>
      </c>
      <c r="AW87" s="7">
        <v>3.5</v>
      </c>
      <c r="AX87" s="7">
        <v>4</v>
      </c>
      <c r="AY87" s="7">
        <v>3</v>
      </c>
      <c r="AZ87" s="7">
        <v>4</v>
      </c>
      <c r="BA87" s="7">
        <v>3.5</v>
      </c>
      <c r="BB87" t="s">
        <v>1772</v>
      </c>
      <c r="BC87" s="7">
        <v>325</v>
      </c>
      <c r="BD87" t="s">
        <v>1855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654</v>
      </c>
      <c r="C88" s="7">
        <v>2010</v>
      </c>
      <c r="D88" t="s">
        <v>1558</v>
      </c>
      <c r="E88" t="s">
        <v>655</v>
      </c>
      <c r="F88" t="s">
        <v>1557</v>
      </c>
      <c r="G88" t="s">
        <v>53</v>
      </c>
      <c r="H88" s="7">
        <v>3.29</v>
      </c>
      <c r="I88" s="7">
        <v>3</v>
      </c>
      <c r="J88" s="7">
        <v>4</v>
      </c>
      <c r="K88" s="7">
        <v>3.5</v>
      </c>
      <c r="L88" s="7">
        <v>3.5</v>
      </c>
      <c r="M88" s="7">
        <v>3</v>
      </c>
      <c r="N88" s="7">
        <v>3</v>
      </c>
      <c r="O88" s="7">
        <v>3</v>
      </c>
      <c r="P88" t="s">
        <v>54</v>
      </c>
      <c r="Q88" s="7">
        <v>65</v>
      </c>
      <c r="R88" t="s">
        <v>380</v>
      </c>
      <c r="U88" t="s">
        <v>1616</v>
      </c>
      <c r="V88" s="7">
        <v>2015</v>
      </c>
      <c r="W88" t="s">
        <v>1554</v>
      </c>
      <c r="X88" t="s">
        <v>1617</v>
      </c>
      <c r="Y88" t="s">
        <v>1557</v>
      </c>
      <c r="Z88" t="s">
        <v>1618</v>
      </c>
      <c r="AA88" s="7">
        <v>3.14</v>
      </c>
      <c r="AB88" s="7">
        <v>2.5</v>
      </c>
      <c r="AC88" s="7">
        <v>2.5</v>
      </c>
      <c r="AD88" s="7">
        <v>2.5</v>
      </c>
      <c r="AE88" s="7">
        <v>3.5</v>
      </c>
      <c r="AF88" s="7">
        <v>3.5</v>
      </c>
      <c r="AG88" s="7">
        <v>4</v>
      </c>
      <c r="AH88" s="7">
        <v>3.5</v>
      </c>
      <c r="AI88" t="s">
        <v>1548</v>
      </c>
      <c r="AJ88" s="7">
        <v>100</v>
      </c>
      <c r="AK88" t="s">
        <v>1636</v>
      </c>
      <c r="AN88" t="s">
        <v>1016</v>
      </c>
      <c r="AO88" s="7">
        <v>2015</v>
      </c>
      <c r="AP88" t="s">
        <v>1554</v>
      </c>
      <c r="AQ88" t="s">
        <v>1017</v>
      </c>
      <c r="AR88" t="s">
        <v>1559</v>
      </c>
      <c r="AS88" t="s">
        <v>1018</v>
      </c>
      <c r="AT88" s="7">
        <v>3.21</v>
      </c>
      <c r="AU88" s="7">
        <v>3</v>
      </c>
      <c r="AV88" s="7">
        <v>3</v>
      </c>
      <c r="AW88" s="7">
        <v>3</v>
      </c>
      <c r="AX88" s="7">
        <v>3</v>
      </c>
      <c r="AY88" s="7">
        <v>3</v>
      </c>
      <c r="AZ88" s="7">
        <v>3.5</v>
      </c>
      <c r="BA88" s="7">
        <v>4</v>
      </c>
      <c r="BB88" t="s">
        <v>235</v>
      </c>
      <c r="BC88" s="7">
        <v>300</v>
      </c>
      <c r="BD88" t="s">
        <v>519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754</v>
      </c>
      <c r="C89" s="7">
        <v>2010</v>
      </c>
      <c r="D89" t="s">
        <v>1566</v>
      </c>
      <c r="E89" t="s">
        <v>755</v>
      </c>
      <c r="F89" t="s">
        <v>1557</v>
      </c>
      <c r="G89" t="s">
        <v>756</v>
      </c>
      <c r="H89" s="7">
        <v>3.57</v>
      </c>
      <c r="I89" s="7">
        <v>4</v>
      </c>
      <c r="J89" s="7">
        <v>4</v>
      </c>
      <c r="K89" s="7">
        <v>4.5</v>
      </c>
      <c r="L89" s="7">
        <v>3.5</v>
      </c>
      <c r="M89" s="7">
        <v>3</v>
      </c>
      <c r="N89" s="7">
        <v>3</v>
      </c>
      <c r="O89" s="7">
        <v>3</v>
      </c>
      <c r="P89" t="s">
        <v>100</v>
      </c>
      <c r="Q89" s="7">
        <v>97</v>
      </c>
      <c r="R89" t="s">
        <v>381</v>
      </c>
      <c r="U89" t="s">
        <v>1084</v>
      </c>
      <c r="V89" s="7">
        <v>2015</v>
      </c>
      <c r="W89" t="s">
        <v>1554</v>
      </c>
      <c r="X89" t="s">
        <v>1085</v>
      </c>
      <c r="Y89" t="s">
        <v>1557</v>
      </c>
      <c r="Z89" t="s">
        <v>1086</v>
      </c>
      <c r="AA89" s="7">
        <v>3.79</v>
      </c>
      <c r="AB89" s="7">
        <v>4</v>
      </c>
      <c r="AC89" s="7">
        <v>4</v>
      </c>
      <c r="AD89" s="7">
        <v>3.5</v>
      </c>
      <c r="AE89" s="7">
        <v>3.5</v>
      </c>
      <c r="AF89" s="7">
        <v>3.5</v>
      </c>
      <c r="AG89" s="7">
        <v>4</v>
      </c>
      <c r="AH89" s="7">
        <v>4</v>
      </c>
      <c r="AI89" t="s">
        <v>266</v>
      </c>
      <c r="AJ89" s="7">
        <v>120</v>
      </c>
      <c r="AK89" t="s">
        <v>475</v>
      </c>
      <c r="AN89" t="s">
        <v>1020</v>
      </c>
      <c r="AO89" s="7">
        <v>2015</v>
      </c>
      <c r="AP89" t="s">
        <v>1554</v>
      </c>
      <c r="AQ89" t="s">
        <v>868</v>
      </c>
      <c r="AR89" t="s">
        <v>1559</v>
      </c>
      <c r="AS89" t="s">
        <v>1021</v>
      </c>
      <c r="AT89" s="7">
        <v>3.07</v>
      </c>
      <c r="AU89" s="7">
        <v>3</v>
      </c>
      <c r="AV89" s="7">
        <v>3</v>
      </c>
      <c r="AW89" s="7">
        <v>3</v>
      </c>
      <c r="AX89" s="7">
        <v>3.5</v>
      </c>
      <c r="AY89" s="7">
        <v>2.5</v>
      </c>
      <c r="AZ89" s="7">
        <v>3.5</v>
      </c>
      <c r="BA89" s="7">
        <v>3</v>
      </c>
      <c r="BB89" t="s">
        <v>236</v>
      </c>
      <c r="BC89" s="7">
        <v>300</v>
      </c>
      <c r="BD89" t="s">
        <v>520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1098</v>
      </c>
      <c r="C90" s="7">
        <v>2010</v>
      </c>
      <c r="D90" t="s">
        <v>1619</v>
      </c>
      <c r="E90" t="s">
        <v>1099</v>
      </c>
      <c r="F90" t="s">
        <v>1557</v>
      </c>
      <c r="G90" t="s">
        <v>1100</v>
      </c>
      <c r="H90" s="7">
        <v>4.1399999999999997</v>
      </c>
      <c r="I90" s="7">
        <v>5</v>
      </c>
      <c r="J90" s="7">
        <v>4.5</v>
      </c>
      <c r="K90" s="7">
        <v>3.5</v>
      </c>
      <c r="L90" s="7">
        <v>3</v>
      </c>
      <c r="M90" s="7">
        <v>5</v>
      </c>
      <c r="N90" s="7">
        <v>3</v>
      </c>
      <c r="O90" s="7">
        <v>5</v>
      </c>
      <c r="P90" t="s">
        <v>348</v>
      </c>
      <c r="Q90" s="7">
        <v>79</v>
      </c>
      <c r="R90" t="s">
        <v>382</v>
      </c>
      <c r="U90" t="s">
        <v>1384</v>
      </c>
      <c r="V90" s="7">
        <v>2014</v>
      </c>
      <c r="W90" t="s">
        <v>1554</v>
      </c>
      <c r="X90" t="s">
        <v>1339</v>
      </c>
      <c r="Y90" t="s">
        <v>1555</v>
      </c>
      <c r="Z90" t="s">
        <v>1444</v>
      </c>
      <c r="AA90" s="7">
        <v>3.29</v>
      </c>
      <c r="AB90" s="7">
        <v>3.5</v>
      </c>
      <c r="AC90" s="7">
        <v>3.5</v>
      </c>
      <c r="AD90" s="7">
        <v>3.5</v>
      </c>
      <c r="AE90" s="7">
        <v>3</v>
      </c>
      <c r="AF90" s="7">
        <v>2.5</v>
      </c>
      <c r="AG90" s="7">
        <v>3.5</v>
      </c>
      <c r="AH90" s="7">
        <v>3.5</v>
      </c>
      <c r="AI90" t="s">
        <v>1340</v>
      </c>
      <c r="AJ90" s="7">
        <v>248</v>
      </c>
      <c r="AK90" t="s">
        <v>1479</v>
      </c>
      <c r="AN90" t="s">
        <v>1914</v>
      </c>
      <c r="AO90" s="7">
        <v>2015</v>
      </c>
      <c r="AP90" t="s">
        <v>1554</v>
      </c>
      <c r="AQ90" t="s">
        <v>948</v>
      </c>
      <c r="AR90" t="s">
        <v>1559</v>
      </c>
      <c r="AS90" t="s">
        <v>675</v>
      </c>
      <c r="AT90" s="7">
        <v>3.43</v>
      </c>
      <c r="AU90" s="7">
        <v>2.5</v>
      </c>
      <c r="AV90" s="7">
        <v>4</v>
      </c>
      <c r="AW90" s="7">
        <v>3</v>
      </c>
      <c r="AX90" s="7">
        <v>3</v>
      </c>
      <c r="AY90" s="7">
        <v>3.5</v>
      </c>
      <c r="AZ90" s="7">
        <v>4</v>
      </c>
      <c r="BA90" s="7">
        <v>4</v>
      </c>
      <c r="BB90" t="s">
        <v>1881</v>
      </c>
      <c r="BC90" s="7">
        <v>275</v>
      </c>
      <c r="BD90" t="s">
        <v>1939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1722</v>
      </c>
      <c r="C91" s="7">
        <v>2009</v>
      </c>
      <c r="D91" t="s">
        <v>1556</v>
      </c>
      <c r="E91" t="s">
        <v>1723</v>
      </c>
      <c r="F91" t="s">
        <v>1557</v>
      </c>
      <c r="G91" t="s">
        <v>1724</v>
      </c>
      <c r="H91" s="7">
        <v>2.21</v>
      </c>
      <c r="I91" s="7">
        <v>2.5</v>
      </c>
      <c r="J91" s="7">
        <v>2.5</v>
      </c>
      <c r="K91" s="7">
        <v>2.5</v>
      </c>
      <c r="L91" s="7">
        <v>2</v>
      </c>
      <c r="M91" s="7">
        <v>2</v>
      </c>
      <c r="N91" s="7">
        <v>2</v>
      </c>
      <c r="O91" s="7">
        <v>2</v>
      </c>
      <c r="P91" t="s">
        <v>195</v>
      </c>
      <c r="Q91" s="7">
        <v>80</v>
      </c>
      <c r="R91" t="s">
        <v>1684</v>
      </c>
      <c r="U91" t="s">
        <v>1386</v>
      </c>
      <c r="V91" s="7">
        <v>2014</v>
      </c>
      <c r="W91" t="s">
        <v>1554</v>
      </c>
      <c r="X91" t="s">
        <v>882</v>
      </c>
      <c r="Y91" t="s">
        <v>1557</v>
      </c>
      <c r="Z91" t="s">
        <v>883</v>
      </c>
      <c r="AA91" s="7">
        <v>3.14</v>
      </c>
      <c r="AB91" s="7">
        <v>4</v>
      </c>
      <c r="AC91" s="7">
        <v>4</v>
      </c>
      <c r="AD91" s="7">
        <v>3.5</v>
      </c>
      <c r="AE91" s="7">
        <v>3</v>
      </c>
      <c r="AF91" s="7">
        <v>2.5</v>
      </c>
      <c r="AG91" s="7">
        <v>2.5</v>
      </c>
      <c r="AH91" s="7">
        <v>2.5</v>
      </c>
      <c r="AI91" t="s">
        <v>1316</v>
      </c>
      <c r="AJ91" s="7">
        <v>73</v>
      </c>
      <c r="AK91" t="s">
        <v>1481</v>
      </c>
      <c r="AN91" t="s">
        <v>1040</v>
      </c>
      <c r="AO91" s="7">
        <v>2015</v>
      </c>
      <c r="AP91" t="s">
        <v>1554</v>
      </c>
      <c r="AQ91" t="s">
        <v>1026</v>
      </c>
      <c r="AR91" t="s">
        <v>1559</v>
      </c>
      <c r="AS91" t="s">
        <v>1041</v>
      </c>
      <c r="AT91" s="7">
        <v>3.5</v>
      </c>
      <c r="AU91" s="7">
        <v>3</v>
      </c>
      <c r="AV91" s="7">
        <v>3.5</v>
      </c>
      <c r="AW91" s="7">
        <v>3.5</v>
      </c>
      <c r="AX91" s="7">
        <v>3.5</v>
      </c>
      <c r="AY91" s="7">
        <v>3.5</v>
      </c>
      <c r="AZ91" s="7">
        <v>3.5</v>
      </c>
      <c r="BA91" s="7">
        <v>4</v>
      </c>
      <c r="BB91" t="s">
        <v>241</v>
      </c>
      <c r="BC91" s="7">
        <v>300</v>
      </c>
      <c r="BD91" t="s">
        <v>521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2329</v>
      </c>
      <c r="C92" s="7">
        <v>2009</v>
      </c>
      <c r="D92" t="s">
        <v>1556</v>
      </c>
      <c r="E92" t="s">
        <v>2260</v>
      </c>
      <c r="F92" t="s">
        <v>1557</v>
      </c>
      <c r="G92" t="s">
        <v>2202</v>
      </c>
      <c r="H92" s="7">
        <v>4.79</v>
      </c>
      <c r="I92" s="7">
        <v>4.5</v>
      </c>
      <c r="J92" s="7">
        <v>5</v>
      </c>
      <c r="K92" s="7">
        <v>5</v>
      </c>
      <c r="L92" s="7">
        <v>4.5</v>
      </c>
      <c r="M92" s="7">
        <v>5</v>
      </c>
      <c r="N92" s="7">
        <v>4.5</v>
      </c>
      <c r="O92" s="7">
        <v>5</v>
      </c>
      <c r="P92" t="s">
        <v>173</v>
      </c>
      <c r="Q92" s="7">
        <v>97</v>
      </c>
      <c r="R92" t="s">
        <v>2348</v>
      </c>
      <c r="U92" t="s">
        <v>1266</v>
      </c>
      <c r="V92" s="7">
        <v>2014</v>
      </c>
      <c r="W92" t="s">
        <v>1554</v>
      </c>
      <c r="X92" t="s">
        <v>915</v>
      </c>
      <c r="Y92" t="s">
        <v>1557</v>
      </c>
      <c r="Z92" t="s">
        <v>1030</v>
      </c>
      <c r="AA92" s="7">
        <v>4.21</v>
      </c>
      <c r="AB92" s="7">
        <v>4</v>
      </c>
      <c r="AC92" s="7">
        <v>4.5</v>
      </c>
      <c r="AD92" s="7">
        <v>4.5</v>
      </c>
      <c r="AE92" s="7">
        <v>3.5</v>
      </c>
      <c r="AF92" s="7">
        <v>3.5</v>
      </c>
      <c r="AG92" s="7">
        <v>4.5</v>
      </c>
      <c r="AH92" s="7">
        <v>5</v>
      </c>
      <c r="AI92" t="s">
        <v>1198</v>
      </c>
      <c r="AJ92" s="7">
        <v>51</v>
      </c>
      <c r="AK92" t="s">
        <v>1238</v>
      </c>
      <c r="AN92" t="s">
        <v>1825</v>
      </c>
      <c r="AO92" s="7">
        <v>2015</v>
      </c>
      <c r="AP92" t="s">
        <v>1554</v>
      </c>
      <c r="AQ92" t="s">
        <v>948</v>
      </c>
      <c r="AR92" t="s">
        <v>1559</v>
      </c>
      <c r="AS92" t="s">
        <v>1826</v>
      </c>
      <c r="AT92" s="7">
        <v>3.36</v>
      </c>
      <c r="AU92" s="7">
        <v>2.5</v>
      </c>
      <c r="AV92" s="7">
        <v>3.5</v>
      </c>
      <c r="AW92" s="7">
        <v>3</v>
      </c>
      <c r="AX92" s="7">
        <v>3</v>
      </c>
      <c r="AY92" s="7">
        <v>3.5</v>
      </c>
      <c r="AZ92" s="7">
        <v>4</v>
      </c>
      <c r="BA92" s="7">
        <v>4</v>
      </c>
      <c r="BB92" t="s">
        <v>1773</v>
      </c>
      <c r="BC92" s="7">
        <v>300</v>
      </c>
      <c r="BD92" t="s">
        <v>1856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1123</v>
      </c>
      <c r="C93" s="7">
        <v>2009</v>
      </c>
      <c r="D93" t="s">
        <v>1613</v>
      </c>
      <c r="E93" t="s">
        <v>1055</v>
      </c>
      <c r="F93" t="s">
        <v>1557</v>
      </c>
      <c r="G93" t="s">
        <v>350</v>
      </c>
      <c r="H93" s="7">
        <v>3.79</v>
      </c>
      <c r="I93" s="7">
        <v>3.5</v>
      </c>
      <c r="J93" s="7">
        <v>5</v>
      </c>
      <c r="K93" s="7">
        <v>3.5</v>
      </c>
      <c r="L93" s="7">
        <v>3.5</v>
      </c>
      <c r="M93" s="7">
        <v>3</v>
      </c>
      <c r="N93" s="7">
        <v>3.5</v>
      </c>
      <c r="O93" s="7">
        <v>4.5</v>
      </c>
      <c r="P93" t="s">
        <v>346</v>
      </c>
      <c r="Q93" s="7">
        <v>75</v>
      </c>
      <c r="R93" t="s">
        <v>383</v>
      </c>
      <c r="U93" t="s">
        <v>1162</v>
      </c>
      <c r="V93" s="7">
        <v>2014</v>
      </c>
      <c r="W93" t="s">
        <v>1554</v>
      </c>
      <c r="X93" t="s">
        <v>747</v>
      </c>
      <c r="Y93" t="s">
        <v>1557</v>
      </c>
      <c r="Z93" t="s">
        <v>194</v>
      </c>
      <c r="AA93" s="38">
        <v>3.64</v>
      </c>
      <c r="AB93" s="7">
        <v>4</v>
      </c>
      <c r="AC93" s="7">
        <v>3.5</v>
      </c>
      <c r="AD93" s="7">
        <v>3.5</v>
      </c>
      <c r="AE93" s="7">
        <v>4</v>
      </c>
      <c r="AF93" s="7">
        <v>3.5</v>
      </c>
      <c r="AG93" s="7">
        <v>3</v>
      </c>
      <c r="AH93" s="7">
        <v>4</v>
      </c>
      <c r="AI93" t="s">
        <v>305</v>
      </c>
      <c r="AJ93" s="7">
        <v>103</v>
      </c>
      <c r="AK93" t="s">
        <v>498</v>
      </c>
      <c r="AN93" t="s">
        <v>244</v>
      </c>
      <c r="AO93" s="7">
        <v>2015</v>
      </c>
      <c r="AP93" t="s">
        <v>1554</v>
      </c>
      <c r="AQ93" t="s">
        <v>670</v>
      </c>
      <c r="AR93" t="s">
        <v>1559</v>
      </c>
      <c r="AS93" t="s">
        <v>1049</v>
      </c>
      <c r="AT93" s="7">
        <v>2.57</v>
      </c>
      <c r="AU93" s="7">
        <v>2.5</v>
      </c>
      <c r="AV93" s="7">
        <v>3</v>
      </c>
      <c r="AW93" s="7">
        <v>3</v>
      </c>
      <c r="AX93" s="7">
        <v>2.5</v>
      </c>
      <c r="AY93" s="7">
        <v>2.5</v>
      </c>
      <c r="AZ93" s="7">
        <v>2.5</v>
      </c>
      <c r="BA93" s="7">
        <v>2</v>
      </c>
      <c r="BB93" t="s">
        <v>245</v>
      </c>
      <c r="BC93" s="7">
        <v>300</v>
      </c>
      <c r="BD93" t="s">
        <v>522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1733</v>
      </c>
      <c r="C94" s="7">
        <v>2008</v>
      </c>
      <c r="D94" t="s">
        <v>1558</v>
      </c>
      <c r="E94" t="s">
        <v>655</v>
      </c>
      <c r="F94" t="s">
        <v>1557</v>
      </c>
      <c r="G94" t="s">
        <v>1734</v>
      </c>
      <c r="H94" s="7">
        <v>3.57</v>
      </c>
      <c r="I94" s="7">
        <v>3.5</v>
      </c>
      <c r="J94" s="7">
        <v>4</v>
      </c>
      <c r="K94" s="7">
        <v>3.5</v>
      </c>
      <c r="L94" s="7">
        <v>3</v>
      </c>
      <c r="M94" s="7">
        <v>3.5</v>
      </c>
      <c r="N94" s="7">
        <v>4</v>
      </c>
      <c r="O94" s="7">
        <v>3.5</v>
      </c>
      <c r="P94" t="s">
        <v>346</v>
      </c>
      <c r="Q94" s="7">
        <v>91</v>
      </c>
      <c r="R94" t="s">
        <v>1685</v>
      </c>
      <c r="U94" t="s">
        <v>678</v>
      </c>
      <c r="V94" s="7">
        <v>2013</v>
      </c>
      <c r="W94" t="s">
        <v>1554</v>
      </c>
      <c r="X94" t="s">
        <v>679</v>
      </c>
      <c r="Y94" t="s">
        <v>1557</v>
      </c>
      <c r="Z94" t="s">
        <v>675</v>
      </c>
      <c r="AA94" s="7">
        <v>3.14</v>
      </c>
      <c r="AB94" s="7">
        <v>3</v>
      </c>
      <c r="AC94" s="7">
        <v>3</v>
      </c>
      <c r="AD94" s="7">
        <v>4</v>
      </c>
      <c r="AE94" s="7">
        <v>2.5</v>
      </c>
      <c r="AF94" s="7">
        <v>3.5</v>
      </c>
      <c r="AG94" s="7">
        <v>3</v>
      </c>
      <c r="AH94" s="7">
        <v>3</v>
      </c>
      <c r="AI94" t="s">
        <v>69</v>
      </c>
      <c r="AJ94" s="7">
        <v>83</v>
      </c>
      <c r="AK94" t="s">
        <v>404</v>
      </c>
      <c r="AN94" t="s">
        <v>1080</v>
      </c>
      <c r="AO94" s="7">
        <v>2015</v>
      </c>
      <c r="AP94" t="s">
        <v>1554</v>
      </c>
      <c r="AQ94" t="s">
        <v>772</v>
      </c>
      <c r="AR94" t="s">
        <v>1559</v>
      </c>
      <c r="AS94" t="s">
        <v>1081</v>
      </c>
      <c r="AT94" s="7">
        <v>3</v>
      </c>
      <c r="AU94" s="7">
        <v>3</v>
      </c>
      <c r="AV94" s="7">
        <v>3</v>
      </c>
      <c r="AW94" s="7">
        <v>3</v>
      </c>
      <c r="AX94" s="7">
        <v>3.5</v>
      </c>
      <c r="AY94" s="7">
        <v>2.5</v>
      </c>
      <c r="AZ94" s="7">
        <v>3</v>
      </c>
      <c r="BA94" s="7">
        <v>3</v>
      </c>
      <c r="BB94" t="s">
        <v>100</v>
      </c>
      <c r="BC94" s="7">
        <v>425</v>
      </c>
      <c r="BD94" t="s">
        <v>523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1576</v>
      </c>
      <c r="C95" s="7">
        <v>2007</v>
      </c>
      <c r="D95" t="s">
        <v>1558</v>
      </c>
      <c r="E95" t="s">
        <v>1577</v>
      </c>
      <c r="F95" t="s">
        <v>1555</v>
      </c>
      <c r="G95" t="s">
        <v>1531</v>
      </c>
      <c r="H95" s="7">
        <v>2.86</v>
      </c>
      <c r="I95" s="7">
        <v>2.5</v>
      </c>
      <c r="J95" s="7">
        <v>3.5</v>
      </c>
      <c r="K95" s="7">
        <v>3</v>
      </c>
      <c r="L95" s="7">
        <v>2.5</v>
      </c>
      <c r="M95" s="7">
        <v>3</v>
      </c>
      <c r="N95" s="7">
        <v>3</v>
      </c>
      <c r="O95" s="7">
        <v>2.5</v>
      </c>
      <c r="P95" t="s">
        <v>1532</v>
      </c>
      <c r="Q95" s="7">
        <v>85</v>
      </c>
      <c r="R95" t="s">
        <v>1631</v>
      </c>
      <c r="U95" t="s">
        <v>1367</v>
      </c>
      <c r="V95" s="7">
        <v>2013</v>
      </c>
      <c r="W95" t="s">
        <v>1554</v>
      </c>
      <c r="X95" t="s">
        <v>664</v>
      </c>
      <c r="Y95" t="s">
        <v>1557</v>
      </c>
      <c r="Z95" t="s">
        <v>1435</v>
      </c>
      <c r="AA95" s="7">
        <v>2.93</v>
      </c>
      <c r="AB95" s="7">
        <v>3.5</v>
      </c>
      <c r="AC95" s="7">
        <v>3.5</v>
      </c>
      <c r="AD95" s="7">
        <v>3.5</v>
      </c>
      <c r="AE95" s="7">
        <v>3.5</v>
      </c>
      <c r="AF95" s="7">
        <v>2</v>
      </c>
      <c r="AG95" s="7">
        <v>2.5</v>
      </c>
      <c r="AH95" s="7">
        <v>2</v>
      </c>
      <c r="AI95" t="s">
        <v>1332</v>
      </c>
      <c r="AJ95" s="7">
        <v>91</v>
      </c>
      <c r="AK95" t="s">
        <v>1472</v>
      </c>
      <c r="AN95" t="s">
        <v>1921</v>
      </c>
      <c r="AO95" s="7">
        <v>2015</v>
      </c>
      <c r="AP95" t="s">
        <v>1554</v>
      </c>
      <c r="AQ95" t="s">
        <v>1891</v>
      </c>
      <c r="AR95" t="s">
        <v>1559</v>
      </c>
      <c r="AS95" t="s">
        <v>853</v>
      </c>
      <c r="AT95" s="7">
        <v>2.71</v>
      </c>
      <c r="AU95" s="7">
        <v>2.5</v>
      </c>
      <c r="AV95" s="7">
        <v>2.5</v>
      </c>
      <c r="AW95" s="7">
        <v>3.5</v>
      </c>
      <c r="AX95" s="7">
        <v>3</v>
      </c>
      <c r="AY95" s="7">
        <v>2.5</v>
      </c>
      <c r="AZ95" s="7">
        <v>2.5</v>
      </c>
      <c r="BA95" s="7">
        <v>2.5</v>
      </c>
      <c r="BB95" t="s">
        <v>1884</v>
      </c>
      <c r="BC95" s="7">
        <v>600</v>
      </c>
      <c r="BD95" t="s">
        <v>1940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1579</v>
      </c>
      <c r="C96" s="7">
        <v>2007</v>
      </c>
      <c r="D96" t="s">
        <v>1558</v>
      </c>
      <c r="E96" t="s">
        <v>1580</v>
      </c>
      <c r="F96" t="s">
        <v>1557</v>
      </c>
      <c r="G96" t="s">
        <v>1581</v>
      </c>
      <c r="H96" s="7">
        <v>3.36</v>
      </c>
      <c r="I96" s="7">
        <v>4</v>
      </c>
      <c r="J96" s="7">
        <v>3.5</v>
      </c>
      <c r="K96" s="7">
        <v>4</v>
      </c>
      <c r="L96" s="7">
        <v>2.5</v>
      </c>
      <c r="M96" s="7">
        <v>3</v>
      </c>
      <c r="N96" s="7">
        <v>3.5</v>
      </c>
      <c r="O96" s="7">
        <v>3</v>
      </c>
      <c r="P96" t="s">
        <v>184</v>
      </c>
      <c r="Q96" s="7">
        <v>90</v>
      </c>
      <c r="R96" t="s">
        <v>1632</v>
      </c>
      <c r="U96" t="s">
        <v>1372</v>
      </c>
      <c r="V96" s="7">
        <v>2013</v>
      </c>
      <c r="W96" t="s">
        <v>1554</v>
      </c>
      <c r="X96" t="s">
        <v>681</v>
      </c>
      <c r="Y96" t="s">
        <v>1557</v>
      </c>
      <c r="Z96" t="s">
        <v>1437</v>
      </c>
      <c r="AA96" s="7">
        <v>3.07</v>
      </c>
      <c r="AB96" s="7">
        <v>3</v>
      </c>
      <c r="AC96" s="7">
        <v>3</v>
      </c>
      <c r="AD96" s="7">
        <v>3.5</v>
      </c>
      <c r="AE96" s="7">
        <v>4</v>
      </c>
      <c r="AF96" s="7">
        <v>1.5</v>
      </c>
      <c r="AG96" s="7">
        <v>4</v>
      </c>
      <c r="AH96" s="7">
        <v>2.5</v>
      </c>
      <c r="AI96" t="s">
        <v>1307</v>
      </c>
      <c r="AJ96" s="7">
        <v>105</v>
      </c>
      <c r="AK96" t="s">
        <v>1474</v>
      </c>
      <c r="AN96" t="s">
        <v>1750</v>
      </c>
      <c r="AO96" s="7">
        <v>2015</v>
      </c>
      <c r="AP96" t="s">
        <v>1554</v>
      </c>
      <c r="AQ96" t="s">
        <v>888</v>
      </c>
      <c r="AR96" t="s">
        <v>1559</v>
      </c>
      <c r="AS96" t="s">
        <v>1676</v>
      </c>
      <c r="AT96" s="7">
        <v>2.93</v>
      </c>
      <c r="AU96" s="7">
        <v>2.5</v>
      </c>
      <c r="AV96" s="7">
        <v>3</v>
      </c>
      <c r="AW96" s="7">
        <v>3.5</v>
      </c>
      <c r="AX96" s="7">
        <v>3</v>
      </c>
      <c r="AY96" s="7">
        <v>2.5</v>
      </c>
      <c r="AZ96" s="7">
        <v>3.5</v>
      </c>
      <c r="BA96" s="7">
        <v>2.5</v>
      </c>
      <c r="BB96" t="s">
        <v>1198</v>
      </c>
      <c r="BC96" s="7">
        <v>275</v>
      </c>
      <c r="BD96" t="s">
        <v>1701</v>
      </c>
      <c r="BH96" s="5" t="str">
        <f t="shared" si="3"/>
        <v/>
      </c>
      <c r="BI96" s="5" t="str">
        <f t="shared" si="4"/>
        <v/>
      </c>
    </row>
    <row r="97" spans="2:61" x14ac:dyDescent="0.35">
      <c r="B97" t="s">
        <v>1736</v>
      </c>
      <c r="C97" s="7">
        <v>2007</v>
      </c>
      <c r="D97" t="s">
        <v>1566</v>
      </c>
      <c r="E97" t="s">
        <v>1737</v>
      </c>
      <c r="F97" t="s">
        <v>1557</v>
      </c>
      <c r="G97" t="s">
        <v>1670</v>
      </c>
      <c r="H97" s="7">
        <v>3.36</v>
      </c>
      <c r="I97" s="7">
        <v>3.5</v>
      </c>
      <c r="J97" s="7">
        <v>4</v>
      </c>
      <c r="K97" s="7">
        <v>3.5</v>
      </c>
      <c r="L97" s="7">
        <v>3</v>
      </c>
      <c r="M97" s="7">
        <v>3</v>
      </c>
      <c r="N97" s="7">
        <v>3</v>
      </c>
      <c r="O97" s="7">
        <v>3.5</v>
      </c>
      <c r="P97" t="s">
        <v>195</v>
      </c>
      <c r="Q97" s="7">
        <v>88</v>
      </c>
      <c r="R97" t="s">
        <v>1686</v>
      </c>
      <c r="U97" t="s">
        <v>2646</v>
      </c>
      <c r="V97" s="7">
        <v>2013</v>
      </c>
      <c r="W97" t="s">
        <v>1554</v>
      </c>
      <c r="X97" t="s">
        <v>915</v>
      </c>
      <c r="Y97" t="s">
        <v>1557</v>
      </c>
      <c r="Z97" t="s">
        <v>2647</v>
      </c>
      <c r="AA97" s="7">
        <v>3.5</v>
      </c>
      <c r="AB97" s="7">
        <v>3.5</v>
      </c>
      <c r="AC97" s="7">
        <v>3.5</v>
      </c>
      <c r="AD97" s="7">
        <v>3.5</v>
      </c>
      <c r="AE97" s="7">
        <v>3.5</v>
      </c>
      <c r="AF97" s="7">
        <v>2.5</v>
      </c>
      <c r="AG97" s="7">
        <v>4</v>
      </c>
      <c r="AH97" s="7">
        <v>4</v>
      </c>
      <c r="AI97" t="s">
        <v>1342</v>
      </c>
      <c r="AJ97" s="7">
        <v>107</v>
      </c>
      <c r="AK97" t="s">
        <v>2673</v>
      </c>
      <c r="AN97" t="s">
        <v>1149</v>
      </c>
      <c r="AO97" s="7">
        <v>2015</v>
      </c>
      <c r="AP97" t="s">
        <v>1554</v>
      </c>
      <c r="AQ97" t="s">
        <v>1150</v>
      </c>
      <c r="AR97" t="s">
        <v>1560</v>
      </c>
      <c r="AS97" t="s">
        <v>1151</v>
      </c>
      <c r="AT97" s="7">
        <v>3.36</v>
      </c>
      <c r="AU97" s="7">
        <v>3.5</v>
      </c>
      <c r="AV97" s="7">
        <v>3.5</v>
      </c>
      <c r="AW97" s="7">
        <v>4</v>
      </c>
      <c r="AX97" s="7">
        <v>3</v>
      </c>
      <c r="AY97" s="7">
        <v>3</v>
      </c>
      <c r="AZ97" s="7">
        <v>3</v>
      </c>
      <c r="BA97" s="7">
        <v>3.5</v>
      </c>
      <c r="BB97" t="s">
        <v>301</v>
      </c>
      <c r="BC97" s="7">
        <v>27</v>
      </c>
      <c r="BD97" t="s">
        <v>524</v>
      </c>
      <c r="BH97" s="5" t="str">
        <f t="shared" si="3"/>
        <v/>
      </c>
      <c r="BI97" s="5" t="str">
        <f t="shared" si="4"/>
        <v/>
      </c>
    </row>
    <row r="98" spans="2:61" x14ac:dyDescent="0.35">
      <c r="B98" t="s">
        <v>1004</v>
      </c>
      <c r="C98" s="7">
        <v>2007</v>
      </c>
      <c r="D98" t="s">
        <v>1558</v>
      </c>
      <c r="E98" t="s">
        <v>1005</v>
      </c>
      <c r="F98" t="s">
        <v>1557</v>
      </c>
      <c r="G98" t="s">
        <v>226</v>
      </c>
      <c r="H98" s="7">
        <v>3.21</v>
      </c>
      <c r="I98" s="7">
        <v>3</v>
      </c>
      <c r="J98" s="7">
        <v>3</v>
      </c>
      <c r="K98" s="7">
        <v>3</v>
      </c>
      <c r="L98" s="7">
        <v>3.5</v>
      </c>
      <c r="M98" s="7">
        <v>3.5</v>
      </c>
      <c r="N98" s="7">
        <v>2.5</v>
      </c>
      <c r="O98" s="7">
        <v>4</v>
      </c>
      <c r="P98" t="s">
        <v>227</v>
      </c>
      <c r="Q98" s="7">
        <v>96</v>
      </c>
      <c r="R98" t="s">
        <v>384</v>
      </c>
      <c r="U98" t="s">
        <v>927</v>
      </c>
      <c r="V98" s="7">
        <v>2013</v>
      </c>
      <c r="W98" t="s">
        <v>1554</v>
      </c>
      <c r="X98" t="s">
        <v>689</v>
      </c>
      <c r="Y98" t="s">
        <v>1557</v>
      </c>
      <c r="Z98" t="s">
        <v>928</v>
      </c>
      <c r="AA98" s="7">
        <v>4.29</v>
      </c>
      <c r="AB98" s="7">
        <v>4</v>
      </c>
      <c r="AC98" s="7">
        <v>4.5</v>
      </c>
      <c r="AD98" s="7">
        <v>4.5</v>
      </c>
      <c r="AE98" s="7">
        <v>3</v>
      </c>
      <c r="AF98" s="7">
        <v>4.5</v>
      </c>
      <c r="AG98" s="7">
        <v>4.5</v>
      </c>
      <c r="AH98" s="7">
        <v>5</v>
      </c>
      <c r="AI98" t="s">
        <v>192</v>
      </c>
      <c r="AJ98" s="7">
        <v>116</v>
      </c>
      <c r="AK98" t="s">
        <v>441</v>
      </c>
      <c r="AN98" t="s">
        <v>1752</v>
      </c>
      <c r="AO98" s="7">
        <v>2015</v>
      </c>
      <c r="AP98" t="s">
        <v>1554</v>
      </c>
      <c r="AQ98" t="s">
        <v>1753</v>
      </c>
      <c r="AR98" t="s">
        <v>1559</v>
      </c>
      <c r="AS98" t="s">
        <v>1754</v>
      </c>
      <c r="AT98" s="38">
        <v>3.14</v>
      </c>
      <c r="AU98" s="7">
        <v>2</v>
      </c>
      <c r="AV98" s="7">
        <v>2.5</v>
      </c>
      <c r="AW98" s="7">
        <v>2.5</v>
      </c>
      <c r="AX98" s="7">
        <v>3.5</v>
      </c>
      <c r="AY98" s="7">
        <v>3.5</v>
      </c>
      <c r="AZ98" s="7">
        <v>4.5</v>
      </c>
      <c r="BA98" s="7">
        <v>3.5</v>
      </c>
      <c r="BB98" t="s">
        <v>1677</v>
      </c>
      <c r="BC98" s="7">
        <v>300</v>
      </c>
      <c r="BD98" t="s">
        <v>1702</v>
      </c>
      <c r="BH98" s="5" t="str">
        <f t="shared" si="3"/>
        <v/>
      </c>
      <c r="BI98" s="5" t="str">
        <f t="shared" si="4"/>
        <v/>
      </c>
    </row>
    <row r="99" spans="2:61" x14ac:dyDescent="0.35">
      <c r="B99" t="s">
        <v>2332</v>
      </c>
      <c r="C99" s="7">
        <v>2007</v>
      </c>
      <c r="D99" t="s">
        <v>1556</v>
      </c>
      <c r="E99" t="s">
        <v>2333</v>
      </c>
      <c r="F99" t="s">
        <v>1557</v>
      </c>
      <c r="G99" t="s">
        <v>2334</v>
      </c>
      <c r="H99" s="7">
        <v>3.43</v>
      </c>
      <c r="I99" s="7">
        <v>3</v>
      </c>
      <c r="J99" s="7">
        <v>3</v>
      </c>
      <c r="K99" s="7">
        <v>3.5</v>
      </c>
      <c r="L99" s="7">
        <v>4</v>
      </c>
      <c r="M99" s="7">
        <v>3.5</v>
      </c>
      <c r="N99" s="7">
        <v>4</v>
      </c>
      <c r="O99" s="7">
        <v>3</v>
      </c>
      <c r="P99" t="s">
        <v>210</v>
      </c>
      <c r="Q99" s="7">
        <v>87</v>
      </c>
      <c r="R99" t="s">
        <v>2349</v>
      </c>
      <c r="U99" t="s">
        <v>1739</v>
      </c>
      <c r="V99" s="7">
        <v>2013</v>
      </c>
      <c r="W99" t="s">
        <v>1554</v>
      </c>
      <c r="X99" t="s">
        <v>1137</v>
      </c>
      <c r="Y99" t="s">
        <v>1557</v>
      </c>
      <c r="Z99" t="s">
        <v>1740</v>
      </c>
      <c r="AA99" s="7">
        <v>3.5</v>
      </c>
      <c r="AB99" s="7">
        <v>3</v>
      </c>
      <c r="AC99" s="7">
        <v>3.5</v>
      </c>
      <c r="AD99" s="7">
        <v>3.5</v>
      </c>
      <c r="AE99" s="7">
        <v>3.5</v>
      </c>
      <c r="AF99" s="7">
        <v>4</v>
      </c>
      <c r="AG99" s="7">
        <v>3.5</v>
      </c>
      <c r="AH99" s="7">
        <v>3.5</v>
      </c>
      <c r="AI99" t="s">
        <v>1672</v>
      </c>
      <c r="AJ99" s="7">
        <v>99</v>
      </c>
      <c r="AK99" t="s">
        <v>1690</v>
      </c>
      <c r="AN99" t="s">
        <v>671</v>
      </c>
      <c r="AO99" s="7">
        <v>2014</v>
      </c>
      <c r="AP99" t="s">
        <v>1554</v>
      </c>
      <c r="AQ99" t="s">
        <v>658</v>
      </c>
      <c r="AR99" t="s">
        <v>1559</v>
      </c>
      <c r="AS99" t="s">
        <v>672</v>
      </c>
      <c r="AT99" s="7">
        <v>3.14</v>
      </c>
      <c r="AU99" s="7">
        <v>3</v>
      </c>
      <c r="AV99" s="7">
        <v>3.5</v>
      </c>
      <c r="AW99" s="7">
        <v>3.5</v>
      </c>
      <c r="AX99" s="7">
        <v>3</v>
      </c>
      <c r="AY99" s="7">
        <v>2.5</v>
      </c>
      <c r="AZ99" s="7">
        <v>3.5</v>
      </c>
      <c r="BA99" s="7">
        <v>3</v>
      </c>
      <c r="BB99" t="s">
        <v>65</v>
      </c>
      <c r="BC99" s="7">
        <v>350</v>
      </c>
      <c r="BD99" t="s">
        <v>525</v>
      </c>
      <c r="BH99" s="5" t="str">
        <f t="shared" si="3"/>
        <v/>
      </c>
      <c r="BI99" s="5" t="str">
        <f t="shared" si="4"/>
        <v/>
      </c>
    </row>
    <row r="100" spans="2:61" x14ac:dyDescent="0.35">
      <c r="B100" t="s">
        <v>726</v>
      </c>
      <c r="C100" s="7">
        <v>2004</v>
      </c>
      <c r="D100" t="s">
        <v>1567</v>
      </c>
      <c r="E100" t="s">
        <v>88</v>
      </c>
      <c r="F100" t="s">
        <v>1557</v>
      </c>
      <c r="G100" t="s">
        <v>89</v>
      </c>
      <c r="H100" s="7">
        <v>1.57</v>
      </c>
      <c r="I100" s="7">
        <v>2</v>
      </c>
      <c r="J100" s="7">
        <v>2</v>
      </c>
      <c r="K100" s="7">
        <v>1.5</v>
      </c>
      <c r="L100" s="7">
        <v>1.5</v>
      </c>
      <c r="M100" s="7">
        <v>1.5</v>
      </c>
      <c r="N100" s="7">
        <v>1.5</v>
      </c>
      <c r="O100" s="7">
        <v>1</v>
      </c>
      <c r="P100" t="s">
        <v>90</v>
      </c>
      <c r="Q100" s="7">
        <v>87</v>
      </c>
      <c r="R100" t="s">
        <v>385</v>
      </c>
      <c r="U100" t="s">
        <v>228</v>
      </c>
      <c r="V100" s="7">
        <v>2013</v>
      </c>
      <c r="W100" t="s">
        <v>1554</v>
      </c>
      <c r="X100" t="s">
        <v>715</v>
      </c>
      <c r="Y100" t="s">
        <v>1557</v>
      </c>
      <c r="Z100" t="s">
        <v>229</v>
      </c>
      <c r="AA100" s="7">
        <v>2</v>
      </c>
      <c r="AB100" s="7">
        <v>2</v>
      </c>
      <c r="AC100" s="7">
        <v>3</v>
      </c>
      <c r="AD100" s="7">
        <v>5</v>
      </c>
      <c r="AE100" s="7">
        <v>1</v>
      </c>
      <c r="AF100" s="7">
        <v>1</v>
      </c>
      <c r="AG100" s="7">
        <v>1</v>
      </c>
      <c r="AH100" s="7">
        <v>1</v>
      </c>
      <c r="AI100" t="s">
        <v>146</v>
      </c>
      <c r="AJ100" s="7">
        <v>376</v>
      </c>
      <c r="AK100" t="s">
        <v>459</v>
      </c>
      <c r="AN100" t="s">
        <v>1712</v>
      </c>
      <c r="AO100" s="7">
        <v>2014</v>
      </c>
      <c r="AP100" t="s">
        <v>1554</v>
      </c>
      <c r="AQ100" t="s">
        <v>1594</v>
      </c>
      <c r="AR100" t="s">
        <v>1559</v>
      </c>
      <c r="AS100" t="s">
        <v>1713</v>
      </c>
      <c r="AT100" s="7">
        <v>3.36</v>
      </c>
      <c r="AU100" s="7">
        <v>3</v>
      </c>
      <c r="AV100" s="7">
        <v>3.5</v>
      </c>
      <c r="AW100" s="7">
        <v>3</v>
      </c>
      <c r="AX100" s="7">
        <v>3.5</v>
      </c>
      <c r="AY100" s="7">
        <v>3.5</v>
      </c>
      <c r="AZ100" s="7">
        <v>3.5</v>
      </c>
      <c r="BA100" s="7">
        <v>3.5</v>
      </c>
      <c r="BB100" t="s">
        <v>110</v>
      </c>
      <c r="BC100" s="7">
        <v>300</v>
      </c>
      <c r="BD100" t="s">
        <v>1703</v>
      </c>
      <c r="BH100" s="5" t="str">
        <f t="shared" si="3"/>
        <v/>
      </c>
      <c r="BI100" s="5" t="str">
        <f t="shared" si="4"/>
        <v/>
      </c>
    </row>
    <row r="101" spans="2:61" x14ac:dyDescent="0.35">
      <c r="B101" t="s">
        <v>2284</v>
      </c>
      <c r="C101" s="7">
        <v>2004</v>
      </c>
      <c r="D101" t="s">
        <v>1556</v>
      </c>
      <c r="E101" t="s">
        <v>2260</v>
      </c>
      <c r="F101" t="s">
        <v>1557</v>
      </c>
      <c r="G101" t="s">
        <v>2220</v>
      </c>
      <c r="H101" s="7">
        <v>3.36</v>
      </c>
      <c r="I101" s="7">
        <v>3.5</v>
      </c>
      <c r="J101" s="7">
        <v>3</v>
      </c>
      <c r="K101" s="7">
        <v>4</v>
      </c>
      <c r="L101" s="7">
        <v>4</v>
      </c>
      <c r="M101" s="7">
        <v>3</v>
      </c>
      <c r="N101" s="7">
        <v>3.5</v>
      </c>
      <c r="O101" s="7">
        <v>2.5</v>
      </c>
      <c r="P101" t="s">
        <v>259</v>
      </c>
      <c r="Q101" s="7">
        <v>76</v>
      </c>
      <c r="R101" t="s">
        <v>2350</v>
      </c>
      <c r="U101" t="s">
        <v>1275</v>
      </c>
      <c r="V101" s="7">
        <v>2013</v>
      </c>
      <c r="W101" t="s">
        <v>1554</v>
      </c>
      <c r="X101" t="s">
        <v>759</v>
      </c>
      <c r="Y101" t="s">
        <v>1555</v>
      </c>
      <c r="Z101" t="s">
        <v>1212</v>
      </c>
      <c r="AA101" s="7">
        <v>3.29</v>
      </c>
      <c r="AB101" s="7">
        <v>3</v>
      </c>
      <c r="AC101" s="7">
        <v>4</v>
      </c>
      <c r="AD101" s="7">
        <v>3.5</v>
      </c>
      <c r="AE101" s="7">
        <v>3</v>
      </c>
      <c r="AF101" s="7">
        <v>3.5</v>
      </c>
      <c r="AG101" s="7">
        <v>3</v>
      </c>
      <c r="AH101" s="7">
        <v>3</v>
      </c>
      <c r="AI101" t="s">
        <v>1213</v>
      </c>
      <c r="AJ101" s="7">
        <v>68</v>
      </c>
      <c r="AK101" t="s">
        <v>1239</v>
      </c>
      <c r="AN101" t="s">
        <v>711</v>
      </c>
      <c r="AO101" s="7">
        <v>2014</v>
      </c>
      <c r="AP101" t="s">
        <v>1554</v>
      </c>
      <c r="AQ101" t="s">
        <v>712</v>
      </c>
      <c r="AR101" t="s">
        <v>1559</v>
      </c>
      <c r="AS101" t="s">
        <v>713</v>
      </c>
      <c r="AT101" s="7">
        <v>2.71</v>
      </c>
      <c r="AU101" s="7">
        <v>2.5</v>
      </c>
      <c r="AV101" s="7">
        <v>3</v>
      </c>
      <c r="AW101" s="7">
        <v>3</v>
      </c>
      <c r="AX101" s="7">
        <v>4</v>
      </c>
      <c r="AY101" s="7">
        <v>1.5</v>
      </c>
      <c r="AZ101" s="7">
        <v>3</v>
      </c>
      <c r="BA101" s="7">
        <v>2</v>
      </c>
      <c r="BB101" t="s">
        <v>83</v>
      </c>
      <c r="BC101" s="7">
        <v>325</v>
      </c>
      <c r="BD101" t="s">
        <v>526</v>
      </c>
      <c r="BH101" s="5" t="str">
        <f t="shared" si="3"/>
        <v/>
      </c>
      <c r="BI101" s="5" t="str">
        <f t="shared" si="4"/>
        <v/>
      </c>
    </row>
    <row r="102" spans="2:61" x14ac:dyDescent="0.35">
      <c r="B102" t="s">
        <v>2271</v>
      </c>
      <c r="C102" s="7">
        <v>2003</v>
      </c>
      <c r="D102" t="s">
        <v>1556</v>
      </c>
      <c r="E102" t="s">
        <v>2260</v>
      </c>
      <c r="F102" t="s">
        <v>1557</v>
      </c>
      <c r="G102" t="s">
        <v>2209</v>
      </c>
      <c r="H102" s="7">
        <v>3.86</v>
      </c>
      <c r="I102" s="7">
        <v>4</v>
      </c>
      <c r="J102" s="7">
        <v>4</v>
      </c>
      <c r="K102" s="7">
        <v>4</v>
      </c>
      <c r="L102" s="7">
        <v>4</v>
      </c>
      <c r="M102" s="7">
        <v>3.5</v>
      </c>
      <c r="N102" s="7">
        <v>3.5</v>
      </c>
      <c r="O102" s="7">
        <v>4</v>
      </c>
      <c r="P102" t="s">
        <v>2210</v>
      </c>
      <c r="Q102" s="7">
        <v>85</v>
      </c>
      <c r="R102" t="s">
        <v>2351</v>
      </c>
      <c r="U102" t="s">
        <v>1276</v>
      </c>
      <c r="V102" s="7">
        <v>2013</v>
      </c>
      <c r="W102" t="s">
        <v>1554</v>
      </c>
      <c r="X102" t="s">
        <v>879</v>
      </c>
      <c r="Y102" t="s">
        <v>1557</v>
      </c>
      <c r="Z102" t="s">
        <v>1302</v>
      </c>
      <c r="AA102" s="7">
        <v>3.64</v>
      </c>
      <c r="AB102" s="7">
        <v>3</v>
      </c>
      <c r="AC102" s="7">
        <v>3.5</v>
      </c>
      <c r="AD102" s="7">
        <v>4</v>
      </c>
      <c r="AE102" s="7">
        <v>4.5</v>
      </c>
      <c r="AF102" s="7">
        <v>3.5</v>
      </c>
      <c r="AG102" s="7">
        <v>3.5</v>
      </c>
      <c r="AH102" s="7">
        <v>3.5</v>
      </c>
      <c r="AI102" t="s">
        <v>1214</v>
      </c>
      <c r="AJ102" s="7">
        <v>90</v>
      </c>
      <c r="AK102" t="s">
        <v>1240</v>
      </c>
      <c r="AN102" t="s">
        <v>717</v>
      </c>
      <c r="AO102" s="7">
        <v>2014</v>
      </c>
      <c r="AP102" t="s">
        <v>1554</v>
      </c>
      <c r="AQ102" t="s">
        <v>715</v>
      </c>
      <c r="AR102" t="s">
        <v>1559</v>
      </c>
      <c r="AS102" t="s">
        <v>718</v>
      </c>
      <c r="AT102" s="7">
        <v>3.5</v>
      </c>
      <c r="AU102" s="7">
        <v>3.5</v>
      </c>
      <c r="AV102" s="7">
        <v>3.5</v>
      </c>
      <c r="AW102" s="7">
        <v>3.5</v>
      </c>
      <c r="AX102" s="7">
        <v>3.5</v>
      </c>
      <c r="AY102" s="7">
        <v>3</v>
      </c>
      <c r="AZ102" s="7">
        <v>3.5</v>
      </c>
      <c r="BA102" s="7">
        <v>4</v>
      </c>
      <c r="BB102" t="s">
        <v>84</v>
      </c>
      <c r="BC102" s="7">
        <v>250</v>
      </c>
      <c r="BD102" t="s">
        <v>527</v>
      </c>
      <c r="BH102" s="5" t="str">
        <f t="shared" si="3"/>
        <v/>
      </c>
      <c r="BI102" s="5" t="str">
        <f t="shared" si="4"/>
        <v/>
      </c>
    </row>
    <row r="103" spans="2:61" x14ac:dyDescent="0.35">
      <c r="B103" t="s">
        <v>1408</v>
      </c>
      <c r="C103" s="7">
        <v>2003</v>
      </c>
      <c r="D103" t="s">
        <v>1556</v>
      </c>
      <c r="E103" t="s">
        <v>1294</v>
      </c>
      <c r="F103" t="s">
        <v>1557</v>
      </c>
      <c r="G103" t="s">
        <v>1355</v>
      </c>
      <c r="H103" s="7">
        <v>3.43</v>
      </c>
      <c r="I103" s="7">
        <v>3.5</v>
      </c>
      <c r="J103" s="7">
        <v>4</v>
      </c>
      <c r="K103" s="7">
        <v>3.5</v>
      </c>
      <c r="L103" s="7">
        <v>4</v>
      </c>
      <c r="M103" s="7">
        <v>3</v>
      </c>
      <c r="N103" s="7">
        <v>3.5</v>
      </c>
      <c r="O103" s="7">
        <v>2.5</v>
      </c>
      <c r="P103" t="s">
        <v>97</v>
      </c>
      <c r="Q103" s="7">
        <v>86</v>
      </c>
      <c r="R103" t="s">
        <v>1467</v>
      </c>
      <c r="U103" t="s">
        <v>1094</v>
      </c>
      <c r="V103" s="7">
        <v>2013</v>
      </c>
      <c r="W103" t="s">
        <v>1554</v>
      </c>
      <c r="X103" t="s">
        <v>652</v>
      </c>
      <c r="Y103" t="s">
        <v>1557</v>
      </c>
      <c r="Z103" t="s">
        <v>653</v>
      </c>
      <c r="AA103" s="7">
        <v>4.1399999999999997</v>
      </c>
      <c r="AB103" s="7">
        <v>4.5</v>
      </c>
      <c r="AC103" s="7">
        <v>4.5</v>
      </c>
      <c r="AD103" s="7">
        <v>3.5</v>
      </c>
      <c r="AE103" s="7">
        <v>3.5</v>
      </c>
      <c r="AF103" s="7">
        <v>4.5</v>
      </c>
      <c r="AG103" s="7">
        <v>3.5</v>
      </c>
      <c r="AH103" s="7">
        <v>5</v>
      </c>
      <c r="AI103" t="s">
        <v>100</v>
      </c>
      <c r="AJ103" s="7">
        <v>46</v>
      </c>
      <c r="AK103" t="s">
        <v>478</v>
      </c>
      <c r="AN103" t="s">
        <v>719</v>
      </c>
      <c r="AO103" s="7">
        <v>2014</v>
      </c>
      <c r="AP103" t="s">
        <v>1554</v>
      </c>
      <c r="AQ103" t="s">
        <v>715</v>
      </c>
      <c r="AR103" t="s">
        <v>1560</v>
      </c>
      <c r="AS103" t="s">
        <v>718</v>
      </c>
      <c r="AT103" s="7">
        <v>3.71</v>
      </c>
      <c r="AU103" s="7">
        <v>3.5</v>
      </c>
      <c r="AV103" s="7">
        <v>3.5</v>
      </c>
      <c r="AW103" s="7">
        <v>3.5</v>
      </c>
      <c r="AX103" s="7">
        <v>3.5</v>
      </c>
      <c r="AY103" s="7">
        <v>4</v>
      </c>
      <c r="AZ103" s="7">
        <v>4</v>
      </c>
      <c r="BA103" s="7">
        <v>4</v>
      </c>
      <c r="BB103" t="s">
        <v>85</v>
      </c>
      <c r="BC103" s="7">
        <v>120</v>
      </c>
      <c r="BD103" t="s">
        <v>528</v>
      </c>
      <c r="BH103" s="5" t="str">
        <f t="shared" si="3"/>
        <v/>
      </c>
      <c r="BI103" s="5" t="str">
        <f t="shared" si="4"/>
        <v/>
      </c>
    </row>
    <row r="104" spans="2:61" x14ac:dyDescent="0.35">
      <c r="B104" t="s">
        <v>1130</v>
      </c>
      <c r="C104" s="7">
        <v>2003</v>
      </c>
      <c r="D104" t="s">
        <v>1558</v>
      </c>
      <c r="E104" t="s">
        <v>1131</v>
      </c>
      <c r="F104" t="s">
        <v>1557</v>
      </c>
      <c r="G104" t="s">
        <v>1100</v>
      </c>
      <c r="H104" s="7">
        <v>3.93</v>
      </c>
      <c r="I104" s="7">
        <v>4.5</v>
      </c>
      <c r="J104" s="7">
        <v>5</v>
      </c>
      <c r="K104" s="7">
        <v>4.5</v>
      </c>
      <c r="L104" s="7">
        <v>3</v>
      </c>
      <c r="M104" s="7">
        <v>3.5</v>
      </c>
      <c r="N104" s="7">
        <v>2.5</v>
      </c>
      <c r="O104" s="7">
        <v>4.5</v>
      </c>
      <c r="P104" t="s">
        <v>351</v>
      </c>
      <c r="Q104" s="7">
        <v>78</v>
      </c>
      <c r="R104" t="s">
        <v>386</v>
      </c>
      <c r="U104" t="s">
        <v>1127</v>
      </c>
      <c r="V104" s="7">
        <v>2013</v>
      </c>
      <c r="W104" t="s">
        <v>1554</v>
      </c>
      <c r="X104" t="s">
        <v>747</v>
      </c>
      <c r="Y104" t="s">
        <v>1557</v>
      </c>
      <c r="Z104" t="s">
        <v>843</v>
      </c>
      <c r="AA104" s="7">
        <v>4.43</v>
      </c>
      <c r="AB104" s="7">
        <v>4.5</v>
      </c>
      <c r="AC104" s="7">
        <v>5</v>
      </c>
      <c r="AD104" s="7">
        <v>4.5</v>
      </c>
      <c r="AE104" s="7">
        <v>4</v>
      </c>
      <c r="AF104" s="7">
        <v>4</v>
      </c>
      <c r="AG104" s="7">
        <v>4</v>
      </c>
      <c r="AH104" s="7">
        <v>5</v>
      </c>
      <c r="AI104" t="s">
        <v>288</v>
      </c>
      <c r="AJ104" s="7">
        <v>137</v>
      </c>
      <c r="AK104" t="s">
        <v>487</v>
      </c>
      <c r="AN104" t="s">
        <v>2087</v>
      </c>
      <c r="AO104" s="7">
        <v>2014</v>
      </c>
      <c r="AP104" t="s">
        <v>1554</v>
      </c>
      <c r="AQ104" t="s">
        <v>759</v>
      </c>
      <c r="AR104" t="s">
        <v>1559</v>
      </c>
      <c r="AS104" t="s">
        <v>2088</v>
      </c>
      <c r="AT104" s="7">
        <v>2.71</v>
      </c>
      <c r="AU104" s="7">
        <v>2.5</v>
      </c>
      <c r="AV104" s="7">
        <v>3.5</v>
      </c>
      <c r="AW104" s="7">
        <v>3</v>
      </c>
      <c r="AX104" s="7">
        <v>3</v>
      </c>
      <c r="AY104" s="7">
        <v>2.5</v>
      </c>
      <c r="AZ104" s="7">
        <v>2.5</v>
      </c>
      <c r="BA104" s="7">
        <v>2</v>
      </c>
      <c r="BB104" t="s">
        <v>2089</v>
      </c>
      <c r="BC104" s="7">
        <v>625</v>
      </c>
      <c r="BD104" t="s">
        <v>2134</v>
      </c>
      <c r="BH104" s="5" t="str">
        <f t="shared" si="3"/>
        <v/>
      </c>
      <c r="BI104" s="5" t="str">
        <f t="shared" si="4"/>
        <v/>
      </c>
    </row>
    <row r="105" spans="2:61" x14ac:dyDescent="0.35">
      <c r="B105" t="s">
        <v>2286</v>
      </c>
      <c r="C105" s="7">
        <v>2002</v>
      </c>
      <c r="D105" t="s">
        <v>1556</v>
      </c>
      <c r="E105" t="s">
        <v>2260</v>
      </c>
      <c r="F105" t="s">
        <v>1557</v>
      </c>
      <c r="G105" t="s">
        <v>2222</v>
      </c>
      <c r="H105" s="7">
        <v>3.71</v>
      </c>
      <c r="I105" s="7">
        <v>3.5</v>
      </c>
      <c r="J105" s="7">
        <v>3.5</v>
      </c>
      <c r="K105" s="7">
        <v>4</v>
      </c>
      <c r="L105" s="7">
        <v>4</v>
      </c>
      <c r="M105" s="7">
        <v>4</v>
      </c>
      <c r="N105" s="7">
        <v>4</v>
      </c>
      <c r="O105" s="7">
        <v>3</v>
      </c>
      <c r="P105" t="s">
        <v>2223</v>
      </c>
      <c r="Q105" s="7">
        <v>85</v>
      </c>
      <c r="R105" t="s">
        <v>2352</v>
      </c>
      <c r="U105" t="s">
        <v>1132</v>
      </c>
      <c r="V105" s="7">
        <v>2013</v>
      </c>
      <c r="W105" t="s">
        <v>1554</v>
      </c>
      <c r="X105" t="s">
        <v>747</v>
      </c>
      <c r="Y105" t="s">
        <v>1557</v>
      </c>
      <c r="Z105" t="s">
        <v>748</v>
      </c>
      <c r="AA105" s="7">
        <v>3.36</v>
      </c>
      <c r="AB105" s="7">
        <v>4</v>
      </c>
      <c r="AC105" s="7">
        <v>3.5</v>
      </c>
      <c r="AD105" s="7">
        <v>3.5</v>
      </c>
      <c r="AE105" s="7">
        <v>3.5</v>
      </c>
      <c r="AF105" s="7">
        <v>3.5</v>
      </c>
      <c r="AG105" s="7">
        <v>2.5</v>
      </c>
      <c r="AH105" s="7">
        <v>3</v>
      </c>
      <c r="AI105" t="s">
        <v>291</v>
      </c>
      <c r="AJ105" s="7">
        <v>126</v>
      </c>
      <c r="AK105" t="s">
        <v>488</v>
      </c>
      <c r="AN105" t="s">
        <v>1717</v>
      </c>
      <c r="AO105" s="7">
        <v>2014</v>
      </c>
      <c r="AP105" t="s">
        <v>1554</v>
      </c>
      <c r="AQ105" t="s">
        <v>686</v>
      </c>
      <c r="AR105" t="s">
        <v>1559</v>
      </c>
      <c r="AS105" t="s">
        <v>1718</v>
      </c>
      <c r="AT105" s="7">
        <v>3.21</v>
      </c>
      <c r="AU105" s="7">
        <v>3</v>
      </c>
      <c r="AV105" s="7">
        <v>3</v>
      </c>
      <c r="AW105" s="7">
        <v>3.5</v>
      </c>
      <c r="AX105" s="7">
        <v>3.5</v>
      </c>
      <c r="AY105" s="7">
        <v>2</v>
      </c>
      <c r="AZ105" s="7">
        <v>4</v>
      </c>
      <c r="BA105" s="7">
        <v>3.5</v>
      </c>
      <c r="BB105" t="s">
        <v>144</v>
      </c>
      <c r="BC105" s="7">
        <v>300</v>
      </c>
      <c r="BD105" t="s">
        <v>1704</v>
      </c>
      <c r="BH105" s="5" t="str">
        <f t="shared" si="3"/>
        <v/>
      </c>
      <c r="BI105" s="5" t="str">
        <f t="shared" si="4"/>
        <v/>
      </c>
    </row>
    <row r="106" spans="2:61" x14ac:dyDescent="0.35">
      <c r="B106" t="s">
        <v>953</v>
      </c>
      <c r="C106" s="7">
        <v>2002</v>
      </c>
      <c r="D106" t="s">
        <v>1567</v>
      </c>
      <c r="E106" t="s">
        <v>954</v>
      </c>
      <c r="F106" t="s">
        <v>1557</v>
      </c>
      <c r="G106" t="s">
        <v>955</v>
      </c>
      <c r="H106" s="7">
        <v>1.43</v>
      </c>
      <c r="I106" s="7">
        <v>1.5</v>
      </c>
      <c r="J106" s="7">
        <v>1.5</v>
      </c>
      <c r="K106" s="7">
        <v>2</v>
      </c>
      <c r="L106" s="7">
        <v>1.5</v>
      </c>
      <c r="M106" s="7">
        <v>1.5</v>
      </c>
      <c r="N106" s="7">
        <v>1</v>
      </c>
      <c r="O106" s="7">
        <v>1</v>
      </c>
      <c r="P106" t="s">
        <v>202</v>
      </c>
      <c r="Q106" s="7">
        <v>80</v>
      </c>
      <c r="R106" t="s">
        <v>387</v>
      </c>
      <c r="U106" t="s">
        <v>76</v>
      </c>
      <c r="V106" s="7">
        <v>2012</v>
      </c>
      <c r="W106" t="s">
        <v>1554</v>
      </c>
      <c r="X106" t="s">
        <v>702</v>
      </c>
      <c r="Y106" t="s">
        <v>1557</v>
      </c>
      <c r="Z106" t="s">
        <v>703</v>
      </c>
      <c r="AA106" s="7">
        <v>4.3600000000000003</v>
      </c>
      <c r="AB106" s="7">
        <v>4</v>
      </c>
      <c r="AC106" s="7">
        <v>4.5</v>
      </c>
      <c r="AD106" s="7">
        <v>4.5</v>
      </c>
      <c r="AE106" s="7">
        <v>3.5</v>
      </c>
      <c r="AF106" s="7">
        <v>5</v>
      </c>
      <c r="AG106" s="7">
        <v>4</v>
      </c>
      <c r="AH106" s="7">
        <v>5</v>
      </c>
      <c r="AI106" t="s">
        <v>77</v>
      </c>
      <c r="AJ106" s="7">
        <v>288</v>
      </c>
      <c r="AK106" t="s">
        <v>409</v>
      </c>
      <c r="AN106" t="s">
        <v>1375</v>
      </c>
      <c r="AO106" s="7">
        <v>2014</v>
      </c>
      <c r="AP106" t="s">
        <v>1554</v>
      </c>
      <c r="AQ106" t="s">
        <v>814</v>
      </c>
      <c r="AR106" t="s">
        <v>1559</v>
      </c>
      <c r="AS106" t="s">
        <v>1440</v>
      </c>
      <c r="AT106" s="7">
        <v>3.86</v>
      </c>
      <c r="AU106" s="7">
        <v>4</v>
      </c>
      <c r="AV106" s="7">
        <v>4.5</v>
      </c>
      <c r="AW106" s="7">
        <v>4.5</v>
      </c>
      <c r="AX106" s="7">
        <v>3.5</v>
      </c>
      <c r="AY106" s="7">
        <v>3.5</v>
      </c>
      <c r="AZ106" s="7">
        <v>3.5</v>
      </c>
      <c r="BA106" s="7">
        <v>3.5</v>
      </c>
      <c r="BB106" t="s">
        <v>1336</v>
      </c>
      <c r="BC106" s="7">
        <v>735</v>
      </c>
      <c r="BD106" t="s">
        <v>1499</v>
      </c>
      <c r="BH106" s="5" t="str">
        <f t="shared" si="3"/>
        <v/>
      </c>
      <c r="BI106" s="5" t="str">
        <f t="shared" si="4"/>
        <v/>
      </c>
    </row>
    <row r="107" spans="2:61" x14ac:dyDescent="0.35">
      <c r="B107" t="s">
        <v>1411</v>
      </c>
      <c r="C107" s="7">
        <v>2002</v>
      </c>
      <c r="D107" t="s">
        <v>1556</v>
      </c>
      <c r="E107" t="s">
        <v>1294</v>
      </c>
      <c r="F107" t="s">
        <v>1557</v>
      </c>
      <c r="G107" t="s">
        <v>1459</v>
      </c>
      <c r="H107" s="7">
        <v>4.1399999999999997</v>
      </c>
      <c r="I107" s="7">
        <v>4</v>
      </c>
      <c r="J107" s="7">
        <v>4</v>
      </c>
      <c r="K107" s="7">
        <v>4</v>
      </c>
      <c r="L107" s="7">
        <v>4.5</v>
      </c>
      <c r="M107" s="7">
        <v>4.5</v>
      </c>
      <c r="N107" s="7">
        <v>3.5</v>
      </c>
      <c r="O107" s="7">
        <v>4.5</v>
      </c>
      <c r="P107" t="s">
        <v>1357</v>
      </c>
      <c r="Q107" s="7">
        <v>84</v>
      </c>
      <c r="R107" t="s">
        <v>1468</v>
      </c>
      <c r="U107" t="s">
        <v>737</v>
      </c>
      <c r="V107" s="7">
        <v>2012</v>
      </c>
      <c r="W107" t="s">
        <v>1554</v>
      </c>
      <c r="X107" t="s">
        <v>731</v>
      </c>
      <c r="Y107" t="s">
        <v>1557</v>
      </c>
      <c r="Z107" t="s">
        <v>738</v>
      </c>
      <c r="AA107" s="7">
        <v>2.36</v>
      </c>
      <c r="AB107" s="7">
        <v>3.5</v>
      </c>
      <c r="AC107" s="7">
        <v>3.5</v>
      </c>
      <c r="AD107" s="7">
        <v>2</v>
      </c>
      <c r="AE107" s="7">
        <v>1.5</v>
      </c>
      <c r="AF107" s="7">
        <v>2</v>
      </c>
      <c r="AG107" s="7">
        <v>2</v>
      </c>
      <c r="AH107" s="7">
        <v>2</v>
      </c>
      <c r="AI107" t="s">
        <v>94</v>
      </c>
      <c r="AJ107" s="7">
        <v>110</v>
      </c>
      <c r="AK107" t="s">
        <v>413</v>
      </c>
      <c r="AN107" t="s">
        <v>1394</v>
      </c>
      <c r="AO107" s="7">
        <v>2014</v>
      </c>
      <c r="AP107" t="s">
        <v>1554</v>
      </c>
      <c r="AQ107" t="s">
        <v>689</v>
      </c>
      <c r="AR107" t="s">
        <v>1559</v>
      </c>
      <c r="AS107" t="s">
        <v>1201</v>
      </c>
      <c r="AT107" s="7">
        <v>3.71</v>
      </c>
      <c r="AU107" s="7">
        <v>3</v>
      </c>
      <c r="AV107" s="7">
        <v>4</v>
      </c>
      <c r="AW107" s="7">
        <v>4</v>
      </c>
      <c r="AX107" s="7">
        <v>4</v>
      </c>
      <c r="AY107" s="7">
        <v>4</v>
      </c>
      <c r="AZ107" s="7">
        <v>3.5</v>
      </c>
      <c r="BA107" s="7">
        <v>3.5</v>
      </c>
      <c r="BB107" t="s">
        <v>1346</v>
      </c>
      <c r="BC107" s="7">
        <v>752</v>
      </c>
      <c r="BD107" t="s">
        <v>1511</v>
      </c>
      <c r="BH107" s="5" t="str">
        <f t="shared" si="3"/>
        <v/>
      </c>
      <c r="BI107" s="5" t="str">
        <f t="shared" si="4"/>
        <v/>
      </c>
    </row>
    <row r="108" spans="2:61" x14ac:dyDescent="0.35">
      <c r="B108" t="s">
        <v>2338</v>
      </c>
      <c r="C108" s="7">
        <v>2002</v>
      </c>
      <c r="D108" t="s">
        <v>1556</v>
      </c>
      <c r="E108" t="s">
        <v>2260</v>
      </c>
      <c r="F108" t="s">
        <v>1557</v>
      </c>
      <c r="G108" t="s">
        <v>2202</v>
      </c>
      <c r="H108" s="7">
        <v>4.3600000000000003</v>
      </c>
      <c r="I108" s="7">
        <v>5</v>
      </c>
      <c r="J108" s="7">
        <v>5</v>
      </c>
      <c r="K108" s="7">
        <v>4</v>
      </c>
      <c r="L108" s="7">
        <v>3.5</v>
      </c>
      <c r="M108" s="7">
        <v>4</v>
      </c>
      <c r="N108" s="7">
        <v>4</v>
      </c>
      <c r="O108" s="7">
        <v>5</v>
      </c>
      <c r="P108" t="s">
        <v>2256</v>
      </c>
      <c r="Q108" s="7">
        <v>95</v>
      </c>
      <c r="R108" t="s">
        <v>2353</v>
      </c>
      <c r="U108" t="s">
        <v>1261</v>
      </c>
      <c r="V108" s="7">
        <v>2012</v>
      </c>
      <c r="W108" t="s">
        <v>1554</v>
      </c>
      <c r="X108" t="s">
        <v>1286</v>
      </c>
      <c r="Y108" t="s">
        <v>1557</v>
      </c>
      <c r="Z108" t="s">
        <v>1193</v>
      </c>
      <c r="AA108" s="7">
        <v>3.57</v>
      </c>
      <c r="AB108" s="7">
        <v>4.5</v>
      </c>
      <c r="AC108" s="7">
        <v>4</v>
      </c>
      <c r="AD108" s="7">
        <v>3.5</v>
      </c>
      <c r="AE108" s="7">
        <v>3.5</v>
      </c>
      <c r="AF108" s="7">
        <v>3</v>
      </c>
      <c r="AG108" s="7">
        <v>3</v>
      </c>
      <c r="AH108" s="7">
        <v>3.5</v>
      </c>
      <c r="AI108" t="s">
        <v>223</v>
      </c>
      <c r="AJ108" s="7">
        <v>96</v>
      </c>
      <c r="AK108" t="s">
        <v>1241</v>
      </c>
      <c r="AN108" t="s">
        <v>982</v>
      </c>
      <c r="AO108" s="7">
        <v>2014</v>
      </c>
      <c r="AP108" t="s">
        <v>1554</v>
      </c>
      <c r="AQ108" t="s">
        <v>694</v>
      </c>
      <c r="AR108" t="s">
        <v>1559</v>
      </c>
      <c r="AS108" t="s">
        <v>983</v>
      </c>
      <c r="AT108" s="7">
        <v>3.71</v>
      </c>
      <c r="AU108" s="7">
        <v>3.5</v>
      </c>
      <c r="AV108" s="7">
        <v>3.5</v>
      </c>
      <c r="AW108" s="7">
        <v>4</v>
      </c>
      <c r="AX108" s="7">
        <v>4</v>
      </c>
      <c r="AY108" s="7">
        <v>3</v>
      </c>
      <c r="AZ108" s="7">
        <v>4</v>
      </c>
      <c r="BA108" s="7">
        <v>4</v>
      </c>
      <c r="BB108" t="s">
        <v>215</v>
      </c>
      <c r="BC108" s="7">
        <v>300</v>
      </c>
      <c r="BD108" t="s">
        <v>529</v>
      </c>
      <c r="BH108" s="5" t="str">
        <f t="shared" si="3"/>
        <v/>
      </c>
      <c r="BI108" s="5" t="str">
        <f t="shared" si="4"/>
        <v/>
      </c>
    </row>
    <row r="109" spans="2:61" x14ac:dyDescent="0.35">
      <c r="B109" t="s">
        <v>2264</v>
      </c>
      <c r="C109" s="7">
        <v>2001</v>
      </c>
      <c r="D109" t="s">
        <v>1556</v>
      </c>
      <c r="E109" t="s">
        <v>2260</v>
      </c>
      <c r="F109" t="s">
        <v>1557</v>
      </c>
      <c r="G109" t="s">
        <v>2205</v>
      </c>
      <c r="H109" s="7">
        <v>3.71</v>
      </c>
      <c r="I109" s="7">
        <v>3.5</v>
      </c>
      <c r="J109" s="7">
        <v>4</v>
      </c>
      <c r="K109" s="7">
        <v>4</v>
      </c>
      <c r="L109" s="7">
        <v>3.5</v>
      </c>
      <c r="M109" s="7">
        <v>4</v>
      </c>
      <c r="N109" s="7">
        <v>3.5</v>
      </c>
      <c r="O109" s="7">
        <v>3.5</v>
      </c>
      <c r="P109" t="s">
        <v>2206</v>
      </c>
      <c r="Q109" s="7">
        <v>96</v>
      </c>
      <c r="R109" t="s">
        <v>2354</v>
      </c>
      <c r="U109" t="s">
        <v>1373</v>
      </c>
      <c r="V109" s="7">
        <v>2012</v>
      </c>
      <c r="W109" t="s">
        <v>1554</v>
      </c>
      <c r="X109" t="s">
        <v>715</v>
      </c>
      <c r="Y109" t="s">
        <v>1557</v>
      </c>
      <c r="Z109" t="s">
        <v>1439</v>
      </c>
      <c r="AA109" s="7">
        <v>3.21</v>
      </c>
      <c r="AB109" s="7">
        <v>3</v>
      </c>
      <c r="AC109" s="7">
        <v>3</v>
      </c>
      <c r="AD109" s="7">
        <v>3</v>
      </c>
      <c r="AE109" s="7">
        <v>3</v>
      </c>
      <c r="AF109" s="7">
        <v>3.5</v>
      </c>
      <c r="AG109" s="7">
        <v>4</v>
      </c>
      <c r="AH109" s="7">
        <v>3</v>
      </c>
      <c r="AI109" t="s">
        <v>230</v>
      </c>
      <c r="AJ109" s="7">
        <v>86</v>
      </c>
      <c r="AK109" t="s">
        <v>1475</v>
      </c>
      <c r="AN109" t="s">
        <v>985</v>
      </c>
      <c r="AO109" s="7">
        <v>2014</v>
      </c>
      <c r="AP109" t="s">
        <v>1554</v>
      </c>
      <c r="AQ109" t="s">
        <v>734</v>
      </c>
      <c r="AR109" t="s">
        <v>1559</v>
      </c>
      <c r="AS109" t="s">
        <v>986</v>
      </c>
      <c r="AT109" s="7">
        <v>3.5</v>
      </c>
      <c r="AU109" s="7">
        <v>3</v>
      </c>
      <c r="AV109" s="7">
        <v>3.5</v>
      </c>
      <c r="AW109" s="7">
        <v>4</v>
      </c>
      <c r="AX109" s="7">
        <v>3</v>
      </c>
      <c r="AY109" s="7">
        <v>3.5</v>
      </c>
      <c r="AZ109" s="7">
        <v>4</v>
      </c>
      <c r="BA109" s="7">
        <v>3.5</v>
      </c>
      <c r="BB109" t="s">
        <v>217</v>
      </c>
      <c r="BC109" s="7">
        <v>625</v>
      </c>
      <c r="BD109" t="s">
        <v>530</v>
      </c>
      <c r="BH109" s="5" t="str">
        <f t="shared" si="3"/>
        <v/>
      </c>
      <c r="BI109" s="5" t="str">
        <f t="shared" si="4"/>
        <v/>
      </c>
    </row>
    <row r="110" spans="2:61" x14ac:dyDescent="0.35">
      <c r="B110" t="s">
        <v>1265</v>
      </c>
      <c r="C110" s="7">
        <v>2000</v>
      </c>
      <c r="D110" t="s">
        <v>1556</v>
      </c>
      <c r="E110" t="s">
        <v>1289</v>
      </c>
      <c r="F110" t="s">
        <v>1557</v>
      </c>
      <c r="G110" t="s">
        <v>1197</v>
      </c>
      <c r="H110" s="7">
        <v>2.64</v>
      </c>
      <c r="I110" s="7">
        <v>2.5</v>
      </c>
      <c r="J110" s="7">
        <v>3</v>
      </c>
      <c r="K110" s="7">
        <v>3</v>
      </c>
      <c r="L110" s="7">
        <v>3</v>
      </c>
      <c r="M110" s="7">
        <v>2.5</v>
      </c>
      <c r="N110" s="7">
        <v>2.5</v>
      </c>
      <c r="O110" s="7">
        <v>2</v>
      </c>
      <c r="P110" t="s">
        <v>202</v>
      </c>
      <c r="Q110" s="7">
        <v>75</v>
      </c>
      <c r="R110" t="s">
        <v>1226</v>
      </c>
      <c r="U110" t="s">
        <v>926</v>
      </c>
      <c r="V110" s="7">
        <v>2012</v>
      </c>
      <c r="W110" t="s">
        <v>1554</v>
      </c>
      <c r="X110" t="s">
        <v>689</v>
      </c>
      <c r="Y110" t="s">
        <v>1557</v>
      </c>
      <c r="Z110" t="s">
        <v>190</v>
      </c>
      <c r="AA110" s="7">
        <v>4.21</v>
      </c>
      <c r="AB110" s="7">
        <v>4</v>
      </c>
      <c r="AC110" s="7">
        <v>4.5</v>
      </c>
      <c r="AD110" s="7">
        <v>4.5</v>
      </c>
      <c r="AE110" s="7">
        <v>3.5</v>
      </c>
      <c r="AF110" s="7">
        <v>4.5</v>
      </c>
      <c r="AG110" s="7">
        <v>4</v>
      </c>
      <c r="AH110" s="7">
        <v>4.5</v>
      </c>
      <c r="AI110" t="s">
        <v>191</v>
      </c>
      <c r="AJ110" s="7">
        <v>240</v>
      </c>
      <c r="AK110" t="s">
        <v>440</v>
      </c>
      <c r="AN110" t="s">
        <v>1009</v>
      </c>
      <c r="AO110" s="7">
        <v>2014</v>
      </c>
      <c r="AP110" t="s">
        <v>1554</v>
      </c>
      <c r="AQ110" t="s">
        <v>1010</v>
      </c>
      <c r="AR110" t="s">
        <v>1559</v>
      </c>
      <c r="AS110" t="s">
        <v>788</v>
      </c>
      <c r="AT110" s="7">
        <v>4.21</v>
      </c>
      <c r="AU110" s="7">
        <v>4</v>
      </c>
      <c r="AV110" s="7">
        <v>4</v>
      </c>
      <c r="AW110" s="7">
        <v>4</v>
      </c>
      <c r="AX110" s="7">
        <v>4.5</v>
      </c>
      <c r="AY110" s="7">
        <v>4.5</v>
      </c>
      <c r="AZ110" s="7">
        <v>3.5</v>
      </c>
      <c r="BA110" s="7">
        <v>5</v>
      </c>
      <c r="BB110" t="s">
        <v>231</v>
      </c>
      <c r="BC110" s="7">
        <v>275</v>
      </c>
      <c r="BD110" t="s">
        <v>531</v>
      </c>
      <c r="BH110" s="5" t="str">
        <f t="shared" si="3"/>
        <v/>
      </c>
      <c r="BI110" s="5" t="str">
        <f t="shared" si="4"/>
        <v/>
      </c>
    </row>
    <row r="111" spans="2:61" x14ac:dyDescent="0.35">
      <c r="B111" t="s">
        <v>2316</v>
      </c>
      <c r="C111" s="7">
        <v>2000</v>
      </c>
      <c r="D111" t="s">
        <v>1556</v>
      </c>
      <c r="E111" t="s">
        <v>2260</v>
      </c>
      <c r="F111" t="s">
        <v>1557</v>
      </c>
      <c r="G111" t="s">
        <v>2317</v>
      </c>
      <c r="H111" s="7">
        <v>3.64</v>
      </c>
      <c r="I111" s="7">
        <v>3.5</v>
      </c>
      <c r="J111" s="7">
        <v>3.5</v>
      </c>
      <c r="K111" s="7">
        <v>3.5</v>
      </c>
      <c r="L111" s="7">
        <v>4.5</v>
      </c>
      <c r="M111" s="7">
        <v>2.5</v>
      </c>
      <c r="N111" s="7">
        <v>5</v>
      </c>
      <c r="O111" s="7">
        <v>3</v>
      </c>
      <c r="P111" t="s">
        <v>2244</v>
      </c>
      <c r="Q111" s="7">
        <v>78</v>
      </c>
      <c r="R111" t="s">
        <v>2355</v>
      </c>
      <c r="U111" t="s">
        <v>1395</v>
      </c>
      <c r="V111" s="7">
        <v>2012</v>
      </c>
      <c r="W111" t="s">
        <v>1554</v>
      </c>
      <c r="X111" t="s">
        <v>681</v>
      </c>
      <c r="Y111" t="s">
        <v>1557</v>
      </c>
      <c r="Z111" t="s">
        <v>1450</v>
      </c>
      <c r="AA111" s="7">
        <v>2.86</v>
      </c>
      <c r="AB111" s="7">
        <v>3</v>
      </c>
      <c r="AC111" s="7">
        <v>2.5</v>
      </c>
      <c r="AD111" s="7">
        <v>3</v>
      </c>
      <c r="AE111" s="7">
        <v>3.5</v>
      </c>
      <c r="AF111" s="7">
        <v>2.5</v>
      </c>
      <c r="AG111" s="7">
        <v>3</v>
      </c>
      <c r="AH111" s="7">
        <v>2.5</v>
      </c>
      <c r="AI111" t="s">
        <v>207</v>
      </c>
      <c r="AJ111" s="7">
        <v>107</v>
      </c>
      <c r="AK111" t="s">
        <v>1485</v>
      </c>
      <c r="AN111" t="s">
        <v>2512</v>
      </c>
      <c r="AO111" s="7">
        <v>2014</v>
      </c>
      <c r="AP111" t="s">
        <v>1554</v>
      </c>
      <c r="AQ111" t="s">
        <v>2532</v>
      </c>
      <c r="AR111" t="s">
        <v>1559</v>
      </c>
      <c r="AS111" t="s">
        <v>2491</v>
      </c>
      <c r="AT111" s="7">
        <v>3.79</v>
      </c>
      <c r="AU111" s="7">
        <v>3</v>
      </c>
      <c r="AV111" s="7">
        <v>3.5</v>
      </c>
      <c r="AW111" s="7">
        <v>4.5</v>
      </c>
      <c r="AX111" s="7">
        <v>3.5</v>
      </c>
      <c r="AY111" s="7">
        <v>4</v>
      </c>
      <c r="AZ111" s="7">
        <v>4</v>
      </c>
      <c r="BA111" s="7">
        <v>4</v>
      </c>
      <c r="BB111" t="s">
        <v>224</v>
      </c>
      <c r="BC111" s="7">
        <v>275</v>
      </c>
      <c r="BD111" t="s">
        <v>2562</v>
      </c>
      <c r="BH111" s="5" t="str">
        <f t="shared" si="3"/>
        <v/>
      </c>
      <c r="BI111" s="5" t="str">
        <f t="shared" si="4"/>
        <v/>
      </c>
    </row>
    <row r="112" spans="2:61" x14ac:dyDescent="0.35">
      <c r="B112" t="s">
        <v>1280</v>
      </c>
      <c r="C112" s="7">
        <v>2000</v>
      </c>
      <c r="D112" t="s">
        <v>1556</v>
      </c>
      <c r="E112" t="s">
        <v>1294</v>
      </c>
      <c r="F112" t="s">
        <v>1557</v>
      </c>
      <c r="G112" t="s">
        <v>1220</v>
      </c>
      <c r="H112" s="7">
        <v>3.71</v>
      </c>
      <c r="I112" s="7">
        <v>3.5</v>
      </c>
      <c r="J112" s="7">
        <v>4</v>
      </c>
      <c r="K112" s="7">
        <v>3.5</v>
      </c>
      <c r="L112" s="7">
        <v>4</v>
      </c>
      <c r="M112" s="7">
        <v>2.5</v>
      </c>
      <c r="N112" s="7">
        <v>4.5</v>
      </c>
      <c r="O112" s="7">
        <v>4</v>
      </c>
      <c r="P112" t="s">
        <v>184</v>
      </c>
      <c r="Q112" s="7">
        <v>90</v>
      </c>
      <c r="R112" t="s">
        <v>1227</v>
      </c>
      <c r="U112" t="s">
        <v>1019</v>
      </c>
      <c r="V112" s="7">
        <v>2012</v>
      </c>
      <c r="W112" t="s">
        <v>1554</v>
      </c>
      <c r="X112" t="s">
        <v>759</v>
      </c>
      <c r="Y112" t="s">
        <v>1557</v>
      </c>
      <c r="Z112" t="s">
        <v>845</v>
      </c>
      <c r="AA112" s="7">
        <v>2.93</v>
      </c>
      <c r="AB112" s="7">
        <v>4.5</v>
      </c>
      <c r="AC112" s="7">
        <v>4.5</v>
      </c>
      <c r="AD112" s="7">
        <v>2</v>
      </c>
      <c r="AE112" s="7">
        <v>3</v>
      </c>
      <c r="AF112" s="7">
        <v>1</v>
      </c>
      <c r="AG112" s="7">
        <v>3.5</v>
      </c>
      <c r="AH112" s="7">
        <v>2</v>
      </c>
      <c r="AI112" t="s">
        <v>344</v>
      </c>
      <c r="AJ112" s="7">
        <v>110</v>
      </c>
      <c r="AK112" t="s">
        <v>464</v>
      </c>
      <c r="AN112" t="s">
        <v>1022</v>
      </c>
      <c r="AO112" s="7">
        <v>2014</v>
      </c>
      <c r="AP112" t="s">
        <v>1554</v>
      </c>
      <c r="AQ112" t="s">
        <v>1023</v>
      </c>
      <c r="AR112" t="s">
        <v>1559</v>
      </c>
      <c r="AS112" t="s">
        <v>1024</v>
      </c>
      <c r="AT112" s="7">
        <v>4</v>
      </c>
      <c r="AU112" s="7">
        <v>4</v>
      </c>
      <c r="AV112" s="7">
        <v>4</v>
      </c>
      <c r="AW112" s="7">
        <v>3.5</v>
      </c>
      <c r="AX112" s="7">
        <v>4</v>
      </c>
      <c r="AY112" s="7">
        <v>3.5</v>
      </c>
      <c r="AZ112" s="7">
        <v>4</v>
      </c>
      <c r="BA112" s="7">
        <v>5</v>
      </c>
      <c r="BB112" t="s">
        <v>130</v>
      </c>
      <c r="BC112" s="7">
        <v>300</v>
      </c>
      <c r="BD112" t="s">
        <v>532</v>
      </c>
      <c r="BH112" s="5" t="str">
        <f t="shared" si="3"/>
        <v/>
      </c>
      <c r="BI112" s="5" t="str">
        <f t="shared" si="4"/>
        <v/>
      </c>
    </row>
    <row r="113" spans="2:61" x14ac:dyDescent="0.35">
      <c r="B113" t="s">
        <v>2457</v>
      </c>
      <c r="C113" s="7">
        <v>2000</v>
      </c>
      <c r="D113" t="s">
        <v>1556</v>
      </c>
      <c r="E113" t="s">
        <v>2411</v>
      </c>
      <c r="F113" t="s">
        <v>1557</v>
      </c>
      <c r="G113" t="s">
        <v>293</v>
      </c>
      <c r="H113" s="7">
        <v>3.29</v>
      </c>
      <c r="I113" s="7">
        <v>3.5</v>
      </c>
      <c r="J113" s="7">
        <v>3.5</v>
      </c>
      <c r="K113" s="7">
        <v>3.5</v>
      </c>
      <c r="L113" s="7">
        <v>3.5</v>
      </c>
      <c r="M113" s="7">
        <v>3</v>
      </c>
      <c r="N113" s="7">
        <v>3</v>
      </c>
      <c r="O113" s="7">
        <v>3</v>
      </c>
      <c r="P113" t="s">
        <v>2458</v>
      </c>
      <c r="Q113" s="7">
        <v>94</v>
      </c>
      <c r="R113" t="s">
        <v>2466</v>
      </c>
      <c r="U113" t="s">
        <v>1106</v>
      </c>
      <c r="V113" s="7">
        <v>2012</v>
      </c>
      <c r="W113" t="s">
        <v>1554</v>
      </c>
      <c r="X113" t="s">
        <v>1107</v>
      </c>
      <c r="Y113" t="s">
        <v>1557</v>
      </c>
      <c r="Z113" t="s">
        <v>975</v>
      </c>
      <c r="AA113" s="7">
        <v>3.29</v>
      </c>
      <c r="AB113" s="7">
        <v>3.5</v>
      </c>
      <c r="AC113" s="7">
        <v>3.5</v>
      </c>
      <c r="AD113" s="7">
        <v>3.5</v>
      </c>
      <c r="AE113" s="7">
        <v>2.5</v>
      </c>
      <c r="AF113" s="7">
        <v>3</v>
      </c>
      <c r="AG113" s="7">
        <v>3</v>
      </c>
      <c r="AH113" s="7">
        <v>4</v>
      </c>
      <c r="AI113" t="s">
        <v>274</v>
      </c>
      <c r="AJ113" s="7">
        <v>105</v>
      </c>
      <c r="AK113" t="s">
        <v>481</v>
      </c>
      <c r="AN113" t="s">
        <v>1025</v>
      </c>
      <c r="AO113" s="7">
        <v>2014</v>
      </c>
      <c r="AP113" t="s">
        <v>1554</v>
      </c>
      <c r="AQ113" t="s">
        <v>1026</v>
      </c>
      <c r="AR113" t="s">
        <v>1559</v>
      </c>
      <c r="AS113" t="s">
        <v>1027</v>
      </c>
      <c r="AT113" s="7">
        <v>3</v>
      </c>
      <c r="AU113" s="7">
        <v>3</v>
      </c>
      <c r="AV113" s="7">
        <v>3</v>
      </c>
      <c r="AW113" s="7">
        <v>3.5</v>
      </c>
      <c r="AX113" s="7">
        <v>3</v>
      </c>
      <c r="AY113" s="7">
        <v>2.5</v>
      </c>
      <c r="AZ113" s="7">
        <v>3</v>
      </c>
      <c r="BA113" s="7">
        <v>3</v>
      </c>
      <c r="BB113" t="s">
        <v>237</v>
      </c>
      <c r="BC113" s="7">
        <v>300</v>
      </c>
      <c r="BD113" t="s">
        <v>533</v>
      </c>
      <c r="BH113" s="5" t="str">
        <f t="shared" si="3"/>
        <v/>
      </c>
      <c r="BI113" s="5" t="str">
        <f t="shared" si="4"/>
        <v/>
      </c>
    </row>
    <row r="114" spans="2:61" x14ac:dyDescent="0.35">
      <c r="B114" t="s">
        <v>2279</v>
      </c>
      <c r="C114" s="7">
        <v>1999</v>
      </c>
      <c r="D114" t="s">
        <v>1556</v>
      </c>
      <c r="E114" t="s">
        <v>2260</v>
      </c>
      <c r="F114" t="s">
        <v>1555</v>
      </c>
      <c r="G114" t="s">
        <v>2216</v>
      </c>
      <c r="H114" s="7">
        <v>4.1399999999999997</v>
      </c>
      <c r="I114" s="7">
        <v>4.5</v>
      </c>
      <c r="J114" s="7">
        <v>5</v>
      </c>
      <c r="K114" s="7">
        <v>5</v>
      </c>
      <c r="L114" s="7">
        <v>3.5</v>
      </c>
      <c r="M114" s="7">
        <v>3</v>
      </c>
      <c r="N114" s="7">
        <v>4</v>
      </c>
      <c r="O114" s="7">
        <v>4</v>
      </c>
      <c r="P114" t="s">
        <v>2217</v>
      </c>
      <c r="Q114" s="7">
        <v>75</v>
      </c>
      <c r="R114" t="s">
        <v>2356</v>
      </c>
      <c r="U114" t="s">
        <v>1174</v>
      </c>
      <c r="V114" s="7">
        <v>2012</v>
      </c>
      <c r="W114" t="s">
        <v>1554</v>
      </c>
      <c r="X114" t="s">
        <v>1175</v>
      </c>
      <c r="Y114" t="s">
        <v>1557</v>
      </c>
      <c r="Z114" t="s">
        <v>945</v>
      </c>
      <c r="AA114" s="38">
        <v>4.21</v>
      </c>
      <c r="AB114" s="7">
        <v>4</v>
      </c>
      <c r="AC114" s="7">
        <v>4.5</v>
      </c>
      <c r="AD114" s="7">
        <v>3.5</v>
      </c>
      <c r="AE114" s="7">
        <v>4.5</v>
      </c>
      <c r="AF114" s="7">
        <v>4.5</v>
      </c>
      <c r="AG114" s="7">
        <v>3.5</v>
      </c>
      <c r="AH114" s="7">
        <v>5</v>
      </c>
      <c r="AI114" t="s">
        <v>308</v>
      </c>
      <c r="AJ114" s="7">
        <v>117</v>
      </c>
      <c r="AK114" t="s">
        <v>500</v>
      </c>
      <c r="AN114" t="s">
        <v>1050</v>
      </c>
      <c r="AO114" s="7">
        <v>2014</v>
      </c>
      <c r="AP114" t="s">
        <v>1554</v>
      </c>
      <c r="AQ114" t="s">
        <v>674</v>
      </c>
      <c r="AR114" t="s">
        <v>1559</v>
      </c>
      <c r="AS114" t="s">
        <v>1018</v>
      </c>
      <c r="AT114" s="7">
        <v>3.36</v>
      </c>
      <c r="AU114" s="7">
        <v>3</v>
      </c>
      <c r="AV114" s="7">
        <v>3</v>
      </c>
      <c r="AW114" s="7">
        <v>3</v>
      </c>
      <c r="AX114" s="7">
        <v>3.5</v>
      </c>
      <c r="AY114" s="7">
        <v>3.5</v>
      </c>
      <c r="AZ114" s="7">
        <v>3.5</v>
      </c>
      <c r="BA114" s="7">
        <v>4</v>
      </c>
      <c r="BB114" t="s">
        <v>246</v>
      </c>
      <c r="BC114" s="7">
        <v>600</v>
      </c>
      <c r="BD114" t="s">
        <v>534</v>
      </c>
      <c r="BH114" s="5" t="str">
        <f t="shared" si="3"/>
        <v/>
      </c>
      <c r="BI114" s="5" t="str">
        <f t="shared" si="4"/>
        <v/>
      </c>
    </row>
    <row r="115" spans="2:61" x14ac:dyDescent="0.35">
      <c r="B115" t="s">
        <v>2312</v>
      </c>
      <c r="C115" s="7">
        <v>1999</v>
      </c>
      <c r="D115" t="s">
        <v>1556</v>
      </c>
      <c r="E115" t="s">
        <v>2260</v>
      </c>
      <c r="F115" t="s">
        <v>1557</v>
      </c>
      <c r="G115" t="s">
        <v>2239</v>
      </c>
      <c r="H115" s="7">
        <v>4.6399999999999997</v>
      </c>
      <c r="I115" s="7">
        <v>5</v>
      </c>
      <c r="J115" s="7">
        <v>5</v>
      </c>
      <c r="K115" s="7">
        <v>5</v>
      </c>
      <c r="L115" s="7">
        <v>4</v>
      </c>
      <c r="M115" s="7">
        <v>4.5</v>
      </c>
      <c r="N115" s="7">
        <v>4.5</v>
      </c>
      <c r="O115" s="7">
        <v>4.5</v>
      </c>
      <c r="P115" t="s">
        <v>1950</v>
      </c>
      <c r="Q115" s="7">
        <v>88</v>
      </c>
      <c r="R115" t="s">
        <v>2357</v>
      </c>
      <c r="U115" t="s">
        <v>1709</v>
      </c>
      <c r="V115" s="7">
        <v>2011</v>
      </c>
      <c r="W115" t="s">
        <v>1554</v>
      </c>
      <c r="X115" t="s">
        <v>731</v>
      </c>
      <c r="Y115" t="s">
        <v>1557</v>
      </c>
      <c r="Z115" t="s">
        <v>1445</v>
      </c>
      <c r="AA115" s="7">
        <v>3.36</v>
      </c>
      <c r="AB115" s="7">
        <v>3.5</v>
      </c>
      <c r="AC115" s="7">
        <v>3.5</v>
      </c>
      <c r="AD115" s="7">
        <v>3.5</v>
      </c>
      <c r="AE115" s="7">
        <v>3.5</v>
      </c>
      <c r="AF115" s="7">
        <v>3</v>
      </c>
      <c r="AG115" s="7">
        <v>3</v>
      </c>
      <c r="AH115" s="7">
        <v>3.5</v>
      </c>
      <c r="AI115" t="s">
        <v>1662</v>
      </c>
      <c r="AJ115" s="7">
        <v>120</v>
      </c>
      <c r="AK115" t="s">
        <v>1691</v>
      </c>
      <c r="AN115" t="s">
        <v>1059</v>
      </c>
      <c r="AO115" s="7">
        <v>2014</v>
      </c>
      <c r="AP115" t="s">
        <v>1554</v>
      </c>
      <c r="AQ115" t="s">
        <v>734</v>
      </c>
      <c r="AR115" t="s">
        <v>1559</v>
      </c>
      <c r="AS115" t="s">
        <v>249</v>
      </c>
      <c r="AT115" s="7">
        <v>3.93</v>
      </c>
      <c r="AU115" s="7">
        <v>4.5</v>
      </c>
      <c r="AV115" s="7">
        <v>3.5</v>
      </c>
      <c r="AW115" s="7">
        <v>3.5</v>
      </c>
      <c r="AX115" s="7">
        <v>3.5</v>
      </c>
      <c r="AY115" s="7">
        <v>3.5</v>
      </c>
      <c r="AZ115" s="7">
        <v>4.5</v>
      </c>
      <c r="BA115" s="7">
        <v>4.5</v>
      </c>
      <c r="BB115" t="s">
        <v>250</v>
      </c>
      <c r="BC115" s="7">
        <v>650</v>
      </c>
      <c r="BD115" t="s">
        <v>535</v>
      </c>
      <c r="BH115" s="5" t="str">
        <f t="shared" si="3"/>
        <v/>
      </c>
      <c r="BI115" s="5" t="str">
        <f t="shared" si="4"/>
        <v/>
      </c>
    </row>
    <row r="116" spans="2:61" x14ac:dyDescent="0.35">
      <c r="B116" t="s">
        <v>2042</v>
      </c>
      <c r="C116" s="7">
        <v>1999</v>
      </c>
      <c r="D116" t="s">
        <v>1556</v>
      </c>
      <c r="E116" t="s">
        <v>2043</v>
      </c>
      <c r="F116" t="s">
        <v>1557</v>
      </c>
      <c r="G116" t="s">
        <v>1920</v>
      </c>
      <c r="H116" s="7">
        <v>3</v>
      </c>
      <c r="I116" s="7">
        <v>2.5</v>
      </c>
      <c r="J116" s="7">
        <v>3</v>
      </c>
      <c r="K116" s="7">
        <v>3.5</v>
      </c>
      <c r="L116" s="7">
        <v>3.5</v>
      </c>
      <c r="M116" s="7">
        <v>2.5</v>
      </c>
      <c r="N116" s="7">
        <v>3.5</v>
      </c>
      <c r="O116" s="7">
        <v>2.5</v>
      </c>
      <c r="P116" t="s">
        <v>2011</v>
      </c>
      <c r="Q116" s="7">
        <v>89</v>
      </c>
      <c r="R116" t="s">
        <v>2057</v>
      </c>
      <c r="U116" t="s">
        <v>757</v>
      </c>
      <c r="V116" s="7">
        <v>2011</v>
      </c>
      <c r="W116" t="s">
        <v>1554</v>
      </c>
      <c r="X116" t="s">
        <v>652</v>
      </c>
      <c r="Y116" t="s">
        <v>1557</v>
      </c>
      <c r="Z116" t="s">
        <v>653</v>
      </c>
      <c r="AA116" s="7">
        <v>3.57</v>
      </c>
      <c r="AB116" s="7">
        <v>3.5</v>
      </c>
      <c r="AC116" s="7">
        <v>4</v>
      </c>
      <c r="AD116" s="7">
        <v>3.5</v>
      </c>
      <c r="AE116" s="7">
        <v>3</v>
      </c>
      <c r="AF116" s="7">
        <v>3.5</v>
      </c>
      <c r="AG116" s="7">
        <v>3.5</v>
      </c>
      <c r="AH116" s="7">
        <v>4</v>
      </c>
      <c r="AI116" t="s">
        <v>101</v>
      </c>
      <c r="AJ116" s="7">
        <v>116</v>
      </c>
      <c r="AK116" t="s">
        <v>415</v>
      </c>
      <c r="AN116" t="s">
        <v>1413</v>
      </c>
      <c r="AO116" s="7">
        <v>2014</v>
      </c>
      <c r="AP116" t="s">
        <v>1554</v>
      </c>
      <c r="AQ116" t="s">
        <v>868</v>
      </c>
      <c r="AR116" t="s">
        <v>1559</v>
      </c>
      <c r="AS116" t="s">
        <v>1298</v>
      </c>
      <c r="AT116" s="7">
        <v>3.57</v>
      </c>
      <c r="AU116" s="7">
        <v>4</v>
      </c>
      <c r="AV116" s="7">
        <v>4</v>
      </c>
      <c r="AW116" s="7">
        <v>4.5</v>
      </c>
      <c r="AX116" s="7">
        <v>3.5</v>
      </c>
      <c r="AY116" s="7">
        <v>3</v>
      </c>
      <c r="AZ116" s="7">
        <v>3</v>
      </c>
      <c r="BA116" s="7">
        <v>3</v>
      </c>
      <c r="BB116" t="s">
        <v>1358</v>
      </c>
      <c r="BC116" s="7">
        <v>275</v>
      </c>
      <c r="BD116" t="s">
        <v>1522</v>
      </c>
      <c r="BH116" s="5" t="str">
        <f t="shared" si="3"/>
        <v/>
      </c>
      <c r="BI116" s="5" t="str">
        <f t="shared" si="4"/>
        <v/>
      </c>
    </row>
    <row r="117" spans="2:61" x14ac:dyDescent="0.35">
      <c r="B117" t="s">
        <v>2295</v>
      </c>
      <c r="C117" s="7">
        <v>1998</v>
      </c>
      <c r="D117" t="s">
        <v>1556</v>
      </c>
      <c r="E117" t="s">
        <v>2260</v>
      </c>
      <c r="F117" t="s">
        <v>1557</v>
      </c>
      <c r="G117" t="s">
        <v>2230</v>
      </c>
      <c r="H117" s="7">
        <v>4</v>
      </c>
      <c r="I117" s="7">
        <v>3.5</v>
      </c>
      <c r="J117" s="7">
        <v>4</v>
      </c>
      <c r="K117" s="7">
        <v>4.5</v>
      </c>
      <c r="L117" s="7">
        <v>4</v>
      </c>
      <c r="M117" s="7">
        <v>4</v>
      </c>
      <c r="N117" s="7">
        <v>4</v>
      </c>
      <c r="O117" s="7">
        <v>4</v>
      </c>
      <c r="P117" t="s">
        <v>2231</v>
      </c>
      <c r="Q117" s="7">
        <v>87</v>
      </c>
      <c r="R117" t="s">
        <v>2358</v>
      </c>
      <c r="U117" t="s">
        <v>823</v>
      </c>
      <c r="V117" s="7">
        <v>2011</v>
      </c>
      <c r="W117" t="s">
        <v>1554</v>
      </c>
      <c r="X117" t="s">
        <v>747</v>
      </c>
      <c r="Y117" t="s">
        <v>1557</v>
      </c>
      <c r="Z117" t="s">
        <v>824</v>
      </c>
      <c r="AA117" s="7">
        <v>3.43</v>
      </c>
      <c r="AB117" s="7">
        <v>3</v>
      </c>
      <c r="AC117" s="7">
        <v>3.5</v>
      </c>
      <c r="AD117" s="7">
        <v>3.5</v>
      </c>
      <c r="AE117" s="7">
        <v>3.5</v>
      </c>
      <c r="AF117" s="7">
        <v>3.5</v>
      </c>
      <c r="AG117" s="7">
        <v>3</v>
      </c>
      <c r="AH117" s="7">
        <v>4</v>
      </c>
      <c r="AI117" t="s">
        <v>136</v>
      </c>
      <c r="AJ117" s="7">
        <v>92</v>
      </c>
      <c r="AK117" t="s">
        <v>421</v>
      </c>
      <c r="AN117" t="s">
        <v>1278</v>
      </c>
      <c r="AO117" s="7">
        <v>2014</v>
      </c>
      <c r="AP117" t="s">
        <v>1554</v>
      </c>
      <c r="AQ117" t="s">
        <v>1292</v>
      </c>
      <c r="AR117" t="s">
        <v>1559</v>
      </c>
      <c r="AS117" t="s">
        <v>1303</v>
      </c>
      <c r="AT117" s="7">
        <v>2.36</v>
      </c>
      <c r="AU117" s="7">
        <v>2.5</v>
      </c>
      <c r="AV117" s="7">
        <v>2.5</v>
      </c>
      <c r="AW117" s="7">
        <v>3</v>
      </c>
      <c r="AX117" s="7">
        <v>3.5</v>
      </c>
      <c r="AY117" s="7">
        <v>1.5</v>
      </c>
      <c r="AZ117" s="7">
        <v>2</v>
      </c>
      <c r="BA117" s="7">
        <v>1.5</v>
      </c>
      <c r="BB117" t="s">
        <v>1218</v>
      </c>
      <c r="BC117" s="7">
        <v>205</v>
      </c>
      <c r="BD117" t="s">
        <v>1249</v>
      </c>
      <c r="BH117" s="5" t="str">
        <f t="shared" si="3"/>
        <v/>
      </c>
      <c r="BI117" s="5" t="str">
        <f t="shared" si="4"/>
        <v/>
      </c>
    </row>
    <row r="118" spans="2:61" x14ac:dyDescent="0.35">
      <c r="B118" t="s">
        <v>2443</v>
      </c>
      <c r="C118" s="7">
        <v>1998</v>
      </c>
      <c r="D118" t="s">
        <v>1556</v>
      </c>
      <c r="E118" t="s">
        <v>2444</v>
      </c>
      <c r="F118" t="s">
        <v>1557</v>
      </c>
      <c r="G118" t="s">
        <v>2445</v>
      </c>
      <c r="H118" s="7">
        <v>3.57</v>
      </c>
      <c r="I118" s="7">
        <v>3.5</v>
      </c>
      <c r="J118" s="7">
        <v>3.5</v>
      </c>
      <c r="K118" s="7">
        <v>4.5</v>
      </c>
      <c r="L118" s="7">
        <v>3.5</v>
      </c>
      <c r="M118" s="7">
        <v>3</v>
      </c>
      <c r="N118" s="7">
        <v>3.5</v>
      </c>
      <c r="O118" s="7">
        <v>3.5</v>
      </c>
      <c r="P118" t="s">
        <v>97</v>
      </c>
      <c r="Q118" s="7">
        <v>86</v>
      </c>
      <c r="R118" t="s">
        <v>2467</v>
      </c>
      <c r="U118" t="s">
        <v>154</v>
      </c>
      <c r="V118" s="7">
        <v>2011</v>
      </c>
      <c r="W118" t="s">
        <v>1554</v>
      </c>
      <c r="X118" t="s">
        <v>750</v>
      </c>
      <c r="Y118" t="s">
        <v>1557</v>
      </c>
      <c r="Z118" t="s">
        <v>155</v>
      </c>
      <c r="AA118" s="7">
        <v>2.21</v>
      </c>
      <c r="AB118" s="7">
        <v>2.5</v>
      </c>
      <c r="AC118" s="7">
        <v>3.5</v>
      </c>
      <c r="AD118" s="7">
        <v>2.5</v>
      </c>
      <c r="AE118" s="7">
        <v>2.5</v>
      </c>
      <c r="AF118" s="7">
        <v>1.5</v>
      </c>
      <c r="AG118" s="7">
        <v>2</v>
      </c>
      <c r="AH118" s="7">
        <v>1</v>
      </c>
      <c r="AI118" t="s">
        <v>156</v>
      </c>
      <c r="AJ118" s="7">
        <v>97</v>
      </c>
      <c r="AK118" t="s">
        <v>428</v>
      </c>
      <c r="AN118" t="s">
        <v>1322</v>
      </c>
      <c r="AO118" s="7">
        <v>2014</v>
      </c>
      <c r="AP118" t="s">
        <v>1554</v>
      </c>
      <c r="AQ118" t="s">
        <v>1431</v>
      </c>
      <c r="AR118" t="s">
        <v>1559</v>
      </c>
      <c r="AS118" t="s">
        <v>1461</v>
      </c>
      <c r="AT118" s="7">
        <v>2.86</v>
      </c>
      <c r="AU118" s="7">
        <v>3</v>
      </c>
      <c r="AV118" s="7">
        <v>3.5</v>
      </c>
      <c r="AW118" s="7">
        <v>3</v>
      </c>
      <c r="AX118" s="7">
        <v>3</v>
      </c>
      <c r="AY118" s="7">
        <v>2.5</v>
      </c>
      <c r="AZ118" s="7">
        <v>2.5</v>
      </c>
      <c r="BA118" s="7">
        <v>2.5</v>
      </c>
      <c r="BB118" t="s">
        <v>1323</v>
      </c>
      <c r="BC118" s="7">
        <v>625</v>
      </c>
      <c r="BD118" t="s">
        <v>1524</v>
      </c>
      <c r="BH118" s="5" t="str">
        <f t="shared" si="3"/>
        <v/>
      </c>
      <c r="BI118" s="5" t="str">
        <f t="shared" si="4"/>
        <v/>
      </c>
    </row>
    <row r="119" spans="2:61" x14ac:dyDescent="0.35">
      <c r="B119" t="s">
        <v>1115</v>
      </c>
      <c r="C119" s="7">
        <v>1998</v>
      </c>
      <c r="D119" t="s">
        <v>1556</v>
      </c>
      <c r="E119" t="s">
        <v>1116</v>
      </c>
      <c r="F119" t="s">
        <v>1557</v>
      </c>
      <c r="G119" t="s">
        <v>279</v>
      </c>
      <c r="H119" s="7">
        <v>4.07</v>
      </c>
      <c r="I119" s="7">
        <v>4</v>
      </c>
      <c r="J119" s="7">
        <v>4.5</v>
      </c>
      <c r="K119" s="7">
        <v>4</v>
      </c>
      <c r="L119" s="7">
        <v>4</v>
      </c>
      <c r="M119" s="7">
        <v>3.5</v>
      </c>
      <c r="N119" s="7">
        <v>4</v>
      </c>
      <c r="O119" s="7">
        <v>4.5</v>
      </c>
      <c r="P119" t="s">
        <v>280</v>
      </c>
      <c r="Q119" s="7">
        <v>98</v>
      </c>
      <c r="R119" t="s">
        <v>388</v>
      </c>
      <c r="U119" t="s">
        <v>1389</v>
      </c>
      <c r="V119" s="7">
        <v>2011</v>
      </c>
      <c r="W119" t="s">
        <v>1554</v>
      </c>
      <c r="X119" t="s">
        <v>915</v>
      </c>
      <c r="Y119" t="s">
        <v>1557</v>
      </c>
      <c r="Z119" t="s">
        <v>1447</v>
      </c>
      <c r="AA119" s="7">
        <v>3.21</v>
      </c>
      <c r="AB119" s="7">
        <v>4</v>
      </c>
      <c r="AC119" s="7">
        <v>3</v>
      </c>
      <c r="AD119" s="7">
        <v>3</v>
      </c>
      <c r="AE119" s="7">
        <v>3</v>
      </c>
      <c r="AF119" s="7">
        <v>3</v>
      </c>
      <c r="AG119" s="7">
        <v>3.5</v>
      </c>
      <c r="AH119" s="7">
        <v>3</v>
      </c>
      <c r="AI119" t="s">
        <v>1342</v>
      </c>
      <c r="AJ119" s="7">
        <v>90</v>
      </c>
      <c r="AK119" t="s">
        <v>1482</v>
      </c>
      <c r="AN119" t="s">
        <v>1747</v>
      </c>
      <c r="AO119" s="7">
        <v>2014</v>
      </c>
      <c r="AP119" t="s">
        <v>1554</v>
      </c>
      <c r="AQ119" t="s">
        <v>1748</v>
      </c>
      <c r="AR119" t="s">
        <v>1559</v>
      </c>
      <c r="AS119" t="s">
        <v>1749</v>
      </c>
      <c r="AT119" s="7">
        <v>3.36</v>
      </c>
      <c r="AU119" s="7">
        <v>3</v>
      </c>
      <c r="AV119" s="7">
        <v>3.5</v>
      </c>
      <c r="AW119" s="7">
        <v>3.5</v>
      </c>
      <c r="AX119" s="7">
        <v>3.5</v>
      </c>
      <c r="AY119" s="7">
        <v>3</v>
      </c>
      <c r="AZ119" s="7">
        <v>3.5</v>
      </c>
      <c r="BA119" s="7">
        <v>3.5</v>
      </c>
      <c r="BB119" t="s">
        <v>1675</v>
      </c>
      <c r="BC119" s="7">
        <v>600</v>
      </c>
      <c r="BD119" t="s">
        <v>1705</v>
      </c>
      <c r="BH119" s="5" t="str">
        <f t="shared" si="3"/>
        <v/>
      </c>
      <c r="BI119" s="5" t="str">
        <f t="shared" si="4"/>
        <v/>
      </c>
    </row>
    <row r="120" spans="2:61" x14ac:dyDescent="0.35">
      <c r="B120" t="s">
        <v>2410</v>
      </c>
      <c r="C120" s="7">
        <v>1997</v>
      </c>
      <c r="D120" t="s">
        <v>1556</v>
      </c>
      <c r="E120" t="s">
        <v>2411</v>
      </c>
      <c r="F120" t="s">
        <v>1557</v>
      </c>
      <c r="G120" t="s">
        <v>293</v>
      </c>
      <c r="H120" s="7">
        <v>4.1399999999999997</v>
      </c>
      <c r="I120" s="7">
        <v>4.5</v>
      </c>
      <c r="J120" s="7">
        <v>4.5</v>
      </c>
      <c r="K120" s="7">
        <v>4.5</v>
      </c>
      <c r="L120" s="7">
        <v>4</v>
      </c>
      <c r="M120" s="7">
        <v>4</v>
      </c>
      <c r="N120" s="7">
        <v>3.5</v>
      </c>
      <c r="O120" s="7">
        <v>4</v>
      </c>
      <c r="P120" t="s">
        <v>2412</v>
      </c>
      <c r="Q120" s="7">
        <v>94</v>
      </c>
      <c r="R120" t="s">
        <v>2468</v>
      </c>
      <c r="U120" t="s">
        <v>1103</v>
      </c>
      <c r="V120" s="7">
        <v>2011</v>
      </c>
      <c r="W120" t="s">
        <v>1554</v>
      </c>
      <c r="X120" t="s">
        <v>1104</v>
      </c>
      <c r="Y120" t="s">
        <v>1557</v>
      </c>
      <c r="Z120" t="s">
        <v>1105</v>
      </c>
      <c r="AA120" s="7">
        <v>2.21</v>
      </c>
      <c r="AB120" s="7">
        <v>3.5</v>
      </c>
      <c r="AC120" s="7">
        <v>2</v>
      </c>
      <c r="AD120" s="7">
        <v>2</v>
      </c>
      <c r="AE120" s="7">
        <v>2</v>
      </c>
      <c r="AF120" s="7">
        <v>2</v>
      </c>
      <c r="AG120" s="7">
        <v>2</v>
      </c>
      <c r="AH120" s="7">
        <v>2</v>
      </c>
      <c r="AI120" t="s">
        <v>207</v>
      </c>
      <c r="AJ120" s="7">
        <v>98</v>
      </c>
      <c r="AK120" t="s">
        <v>480</v>
      </c>
      <c r="AN120" t="s">
        <v>1282</v>
      </c>
      <c r="AO120" s="7">
        <v>2014</v>
      </c>
      <c r="AP120" t="s">
        <v>1554</v>
      </c>
      <c r="AQ120" t="s">
        <v>1296</v>
      </c>
      <c r="AR120" t="s">
        <v>1559</v>
      </c>
      <c r="AS120" t="s">
        <v>1305</v>
      </c>
      <c r="AT120" s="7">
        <v>2.86</v>
      </c>
      <c r="AU120" s="7">
        <v>2</v>
      </c>
      <c r="AV120" s="7">
        <v>2</v>
      </c>
      <c r="AW120" s="7">
        <v>3.5</v>
      </c>
      <c r="AX120" s="7">
        <v>3.5</v>
      </c>
      <c r="AY120" s="7">
        <v>2</v>
      </c>
      <c r="AZ120" s="7">
        <v>4</v>
      </c>
      <c r="BA120" s="7">
        <v>3</v>
      </c>
      <c r="BB120" t="s">
        <v>144</v>
      </c>
      <c r="BC120" s="7">
        <v>168</v>
      </c>
      <c r="BD120" t="s">
        <v>1250</v>
      </c>
      <c r="BH120" s="5" t="str">
        <f t="shared" si="3"/>
        <v/>
      </c>
      <c r="BI120" s="5" t="str">
        <f t="shared" si="4"/>
        <v/>
      </c>
    </row>
    <row r="121" spans="2:61" x14ac:dyDescent="0.35">
      <c r="B121" t="s">
        <v>2424</v>
      </c>
      <c r="C121" s="7">
        <v>1997</v>
      </c>
      <c r="D121" t="s">
        <v>1556</v>
      </c>
      <c r="E121" t="s">
        <v>2425</v>
      </c>
      <c r="F121" t="s">
        <v>1557</v>
      </c>
      <c r="G121" t="s">
        <v>2317</v>
      </c>
      <c r="H121" s="7">
        <v>3.71</v>
      </c>
      <c r="I121" s="7">
        <v>4</v>
      </c>
      <c r="J121" s="7">
        <v>3</v>
      </c>
      <c r="K121" s="7">
        <v>4</v>
      </c>
      <c r="L121" s="7">
        <v>4.5</v>
      </c>
      <c r="M121" s="7">
        <v>3.5</v>
      </c>
      <c r="N121" s="7">
        <v>4</v>
      </c>
      <c r="O121" s="7">
        <v>3</v>
      </c>
      <c r="P121" t="s">
        <v>2426</v>
      </c>
      <c r="Q121" s="7">
        <v>74</v>
      </c>
      <c r="R121" t="s">
        <v>2469</v>
      </c>
      <c r="U121" t="s">
        <v>1117</v>
      </c>
      <c r="V121" s="7">
        <v>2011</v>
      </c>
      <c r="W121" t="s">
        <v>1554</v>
      </c>
      <c r="X121" t="s">
        <v>694</v>
      </c>
      <c r="Y121" t="s">
        <v>1557</v>
      </c>
      <c r="Z121" t="s">
        <v>1118</v>
      </c>
      <c r="AA121" s="7">
        <v>3.07</v>
      </c>
      <c r="AB121" s="7">
        <v>3</v>
      </c>
      <c r="AC121" s="7">
        <v>3.5</v>
      </c>
      <c r="AD121" s="7">
        <v>3</v>
      </c>
      <c r="AE121" s="7">
        <v>3</v>
      </c>
      <c r="AF121" s="7">
        <v>3</v>
      </c>
      <c r="AG121" s="7">
        <v>3</v>
      </c>
      <c r="AH121" s="7">
        <v>3</v>
      </c>
      <c r="AI121" t="s">
        <v>281</v>
      </c>
      <c r="AJ121" s="7">
        <v>100</v>
      </c>
      <c r="AK121" t="s">
        <v>484</v>
      </c>
      <c r="AN121" t="s">
        <v>1147</v>
      </c>
      <c r="AO121" s="7">
        <v>2014</v>
      </c>
      <c r="AP121" t="s">
        <v>1554</v>
      </c>
      <c r="AQ121" t="s">
        <v>1148</v>
      </c>
      <c r="AR121" t="s">
        <v>1559</v>
      </c>
      <c r="AS121" t="s">
        <v>684</v>
      </c>
      <c r="AT121" s="7">
        <v>2.57</v>
      </c>
      <c r="AU121" s="7">
        <v>2.5</v>
      </c>
      <c r="AV121" s="7">
        <v>3</v>
      </c>
      <c r="AW121" s="7">
        <v>2.5</v>
      </c>
      <c r="AX121" s="7">
        <v>2.5</v>
      </c>
      <c r="AY121" s="7">
        <v>2</v>
      </c>
      <c r="AZ121" s="7">
        <v>3</v>
      </c>
      <c r="BA121" s="7">
        <v>2.5</v>
      </c>
      <c r="BB121" t="s">
        <v>156</v>
      </c>
      <c r="BC121" s="7">
        <v>300</v>
      </c>
      <c r="BD121" t="s">
        <v>536</v>
      </c>
      <c r="BH121" s="5" t="str">
        <f t="shared" si="3"/>
        <v/>
      </c>
      <c r="BI121" s="5" t="str">
        <f t="shared" si="4"/>
        <v/>
      </c>
    </row>
    <row r="122" spans="2:61" x14ac:dyDescent="0.35">
      <c r="B122" t="s">
        <v>2283</v>
      </c>
      <c r="C122" s="7">
        <v>1997</v>
      </c>
      <c r="D122" t="s">
        <v>1556</v>
      </c>
      <c r="E122" t="s">
        <v>2260</v>
      </c>
      <c r="F122" t="s">
        <v>1557</v>
      </c>
      <c r="G122" t="s">
        <v>2202</v>
      </c>
      <c r="H122" s="7">
        <v>3.79</v>
      </c>
      <c r="I122" s="7">
        <v>4</v>
      </c>
      <c r="J122" s="7">
        <v>4.5</v>
      </c>
      <c r="K122" s="7">
        <v>4</v>
      </c>
      <c r="L122" s="7">
        <v>4</v>
      </c>
      <c r="M122" s="7">
        <v>3</v>
      </c>
      <c r="N122" s="7">
        <v>4</v>
      </c>
      <c r="O122" s="7">
        <v>3</v>
      </c>
      <c r="P122" t="s">
        <v>2219</v>
      </c>
      <c r="Q122" s="7">
        <v>93</v>
      </c>
      <c r="R122" t="s">
        <v>2359</v>
      </c>
      <c r="U122" t="s">
        <v>1621</v>
      </c>
      <c r="V122" s="7">
        <v>2011</v>
      </c>
      <c r="W122" t="s">
        <v>1554</v>
      </c>
      <c r="X122" t="s">
        <v>694</v>
      </c>
      <c r="Y122" t="s">
        <v>1557</v>
      </c>
      <c r="Z122" t="s">
        <v>713</v>
      </c>
      <c r="AA122" s="7">
        <v>3.5</v>
      </c>
      <c r="AB122" s="7">
        <v>3.5</v>
      </c>
      <c r="AC122" s="7">
        <v>3.5</v>
      </c>
      <c r="AD122" s="7">
        <v>3</v>
      </c>
      <c r="AE122" s="7">
        <v>3</v>
      </c>
      <c r="AF122" s="7">
        <v>3.5</v>
      </c>
      <c r="AG122" s="7">
        <v>4</v>
      </c>
      <c r="AH122" s="7">
        <v>4</v>
      </c>
      <c r="AI122" t="s">
        <v>305</v>
      </c>
      <c r="AJ122" s="7">
        <v>90</v>
      </c>
      <c r="AK122" t="s">
        <v>1637</v>
      </c>
      <c r="AN122" t="s">
        <v>1970</v>
      </c>
      <c r="AO122" s="7">
        <v>2014</v>
      </c>
      <c r="AP122" t="s">
        <v>1554</v>
      </c>
      <c r="AQ122" t="s">
        <v>1980</v>
      </c>
      <c r="AR122" t="s">
        <v>1559</v>
      </c>
      <c r="AS122" t="s">
        <v>939</v>
      </c>
      <c r="AT122" s="38">
        <v>3.14</v>
      </c>
      <c r="AU122" s="7">
        <v>4</v>
      </c>
      <c r="AV122" s="7">
        <v>3.5</v>
      </c>
      <c r="AW122" s="7">
        <v>3</v>
      </c>
      <c r="AX122" s="7">
        <v>2.5</v>
      </c>
      <c r="AY122" s="7">
        <v>2.5</v>
      </c>
      <c r="AZ122" s="7">
        <v>3</v>
      </c>
      <c r="BA122" s="7">
        <v>3.5</v>
      </c>
      <c r="BB122" t="s">
        <v>1954</v>
      </c>
      <c r="BC122" s="7">
        <v>300</v>
      </c>
      <c r="BD122" t="s">
        <v>1993</v>
      </c>
      <c r="BH122" s="5" t="str">
        <f t="shared" si="3"/>
        <v/>
      </c>
      <c r="BI122" s="5" t="str">
        <f t="shared" si="4"/>
        <v/>
      </c>
    </row>
    <row r="123" spans="2:61" x14ac:dyDescent="0.35">
      <c r="B123" t="s">
        <v>2320</v>
      </c>
      <c r="C123" s="7">
        <v>1996</v>
      </c>
      <c r="D123" t="s">
        <v>1556</v>
      </c>
      <c r="E123" t="s">
        <v>2260</v>
      </c>
      <c r="F123" t="s">
        <v>1557</v>
      </c>
      <c r="G123" t="s">
        <v>2205</v>
      </c>
      <c r="H123" s="7">
        <v>4.6399999999999997</v>
      </c>
      <c r="I123" s="7">
        <v>5</v>
      </c>
      <c r="J123" s="7">
        <v>5</v>
      </c>
      <c r="K123" s="7">
        <v>5</v>
      </c>
      <c r="L123" s="7">
        <v>4.5</v>
      </c>
      <c r="M123" s="7">
        <v>4.5</v>
      </c>
      <c r="N123" s="7">
        <v>3.5</v>
      </c>
      <c r="O123" s="7">
        <v>5</v>
      </c>
      <c r="P123" t="s">
        <v>2231</v>
      </c>
      <c r="Q123" s="7">
        <v>91</v>
      </c>
      <c r="R123" t="s">
        <v>2360</v>
      </c>
      <c r="U123" t="s">
        <v>1143</v>
      </c>
      <c r="V123" s="7">
        <v>2011</v>
      </c>
      <c r="W123" t="s">
        <v>1554</v>
      </c>
      <c r="X123" t="s">
        <v>734</v>
      </c>
      <c r="Y123" t="s">
        <v>1557</v>
      </c>
      <c r="Z123" t="s">
        <v>791</v>
      </c>
      <c r="AA123" s="7">
        <v>1.5</v>
      </c>
      <c r="AB123" s="7">
        <v>1.5</v>
      </c>
      <c r="AC123" s="7">
        <v>2</v>
      </c>
      <c r="AD123" s="7">
        <v>1.5</v>
      </c>
      <c r="AE123" s="7">
        <v>1.5</v>
      </c>
      <c r="AF123" s="7">
        <v>1.5</v>
      </c>
      <c r="AG123" s="7">
        <v>1.5</v>
      </c>
      <c r="AH123" s="7">
        <v>1</v>
      </c>
      <c r="AI123" t="s">
        <v>299</v>
      </c>
      <c r="AJ123" s="7">
        <v>300</v>
      </c>
      <c r="AK123" t="s">
        <v>492</v>
      </c>
      <c r="AN123" t="s">
        <v>1366</v>
      </c>
      <c r="AO123" s="7">
        <v>2013</v>
      </c>
      <c r="AP123" t="s">
        <v>1554</v>
      </c>
      <c r="AQ123" t="s">
        <v>1085</v>
      </c>
      <c r="AR123" t="s">
        <v>1559</v>
      </c>
      <c r="AS123" t="s">
        <v>783</v>
      </c>
      <c r="AT123" s="7">
        <v>3.86</v>
      </c>
      <c r="AU123" s="7">
        <v>4</v>
      </c>
      <c r="AV123" s="7">
        <v>3.5</v>
      </c>
      <c r="AW123" s="7">
        <v>4</v>
      </c>
      <c r="AX123" s="7">
        <v>3.5</v>
      </c>
      <c r="AY123" s="7">
        <v>4</v>
      </c>
      <c r="AZ123" s="7">
        <v>4</v>
      </c>
      <c r="BA123" s="7">
        <v>4</v>
      </c>
      <c r="BB123" t="s">
        <v>1331</v>
      </c>
      <c r="BC123" s="7">
        <v>625</v>
      </c>
      <c r="BD123" t="s">
        <v>1493</v>
      </c>
      <c r="BH123" s="5" t="str">
        <f t="shared" si="3"/>
        <v/>
      </c>
      <c r="BI123" s="5" t="str">
        <f t="shared" si="4"/>
        <v/>
      </c>
    </row>
    <row r="124" spans="2:61" x14ac:dyDescent="0.35">
      <c r="B124" t="s">
        <v>1256</v>
      </c>
      <c r="C124" s="7">
        <v>1995</v>
      </c>
      <c r="D124" t="s">
        <v>1556</v>
      </c>
      <c r="E124" t="s">
        <v>1285</v>
      </c>
      <c r="F124" t="s">
        <v>1557</v>
      </c>
      <c r="G124" t="s">
        <v>1297</v>
      </c>
      <c r="H124" s="7">
        <v>3.57</v>
      </c>
      <c r="I124" s="7">
        <v>4</v>
      </c>
      <c r="J124" s="7">
        <v>3.5</v>
      </c>
      <c r="K124" s="7">
        <v>3</v>
      </c>
      <c r="L124" s="7">
        <v>4</v>
      </c>
      <c r="M124" s="7">
        <v>3.5</v>
      </c>
      <c r="N124" s="7">
        <v>3.5</v>
      </c>
      <c r="O124" s="7">
        <v>3.5</v>
      </c>
      <c r="P124" t="s">
        <v>1186</v>
      </c>
      <c r="Q124" s="7">
        <v>77</v>
      </c>
      <c r="R124" t="s">
        <v>1228</v>
      </c>
      <c r="U124" t="s">
        <v>765</v>
      </c>
      <c r="V124" s="7">
        <v>2010</v>
      </c>
      <c r="W124" t="s">
        <v>1554</v>
      </c>
      <c r="X124" t="s">
        <v>766</v>
      </c>
      <c r="Y124" t="s">
        <v>1557</v>
      </c>
      <c r="Z124" t="s">
        <v>767</v>
      </c>
      <c r="AA124" s="7">
        <v>3.43</v>
      </c>
      <c r="AB124" s="7">
        <v>3.5</v>
      </c>
      <c r="AC124" s="7">
        <v>4</v>
      </c>
      <c r="AD124" s="7">
        <v>3.5</v>
      </c>
      <c r="AE124" s="7">
        <v>2.5</v>
      </c>
      <c r="AF124" s="7">
        <v>4.5</v>
      </c>
      <c r="AG124" s="7">
        <v>2.5</v>
      </c>
      <c r="AH124" s="7">
        <v>3.5</v>
      </c>
      <c r="AI124" t="s">
        <v>108</v>
      </c>
      <c r="AJ124" s="7">
        <v>127</v>
      </c>
      <c r="AK124" t="s">
        <v>416</v>
      </c>
      <c r="AN124" t="s">
        <v>704</v>
      </c>
      <c r="AO124" s="7">
        <v>2013</v>
      </c>
      <c r="AP124" t="s">
        <v>1554</v>
      </c>
      <c r="AQ124" t="s">
        <v>658</v>
      </c>
      <c r="AR124" t="s">
        <v>1559</v>
      </c>
      <c r="AS124" t="s">
        <v>705</v>
      </c>
      <c r="AT124" s="7">
        <v>3.5</v>
      </c>
      <c r="AU124" s="7">
        <v>4</v>
      </c>
      <c r="AV124" s="7">
        <v>4</v>
      </c>
      <c r="AW124" s="7">
        <v>3.5</v>
      </c>
      <c r="AX124" s="7">
        <v>3</v>
      </c>
      <c r="AY124" s="7">
        <v>4</v>
      </c>
      <c r="AZ124" s="7">
        <v>3</v>
      </c>
      <c r="BA124" s="7">
        <v>3</v>
      </c>
      <c r="BB124" t="s">
        <v>78</v>
      </c>
      <c r="BC124" s="7">
        <v>325</v>
      </c>
      <c r="BD124" t="s">
        <v>537</v>
      </c>
      <c r="BH124" s="5" t="str">
        <f t="shared" si="3"/>
        <v/>
      </c>
      <c r="BI124" s="5" t="str">
        <f t="shared" si="4"/>
        <v/>
      </c>
    </row>
    <row r="125" spans="2:61" x14ac:dyDescent="0.35">
      <c r="B125" t="s">
        <v>2302</v>
      </c>
      <c r="C125" s="7">
        <v>1995</v>
      </c>
      <c r="D125" t="s">
        <v>1556</v>
      </c>
      <c r="E125" t="s">
        <v>2260</v>
      </c>
      <c r="F125" t="s">
        <v>1557</v>
      </c>
      <c r="G125" t="s">
        <v>2234</v>
      </c>
      <c r="H125" s="7">
        <v>3.57</v>
      </c>
      <c r="I125" s="7">
        <v>4.5</v>
      </c>
      <c r="J125" s="7">
        <v>4</v>
      </c>
      <c r="K125" s="7">
        <v>4</v>
      </c>
      <c r="L125" s="7">
        <v>3.5</v>
      </c>
      <c r="M125" s="7">
        <v>3.5</v>
      </c>
      <c r="N125" s="7">
        <v>2.5</v>
      </c>
      <c r="O125" s="7">
        <v>3</v>
      </c>
      <c r="P125" t="s">
        <v>202</v>
      </c>
      <c r="Q125" s="7">
        <v>81</v>
      </c>
      <c r="R125" t="s">
        <v>2361</v>
      </c>
      <c r="U125" t="s">
        <v>778</v>
      </c>
      <c r="V125" s="7">
        <v>2010</v>
      </c>
      <c r="W125" t="s">
        <v>1554</v>
      </c>
      <c r="X125" t="s">
        <v>114</v>
      </c>
      <c r="Y125" t="s">
        <v>1557</v>
      </c>
      <c r="Z125" t="s">
        <v>115</v>
      </c>
      <c r="AA125" s="7">
        <v>2.4300000000000002</v>
      </c>
      <c r="AB125" s="7">
        <v>2</v>
      </c>
      <c r="AC125" s="7">
        <v>3.5</v>
      </c>
      <c r="AD125" s="7">
        <v>3</v>
      </c>
      <c r="AE125" s="7">
        <v>2.5</v>
      </c>
      <c r="AF125" s="7">
        <v>2</v>
      </c>
      <c r="AG125" s="7">
        <v>2</v>
      </c>
      <c r="AH125" s="7">
        <v>2</v>
      </c>
      <c r="AI125" t="s">
        <v>116</v>
      </c>
      <c r="AJ125" s="7">
        <v>88</v>
      </c>
      <c r="AK125" t="s">
        <v>417</v>
      </c>
      <c r="AN125" t="s">
        <v>1368</v>
      </c>
      <c r="AO125" s="7">
        <v>2013</v>
      </c>
      <c r="AP125" t="s">
        <v>1554</v>
      </c>
      <c r="AQ125" t="s">
        <v>1422</v>
      </c>
      <c r="AR125" t="s">
        <v>1559</v>
      </c>
      <c r="AS125" t="s">
        <v>1436</v>
      </c>
      <c r="AT125" s="7">
        <v>2.5</v>
      </c>
      <c r="AU125" s="7">
        <v>2</v>
      </c>
      <c r="AV125" s="7">
        <v>2</v>
      </c>
      <c r="AW125" s="7">
        <v>3</v>
      </c>
      <c r="AX125" s="7">
        <v>3.5</v>
      </c>
      <c r="AY125" s="7">
        <v>2.5</v>
      </c>
      <c r="AZ125" s="7">
        <v>2.5</v>
      </c>
      <c r="BA125" s="7">
        <v>2</v>
      </c>
      <c r="BB125" t="s">
        <v>1333</v>
      </c>
      <c r="BC125" s="7">
        <v>300</v>
      </c>
      <c r="BD125" t="s">
        <v>1494</v>
      </c>
      <c r="BH125" s="5" t="str">
        <f t="shared" si="3"/>
        <v/>
      </c>
      <c r="BI125" s="5" t="str">
        <f t="shared" si="4"/>
        <v/>
      </c>
    </row>
    <row r="126" spans="2:61" x14ac:dyDescent="0.35">
      <c r="B126" t="s">
        <v>2455</v>
      </c>
      <c r="C126" s="7">
        <v>1995</v>
      </c>
      <c r="D126" t="s">
        <v>1556</v>
      </c>
      <c r="E126" t="s">
        <v>2456</v>
      </c>
      <c r="F126" t="s">
        <v>1557</v>
      </c>
      <c r="G126" t="s">
        <v>293</v>
      </c>
      <c r="H126" s="7">
        <v>3.71</v>
      </c>
      <c r="I126" s="7">
        <v>4</v>
      </c>
      <c r="J126" s="7">
        <v>3.5</v>
      </c>
      <c r="K126" s="7">
        <v>4.5</v>
      </c>
      <c r="L126" s="7">
        <v>4</v>
      </c>
      <c r="M126" s="7">
        <v>2.5</v>
      </c>
      <c r="N126" s="7">
        <v>4</v>
      </c>
      <c r="O126" s="7">
        <v>3.5</v>
      </c>
      <c r="P126" t="s">
        <v>280</v>
      </c>
      <c r="Q126" s="7">
        <v>74</v>
      </c>
      <c r="R126" t="s">
        <v>2470</v>
      </c>
      <c r="U126" t="s">
        <v>1374</v>
      </c>
      <c r="V126" s="7">
        <v>2010</v>
      </c>
      <c r="W126" t="s">
        <v>1554</v>
      </c>
      <c r="X126" t="s">
        <v>811</v>
      </c>
      <c r="Y126" t="s">
        <v>1557</v>
      </c>
      <c r="Z126" t="s">
        <v>812</v>
      </c>
      <c r="AA126" s="7">
        <v>3.57</v>
      </c>
      <c r="AB126" s="7">
        <v>3.5</v>
      </c>
      <c r="AC126" s="7">
        <v>3.5</v>
      </c>
      <c r="AD126" s="7">
        <v>4</v>
      </c>
      <c r="AE126" s="7">
        <v>3.5</v>
      </c>
      <c r="AF126" s="7">
        <v>3.5</v>
      </c>
      <c r="AG126" s="7">
        <v>3.5</v>
      </c>
      <c r="AH126" s="7">
        <v>3.5</v>
      </c>
      <c r="AI126" t="s">
        <v>1335</v>
      </c>
      <c r="AJ126" s="7">
        <v>105</v>
      </c>
      <c r="AK126" t="s">
        <v>1476</v>
      </c>
      <c r="AN126" t="s">
        <v>2094</v>
      </c>
      <c r="AO126" s="7">
        <v>2013</v>
      </c>
      <c r="AP126" t="s">
        <v>1554</v>
      </c>
      <c r="AQ126" t="s">
        <v>948</v>
      </c>
      <c r="AR126" t="s">
        <v>1559</v>
      </c>
      <c r="AS126" t="s">
        <v>675</v>
      </c>
      <c r="AT126" s="7">
        <v>3.36</v>
      </c>
      <c r="AU126" s="7">
        <v>2.5</v>
      </c>
      <c r="AV126" s="7">
        <v>3.5</v>
      </c>
      <c r="AW126" s="7">
        <v>3.5</v>
      </c>
      <c r="AX126" s="7">
        <v>3.5</v>
      </c>
      <c r="AY126" s="7">
        <v>3.5</v>
      </c>
      <c r="AZ126" s="7">
        <v>3.5</v>
      </c>
      <c r="BA126" s="7">
        <v>3.5</v>
      </c>
      <c r="BB126" t="s">
        <v>2095</v>
      </c>
      <c r="BC126" s="7">
        <v>335</v>
      </c>
      <c r="BD126" t="s">
        <v>2135</v>
      </c>
      <c r="BH126" s="5" t="str">
        <f t="shared" si="3"/>
        <v/>
      </c>
      <c r="BI126" s="5" t="str">
        <f t="shared" si="4"/>
        <v/>
      </c>
    </row>
    <row r="127" spans="2:61" x14ac:dyDescent="0.35">
      <c r="B127" t="s">
        <v>2698</v>
      </c>
      <c r="C127" s="7">
        <v>1994</v>
      </c>
      <c r="D127" t="s">
        <v>2712</v>
      </c>
      <c r="E127" t="s">
        <v>2713</v>
      </c>
      <c r="F127" t="s">
        <v>1557</v>
      </c>
      <c r="G127" t="s">
        <v>2714</v>
      </c>
      <c r="H127" s="7">
        <v>3.64</v>
      </c>
      <c r="I127" s="7">
        <v>3.5</v>
      </c>
      <c r="J127" s="7">
        <v>3.5</v>
      </c>
      <c r="K127" s="7">
        <v>3.5</v>
      </c>
      <c r="L127" s="7">
        <v>3.5</v>
      </c>
      <c r="M127" s="7">
        <v>3.5</v>
      </c>
      <c r="N127" s="7">
        <v>3.5</v>
      </c>
      <c r="O127" s="7">
        <v>4.5</v>
      </c>
      <c r="P127" t="s">
        <v>2686</v>
      </c>
      <c r="Q127" s="7">
        <v>78</v>
      </c>
      <c r="R127" t="s">
        <v>2731</v>
      </c>
      <c r="U127" t="s">
        <v>905</v>
      </c>
      <c r="V127" s="7">
        <v>2010</v>
      </c>
      <c r="W127" t="s">
        <v>1554</v>
      </c>
      <c r="X127" t="s">
        <v>906</v>
      </c>
      <c r="Y127" t="s">
        <v>1557</v>
      </c>
      <c r="Z127" t="s">
        <v>907</v>
      </c>
      <c r="AA127" s="7">
        <v>2.4300000000000002</v>
      </c>
      <c r="AB127" s="7">
        <v>2.5</v>
      </c>
      <c r="AC127" s="7">
        <v>3</v>
      </c>
      <c r="AD127" s="7">
        <v>2.5</v>
      </c>
      <c r="AE127" s="7">
        <v>2</v>
      </c>
      <c r="AF127" s="7">
        <v>2</v>
      </c>
      <c r="AG127" s="7">
        <v>3</v>
      </c>
      <c r="AH127" s="7">
        <v>2</v>
      </c>
      <c r="AI127" t="s">
        <v>139</v>
      </c>
      <c r="AJ127" s="7">
        <v>99</v>
      </c>
      <c r="AK127" t="s">
        <v>434</v>
      </c>
      <c r="AN127" t="s">
        <v>1572</v>
      </c>
      <c r="AO127" s="7">
        <v>2013</v>
      </c>
      <c r="AP127" t="s">
        <v>1554</v>
      </c>
      <c r="AQ127" t="s">
        <v>750</v>
      </c>
      <c r="AR127" t="s">
        <v>1559</v>
      </c>
      <c r="AS127" t="s">
        <v>880</v>
      </c>
      <c r="AT127" s="7">
        <v>2.86</v>
      </c>
      <c r="AU127" s="7">
        <v>2.5</v>
      </c>
      <c r="AV127" s="7">
        <v>2.5</v>
      </c>
      <c r="AW127" s="7">
        <v>3</v>
      </c>
      <c r="AX127" s="7">
        <v>3.5</v>
      </c>
      <c r="AY127" s="7">
        <v>2</v>
      </c>
      <c r="AZ127" s="7">
        <v>3.5</v>
      </c>
      <c r="BA127" s="7">
        <v>3</v>
      </c>
      <c r="BB127" t="s">
        <v>199</v>
      </c>
      <c r="BC127" s="7">
        <v>325</v>
      </c>
      <c r="BD127" t="s">
        <v>1650</v>
      </c>
      <c r="BH127" s="5" t="str">
        <f t="shared" si="3"/>
        <v/>
      </c>
      <c r="BI127" s="5" t="str">
        <f t="shared" si="4"/>
        <v/>
      </c>
    </row>
    <row r="128" spans="2:61" x14ac:dyDescent="0.35">
      <c r="B128" t="s">
        <v>2324</v>
      </c>
      <c r="C128" s="7">
        <v>1994</v>
      </c>
      <c r="D128" t="s">
        <v>1556</v>
      </c>
      <c r="E128" t="s">
        <v>2260</v>
      </c>
      <c r="F128" t="s">
        <v>1557</v>
      </c>
      <c r="G128" t="s">
        <v>2249</v>
      </c>
      <c r="H128" s="7">
        <v>4.5</v>
      </c>
      <c r="I128" s="7">
        <v>4.5</v>
      </c>
      <c r="J128" s="7">
        <v>4.5</v>
      </c>
      <c r="K128" s="7">
        <v>5</v>
      </c>
      <c r="L128" s="7">
        <v>4.5</v>
      </c>
      <c r="M128" s="7">
        <v>4</v>
      </c>
      <c r="N128" s="7">
        <v>4</v>
      </c>
      <c r="O128" s="7">
        <v>5</v>
      </c>
      <c r="P128" t="s">
        <v>127</v>
      </c>
      <c r="Q128" s="7">
        <v>88</v>
      </c>
      <c r="R128" t="s">
        <v>2362</v>
      </c>
      <c r="U128" t="s">
        <v>1079</v>
      </c>
      <c r="V128" s="7">
        <v>2010</v>
      </c>
      <c r="W128" t="s">
        <v>1554</v>
      </c>
      <c r="X128" t="s">
        <v>658</v>
      </c>
      <c r="Y128" t="s">
        <v>1557</v>
      </c>
      <c r="Z128" t="s">
        <v>263</v>
      </c>
      <c r="AA128" s="7">
        <v>3.71</v>
      </c>
      <c r="AB128" s="7">
        <v>4</v>
      </c>
      <c r="AC128" s="7">
        <v>4</v>
      </c>
      <c r="AD128" s="7">
        <v>4</v>
      </c>
      <c r="AE128" s="7">
        <v>3.5</v>
      </c>
      <c r="AF128" s="7">
        <v>3.5</v>
      </c>
      <c r="AG128" s="7">
        <v>3</v>
      </c>
      <c r="AH128" s="7">
        <v>4</v>
      </c>
      <c r="AI128" t="s">
        <v>264</v>
      </c>
      <c r="AJ128" s="7">
        <v>162</v>
      </c>
      <c r="AK128" t="s">
        <v>474</v>
      </c>
      <c r="AN128" t="s">
        <v>792</v>
      </c>
      <c r="AO128" s="7">
        <v>2013</v>
      </c>
      <c r="AP128" t="s">
        <v>1554</v>
      </c>
      <c r="AQ128" t="s">
        <v>664</v>
      </c>
      <c r="AR128" t="s">
        <v>1559</v>
      </c>
      <c r="AS128" t="s">
        <v>793</v>
      </c>
      <c r="AT128" s="7">
        <v>2.29</v>
      </c>
      <c r="AU128" s="7">
        <v>2.5</v>
      </c>
      <c r="AV128" s="7">
        <v>2.5</v>
      </c>
      <c r="AW128" s="7">
        <v>2.5</v>
      </c>
      <c r="AX128" s="7">
        <v>2.5</v>
      </c>
      <c r="AY128" s="7">
        <v>2.5</v>
      </c>
      <c r="AZ128" s="7">
        <v>2.5</v>
      </c>
      <c r="BA128" s="7">
        <v>1</v>
      </c>
      <c r="BB128" t="s">
        <v>122</v>
      </c>
      <c r="BC128" s="7">
        <v>300</v>
      </c>
      <c r="BD128" t="s">
        <v>538</v>
      </c>
      <c r="BH128" s="5" t="str">
        <f t="shared" si="3"/>
        <v/>
      </c>
      <c r="BI128" s="5" t="str">
        <f t="shared" si="4"/>
        <v/>
      </c>
    </row>
    <row r="129" spans="2:61" x14ac:dyDescent="0.35">
      <c r="B129" t="s">
        <v>1918</v>
      </c>
      <c r="C129" s="7">
        <v>1994</v>
      </c>
      <c r="D129" t="s">
        <v>1556</v>
      </c>
      <c r="E129" t="s">
        <v>1919</v>
      </c>
      <c r="F129" t="s">
        <v>1557</v>
      </c>
      <c r="G129" t="s">
        <v>1920</v>
      </c>
      <c r="H129" s="7">
        <v>3.14</v>
      </c>
      <c r="I129" s="7">
        <v>3.5</v>
      </c>
      <c r="J129" s="7">
        <v>3.5</v>
      </c>
      <c r="K129" s="7">
        <v>3.5</v>
      </c>
      <c r="L129" s="7">
        <v>3.5</v>
      </c>
      <c r="M129" s="7">
        <v>2</v>
      </c>
      <c r="N129" s="7">
        <v>3.5</v>
      </c>
      <c r="O129" s="7">
        <v>2.5</v>
      </c>
      <c r="P129" t="s">
        <v>1883</v>
      </c>
      <c r="Q129" s="7">
        <v>90</v>
      </c>
      <c r="R129" t="s">
        <v>1982</v>
      </c>
      <c r="U129" t="s">
        <v>1125</v>
      </c>
      <c r="V129" s="7">
        <v>2010</v>
      </c>
      <c r="W129" t="s">
        <v>1554</v>
      </c>
      <c r="X129" t="s">
        <v>747</v>
      </c>
      <c r="Y129" t="s">
        <v>1557</v>
      </c>
      <c r="Z129" t="s">
        <v>194</v>
      </c>
      <c r="AA129" s="7">
        <v>3.43</v>
      </c>
      <c r="AB129" s="7">
        <v>3.5</v>
      </c>
      <c r="AC129" s="7">
        <v>4</v>
      </c>
      <c r="AD129" s="7">
        <v>4</v>
      </c>
      <c r="AE129" s="7">
        <v>3.5</v>
      </c>
      <c r="AF129" s="7">
        <v>2.5</v>
      </c>
      <c r="AG129" s="7">
        <v>2.5</v>
      </c>
      <c r="AH129" s="7">
        <v>4</v>
      </c>
      <c r="AI129" t="s">
        <v>195</v>
      </c>
      <c r="AJ129" s="7">
        <v>95</v>
      </c>
      <c r="AK129" t="s">
        <v>485</v>
      </c>
      <c r="AN129" t="s">
        <v>831</v>
      </c>
      <c r="AO129" s="7">
        <v>2013</v>
      </c>
      <c r="AP129" t="s">
        <v>1554</v>
      </c>
      <c r="AQ129" t="s">
        <v>731</v>
      </c>
      <c r="AR129" t="s">
        <v>1559</v>
      </c>
      <c r="AS129" t="s">
        <v>832</v>
      </c>
      <c r="AT129" s="7">
        <v>3.14</v>
      </c>
      <c r="AU129" s="7">
        <v>3.5</v>
      </c>
      <c r="AV129" s="7">
        <v>3.5</v>
      </c>
      <c r="AW129" s="7">
        <v>2.5</v>
      </c>
      <c r="AX129" s="7">
        <v>3</v>
      </c>
      <c r="AY129" s="7">
        <v>3.5</v>
      </c>
      <c r="AZ129" s="7">
        <v>3</v>
      </c>
      <c r="BA129" s="7">
        <v>3</v>
      </c>
      <c r="BB129" t="s">
        <v>140</v>
      </c>
      <c r="BC129" s="7">
        <v>365</v>
      </c>
      <c r="BD129" t="s">
        <v>539</v>
      </c>
      <c r="BH129" s="5" t="str">
        <f t="shared" si="3"/>
        <v/>
      </c>
      <c r="BI129" s="5" t="str">
        <f t="shared" si="4"/>
        <v/>
      </c>
    </row>
    <row r="130" spans="2:61" x14ac:dyDescent="0.35">
      <c r="B130" t="s">
        <v>1135</v>
      </c>
      <c r="C130" s="7">
        <v>1994</v>
      </c>
      <c r="D130" t="s">
        <v>1556</v>
      </c>
      <c r="E130" t="s">
        <v>1038</v>
      </c>
      <c r="F130" t="s">
        <v>1557</v>
      </c>
      <c r="G130" t="s">
        <v>293</v>
      </c>
      <c r="H130" s="7">
        <v>3.79</v>
      </c>
      <c r="I130" s="7">
        <v>4</v>
      </c>
      <c r="J130" s="7">
        <v>4</v>
      </c>
      <c r="K130" s="7">
        <v>4</v>
      </c>
      <c r="L130" s="7">
        <v>4</v>
      </c>
      <c r="M130" s="7">
        <v>3.5</v>
      </c>
      <c r="N130" s="7">
        <v>4</v>
      </c>
      <c r="O130" s="7">
        <v>3</v>
      </c>
      <c r="P130" t="s">
        <v>294</v>
      </c>
      <c r="Q130" s="7">
        <v>86</v>
      </c>
      <c r="R130" t="s">
        <v>389</v>
      </c>
      <c r="U130" t="s">
        <v>1136</v>
      </c>
      <c r="V130" s="7">
        <v>2010</v>
      </c>
      <c r="W130" t="s">
        <v>1554</v>
      </c>
      <c r="X130" t="s">
        <v>1137</v>
      </c>
      <c r="Y130" t="s">
        <v>1557</v>
      </c>
      <c r="Z130" t="s">
        <v>1138</v>
      </c>
      <c r="AA130" s="7">
        <v>3.5</v>
      </c>
      <c r="AB130" s="7">
        <v>4</v>
      </c>
      <c r="AC130" s="7">
        <v>3.5</v>
      </c>
      <c r="AD130" s="7">
        <v>3.5</v>
      </c>
      <c r="AE130" s="7">
        <v>3.5</v>
      </c>
      <c r="AF130" s="7">
        <v>3.5</v>
      </c>
      <c r="AG130" s="7">
        <v>3</v>
      </c>
      <c r="AH130" s="7">
        <v>3.5</v>
      </c>
      <c r="AI130" t="s">
        <v>295</v>
      </c>
      <c r="AJ130" s="7">
        <v>0</v>
      </c>
      <c r="AK130" t="s">
        <v>489</v>
      </c>
      <c r="AN130" t="s">
        <v>893</v>
      </c>
      <c r="AO130" s="7">
        <v>2013</v>
      </c>
      <c r="AP130" t="s">
        <v>1554</v>
      </c>
      <c r="AQ130" t="s">
        <v>894</v>
      </c>
      <c r="AR130" t="s">
        <v>1559</v>
      </c>
      <c r="AS130" t="s">
        <v>895</v>
      </c>
      <c r="AT130" s="7">
        <v>4.1399999999999997</v>
      </c>
      <c r="AU130" s="7">
        <v>3.5</v>
      </c>
      <c r="AV130" s="7">
        <v>4.5</v>
      </c>
      <c r="AW130" s="7">
        <v>4</v>
      </c>
      <c r="AX130" s="7">
        <v>4</v>
      </c>
      <c r="AY130" s="7">
        <v>3.5</v>
      </c>
      <c r="AZ130" s="7">
        <v>5</v>
      </c>
      <c r="BA130" s="7">
        <v>4.5</v>
      </c>
      <c r="BB130" t="s">
        <v>188</v>
      </c>
      <c r="BC130" s="7">
        <v>625</v>
      </c>
      <c r="BD130" t="s">
        <v>540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:61" x14ac:dyDescent="0.35">
      <c r="B131" t="s">
        <v>2514</v>
      </c>
      <c r="C131" s="7">
        <v>1993</v>
      </c>
      <c r="D131" t="s">
        <v>2525</v>
      </c>
      <c r="E131" t="s">
        <v>681</v>
      </c>
      <c r="F131" t="s">
        <v>1557</v>
      </c>
      <c r="G131" t="s">
        <v>2493</v>
      </c>
      <c r="H131" s="7">
        <v>2.79</v>
      </c>
      <c r="I131" s="7">
        <v>3.5</v>
      </c>
      <c r="J131" s="7">
        <v>3.5</v>
      </c>
      <c r="K131" s="7">
        <v>3.5</v>
      </c>
      <c r="L131" s="7">
        <v>2</v>
      </c>
      <c r="M131" s="7">
        <v>2</v>
      </c>
      <c r="N131" s="7">
        <v>2.5</v>
      </c>
      <c r="O131" s="7">
        <v>2.5</v>
      </c>
      <c r="P131" t="s">
        <v>281</v>
      </c>
      <c r="Q131" s="7">
        <v>135</v>
      </c>
      <c r="R131" t="s">
        <v>2550</v>
      </c>
      <c r="U131" t="s">
        <v>1146</v>
      </c>
      <c r="V131" s="7">
        <v>2010</v>
      </c>
      <c r="W131" t="s">
        <v>1554</v>
      </c>
      <c r="X131" t="s">
        <v>694</v>
      </c>
      <c r="Y131" t="s">
        <v>1557</v>
      </c>
      <c r="Z131" t="s">
        <v>1145</v>
      </c>
      <c r="AA131" s="7">
        <v>3.64</v>
      </c>
      <c r="AB131" s="7">
        <v>3.5</v>
      </c>
      <c r="AC131" s="7">
        <v>3.5</v>
      </c>
      <c r="AD131" s="7">
        <v>3.5</v>
      </c>
      <c r="AE131" s="7">
        <v>4</v>
      </c>
      <c r="AF131" s="7">
        <v>3.5</v>
      </c>
      <c r="AG131" s="7">
        <v>3.5</v>
      </c>
      <c r="AH131" s="7">
        <v>4</v>
      </c>
      <c r="AI131" t="s">
        <v>188</v>
      </c>
      <c r="AJ131" s="7">
        <v>90</v>
      </c>
      <c r="AK131" t="s">
        <v>493</v>
      </c>
      <c r="AN131" t="s">
        <v>901</v>
      </c>
      <c r="AO131" s="7">
        <v>2013</v>
      </c>
      <c r="AP131" t="s">
        <v>1554</v>
      </c>
      <c r="AQ131" t="s">
        <v>681</v>
      </c>
      <c r="AR131" t="s">
        <v>1559</v>
      </c>
      <c r="AS131" t="s">
        <v>735</v>
      </c>
      <c r="AT131" s="7">
        <v>4.71</v>
      </c>
      <c r="AU131" s="7">
        <v>4.5</v>
      </c>
      <c r="AV131" s="7">
        <v>5</v>
      </c>
      <c r="AW131" s="7">
        <v>4</v>
      </c>
      <c r="AX131" s="7">
        <v>5</v>
      </c>
      <c r="AY131" s="7">
        <v>4.5</v>
      </c>
      <c r="AZ131" s="7">
        <v>5</v>
      </c>
      <c r="BA131" s="7">
        <v>5</v>
      </c>
      <c r="BB131" t="s">
        <v>178</v>
      </c>
      <c r="BC131" s="7">
        <v>325</v>
      </c>
      <c r="BD131" t="s">
        <v>541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:61" x14ac:dyDescent="0.35">
      <c r="B132" t="s">
        <v>1128</v>
      </c>
      <c r="C132" s="7">
        <v>1993</v>
      </c>
      <c r="D132" t="s">
        <v>1556</v>
      </c>
      <c r="E132" t="s">
        <v>289</v>
      </c>
      <c r="F132" t="s">
        <v>1557</v>
      </c>
      <c r="G132" t="s">
        <v>1129</v>
      </c>
      <c r="H132" s="7">
        <v>4</v>
      </c>
      <c r="I132" s="7">
        <v>5</v>
      </c>
      <c r="J132" s="7">
        <v>5</v>
      </c>
      <c r="K132" s="7">
        <v>3</v>
      </c>
      <c r="L132" s="7">
        <v>3.5</v>
      </c>
      <c r="M132" s="7">
        <v>2.5</v>
      </c>
      <c r="N132" s="7">
        <v>4</v>
      </c>
      <c r="O132" s="7">
        <v>5</v>
      </c>
      <c r="P132" t="s">
        <v>290</v>
      </c>
      <c r="Q132" s="7">
        <v>80</v>
      </c>
      <c r="R132" t="s">
        <v>390</v>
      </c>
      <c r="U132" t="s">
        <v>1626</v>
      </c>
      <c r="V132" s="7">
        <v>2010</v>
      </c>
      <c r="W132" t="s">
        <v>1554</v>
      </c>
      <c r="X132" t="s">
        <v>715</v>
      </c>
      <c r="Y132" t="s">
        <v>1557</v>
      </c>
      <c r="Z132" t="s">
        <v>1627</v>
      </c>
      <c r="AA132" s="38">
        <v>3.14</v>
      </c>
      <c r="AB132" s="7">
        <v>3.5</v>
      </c>
      <c r="AC132" s="7">
        <v>3.5</v>
      </c>
      <c r="AD132" s="7">
        <v>3</v>
      </c>
      <c r="AE132" s="7">
        <v>3</v>
      </c>
      <c r="AF132" s="7">
        <v>3</v>
      </c>
      <c r="AG132" s="7">
        <v>3</v>
      </c>
      <c r="AH132" s="7">
        <v>3</v>
      </c>
      <c r="AI132" t="s">
        <v>1552</v>
      </c>
      <c r="AJ132" s="7">
        <v>136</v>
      </c>
      <c r="AK132" t="s">
        <v>1638</v>
      </c>
      <c r="AN132" t="s">
        <v>1912</v>
      </c>
      <c r="AO132" s="7">
        <v>2013</v>
      </c>
      <c r="AP132" t="s">
        <v>1554</v>
      </c>
      <c r="AQ132" t="s">
        <v>775</v>
      </c>
      <c r="AR132" t="s">
        <v>1559</v>
      </c>
      <c r="AS132" t="s">
        <v>1913</v>
      </c>
      <c r="AT132" s="7">
        <v>2.79</v>
      </c>
      <c r="AU132" s="7">
        <v>3</v>
      </c>
      <c r="AV132" s="7">
        <v>3</v>
      </c>
      <c r="AW132" s="7">
        <v>3</v>
      </c>
      <c r="AX132" s="7">
        <v>2.5</v>
      </c>
      <c r="AY132" s="7">
        <v>2.5</v>
      </c>
      <c r="AZ132" s="7">
        <v>3</v>
      </c>
      <c r="BA132" s="7">
        <v>2.5</v>
      </c>
      <c r="BB132" t="s">
        <v>1880</v>
      </c>
      <c r="BC132" s="7">
        <v>300</v>
      </c>
      <c r="BD132" t="s">
        <v>1941</v>
      </c>
      <c r="BH132" s="5" t="str">
        <f t="shared" si="5"/>
        <v/>
      </c>
      <c r="BI132" s="5" t="str">
        <f t="shared" si="6"/>
        <v/>
      </c>
    </row>
    <row r="133" spans="2:61" x14ac:dyDescent="0.35">
      <c r="B133" t="s">
        <v>2261</v>
      </c>
      <c r="C133" s="7">
        <v>1992</v>
      </c>
      <c r="D133" t="s">
        <v>1556</v>
      </c>
      <c r="E133" t="s">
        <v>2260</v>
      </c>
      <c r="F133" t="s">
        <v>1557</v>
      </c>
      <c r="G133" t="s">
        <v>2202</v>
      </c>
      <c r="H133" s="7">
        <v>4.43</v>
      </c>
      <c r="I133" s="7">
        <v>4.5</v>
      </c>
      <c r="J133" s="7">
        <v>4.5</v>
      </c>
      <c r="K133" s="7">
        <v>4.5</v>
      </c>
      <c r="L133" s="7">
        <v>5</v>
      </c>
      <c r="M133" s="7">
        <v>3.5</v>
      </c>
      <c r="N133" s="7">
        <v>5</v>
      </c>
      <c r="O133" s="7">
        <v>4</v>
      </c>
      <c r="P133" t="s">
        <v>97</v>
      </c>
      <c r="Q133" s="7">
        <v>0</v>
      </c>
      <c r="R133" t="s">
        <v>2363</v>
      </c>
      <c r="U133" t="s">
        <v>665</v>
      </c>
      <c r="V133" s="7">
        <v>2009</v>
      </c>
      <c r="W133" t="s">
        <v>1554</v>
      </c>
      <c r="X133" t="s">
        <v>664</v>
      </c>
      <c r="Y133" t="s">
        <v>1557</v>
      </c>
      <c r="Z133" t="s">
        <v>61</v>
      </c>
      <c r="AA133" s="7">
        <v>3.93</v>
      </c>
      <c r="AB133" s="7">
        <v>4</v>
      </c>
      <c r="AC133" s="7">
        <v>4.5</v>
      </c>
      <c r="AD133" s="7">
        <v>4.5</v>
      </c>
      <c r="AE133" s="7">
        <v>4</v>
      </c>
      <c r="AF133" s="7">
        <v>3</v>
      </c>
      <c r="AG133" s="7">
        <v>3.5</v>
      </c>
      <c r="AH133" s="7">
        <v>4</v>
      </c>
      <c r="AI133" t="s">
        <v>63</v>
      </c>
      <c r="AJ133" s="7">
        <v>100</v>
      </c>
      <c r="AK133" t="s">
        <v>402</v>
      </c>
      <c r="AN133" t="s">
        <v>1611</v>
      </c>
      <c r="AO133" s="7">
        <v>2013</v>
      </c>
      <c r="AP133" t="s">
        <v>1554</v>
      </c>
      <c r="AQ133" t="s">
        <v>951</v>
      </c>
      <c r="AR133" t="s">
        <v>1559</v>
      </c>
      <c r="AS133" t="s">
        <v>1612</v>
      </c>
      <c r="AT133" s="7">
        <v>3.07</v>
      </c>
      <c r="AU133" s="7">
        <v>3</v>
      </c>
      <c r="AV133" s="7">
        <v>3</v>
      </c>
      <c r="AW133" s="7">
        <v>3</v>
      </c>
      <c r="AX133" s="7">
        <v>3.5</v>
      </c>
      <c r="AY133" s="7">
        <v>2</v>
      </c>
      <c r="AZ133" s="7">
        <v>4</v>
      </c>
      <c r="BA133" s="7">
        <v>3</v>
      </c>
      <c r="BB133" t="s">
        <v>1546</v>
      </c>
      <c r="BC133" s="7">
        <v>300</v>
      </c>
      <c r="BD133" t="s">
        <v>1651</v>
      </c>
      <c r="BH133" s="5" t="str">
        <f t="shared" si="5"/>
        <v/>
      </c>
      <c r="BI133" s="5" t="str">
        <f t="shared" si="6"/>
        <v/>
      </c>
    </row>
    <row r="134" spans="2:61" x14ac:dyDescent="0.35">
      <c r="B134" t="s">
        <v>1255</v>
      </c>
      <c r="C134" s="7">
        <v>1991</v>
      </c>
      <c r="D134" t="s">
        <v>1556</v>
      </c>
      <c r="E134" t="s">
        <v>1285</v>
      </c>
      <c r="F134" t="s">
        <v>1557</v>
      </c>
      <c r="G134" t="s">
        <v>1185</v>
      </c>
      <c r="H134" s="7">
        <v>3.29</v>
      </c>
      <c r="I134" s="7">
        <v>4</v>
      </c>
      <c r="J134" s="7">
        <v>4</v>
      </c>
      <c r="K134" s="7">
        <v>3.5</v>
      </c>
      <c r="L134" s="7">
        <v>4</v>
      </c>
      <c r="M134" s="7">
        <v>2</v>
      </c>
      <c r="N134" s="7">
        <v>3.5</v>
      </c>
      <c r="O134" s="7">
        <v>2</v>
      </c>
      <c r="P134" t="s">
        <v>259</v>
      </c>
      <c r="Q134" s="7">
        <v>74</v>
      </c>
      <c r="R134" t="s">
        <v>1229</v>
      </c>
      <c r="U134" t="s">
        <v>802</v>
      </c>
      <c r="V134" s="7">
        <v>2009</v>
      </c>
      <c r="W134" t="s">
        <v>1554</v>
      </c>
      <c r="X134" t="s">
        <v>731</v>
      </c>
      <c r="Y134" t="s">
        <v>1557</v>
      </c>
      <c r="Z134" t="s">
        <v>801</v>
      </c>
      <c r="AA134" s="7">
        <v>3.29</v>
      </c>
      <c r="AB134" s="7">
        <v>3.5</v>
      </c>
      <c r="AC134" s="7">
        <v>3.5</v>
      </c>
      <c r="AD134" s="7">
        <v>4</v>
      </c>
      <c r="AE134" s="7">
        <v>3.5</v>
      </c>
      <c r="AF134" s="7">
        <v>2.5</v>
      </c>
      <c r="AG134" s="7">
        <v>3</v>
      </c>
      <c r="AH134" s="7">
        <v>3</v>
      </c>
      <c r="AI134" t="s">
        <v>125</v>
      </c>
      <c r="AJ134" s="7">
        <v>180</v>
      </c>
      <c r="AK134" t="s">
        <v>418</v>
      </c>
      <c r="AN134" t="s">
        <v>1418</v>
      </c>
      <c r="AO134" s="7">
        <v>2013</v>
      </c>
      <c r="AP134" t="s">
        <v>1554</v>
      </c>
      <c r="AQ134" t="s">
        <v>948</v>
      </c>
      <c r="AR134" t="s">
        <v>1559</v>
      </c>
      <c r="AS134" t="s">
        <v>1462</v>
      </c>
      <c r="AT134" s="7">
        <v>2.93</v>
      </c>
      <c r="AU134" s="7">
        <v>3</v>
      </c>
      <c r="AV134" s="7">
        <v>3.5</v>
      </c>
      <c r="AW134" s="7">
        <v>3</v>
      </c>
      <c r="AX134" s="7">
        <v>3.5</v>
      </c>
      <c r="AY134" s="7">
        <v>2.5</v>
      </c>
      <c r="AZ134" s="7">
        <v>2.5</v>
      </c>
      <c r="BA134" s="7">
        <v>2.5</v>
      </c>
      <c r="BB134" t="s">
        <v>1362</v>
      </c>
      <c r="BC134" s="7">
        <v>300</v>
      </c>
      <c r="BD134" t="s">
        <v>1525</v>
      </c>
      <c r="BH134" s="5" t="str">
        <f t="shared" si="5"/>
        <v/>
      </c>
      <c r="BI134" s="5" t="str">
        <f t="shared" si="6"/>
        <v/>
      </c>
    </row>
    <row r="135" spans="2:61" x14ac:dyDescent="0.35">
      <c r="B135" t="s">
        <v>2270</v>
      </c>
      <c r="C135" s="7">
        <v>1991</v>
      </c>
      <c r="D135" t="s">
        <v>1556</v>
      </c>
      <c r="E135" t="s">
        <v>2260</v>
      </c>
      <c r="F135" t="s">
        <v>1557</v>
      </c>
      <c r="G135" t="s">
        <v>2205</v>
      </c>
      <c r="H135" s="7">
        <v>4.3600000000000003</v>
      </c>
      <c r="I135" s="7">
        <v>4.5</v>
      </c>
      <c r="J135" s="7">
        <v>4.5</v>
      </c>
      <c r="K135" s="7">
        <v>4.5</v>
      </c>
      <c r="L135" s="7">
        <v>4.5</v>
      </c>
      <c r="M135" s="7">
        <v>4</v>
      </c>
      <c r="N135" s="7">
        <v>4</v>
      </c>
      <c r="O135" s="7">
        <v>4.5</v>
      </c>
      <c r="P135" t="s">
        <v>2208</v>
      </c>
      <c r="Q135" s="7">
        <v>84</v>
      </c>
      <c r="R135" t="s">
        <v>2364</v>
      </c>
      <c r="U135" t="s">
        <v>1260</v>
      </c>
      <c r="V135" s="7">
        <v>2009</v>
      </c>
      <c r="W135" t="s">
        <v>1554</v>
      </c>
      <c r="X135" t="s">
        <v>1286</v>
      </c>
      <c r="Y135" t="s">
        <v>1557</v>
      </c>
      <c r="Z135" t="s">
        <v>1191</v>
      </c>
      <c r="AA135" s="7">
        <v>4.57</v>
      </c>
      <c r="AB135" s="7">
        <v>4.5</v>
      </c>
      <c r="AC135" s="7">
        <v>4.5</v>
      </c>
      <c r="AD135" s="7">
        <v>4.5</v>
      </c>
      <c r="AE135" s="7">
        <v>4</v>
      </c>
      <c r="AF135" s="7">
        <v>4.5</v>
      </c>
      <c r="AG135" s="7">
        <v>5</v>
      </c>
      <c r="AH135" s="7">
        <v>5</v>
      </c>
      <c r="AI135" t="s">
        <v>1192</v>
      </c>
      <c r="AJ135" s="7">
        <v>112</v>
      </c>
      <c r="AK135" t="s">
        <v>1242</v>
      </c>
      <c r="AN135" t="s">
        <v>2084</v>
      </c>
      <c r="AO135" s="7">
        <v>2012</v>
      </c>
      <c r="AP135" t="s">
        <v>1554</v>
      </c>
      <c r="AQ135" t="s">
        <v>2085</v>
      </c>
      <c r="AR135" t="s">
        <v>1559</v>
      </c>
      <c r="AS135" t="s">
        <v>2086</v>
      </c>
      <c r="AT135" s="7">
        <v>3.57</v>
      </c>
      <c r="AU135" s="7">
        <v>3.5</v>
      </c>
      <c r="AV135" s="7">
        <v>4</v>
      </c>
      <c r="AW135" s="7">
        <v>3.5</v>
      </c>
      <c r="AX135" s="7">
        <v>3.5</v>
      </c>
      <c r="AY135" s="7">
        <v>3.5</v>
      </c>
      <c r="AZ135" s="7">
        <v>3.5</v>
      </c>
      <c r="BA135" s="7">
        <v>3.5</v>
      </c>
      <c r="BB135" t="s">
        <v>1336</v>
      </c>
      <c r="BC135" s="7">
        <v>184</v>
      </c>
      <c r="BD135" t="s">
        <v>2136</v>
      </c>
      <c r="BH135" s="5" t="str">
        <f t="shared" si="5"/>
        <v/>
      </c>
      <c r="BI135" s="5" t="str">
        <f t="shared" si="6"/>
        <v/>
      </c>
    </row>
    <row r="136" spans="2:61" x14ac:dyDescent="0.35">
      <c r="B136" t="s">
        <v>1037</v>
      </c>
      <c r="C136" s="7">
        <v>1991</v>
      </c>
      <c r="D136" t="s">
        <v>1556</v>
      </c>
      <c r="E136" t="s">
        <v>1038</v>
      </c>
      <c r="F136" t="s">
        <v>1557</v>
      </c>
      <c r="G136" t="s">
        <v>1039</v>
      </c>
      <c r="H136" s="7">
        <v>3.14</v>
      </c>
      <c r="I136" s="7">
        <v>3</v>
      </c>
      <c r="J136" s="7">
        <v>3</v>
      </c>
      <c r="K136" s="7">
        <v>4</v>
      </c>
      <c r="L136" s="7">
        <v>4</v>
      </c>
      <c r="M136" s="7">
        <v>2</v>
      </c>
      <c r="N136" s="7">
        <v>3</v>
      </c>
      <c r="O136" s="7">
        <v>3</v>
      </c>
      <c r="P136" t="s">
        <v>240</v>
      </c>
      <c r="Q136" s="7">
        <v>74</v>
      </c>
      <c r="R136" t="s">
        <v>391</v>
      </c>
      <c r="U136" t="s">
        <v>1908</v>
      </c>
      <c r="V136" s="7">
        <v>2009</v>
      </c>
      <c r="W136" t="s">
        <v>1554</v>
      </c>
      <c r="X136" t="s">
        <v>694</v>
      </c>
      <c r="Y136" t="s">
        <v>1557</v>
      </c>
      <c r="Z136" t="s">
        <v>724</v>
      </c>
      <c r="AA136" s="7">
        <v>3.14</v>
      </c>
      <c r="AB136" s="7">
        <v>3</v>
      </c>
      <c r="AC136" s="7">
        <v>3</v>
      </c>
      <c r="AD136" s="7">
        <v>4</v>
      </c>
      <c r="AE136" s="7">
        <v>3</v>
      </c>
      <c r="AF136" s="7">
        <v>3</v>
      </c>
      <c r="AG136" s="7">
        <v>3</v>
      </c>
      <c r="AH136" s="7">
        <v>3</v>
      </c>
      <c r="AI136" t="s">
        <v>1879</v>
      </c>
      <c r="AJ136" s="7">
        <v>93</v>
      </c>
      <c r="AK136" t="s">
        <v>1926</v>
      </c>
      <c r="AN136" t="s">
        <v>742</v>
      </c>
      <c r="AO136" s="7">
        <v>2012</v>
      </c>
      <c r="AP136" t="s">
        <v>1554</v>
      </c>
      <c r="AQ136" t="s">
        <v>694</v>
      </c>
      <c r="AR136" t="s">
        <v>1559</v>
      </c>
      <c r="AS136" t="s">
        <v>743</v>
      </c>
      <c r="AT136" s="7">
        <v>3.43</v>
      </c>
      <c r="AU136" s="7">
        <v>3.5</v>
      </c>
      <c r="AV136" s="7">
        <v>3.5</v>
      </c>
      <c r="AW136" s="7">
        <v>3.5</v>
      </c>
      <c r="AX136" s="7">
        <v>3</v>
      </c>
      <c r="AY136" s="7">
        <v>3</v>
      </c>
      <c r="AZ136" s="7">
        <v>3.5</v>
      </c>
      <c r="BA136" s="7">
        <v>4</v>
      </c>
      <c r="BB136" t="s">
        <v>92</v>
      </c>
      <c r="BC136" s="7">
        <v>300</v>
      </c>
      <c r="BD136" t="s">
        <v>542</v>
      </c>
      <c r="BH136" s="5" t="str">
        <f t="shared" si="5"/>
        <v/>
      </c>
      <c r="BI136" s="5" t="str">
        <f t="shared" si="6"/>
        <v/>
      </c>
    </row>
    <row r="137" spans="2:61" x14ac:dyDescent="0.35">
      <c r="B137" t="s">
        <v>2331</v>
      </c>
      <c r="C137" s="7">
        <v>1990</v>
      </c>
      <c r="D137" t="s">
        <v>1556</v>
      </c>
      <c r="E137" t="s">
        <v>2260</v>
      </c>
      <c r="F137" t="s">
        <v>1557</v>
      </c>
      <c r="G137" t="s">
        <v>2254</v>
      </c>
      <c r="H137" s="7">
        <v>4.07</v>
      </c>
      <c r="I137" s="7">
        <v>4.5</v>
      </c>
      <c r="J137" s="7">
        <v>4</v>
      </c>
      <c r="K137" s="7">
        <v>4</v>
      </c>
      <c r="L137" s="7">
        <v>4</v>
      </c>
      <c r="M137" s="7">
        <v>3.5</v>
      </c>
      <c r="N137" s="7">
        <v>4.5</v>
      </c>
      <c r="O137" s="7">
        <v>4</v>
      </c>
      <c r="P137" t="s">
        <v>1950</v>
      </c>
      <c r="Q137" s="7">
        <v>77</v>
      </c>
      <c r="R137" t="s">
        <v>2365</v>
      </c>
      <c r="U137" t="s">
        <v>1028</v>
      </c>
      <c r="V137" s="7">
        <v>2009</v>
      </c>
      <c r="W137" t="s">
        <v>1554</v>
      </c>
      <c r="X137" t="s">
        <v>1029</v>
      </c>
      <c r="Y137" t="s">
        <v>1557</v>
      </c>
      <c r="Z137" t="s">
        <v>1030</v>
      </c>
      <c r="AA137" s="7">
        <v>4.3600000000000003</v>
      </c>
      <c r="AB137" s="7">
        <v>4.5</v>
      </c>
      <c r="AC137" s="7">
        <v>5</v>
      </c>
      <c r="AD137" s="7">
        <v>5</v>
      </c>
      <c r="AE137" s="7">
        <v>3.5</v>
      </c>
      <c r="AF137" s="7">
        <v>3</v>
      </c>
      <c r="AG137" s="7">
        <v>4.5</v>
      </c>
      <c r="AH137" s="7">
        <v>5</v>
      </c>
      <c r="AI137" t="s">
        <v>238</v>
      </c>
      <c r="AJ137" s="7">
        <v>102</v>
      </c>
      <c r="AK137" t="s">
        <v>465</v>
      </c>
      <c r="AN137" t="s">
        <v>797</v>
      </c>
      <c r="AO137" s="7">
        <v>2012</v>
      </c>
      <c r="AP137" t="s">
        <v>1554</v>
      </c>
      <c r="AQ137" t="s">
        <v>798</v>
      </c>
      <c r="AR137" t="s">
        <v>1559</v>
      </c>
      <c r="AS137" t="s">
        <v>799</v>
      </c>
      <c r="AT137" s="7">
        <v>3.57</v>
      </c>
      <c r="AU137" s="7">
        <v>3</v>
      </c>
      <c r="AV137" s="7">
        <v>3.5</v>
      </c>
      <c r="AW137" s="7">
        <v>4</v>
      </c>
      <c r="AX137" s="7">
        <v>3</v>
      </c>
      <c r="AY137" s="7">
        <v>3.5</v>
      </c>
      <c r="AZ137" s="7">
        <v>4</v>
      </c>
      <c r="BA137" s="7">
        <v>4</v>
      </c>
      <c r="BB137" t="s">
        <v>124</v>
      </c>
      <c r="BC137" s="7">
        <v>325</v>
      </c>
      <c r="BD137" t="s">
        <v>543</v>
      </c>
      <c r="BH137" s="5" t="str">
        <f t="shared" si="5"/>
        <v/>
      </c>
      <c r="BI137" s="5" t="str">
        <f t="shared" si="6"/>
        <v/>
      </c>
    </row>
    <row r="138" spans="2:61" x14ac:dyDescent="0.35">
      <c r="B138" t="s">
        <v>2408</v>
      </c>
      <c r="C138" s="7">
        <v>1989</v>
      </c>
      <c r="D138" t="s">
        <v>1556</v>
      </c>
      <c r="E138" t="s">
        <v>2409</v>
      </c>
      <c r="F138" t="s">
        <v>1557</v>
      </c>
      <c r="G138" t="s">
        <v>1039</v>
      </c>
      <c r="H138" s="7">
        <v>3.71</v>
      </c>
      <c r="I138" s="7">
        <v>4</v>
      </c>
      <c r="J138" s="7">
        <v>3.5</v>
      </c>
      <c r="K138" s="7">
        <v>3.5</v>
      </c>
      <c r="L138" s="7">
        <v>4</v>
      </c>
      <c r="M138" s="7">
        <v>4</v>
      </c>
      <c r="N138" s="7">
        <v>3.5</v>
      </c>
      <c r="O138" s="7">
        <v>3.5</v>
      </c>
      <c r="P138" t="s">
        <v>2244</v>
      </c>
      <c r="Q138" s="7">
        <v>84</v>
      </c>
      <c r="R138" t="s">
        <v>2471</v>
      </c>
      <c r="U138" t="s">
        <v>1066</v>
      </c>
      <c r="V138" s="7">
        <v>2009</v>
      </c>
      <c r="W138" t="s">
        <v>1554</v>
      </c>
      <c r="X138" t="s">
        <v>694</v>
      </c>
      <c r="Y138" t="s">
        <v>1557</v>
      </c>
      <c r="Z138" t="s">
        <v>945</v>
      </c>
      <c r="AA138" s="7">
        <v>3.93</v>
      </c>
      <c r="AB138" s="7">
        <v>3.5</v>
      </c>
      <c r="AC138" s="7">
        <v>4</v>
      </c>
      <c r="AD138" s="7">
        <v>3.5</v>
      </c>
      <c r="AE138" s="7">
        <v>4</v>
      </c>
      <c r="AF138" s="7">
        <v>3.5</v>
      </c>
      <c r="AG138" s="7">
        <v>4.5</v>
      </c>
      <c r="AH138" s="7">
        <v>4.5</v>
      </c>
      <c r="AI138" t="s">
        <v>254</v>
      </c>
      <c r="AJ138" s="7">
        <v>114</v>
      </c>
      <c r="AK138" t="s">
        <v>469</v>
      </c>
      <c r="AN138" t="s">
        <v>1961</v>
      </c>
      <c r="AO138" s="7">
        <v>2012</v>
      </c>
      <c r="AP138" t="s">
        <v>1554</v>
      </c>
      <c r="AQ138" t="s">
        <v>715</v>
      </c>
      <c r="AR138" t="s">
        <v>1559</v>
      </c>
      <c r="AS138" t="s">
        <v>1975</v>
      </c>
      <c r="AT138" s="7">
        <v>4</v>
      </c>
      <c r="AU138" s="7">
        <v>3</v>
      </c>
      <c r="AV138" s="7">
        <v>4</v>
      </c>
      <c r="AW138" s="7">
        <v>4.5</v>
      </c>
      <c r="AX138" s="7">
        <v>3</v>
      </c>
      <c r="AY138" s="7">
        <v>4.5</v>
      </c>
      <c r="AZ138" s="7">
        <v>4</v>
      </c>
      <c r="BA138" s="7">
        <v>5</v>
      </c>
      <c r="BB138" t="s">
        <v>1947</v>
      </c>
      <c r="BC138" s="7">
        <v>625</v>
      </c>
      <c r="BD138" t="s">
        <v>1994</v>
      </c>
      <c r="BH138" s="5" t="str">
        <f t="shared" si="5"/>
        <v/>
      </c>
      <c r="BI138" s="5" t="str">
        <f t="shared" si="6"/>
        <v/>
      </c>
    </row>
    <row r="139" spans="2:61" x14ac:dyDescent="0.35">
      <c r="B139" t="s">
        <v>2325</v>
      </c>
      <c r="C139" s="7">
        <v>1989</v>
      </c>
      <c r="D139" t="s">
        <v>1556</v>
      </c>
      <c r="E139" t="s">
        <v>2260</v>
      </c>
      <c r="F139" t="s">
        <v>1557</v>
      </c>
      <c r="G139" t="s">
        <v>2202</v>
      </c>
      <c r="H139" s="7">
        <v>4.07</v>
      </c>
      <c r="I139" s="7">
        <v>4</v>
      </c>
      <c r="J139" s="7">
        <v>4</v>
      </c>
      <c r="K139" s="7">
        <v>4.5</v>
      </c>
      <c r="L139" s="7">
        <v>4.5</v>
      </c>
      <c r="M139" s="7">
        <v>4</v>
      </c>
      <c r="N139" s="7">
        <v>3.5</v>
      </c>
      <c r="O139" s="7">
        <v>4</v>
      </c>
      <c r="P139" t="s">
        <v>2250</v>
      </c>
      <c r="Q139" s="7">
        <v>83</v>
      </c>
      <c r="R139" t="s">
        <v>2366</v>
      </c>
      <c r="U139" t="s">
        <v>1412</v>
      </c>
      <c r="V139" s="7">
        <v>2009</v>
      </c>
      <c r="W139" t="s">
        <v>1554</v>
      </c>
      <c r="X139" t="s">
        <v>731</v>
      </c>
      <c r="Y139" t="s">
        <v>1557</v>
      </c>
      <c r="Z139" t="s">
        <v>1460</v>
      </c>
      <c r="AA139" s="7">
        <v>3.57</v>
      </c>
      <c r="AB139" s="7">
        <v>3.5</v>
      </c>
      <c r="AC139" s="7">
        <v>3.5</v>
      </c>
      <c r="AD139" s="7">
        <v>3.5</v>
      </c>
      <c r="AE139" s="7">
        <v>4</v>
      </c>
      <c r="AF139" s="7">
        <v>3.5</v>
      </c>
      <c r="AG139" s="7">
        <v>3</v>
      </c>
      <c r="AH139" s="7">
        <v>4</v>
      </c>
      <c r="AI139" t="s">
        <v>1321</v>
      </c>
      <c r="AJ139" s="7">
        <v>110</v>
      </c>
      <c r="AK139" t="s">
        <v>1491</v>
      </c>
      <c r="AN139" t="s">
        <v>1327</v>
      </c>
      <c r="AO139" s="7">
        <v>2012</v>
      </c>
      <c r="AP139" t="s">
        <v>1554</v>
      </c>
      <c r="AQ139" t="s">
        <v>1425</v>
      </c>
      <c r="AR139" t="s">
        <v>1559</v>
      </c>
      <c r="AS139" t="s">
        <v>1018</v>
      </c>
      <c r="AT139" s="7">
        <v>3.21</v>
      </c>
      <c r="AU139" s="7">
        <v>3.5</v>
      </c>
      <c r="AV139" s="7">
        <v>3</v>
      </c>
      <c r="AW139" s="7">
        <v>4</v>
      </c>
      <c r="AX139" s="7">
        <v>2.5</v>
      </c>
      <c r="AY139" s="7">
        <v>2.5</v>
      </c>
      <c r="AZ139" s="7">
        <v>3.5</v>
      </c>
      <c r="BA139" s="7">
        <v>3.5</v>
      </c>
      <c r="BB139" t="s">
        <v>1314</v>
      </c>
      <c r="BC139" s="7">
        <v>300</v>
      </c>
      <c r="BD139" t="s">
        <v>1503</v>
      </c>
      <c r="BH139" s="5" t="str">
        <f t="shared" si="5"/>
        <v/>
      </c>
      <c r="BI139" s="5" t="str">
        <f t="shared" si="6"/>
        <v/>
      </c>
    </row>
    <row r="140" spans="2:61" x14ac:dyDescent="0.35">
      <c r="B140" t="s">
        <v>2296</v>
      </c>
      <c r="C140" s="7">
        <v>1988</v>
      </c>
      <c r="D140" t="s">
        <v>1556</v>
      </c>
      <c r="E140" t="s">
        <v>2260</v>
      </c>
      <c r="F140" t="s">
        <v>1557</v>
      </c>
      <c r="G140" t="s">
        <v>2297</v>
      </c>
      <c r="H140" s="7">
        <v>3.71</v>
      </c>
      <c r="I140" s="7">
        <v>4</v>
      </c>
      <c r="J140" s="7">
        <v>3.5</v>
      </c>
      <c r="K140" s="7">
        <v>4.5</v>
      </c>
      <c r="L140" s="7">
        <v>4</v>
      </c>
      <c r="M140" s="7">
        <v>3.5</v>
      </c>
      <c r="N140" s="7">
        <v>3.5</v>
      </c>
      <c r="O140" s="7">
        <v>3</v>
      </c>
      <c r="P140" t="s">
        <v>296</v>
      </c>
      <c r="Q140" s="7">
        <v>74</v>
      </c>
      <c r="R140" t="s">
        <v>2367</v>
      </c>
      <c r="U140" t="s">
        <v>2413</v>
      </c>
      <c r="V140" s="7">
        <v>2008</v>
      </c>
      <c r="W140" t="s">
        <v>2414</v>
      </c>
      <c r="X140" t="s">
        <v>2415</v>
      </c>
      <c r="Y140" t="s">
        <v>1555</v>
      </c>
      <c r="Z140" t="s">
        <v>2416</v>
      </c>
      <c r="AA140" s="7">
        <v>3.86</v>
      </c>
      <c r="AB140" s="7">
        <v>3.5</v>
      </c>
      <c r="AC140" s="7">
        <v>4</v>
      </c>
      <c r="AD140" s="7">
        <v>4</v>
      </c>
      <c r="AE140" s="7">
        <v>4.5</v>
      </c>
      <c r="AF140" s="7">
        <v>3.5</v>
      </c>
      <c r="AG140" s="7">
        <v>4</v>
      </c>
      <c r="AH140" s="7">
        <v>3.5</v>
      </c>
      <c r="AI140" t="s">
        <v>2417</v>
      </c>
      <c r="AJ140" s="7">
        <v>76</v>
      </c>
      <c r="AK140" t="s">
        <v>2465</v>
      </c>
      <c r="AN140" t="s">
        <v>1381</v>
      </c>
      <c r="AO140" s="7">
        <v>2012</v>
      </c>
      <c r="AP140" t="s">
        <v>1554</v>
      </c>
      <c r="AQ140" t="s">
        <v>1425</v>
      </c>
      <c r="AR140" t="s">
        <v>1560</v>
      </c>
      <c r="AS140" t="s">
        <v>1018</v>
      </c>
      <c r="AT140" s="7">
        <v>3.07</v>
      </c>
      <c r="AU140" s="7">
        <v>3.5</v>
      </c>
      <c r="AV140" s="7">
        <v>3</v>
      </c>
      <c r="AW140" s="7">
        <v>3.5</v>
      </c>
      <c r="AX140" s="7">
        <v>3</v>
      </c>
      <c r="AY140" s="7">
        <v>2</v>
      </c>
      <c r="AZ140" s="7">
        <v>3.5</v>
      </c>
      <c r="BA140" s="7">
        <v>3</v>
      </c>
      <c r="BB140" t="s">
        <v>1315</v>
      </c>
      <c r="BC140" s="7">
        <v>112</v>
      </c>
      <c r="BD140" t="s">
        <v>1504</v>
      </c>
      <c r="BH140" s="5" t="str">
        <f t="shared" si="5"/>
        <v/>
      </c>
      <c r="BI140" s="5" t="str">
        <f t="shared" si="6"/>
        <v/>
      </c>
    </row>
    <row r="141" spans="2:61" x14ac:dyDescent="0.35">
      <c r="B141" t="s">
        <v>2454</v>
      </c>
      <c r="C141" s="7">
        <v>1988</v>
      </c>
      <c r="D141" t="s">
        <v>1556</v>
      </c>
      <c r="E141" t="s">
        <v>2409</v>
      </c>
      <c r="F141" t="s">
        <v>1557</v>
      </c>
      <c r="G141" t="s">
        <v>1039</v>
      </c>
      <c r="H141" s="7">
        <v>3.64</v>
      </c>
      <c r="I141" s="7">
        <v>4</v>
      </c>
      <c r="J141" s="7">
        <v>3.5</v>
      </c>
      <c r="K141" s="7">
        <v>4</v>
      </c>
      <c r="L141" s="7">
        <v>3.5</v>
      </c>
      <c r="M141" s="7">
        <v>3.5</v>
      </c>
      <c r="N141" s="7">
        <v>3.5</v>
      </c>
      <c r="O141" s="7">
        <v>3.5</v>
      </c>
      <c r="P141" t="s">
        <v>240</v>
      </c>
      <c r="Q141" s="7">
        <v>69</v>
      </c>
      <c r="R141" t="s">
        <v>2472</v>
      </c>
      <c r="U141" t="s">
        <v>1263</v>
      </c>
      <c r="V141" s="7">
        <v>2008</v>
      </c>
      <c r="W141" t="s">
        <v>1554</v>
      </c>
      <c r="X141" t="s">
        <v>694</v>
      </c>
      <c r="Y141" t="s">
        <v>1557</v>
      </c>
      <c r="Z141" t="s">
        <v>874</v>
      </c>
      <c r="AA141" s="7">
        <v>3.5</v>
      </c>
      <c r="AB141" s="7">
        <v>3</v>
      </c>
      <c r="AC141" s="7">
        <v>4</v>
      </c>
      <c r="AD141" s="7">
        <v>3</v>
      </c>
      <c r="AE141" s="7">
        <v>3.5</v>
      </c>
      <c r="AF141" s="7">
        <v>3</v>
      </c>
      <c r="AG141" s="7">
        <v>4</v>
      </c>
      <c r="AH141" s="7">
        <v>4</v>
      </c>
      <c r="AI141" t="s">
        <v>1195</v>
      </c>
      <c r="AJ141" s="7">
        <v>117</v>
      </c>
      <c r="AK141" t="s">
        <v>1243</v>
      </c>
      <c r="AN141" t="s">
        <v>840</v>
      </c>
      <c r="AO141" s="7">
        <v>2012</v>
      </c>
      <c r="AP141" t="s">
        <v>1554</v>
      </c>
      <c r="AQ141" t="s">
        <v>759</v>
      </c>
      <c r="AR141" t="s">
        <v>1559</v>
      </c>
      <c r="AS141" t="s">
        <v>841</v>
      </c>
      <c r="AT141" s="7">
        <v>2.14</v>
      </c>
      <c r="AU141" s="7">
        <v>1.5</v>
      </c>
      <c r="AV141" s="7">
        <v>2</v>
      </c>
      <c r="AW141" s="7">
        <v>2</v>
      </c>
      <c r="AX141" s="7">
        <v>4</v>
      </c>
      <c r="AY141" s="7">
        <v>1.5</v>
      </c>
      <c r="AZ141" s="7">
        <v>3</v>
      </c>
      <c r="BA141" s="7">
        <v>1</v>
      </c>
      <c r="BB141" t="s">
        <v>144</v>
      </c>
      <c r="BC141" s="7">
        <v>325</v>
      </c>
      <c r="BD141" t="s">
        <v>544</v>
      </c>
      <c r="BH141" s="5" t="str">
        <f t="shared" si="5"/>
        <v/>
      </c>
      <c r="BI141" s="5" t="str">
        <f t="shared" si="6"/>
        <v/>
      </c>
    </row>
    <row r="142" spans="2:61" x14ac:dyDescent="0.35">
      <c r="B142" t="s">
        <v>1254</v>
      </c>
      <c r="C142" s="7">
        <v>1986</v>
      </c>
      <c r="D142" t="s">
        <v>1556</v>
      </c>
      <c r="E142" t="s">
        <v>1284</v>
      </c>
      <c r="F142" t="s">
        <v>1557</v>
      </c>
      <c r="G142" t="s">
        <v>1039</v>
      </c>
      <c r="H142" s="7">
        <v>3.21</v>
      </c>
      <c r="I142" s="7">
        <v>3.5</v>
      </c>
      <c r="J142" s="7">
        <v>3.5</v>
      </c>
      <c r="K142" s="7">
        <v>3</v>
      </c>
      <c r="L142" s="7">
        <v>3</v>
      </c>
      <c r="M142" s="7">
        <v>3.5</v>
      </c>
      <c r="N142" s="7">
        <v>3</v>
      </c>
      <c r="O142" s="7">
        <v>3</v>
      </c>
      <c r="P142" t="s">
        <v>296</v>
      </c>
      <c r="Q142" s="7">
        <v>80</v>
      </c>
      <c r="R142" t="s">
        <v>1230</v>
      </c>
      <c r="U142" t="s">
        <v>1013</v>
      </c>
      <c r="V142" s="7">
        <v>2008</v>
      </c>
      <c r="W142" t="s">
        <v>1554</v>
      </c>
      <c r="X142" t="s">
        <v>747</v>
      </c>
      <c r="Y142" t="s">
        <v>1557</v>
      </c>
      <c r="Z142" t="s">
        <v>748</v>
      </c>
      <c r="AA142" s="7">
        <v>3.43</v>
      </c>
      <c r="AB142" s="7">
        <v>4</v>
      </c>
      <c r="AC142" s="7">
        <v>3.5</v>
      </c>
      <c r="AD142" s="7">
        <v>3.5</v>
      </c>
      <c r="AE142" s="7">
        <v>3</v>
      </c>
      <c r="AF142" s="7">
        <v>2.5</v>
      </c>
      <c r="AG142" s="7">
        <v>3.5</v>
      </c>
      <c r="AH142" s="7">
        <v>4</v>
      </c>
      <c r="AI142" t="s">
        <v>233</v>
      </c>
      <c r="AJ142" s="7">
        <v>103</v>
      </c>
      <c r="AK142" t="s">
        <v>461</v>
      </c>
      <c r="AN142" t="s">
        <v>859</v>
      </c>
      <c r="AO142" s="7">
        <v>2012</v>
      </c>
      <c r="AP142" t="s">
        <v>1554</v>
      </c>
      <c r="AQ142" t="s">
        <v>860</v>
      </c>
      <c r="AR142" t="s">
        <v>1559</v>
      </c>
      <c r="AS142" t="s">
        <v>861</v>
      </c>
      <c r="AT142" s="7">
        <v>3.43</v>
      </c>
      <c r="AU142" s="7">
        <v>2.5</v>
      </c>
      <c r="AV142" s="7">
        <v>3.5</v>
      </c>
      <c r="AW142" s="7">
        <v>3.5</v>
      </c>
      <c r="AX142" s="7">
        <v>3.5</v>
      </c>
      <c r="AY142" s="7">
        <v>2.5</v>
      </c>
      <c r="AZ142" s="7">
        <v>4.5</v>
      </c>
      <c r="BA142" s="7">
        <v>4</v>
      </c>
      <c r="BB142" t="s">
        <v>156</v>
      </c>
      <c r="BC142" s="7">
        <v>900</v>
      </c>
      <c r="BD142" t="s">
        <v>545</v>
      </c>
      <c r="BH142" s="5" t="str">
        <f t="shared" si="5"/>
        <v/>
      </c>
      <c r="BI142" s="5" t="str">
        <f t="shared" si="6"/>
        <v/>
      </c>
    </row>
    <row r="143" spans="2:61" x14ac:dyDescent="0.35">
      <c r="B143" t="s">
        <v>2319</v>
      </c>
      <c r="C143" s="7">
        <v>1986</v>
      </c>
      <c r="D143" t="s">
        <v>1556</v>
      </c>
      <c r="E143" t="s">
        <v>2260</v>
      </c>
      <c r="F143" t="s">
        <v>1557</v>
      </c>
      <c r="G143" t="s">
        <v>2247</v>
      </c>
      <c r="H143" s="7">
        <v>4.29</v>
      </c>
      <c r="I143" s="7">
        <v>4</v>
      </c>
      <c r="J143" s="7">
        <v>3.5</v>
      </c>
      <c r="K143" s="7">
        <v>4</v>
      </c>
      <c r="L143" s="7">
        <v>5</v>
      </c>
      <c r="M143" s="7">
        <v>4</v>
      </c>
      <c r="N143" s="7">
        <v>5</v>
      </c>
      <c r="O143" s="7">
        <v>4.5</v>
      </c>
      <c r="P143" t="s">
        <v>2248</v>
      </c>
      <c r="Q143" s="7">
        <v>74</v>
      </c>
      <c r="R143" t="s">
        <v>2368</v>
      </c>
      <c r="U143" t="s">
        <v>1126</v>
      </c>
      <c r="V143" s="7">
        <v>2008</v>
      </c>
      <c r="W143" t="s">
        <v>1554</v>
      </c>
      <c r="X143" t="s">
        <v>731</v>
      </c>
      <c r="Y143" t="s">
        <v>1557</v>
      </c>
      <c r="Z143" t="s">
        <v>836</v>
      </c>
      <c r="AA143" s="7">
        <v>3.36</v>
      </c>
      <c r="AB143" s="7">
        <v>4</v>
      </c>
      <c r="AC143" s="7">
        <v>3</v>
      </c>
      <c r="AD143" s="7">
        <v>4</v>
      </c>
      <c r="AE143" s="7">
        <v>3.5</v>
      </c>
      <c r="AF143" s="7">
        <v>4</v>
      </c>
      <c r="AG143" s="7">
        <v>2</v>
      </c>
      <c r="AH143" s="7">
        <v>3.5</v>
      </c>
      <c r="AI143" t="s">
        <v>287</v>
      </c>
      <c r="AJ143" s="7">
        <v>122</v>
      </c>
      <c r="AK143" t="s">
        <v>486</v>
      </c>
      <c r="AN143" t="s">
        <v>1903</v>
      </c>
      <c r="AO143" s="7">
        <v>2012</v>
      </c>
      <c r="AP143" t="s">
        <v>1554</v>
      </c>
      <c r="AQ143" t="s">
        <v>658</v>
      </c>
      <c r="AR143" t="s">
        <v>1559</v>
      </c>
      <c r="AS143" t="s">
        <v>672</v>
      </c>
      <c r="AT143" s="7">
        <v>3.14</v>
      </c>
      <c r="AU143" s="7">
        <v>3.5</v>
      </c>
      <c r="AV143" s="7">
        <v>4</v>
      </c>
      <c r="AW143" s="7">
        <v>3.5</v>
      </c>
      <c r="AX143" s="7">
        <v>3.5</v>
      </c>
      <c r="AY143" s="7">
        <v>2.5</v>
      </c>
      <c r="AZ143" s="7">
        <v>2.5</v>
      </c>
      <c r="BA143" s="7">
        <v>2.5</v>
      </c>
      <c r="BB143" t="s">
        <v>1874</v>
      </c>
      <c r="BC143" s="7">
        <v>575</v>
      </c>
      <c r="BD143" t="s">
        <v>1942</v>
      </c>
      <c r="BH143" s="5" t="str">
        <f t="shared" si="5"/>
        <v/>
      </c>
      <c r="BI143" s="5" t="str">
        <f t="shared" si="6"/>
        <v/>
      </c>
    </row>
    <row r="144" spans="2:61" x14ac:dyDescent="0.35">
      <c r="B144" t="s">
        <v>1163</v>
      </c>
      <c r="C144" s="7">
        <v>1986</v>
      </c>
      <c r="D144" t="s">
        <v>56</v>
      </c>
      <c r="E144" t="s">
        <v>1164</v>
      </c>
      <c r="F144" t="s">
        <v>1557</v>
      </c>
      <c r="G144" t="s">
        <v>1165</v>
      </c>
      <c r="H144" s="38">
        <v>3.79</v>
      </c>
      <c r="I144" s="7">
        <v>4</v>
      </c>
      <c r="J144" s="7">
        <v>4</v>
      </c>
      <c r="K144" s="7">
        <v>4</v>
      </c>
      <c r="L144" s="7">
        <v>4</v>
      </c>
      <c r="M144" s="7">
        <v>3.5</v>
      </c>
      <c r="N144" s="7">
        <v>3</v>
      </c>
      <c r="O144" s="7">
        <v>4</v>
      </c>
      <c r="P144" t="s">
        <v>306</v>
      </c>
      <c r="Q144" s="7">
        <v>85</v>
      </c>
      <c r="R144" t="s">
        <v>392</v>
      </c>
      <c r="U144" t="s">
        <v>651</v>
      </c>
      <c r="V144" s="7">
        <v>2007</v>
      </c>
      <c r="W144" t="s">
        <v>1554</v>
      </c>
      <c r="X144" t="s">
        <v>652</v>
      </c>
      <c r="Y144" t="s">
        <v>1555</v>
      </c>
      <c r="Z144" t="s">
        <v>653</v>
      </c>
      <c r="AA144" s="7">
        <v>3.79</v>
      </c>
      <c r="AB144" s="7">
        <v>4</v>
      </c>
      <c r="AC144" s="7">
        <v>4.5</v>
      </c>
      <c r="AD144" s="7">
        <v>4</v>
      </c>
      <c r="AE144" s="7">
        <v>4</v>
      </c>
      <c r="AF144" s="7">
        <v>3.5</v>
      </c>
      <c r="AG144" s="7">
        <v>2.5</v>
      </c>
      <c r="AH144" s="7">
        <v>4</v>
      </c>
      <c r="AI144" t="s">
        <v>52</v>
      </c>
      <c r="AJ144" s="7">
        <v>63</v>
      </c>
      <c r="AK144" t="s">
        <v>399</v>
      </c>
      <c r="AN144" t="s">
        <v>1795</v>
      </c>
      <c r="AO144" s="7">
        <v>2012</v>
      </c>
      <c r="AP144" t="s">
        <v>1554</v>
      </c>
      <c r="AQ144" t="s">
        <v>1429</v>
      </c>
      <c r="AR144" t="s">
        <v>1559</v>
      </c>
      <c r="AS144" t="s">
        <v>1453</v>
      </c>
      <c r="AT144" s="7">
        <v>2.4300000000000002</v>
      </c>
      <c r="AU144" s="7">
        <v>2</v>
      </c>
      <c r="AV144" s="7">
        <v>3</v>
      </c>
      <c r="AW144" s="7">
        <v>3</v>
      </c>
      <c r="AX144" s="7">
        <v>2.5</v>
      </c>
      <c r="AY144" s="7">
        <v>2</v>
      </c>
      <c r="AZ144" s="7">
        <v>2.5</v>
      </c>
      <c r="BA144" s="7">
        <v>2</v>
      </c>
      <c r="BB144" t="s">
        <v>343</v>
      </c>
      <c r="BC144" s="7">
        <v>325</v>
      </c>
      <c r="BD144" t="s">
        <v>1857</v>
      </c>
      <c r="BH144" s="5" t="str">
        <f t="shared" si="5"/>
        <v/>
      </c>
      <c r="BI144" s="5" t="str">
        <f t="shared" si="6"/>
        <v/>
      </c>
    </row>
    <row r="145" spans="2:61" x14ac:dyDescent="0.35">
      <c r="B145" t="s">
        <v>2315</v>
      </c>
      <c r="C145" s="7">
        <v>1985</v>
      </c>
      <c r="D145" t="s">
        <v>1556</v>
      </c>
      <c r="E145" t="s">
        <v>2260</v>
      </c>
      <c r="F145" t="s">
        <v>1557</v>
      </c>
      <c r="G145" t="s">
        <v>2242</v>
      </c>
      <c r="H145" s="7">
        <v>3.29</v>
      </c>
      <c r="I145" s="7">
        <v>3.5</v>
      </c>
      <c r="J145" s="7">
        <v>4</v>
      </c>
      <c r="K145" s="7">
        <v>3.5</v>
      </c>
      <c r="L145" s="7">
        <v>2.5</v>
      </c>
      <c r="M145" s="7">
        <v>3</v>
      </c>
      <c r="N145" s="7">
        <v>3.5</v>
      </c>
      <c r="O145" s="7">
        <v>3</v>
      </c>
      <c r="P145" t="s">
        <v>2243</v>
      </c>
      <c r="Q145" s="7">
        <v>80</v>
      </c>
      <c r="R145" t="s">
        <v>2369</v>
      </c>
      <c r="U145" t="s">
        <v>1529</v>
      </c>
      <c r="V145" s="7">
        <v>2007</v>
      </c>
      <c r="W145" t="s">
        <v>1554</v>
      </c>
      <c r="X145" t="s">
        <v>694</v>
      </c>
      <c r="Y145" t="s">
        <v>1557</v>
      </c>
      <c r="Z145" t="s">
        <v>783</v>
      </c>
      <c r="AA145" s="7">
        <v>3.71</v>
      </c>
      <c r="AB145" s="7">
        <v>3.5</v>
      </c>
      <c r="AC145" s="7">
        <v>4</v>
      </c>
      <c r="AD145" s="7">
        <v>4</v>
      </c>
      <c r="AE145" s="7">
        <v>4.5</v>
      </c>
      <c r="AF145" s="7">
        <v>3.5</v>
      </c>
      <c r="AG145" s="7">
        <v>3.5</v>
      </c>
      <c r="AH145" s="7">
        <v>3</v>
      </c>
      <c r="AI145" t="s">
        <v>118</v>
      </c>
      <c r="AJ145" s="7">
        <v>230</v>
      </c>
      <c r="AK145" t="s">
        <v>1639</v>
      </c>
      <c r="AN145" t="s">
        <v>1875</v>
      </c>
      <c r="AO145" s="7">
        <v>2012</v>
      </c>
      <c r="AP145" t="s">
        <v>1554</v>
      </c>
      <c r="AQ145" t="s">
        <v>1429</v>
      </c>
      <c r="AR145" t="s">
        <v>1559</v>
      </c>
      <c r="AS145" t="s">
        <v>1876</v>
      </c>
      <c r="AT145" s="7">
        <v>3.36</v>
      </c>
      <c r="AU145" s="7">
        <v>3</v>
      </c>
      <c r="AV145" s="7">
        <v>3.5</v>
      </c>
      <c r="AW145" s="7">
        <v>4.5</v>
      </c>
      <c r="AX145" s="7">
        <v>3.5</v>
      </c>
      <c r="AY145" s="7">
        <v>2.5</v>
      </c>
      <c r="AZ145" s="7">
        <v>3.5</v>
      </c>
      <c r="BA145" s="7">
        <v>3</v>
      </c>
      <c r="BB145" t="s">
        <v>1877</v>
      </c>
      <c r="BC145" s="7">
        <v>1776</v>
      </c>
      <c r="BD145" t="s">
        <v>1943</v>
      </c>
      <c r="BH145" s="5" t="str">
        <f t="shared" si="5"/>
        <v/>
      </c>
      <c r="BI145" s="5" t="str">
        <f t="shared" si="6"/>
        <v/>
      </c>
    </row>
    <row r="146" spans="2:61" x14ac:dyDescent="0.35">
      <c r="B146" t="s">
        <v>2155</v>
      </c>
      <c r="C146" s="7">
        <v>1984</v>
      </c>
      <c r="D146" t="s">
        <v>2156</v>
      </c>
      <c r="E146" t="s">
        <v>2157</v>
      </c>
      <c r="F146" t="s">
        <v>1557</v>
      </c>
      <c r="G146" t="s">
        <v>2141</v>
      </c>
      <c r="H146" s="7">
        <v>2.14</v>
      </c>
      <c r="I146" s="7">
        <v>2</v>
      </c>
      <c r="J146" s="7">
        <v>2.5</v>
      </c>
      <c r="K146" s="7">
        <v>2</v>
      </c>
      <c r="L146" s="7">
        <v>2</v>
      </c>
      <c r="M146" s="7">
        <v>2</v>
      </c>
      <c r="N146" s="7">
        <v>2</v>
      </c>
      <c r="O146" s="7">
        <v>2.5</v>
      </c>
      <c r="P146" t="s">
        <v>2142</v>
      </c>
      <c r="Q146" s="7">
        <v>71</v>
      </c>
      <c r="R146" t="s">
        <v>2188</v>
      </c>
      <c r="U146" t="s">
        <v>1259</v>
      </c>
      <c r="V146" s="7">
        <v>2007</v>
      </c>
      <c r="W146" t="s">
        <v>1554</v>
      </c>
      <c r="X146" t="s">
        <v>1286</v>
      </c>
      <c r="Y146" t="s">
        <v>1557</v>
      </c>
      <c r="Z146" t="s">
        <v>1189</v>
      </c>
      <c r="AA146" s="7">
        <v>3.64</v>
      </c>
      <c r="AB146" s="7">
        <v>3.5</v>
      </c>
      <c r="AC146" s="7">
        <v>3.5</v>
      </c>
      <c r="AD146" s="7">
        <v>4</v>
      </c>
      <c r="AE146" s="7">
        <v>3.5</v>
      </c>
      <c r="AF146" s="7">
        <v>3.5</v>
      </c>
      <c r="AG146" s="7">
        <v>3.5</v>
      </c>
      <c r="AH146" s="7">
        <v>4</v>
      </c>
      <c r="AI146" t="s">
        <v>1190</v>
      </c>
      <c r="AJ146" s="7">
        <v>101</v>
      </c>
      <c r="AK146" t="s">
        <v>1244</v>
      </c>
      <c r="AN146" t="s">
        <v>878</v>
      </c>
      <c r="AO146" s="7">
        <v>2012</v>
      </c>
      <c r="AP146" t="s">
        <v>1554</v>
      </c>
      <c r="AQ146" t="s">
        <v>879</v>
      </c>
      <c r="AR146" t="s">
        <v>1559</v>
      </c>
      <c r="AS146" t="s">
        <v>880</v>
      </c>
      <c r="AT146" s="7">
        <v>3.71</v>
      </c>
      <c r="AU146" s="7">
        <v>3.5</v>
      </c>
      <c r="AV146" s="7">
        <v>3</v>
      </c>
      <c r="AW146" s="7">
        <v>5</v>
      </c>
      <c r="AX146" s="7">
        <v>3</v>
      </c>
      <c r="AY146" s="7">
        <v>3.5</v>
      </c>
      <c r="AZ146" s="7">
        <v>4</v>
      </c>
      <c r="BA146" s="7">
        <v>4</v>
      </c>
      <c r="BB146" t="s">
        <v>167</v>
      </c>
      <c r="BC146" s="7">
        <v>600</v>
      </c>
      <c r="BD146" t="s">
        <v>546</v>
      </c>
      <c r="BH146" s="5" t="str">
        <f t="shared" si="5"/>
        <v/>
      </c>
      <c r="BI146" s="5" t="str">
        <f t="shared" si="6"/>
        <v/>
      </c>
    </row>
    <row r="147" spans="2:61" x14ac:dyDescent="0.35">
      <c r="B147" t="s">
        <v>1262</v>
      </c>
      <c r="C147" s="7">
        <v>1983</v>
      </c>
      <c r="D147" t="s">
        <v>1556</v>
      </c>
      <c r="E147" t="s">
        <v>1287</v>
      </c>
      <c r="F147" t="s">
        <v>1557</v>
      </c>
      <c r="G147" t="s">
        <v>1173</v>
      </c>
      <c r="H147" s="7">
        <v>2.93</v>
      </c>
      <c r="I147" s="7">
        <v>2.5</v>
      </c>
      <c r="J147" s="7">
        <v>2.5</v>
      </c>
      <c r="K147" s="7">
        <v>3</v>
      </c>
      <c r="L147" s="7">
        <v>2.5</v>
      </c>
      <c r="M147" s="7">
        <v>3</v>
      </c>
      <c r="N147" s="7">
        <v>3.5</v>
      </c>
      <c r="O147" s="7">
        <v>3.5</v>
      </c>
      <c r="P147" t="s">
        <v>1194</v>
      </c>
      <c r="Q147" s="7">
        <v>81</v>
      </c>
      <c r="R147" t="s">
        <v>1231</v>
      </c>
      <c r="U147" t="s">
        <v>1578</v>
      </c>
      <c r="V147" s="7">
        <v>2007</v>
      </c>
      <c r="W147" t="s">
        <v>1554</v>
      </c>
      <c r="X147" t="s">
        <v>702</v>
      </c>
      <c r="Y147" t="s">
        <v>1555</v>
      </c>
      <c r="Z147" t="s">
        <v>1533</v>
      </c>
      <c r="AA147" s="7">
        <v>3.57</v>
      </c>
      <c r="AB147" s="7">
        <v>4</v>
      </c>
      <c r="AC147" s="7">
        <v>4</v>
      </c>
      <c r="AD147" s="7">
        <v>3</v>
      </c>
      <c r="AE147" s="7">
        <v>3</v>
      </c>
      <c r="AF147" s="7">
        <v>3.5</v>
      </c>
      <c r="AG147" s="7">
        <v>3.5</v>
      </c>
      <c r="AH147" s="7">
        <v>4</v>
      </c>
      <c r="AI147" t="s">
        <v>1534</v>
      </c>
      <c r="AJ147" s="7">
        <v>183</v>
      </c>
      <c r="AK147" t="s">
        <v>1640</v>
      </c>
      <c r="AN147" t="s">
        <v>2107</v>
      </c>
      <c r="AO147" s="7">
        <v>2012</v>
      </c>
      <c r="AP147" t="s">
        <v>1554</v>
      </c>
      <c r="AQ147" t="s">
        <v>670</v>
      </c>
      <c r="AR147" t="s">
        <v>1559</v>
      </c>
      <c r="AS147" t="s">
        <v>1018</v>
      </c>
      <c r="AT147" s="7">
        <v>3.21</v>
      </c>
      <c r="AU147" s="7">
        <v>3</v>
      </c>
      <c r="AV147" s="7">
        <v>2.5</v>
      </c>
      <c r="AW147" s="7">
        <v>4</v>
      </c>
      <c r="AX147" s="7">
        <v>3.5</v>
      </c>
      <c r="AY147" s="7">
        <v>2</v>
      </c>
      <c r="AZ147" s="7">
        <v>4</v>
      </c>
      <c r="BA147" s="7">
        <v>3.5</v>
      </c>
      <c r="BB147" t="s">
        <v>144</v>
      </c>
      <c r="BC147" s="7">
        <v>325</v>
      </c>
      <c r="BD147" t="s">
        <v>2137</v>
      </c>
      <c r="BH147" s="5" t="str">
        <f t="shared" si="5"/>
        <v/>
      </c>
      <c r="BI147" s="5" t="str">
        <f t="shared" si="6"/>
        <v/>
      </c>
    </row>
    <row r="148" spans="2:61" x14ac:dyDescent="0.35">
      <c r="B148" t="s">
        <v>1034</v>
      </c>
      <c r="C148" s="7">
        <v>1983</v>
      </c>
      <c r="D148" t="s">
        <v>1607</v>
      </c>
      <c r="E148" t="s">
        <v>1035</v>
      </c>
      <c r="F148" t="s">
        <v>1557</v>
      </c>
      <c r="G148" t="s">
        <v>1036</v>
      </c>
      <c r="H148" s="7">
        <v>2.86</v>
      </c>
      <c r="I148" s="7">
        <v>3.5</v>
      </c>
      <c r="J148" s="7">
        <v>3.5</v>
      </c>
      <c r="K148" s="7">
        <v>2.5</v>
      </c>
      <c r="L148" s="7">
        <v>3.5</v>
      </c>
      <c r="M148" s="7">
        <v>2</v>
      </c>
      <c r="N148" s="7">
        <v>2.5</v>
      </c>
      <c r="O148" s="7">
        <v>2.5</v>
      </c>
      <c r="P148" t="s">
        <v>135</v>
      </c>
      <c r="Q148" s="7">
        <v>77</v>
      </c>
      <c r="R148" t="s">
        <v>393</v>
      </c>
      <c r="U148" t="s">
        <v>1917</v>
      </c>
      <c r="V148" s="7">
        <v>2007</v>
      </c>
      <c r="W148" t="s">
        <v>1554</v>
      </c>
      <c r="X148" t="s">
        <v>1296</v>
      </c>
      <c r="Y148" t="s">
        <v>1557</v>
      </c>
      <c r="Z148" t="s">
        <v>767</v>
      </c>
      <c r="AA148" s="7">
        <v>2.64</v>
      </c>
      <c r="AB148" s="7">
        <v>2.5</v>
      </c>
      <c r="AC148" s="7">
        <v>2.5</v>
      </c>
      <c r="AD148" s="7">
        <v>3</v>
      </c>
      <c r="AE148" s="7">
        <v>2.5</v>
      </c>
      <c r="AF148" s="7">
        <v>3</v>
      </c>
      <c r="AG148" s="7">
        <v>2.5</v>
      </c>
      <c r="AH148" s="7">
        <v>2.5</v>
      </c>
      <c r="AI148" t="s">
        <v>1361</v>
      </c>
      <c r="AJ148" s="7">
        <v>138</v>
      </c>
      <c r="AK148" t="s">
        <v>1927</v>
      </c>
      <c r="AN148" t="s">
        <v>881</v>
      </c>
      <c r="AO148" s="7">
        <v>2012</v>
      </c>
      <c r="AP148" t="s">
        <v>1554</v>
      </c>
      <c r="AQ148" t="s">
        <v>882</v>
      </c>
      <c r="AR148" t="s">
        <v>1559</v>
      </c>
      <c r="AS148" t="s">
        <v>883</v>
      </c>
      <c r="AT148" s="7">
        <v>3.71</v>
      </c>
      <c r="AU148" s="7">
        <v>4</v>
      </c>
      <c r="AV148" s="7">
        <v>4.5</v>
      </c>
      <c r="AW148" s="7">
        <v>4</v>
      </c>
      <c r="AX148" s="7">
        <v>3</v>
      </c>
      <c r="AY148" s="7">
        <v>3</v>
      </c>
      <c r="AZ148" s="7">
        <v>3.5</v>
      </c>
      <c r="BA148" s="7">
        <v>4</v>
      </c>
      <c r="BB148" t="s">
        <v>168</v>
      </c>
      <c r="BC148" s="7">
        <v>325</v>
      </c>
      <c r="BD148" t="s">
        <v>547</v>
      </c>
      <c r="BH148" s="5" t="str">
        <f t="shared" si="5"/>
        <v/>
      </c>
      <c r="BI148" s="5" t="str">
        <f t="shared" si="6"/>
        <v/>
      </c>
    </row>
    <row r="149" spans="2:61" x14ac:dyDescent="0.35">
      <c r="B149" t="s">
        <v>1088</v>
      </c>
      <c r="C149" s="7">
        <v>1982</v>
      </c>
      <c r="D149" t="s">
        <v>1556</v>
      </c>
      <c r="E149" t="s">
        <v>1089</v>
      </c>
      <c r="F149" t="s">
        <v>1557</v>
      </c>
      <c r="G149" t="s">
        <v>267</v>
      </c>
      <c r="H149" s="7">
        <v>3.21</v>
      </c>
      <c r="I149" s="7">
        <v>2.5</v>
      </c>
      <c r="J149" s="7">
        <v>3</v>
      </c>
      <c r="K149" s="7">
        <v>3</v>
      </c>
      <c r="L149" s="7">
        <v>3.5</v>
      </c>
      <c r="M149" s="7">
        <v>3</v>
      </c>
      <c r="N149" s="7">
        <v>3.5</v>
      </c>
      <c r="O149" s="7">
        <v>4</v>
      </c>
      <c r="P149" t="s">
        <v>195</v>
      </c>
      <c r="Q149" s="7">
        <v>95</v>
      </c>
      <c r="R149" t="s">
        <v>394</v>
      </c>
      <c r="U149" t="s">
        <v>1068</v>
      </c>
      <c r="V149" s="7">
        <v>2007</v>
      </c>
      <c r="W149" t="s">
        <v>1554</v>
      </c>
      <c r="X149" t="s">
        <v>734</v>
      </c>
      <c r="Y149" t="s">
        <v>1557</v>
      </c>
      <c r="Z149" t="s">
        <v>745</v>
      </c>
      <c r="AA149" s="7">
        <v>3.64</v>
      </c>
      <c r="AB149" s="7">
        <v>4</v>
      </c>
      <c r="AC149" s="7">
        <v>3</v>
      </c>
      <c r="AD149" s="7">
        <v>4</v>
      </c>
      <c r="AE149" s="7">
        <v>3</v>
      </c>
      <c r="AF149" s="7">
        <v>3.5</v>
      </c>
      <c r="AG149" s="7">
        <v>4</v>
      </c>
      <c r="AH149" s="7">
        <v>4</v>
      </c>
      <c r="AI149" t="s">
        <v>90</v>
      </c>
      <c r="AJ149" s="7">
        <v>102</v>
      </c>
      <c r="AK149" t="s">
        <v>470</v>
      </c>
      <c r="AN149" t="s">
        <v>900</v>
      </c>
      <c r="AO149" s="7">
        <v>2012</v>
      </c>
      <c r="AP149" t="s">
        <v>1554</v>
      </c>
      <c r="AQ149" t="s">
        <v>798</v>
      </c>
      <c r="AR149" t="s">
        <v>1559</v>
      </c>
      <c r="AS149" t="s">
        <v>176</v>
      </c>
      <c r="AT149" s="7">
        <v>3.29</v>
      </c>
      <c r="AU149" s="7">
        <v>2.5</v>
      </c>
      <c r="AV149" s="7">
        <v>3</v>
      </c>
      <c r="AW149" s="7">
        <v>3</v>
      </c>
      <c r="AX149" s="7">
        <v>3</v>
      </c>
      <c r="AY149" s="7">
        <v>4</v>
      </c>
      <c r="AZ149" s="7">
        <v>3.5</v>
      </c>
      <c r="BA149" s="7">
        <v>4</v>
      </c>
      <c r="BB149" t="s">
        <v>177</v>
      </c>
      <c r="BC149" s="7">
        <v>425</v>
      </c>
      <c r="BD149" t="s">
        <v>548</v>
      </c>
      <c r="BH149" s="5" t="str">
        <f t="shared" si="5"/>
        <v/>
      </c>
      <c r="BI149" s="5" t="str">
        <f t="shared" si="6"/>
        <v/>
      </c>
    </row>
    <row r="150" spans="2:61" x14ac:dyDescent="0.35">
      <c r="B150" t="s">
        <v>1101</v>
      </c>
      <c r="C150" s="7">
        <v>1982</v>
      </c>
      <c r="D150" t="s">
        <v>1556</v>
      </c>
      <c r="E150" t="s">
        <v>1102</v>
      </c>
      <c r="F150" t="s">
        <v>1557</v>
      </c>
      <c r="G150" t="s">
        <v>273</v>
      </c>
      <c r="H150" s="7">
        <v>3.64</v>
      </c>
      <c r="I150" s="7">
        <v>3</v>
      </c>
      <c r="J150" s="7">
        <v>4</v>
      </c>
      <c r="K150" s="7">
        <v>3.5</v>
      </c>
      <c r="L150" s="7">
        <v>3.5</v>
      </c>
      <c r="M150" s="7">
        <v>3.5</v>
      </c>
      <c r="N150" s="7">
        <v>3</v>
      </c>
      <c r="O150" s="7">
        <v>5</v>
      </c>
      <c r="P150" t="s">
        <v>80</v>
      </c>
      <c r="Q150" s="7">
        <v>84</v>
      </c>
      <c r="R150" t="s">
        <v>395</v>
      </c>
      <c r="U150" t="s">
        <v>1093</v>
      </c>
      <c r="V150" s="7">
        <v>2007</v>
      </c>
      <c r="W150" t="s">
        <v>1554</v>
      </c>
      <c r="X150" t="s">
        <v>814</v>
      </c>
      <c r="Y150" t="s">
        <v>1557</v>
      </c>
      <c r="Z150" t="s">
        <v>268</v>
      </c>
      <c r="AA150" s="7">
        <v>4.6399999999999997</v>
      </c>
      <c r="AB150" s="7">
        <v>4</v>
      </c>
      <c r="AC150" s="7">
        <v>5</v>
      </c>
      <c r="AD150" s="7">
        <v>5</v>
      </c>
      <c r="AE150" s="7">
        <v>4.5</v>
      </c>
      <c r="AF150" s="7">
        <v>4.5</v>
      </c>
      <c r="AG150" s="7">
        <v>4.5</v>
      </c>
      <c r="AH150" s="7">
        <v>5</v>
      </c>
      <c r="AI150" t="s">
        <v>269</v>
      </c>
      <c r="AJ150" s="7">
        <v>652</v>
      </c>
      <c r="AK150" t="s">
        <v>477</v>
      </c>
      <c r="AN150" t="s">
        <v>908</v>
      </c>
      <c r="AO150" s="7">
        <v>2012</v>
      </c>
      <c r="AP150" t="s">
        <v>1554</v>
      </c>
      <c r="AQ150" t="s">
        <v>658</v>
      </c>
      <c r="AR150" t="s">
        <v>1559</v>
      </c>
      <c r="AS150" t="s">
        <v>909</v>
      </c>
      <c r="AT150" s="7">
        <v>2.71</v>
      </c>
      <c r="AU150" s="7">
        <v>4</v>
      </c>
      <c r="AV150" s="7">
        <v>3</v>
      </c>
      <c r="AW150" s="7">
        <v>3</v>
      </c>
      <c r="AX150" s="7">
        <v>2.5</v>
      </c>
      <c r="AY150" s="7">
        <v>2.5</v>
      </c>
      <c r="AZ150" s="7">
        <v>2</v>
      </c>
      <c r="BA150" s="7">
        <v>2</v>
      </c>
      <c r="BB150" t="s">
        <v>181</v>
      </c>
      <c r="BC150" s="7">
        <v>325</v>
      </c>
      <c r="BD150" t="s">
        <v>549</v>
      </c>
      <c r="BH150" s="5" t="str">
        <f t="shared" si="5"/>
        <v/>
      </c>
      <c r="BI150" s="5" t="str">
        <f t="shared" si="6"/>
        <v/>
      </c>
    </row>
    <row r="151" spans="2:61" x14ac:dyDescent="0.35">
      <c r="B151" t="s">
        <v>1279</v>
      </c>
      <c r="C151" s="7">
        <v>1982</v>
      </c>
      <c r="D151" t="s">
        <v>56</v>
      </c>
      <c r="E151" t="s">
        <v>1293</v>
      </c>
      <c r="F151" t="s">
        <v>1557</v>
      </c>
      <c r="G151" t="s">
        <v>1304</v>
      </c>
      <c r="H151" s="7">
        <v>3.93</v>
      </c>
      <c r="I151" s="7">
        <v>3.5</v>
      </c>
      <c r="J151" s="7">
        <v>3</v>
      </c>
      <c r="K151" s="7">
        <v>3</v>
      </c>
      <c r="L151" s="7">
        <v>4.5</v>
      </c>
      <c r="M151" s="7">
        <v>5</v>
      </c>
      <c r="N151" s="7">
        <v>4</v>
      </c>
      <c r="O151" s="7">
        <v>4.5</v>
      </c>
      <c r="P151" t="s">
        <v>1219</v>
      </c>
      <c r="Q151" s="7">
        <v>103</v>
      </c>
      <c r="R151" t="s">
        <v>1232</v>
      </c>
      <c r="U151" t="s">
        <v>837</v>
      </c>
      <c r="V151" s="7">
        <v>2006</v>
      </c>
      <c r="W151" t="s">
        <v>1554</v>
      </c>
      <c r="X151" t="s">
        <v>731</v>
      </c>
      <c r="Y151" t="s">
        <v>1557</v>
      </c>
      <c r="Z151" t="s">
        <v>801</v>
      </c>
      <c r="AA151" s="7">
        <v>3.64</v>
      </c>
      <c r="AB151" s="7">
        <v>4</v>
      </c>
      <c r="AC151" s="7">
        <v>3.5</v>
      </c>
      <c r="AD151" s="7">
        <v>4.5</v>
      </c>
      <c r="AE151" s="7">
        <v>4</v>
      </c>
      <c r="AF151" s="7">
        <v>3.5</v>
      </c>
      <c r="AG151" s="7">
        <v>3</v>
      </c>
      <c r="AH151" s="7">
        <v>3</v>
      </c>
      <c r="AI151" t="s">
        <v>143</v>
      </c>
      <c r="AJ151" s="7">
        <v>105</v>
      </c>
      <c r="AK151" t="s">
        <v>424</v>
      </c>
      <c r="AN151" t="s">
        <v>924</v>
      </c>
      <c r="AO151" s="7">
        <v>2012</v>
      </c>
      <c r="AP151" t="s">
        <v>1554</v>
      </c>
      <c r="AQ151" t="s">
        <v>915</v>
      </c>
      <c r="AR151" t="s">
        <v>1559</v>
      </c>
      <c r="AS151" t="s">
        <v>925</v>
      </c>
      <c r="AT151" s="7">
        <v>3.93</v>
      </c>
      <c r="AU151" s="7">
        <v>3</v>
      </c>
      <c r="AV151" s="7">
        <v>5</v>
      </c>
      <c r="AW151" s="7">
        <v>4.5</v>
      </c>
      <c r="AX151" s="7">
        <v>3</v>
      </c>
      <c r="AY151" s="7">
        <v>3.5</v>
      </c>
      <c r="AZ151" s="7">
        <v>3.5</v>
      </c>
      <c r="BA151" s="7">
        <v>5</v>
      </c>
      <c r="BB151" t="s">
        <v>189</v>
      </c>
      <c r="BC151" s="7">
        <v>325</v>
      </c>
      <c r="BD151" t="s">
        <v>550</v>
      </c>
      <c r="BH151" s="5" t="str">
        <f t="shared" si="5"/>
        <v/>
      </c>
      <c r="BI151" s="5" t="str">
        <f t="shared" si="6"/>
        <v/>
      </c>
    </row>
    <row r="152" spans="2:61" x14ac:dyDescent="0.35">
      <c r="B152" t="s">
        <v>1124</v>
      </c>
      <c r="C152" s="7">
        <v>1982</v>
      </c>
      <c r="D152" t="s">
        <v>1556</v>
      </c>
      <c r="E152" t="s">
        <v>1038</v>
      </c>
      <c r="F152" t="s">
        <v>1557</v>
      </c>
      <c r="G152" t="s">
        <v>1039</v>
      </c>
      <c r="H152" s="7">
        <v>4.3600000000000003</v>
      </c>
      <c r="I152" s="7">
        <v>4.5</v>
      </c>
      <c r="J152" s="7">
        <v>4</v>
      </c>
      <c r="K152" s="7">
        <v>4.5</v>
      </c>
      <c r="L152" s="7">
        <v>4.5</v>
      </c>
      <c r="M152" s="7">
        <v>4.5</v>
      </c>
      <c r="N152" s="7">
        <v>4.5</v>
      </c>
      <c r="O152" s="7">
        <v>4</v>
      </c>
      <c r="P152" t="s">
        <v>286</v>
      </c>
      <c r="Q152" s="7">
        <v>82</v>
      </c>
      <c r="R152" t="s">
        <v>396</v>
      </c>
      <c r="U152" t="s">
        <v>1396</v>
      </c>
      <c r="V152" s="7">
        <v>2006</v>
      </c>
      <c r="W152" t="s">
        <v>1554</v>
      </c>
      <c r="X152" t="s">
        <v>664</v>
      </c>
      <c r="Y152" t="s">
        <v>1557</v>
      </c>
      <c r="Z152" t="s">
        <v>1451</v>
      </c>
      <c r="AA152" s="7">
        <v>3.43</v>
      </c>
      <c r="AB152" s="7">
        <v>3.5</v>
      </c>
      <c r="AC152" s="7">
        <v>3.5</v>
      </c>
      <c r="AD152" s="7">
        <v>4</v>
      </c>
      <c r="AE152" s="7">
        <v>3.5</v>
      </c>
      <c r="AF152" s="7">
        <v>3</v>
      </c>
      <c r="AG152" s="7">
        <v>3</v>
      </c>
      <c r="AH152" s="7">
        <v>3.5</v>
      </c>
      <c r="AI152" t="s">
        <v>1347</v>
      </c>
      <c r="AJ152" s="7">
        <v>94</v>
      </c>
      <c r="AK152" t="s">
        <v>1486</v>
      </c>
      <c r="AN152" t="s">
        <v>1268</v>
      </c>
      <c r="AO152" s="7">
        <v>2012</v>
      </c>
      <c r="AP152" t="s">
        <v>1554</v>
      </c>
      <c r="AQ152" t="s">
        <v>689</v>
      </c>
      <c r="AR152" t="s">
        <v>1559</v>
      </c>
      <c r="AS152" t="s">
        <v>1201</v>
      </c>
      <c r="AT152" s="7">
        <v>3.57</v>
      </c>
      <c r="AU152" s="7">
        <v>3</v>
      </c>
      <c r="AV152" s="7">
        <v>4</v>
      </c>
      <c r="AW152" s="7">
        <v>4</v>
      </c>
      <c r="AX152" s="7">
        <v>4</v>
      </c>
      <c r="AY152" s="7">
        <v>3.5</v>
      </c>
      <c r="AZ152" s="7">
        <v>3.5</v>
      </c>
      <c r="BA152" s="7">
        <v>3</v>
      </c>
      <c r="BB152" t="s">
        <v>1202</v>
      </c>
      <c r="BC152" s="7">
        <v>800</v>
      </c>
      <c r="BD152" t="s">
        <v>1251</v>
      </c>
      <c r="BH152" s="5" t="str">
        <f t="shared" si="5"/>
        <v/>
      </c>
      <c r="BI152" s="5" t="str">
        <f t="shared" si="6"/>
        <v/>
      </c>
    </row>
    <row r="153" spans="2:61" x14ac:dyDescent="0.35">
      <c r="B153" t="s">
        <v>2656</v>
      </c>
      <c r="C153" s="7">
        <v>1982</v>
      </c>
      <c r="D153" t="s">
        <v>1558</v>
      </c>
      <c r="E153" t="s">
        <v>2657</v>
      </c>
      <c r="F153" t="s">
        <v>1557</v>
      </c>
      <c r="G153" t="s">
        <v>2658</v>
      </c>
      <c r="H153" s="7">
        <v>2.5</v>
      </c>
      <c r="I153" s="7">
        <v>2</v>
      </c>
      <c r="J153" s="7">
        <v>3</v>
      </c>
      <c r="K153" s="7">
        <v>2.5</v>
      </c>
      <c r="L153" s="7">
        <v>3</v>
      </c>
      <c r="M153" s="7">
        <v>2.5</v>
      </c>
      <c r="N153" s="7">
        <v>2.5</v>
      </c>
      <c r="O153" s="7">
        <v>2</v>
      </c>
      <c r="P153" t="s">
        <v>2633</v>
      </c>
      <c r="Q153" s="7">
        <v>79</v>
      </c>
      <c r="R153" t="s">
        <v>2678</v>
      </c>
      <c r="U153" t="s">
        <v>998</v>
      </c>
      <c r="V153" s="7">
        <v>2006</v>
      </c>
      <c r="W153" t="s">
        <v>1554</v>
      </c>
      <c r="X153" t="s">
        <v>694</v>
      </c>
      <c r="Y153" t="s">
        <v>1557</v>
      </c>
      <c r="Z153" t="s">
        <v>999</v>
      </c>
      <c r="AA153" s="7">
        <v>4.21</v>
      </c>
      <c r="AB153" s="7">
        <v>4</v>
      </c>
      <c r="AC153" s="7">
        <v>5</v>
      </c>
      <c r="AD153" s="7">
        <v>5</v>
      </c>
      <c r="AE153" s="7">
        <v>2</v>
      </c>
      <c r="AF153" s="7">
        <v>3.5</v>
      </c>
      <c r="AG153" s="7">
        <v>5</v>
      </c>
      <c r="AH153" s="7">
        <v>5</v>
      </c>
      <c r="AI153" t="s">
        <v>221</v>
      </c>
      <c r="AJ153" s="7">
        <v>90</v>
      </c>
      <c r="AK153" t="s">
        <v>456</v>
      </c>
      <c r="AN153" t="s">
        <v>981</v>
      </c>
      <c r="AO153" s="7">
        <v>2012</v>
      </c>
      <c r="AP153" t="s">
        <v>1554</v>
      </c>
      <c r="AQ153" t="s">
        <v>689</v>
      </c>
      <c r="AR153" t="s">
        <v>1559</v>
      </c>
      <c r="AS153" t="s">
        <v>214</v>
      </c>
      <c r="AT153" s="7">
        <v>4.1399999999999997</v>
      </c>
      <c r="AU153" s="7">
        <v>4</v>
      </c>
      <c r="AV153" s="7">
        <v>4</v>
      </c>
      <c r="AW153" s="7">
        <v>4</v>
      </c>
      <c r="AX153" s="7">
        <v>4</v>
      </c>
      <c r="AY153" s="7">
        <v>4</v>
      </c>
      <c r="AZ153" s="7">
        <v>4</v>
      </c>
      <c r="BA153" s="7">
        <v>5</v>
      </c>
      <c r="BB153" t="s">
        <v>74</v>
      </c>
      <c r="BC153" s="7">
        <v>275</v>
      </c>
      <c r="BD153" t="s">
        <v>551</v>
      </c>
      <c r="BH153" s="5" t="str">
        <f t="shared" si="5"/>
        <v/>
      </c>
      <c r="BI153" s="5" t="str">
        <f t="shared" si="6"/>
        <v/>
      </c>
    </row>
    <row r="154" spans="2:61" x14ac:dyDescent="0.35">
      <c r="B154" t="s">
        <v>2016</v>
      </c>
      <c r="C154" s="7">
        <v>1981</v>
      </c>
      <c r="D154" t="s">
        <v>1556</v>
      </c>
      <c r="E154" t="s">
        <v>1172</v>
      </c>
      <c r="F154" t="s">
        <v>1557</v>
      </c>
      <c r="G154" t="s">
        <v>1173</v>
      </c>
      <c r="H154" s="7">
        <v>4.1399999999999997</v>
      </c>
      <c r="I154" s="7">
        <v>3.5</v>
      </c>
      <c r="J154" s="7">
        <v>3.5</v>
      </c>
      <c r="K154" s="7">
        <v>4</v>
      </c>
      <c r="L154" s="7">
        <v>4</v>
      </c>
      <c r="M154" s="7">
        <v>5</v>
      </c>
      <c r="N154" s="7">
        <v>4</v>
      </c>
      <c r="O154" s="7">
        <v>5</v>
      </c>
      <c r="P154" t="s">
        <v>2003</v>
      </c>
      <c r="Q154" s="7">
        <v>96</v>
      </c>
      <c r="R154" t="s">
        <v>2058</v>
      </c>
      <c r="U154" t="s">
        <v>1069</v>
      </c>
      <c r="V154" s="7">
        <v>2006</v>
      </c>
      <c r="W154" t="s">
        <v>1554</v>
      </c>
      <c r="X154" t="s">
        <v>747</v>
      </c>
      <c r="Y154" t="s">
        <v>1557</v>
      </c>
      <c r="Z154" t="s">
        <v>824</v>
      </c>
      <c r="AA154" s="7">
        <v>3.43</v>
      </c>
      <c r="AB154" s="7">
        <v>3.5</v>
      </c>
      <c r="AC154" s="7">
        <v>3.5</v>
      </c>
      <c r="AD154" s="7">
        <v>3.5</v>
      </c>
      <c r="AE154" s="7">
        <v>3.5</v>
      </c>
      <c r="AF154" s="7">
        <v>3</v>
      </c>
      <c r="AG154" s="7">
        <v>3</v>
      </c>
      <c r="AH154" s="7">
        <v>4</v>
      </c>
      <c r="AI154" t="s">
        <v>257</v>
      </c>
      <c r="AJ154" s="7">
        <v>115</v>
      </c>
      <c r="AK154" t="s">
        <v>471</v>
      </c>
      <c r="AN154" t="s">
        <v>2511</v>
      </c>
      <c r="AO154" s="7">
        <v>2012</v>
      </c>
      <c r="AP154" t="s">
        <v>1554</v>
      </c>
      <c r="AQ154" t="s">
        <v>731</v>
      </c>
      <c r="AR154" t="s">
        <v>1559</v>
      </c>
      <c r="AS154" t="s">
        <v>2489</v>
      </c>
      <c r="AT154" s="7">
        <v>3.93</v>
      </c>
      <c r="AU154" s="7">
        <v>3</v>
      </c>
      <c r="AV154" s="7">
        <v>4</v>
      </c>
      <c r="AW154" s="7">
        <v>4.5</v>
      </c>
      <c r="AX154" s="7">
        <v>3.5</v>
      </c>
      <c r="AY154" s="7">
        <v>4</v>
      </c>
      <c r="AZ154" s="7">
        <v>4.5</v>
      </c>
      <c r="BA154" s="7">
        <v>4</v>
      </c>
      <c r="BB154" t="s">
        <v>2490</v>
      </c>
      <c r="BC154" s="7">
        <v>550</v>
      </c>
      <c r="BD154" t="s">
        <v>2563</v>
      </c>
      <c r="BH154" s="5" t="str">
        <f t="shared" si="5"/>
        <v/>
      </c>
      <c r="BI154" s="5" t="str">
        <f t="shared" si="6"/>
        <v/>
      </c>
    </row>
    <row r="155" spans="2:61" x14ac:dyDescent="0.35">
      <c r="B155" t="s">
        <v>2037</v>
      </c>
      <c r="C155" s="7">
        <v>1981</v>
      </c>
      <c r="D155" t="s">
        <v>1609</v>
      </c>
      <c r="E155" t="s">
        <v>2038</v>
      </c>
      <c r="F155" t="s">
        <v>1557</v>
      </c>
      <c r="G155" t="s">
        <v>2039</v>
      </c>
      <c r="H155" s="7">
        <v>3.36</v>
      </c>
      <c r="I155" s="7">
        <v>3</v>
      </c>
      <c r="J155" s="7">
        <v>3.5</v>
      </c>
      <c r="K155" s="7">
        <v>3</v>
      </c>
      <c r="L155" s="7">
        <v>3.5</v>
      </c>
      <c r="M155" s="7">
        <v>3</v>
      </c>
      <c r="N155" s="7">
        <v>3.5</v>
      </c>
      <c r="O155" s="7">
        <v>4</v>
      </c>
      <c r="P155" t="s">
        <v>2009</v>
      </c>
      <c r="Q155" s="7">
        <v>90</v>
      </c>
      <c r="R155" t="s">
        <v>2059</v>
      </c>
      <c r="U155" t="s">
        <v>2117</v>
      </c>
      <c r="V155" s="7">
        <v>2006</v>
      </c>
      <c r="W155" t="s">
        <v>1554</v>
      </c>
      <c r="X155" t="s">
        <v>702</v>
      </c>
      <c r="Y155" t="s">
        <v>1557</v>
      </c>
      <c r="Z155" t="s">
        <v>2118</v>
      </c>
      <c r="AA155" s="7">
        <v>4</v>
      </c>
      <c r="AB155" s="7">
        <v>4</v>
      </c>
      <c r="AC155" s="7">
        <v>3.5</v>
      </c>
      <c r="AD155" s="7">
        <v>4.5</v>
      </c>
      <c r="AE155" s="7">
        <v>3</v>
      </c>
      <c r="AF155" s="7">
        <v>4.5</v>
      </c>
      <c r="AG155" s="7">
        <v>3.5</v>
      </c>
      <c r="AH155" s="7">
        <v>5</v>
      </c>
      <c r="AI155" t="s">
        <v>2119</v>
      </c>
      <c r="AJ155" s="7">
        <v>110</v>
      </c>
      <c r="AK155" t="s">
        <v>2128</v>
      </c>
      <c r="AN155" t="s">
        <v>1042</v>
      </c>
      <c r="AO155" s="7">
        <v>2012</v>
      </c>
      <c r="AP155" t="s">
        <v>1554</v>
      </c>
      <c r="AQ155" t="s">
        <v>811</v>
      </c>
      <c r="AR155" t="s">
        <v>1559</v>
      </c>
      <c r="AS155" t="s">
        <v>1043</v>
      </c>
      <c r="AT155" s="7">
        <v>3.43</v>
      </c>
      <c r="AU155" s="7">
        <v>3</v>
      </c>
      <c r="AV155" s="7">
        <v>3.5</v>
      </c>
      <c r="AW155" s="7">
        <v>3.5</v>
      </c>
      <c r="AX155" s="7">
        <v>3.5</v>
      </c>
      <c r="AY155" s="7">
        <v>3.5</v>
      </c>
      <c r="AZ155" s="7">
        <v>3.5</v>
      </c>
      <c r="BA155" s="7">
        <v>3.5</v>
      </c>
      <c r="BB155" t="s">
        <v>345</v>
      </c>
      <c r="BC155" s="7">
        <v>325</v>
      </c>
      <c r="BD155" t="s">
        <v>552</v>
      </c>
      <c r="BH155" s="5" t="str">
        <f t="shared" si="5"/>
        <v/>
      </c>
      <c r="BI155" s="5" t="str">
        <f t="shared" si="6"/>
        <v/>
      </c>
    </row>
    <row r="156" spans="2:61" x14ac:dyDescent="0.35">
      <c r="B156" t="s">
        <v>2318</v>
      </c>
      <c r="C156" s="7">
        <v>1981</v>
      </c>
      <c r="D156" t="s">
        <v>1556</v>
      </c>
      <c r="E156" t="s">
        <v>2260</v>
      </c>
      <c r="F156" t="s">
        <v>1557</v>
      </c>
      <c r="G156" t="s">
        <v>2245</v>
      </c>
      <c r="H156" s="7">
        <v>3.43</v>
      </c>
      <c r="I156" s="7">
        <v>4</v>
      </c>
      <c r="J156" s="7">
        <v>4</v>
      </c>
      <c r="K156" s="7">
        <v>3</v>
      </c>
      <c r="L156" s="7">
        <v>3.5</v>
      </c>
      <c r="M156" s="7">
        <v>4</v>
      </c>
      <c r="N156" s="7">
        <v>2.5</v>
      </c>
      <c r="O156" s="7">
        <v>3</v>
      </c>
      <c r="P156" t="s">
        <v>2246</v>
      </c>
      <c r="Q156" s="7">
        <v>83</v>
      </c>
      <c r="R156" t="s">
        <v>2370</v>
      </c>
      <c r="U156" t="s">
        <v>1095</v>
      </c>
      <c r="V156" s="7">
        <v>2006</v>
      </c>
      <c r="W156" t="s">
        <v>1554</v>
      </c>
      <c r="X156" t="s">
        <v>694</v>
      </c>
      <c r="Y156" t="s">
        <v>1557</v>
      </c>
      <c r="Z156" t="s">
        <v>945</v>
      </c>
      <c r="AA156" s="7">
        <v>4.07</v>
      </c>
      <c r="AB156" s="7">
        <v>3.5</v>
      </c>
      <c r="AC156" s="7">
        <v>3.5</v>
      </c>
      <c r="AD156" s="7">
        <v>4.5</v>
      </c>
      <c r="AE156" s="7">
        <v>4</v>
      </c>
      <c r="AF156" s="7">
        <v>4</v>
      </c>
      <c r="AG156" s="7">
        <v>4</v>
      </c>
      <c r="AH156" s="7">
        <v>5</v>
      </c>
      <c r="AI156" t="s">
        <v>270</v>
      </c>
      <c r="AJ156" s="7">
        <v>98</v>
      </c>
      <c r="AK156" t="s">
        <v>479</v>
      </c>
      <c r="AN156" t="s">
        <v>1409</v>
      </c>
      <c r="AO156" s="7">
        <v>2012</v>
      </c>
      <c r="AP156" t="s">
        <v>1554</v>
      </c>
      <c r="AQ156" t="s">
        <v>775</v>
      </c>
      <c r="AR156" t="s">
        <v>1559</v>
      </c>
      <c r="AS156" t="s">
        <v>1041</v>
      </c>
      <c r="AT156" s="7">
        <v>3.14</v>
      </c>
      <c r="AU156" s="7">
        <v>3</v>
      </c>
      <c r="AV156" s="7">
        <v>3.5</v>
      </c>
      <c r="AW156" s="7">
        <v>3</v>
      </c>
      <c r="AX156" s="7">
        <v>3</v>
      </c>
      <c r="AY156" s="7">
        <v>3.5</v>
      </c>
      <c r="AZ156" s="7">
        <v>3</v>
      </c>
      <c r="BA156" s="7">
        <v>3</v>
      </c>
      <c r="BB156" t="s">
        <v>156</v>
      </c>
      <c r="BC156" s="7">
        <v>300</v>
      </c>
      <c r="BD156" t="s">
        <v>1520</v>
      </c>
      <c r="BH156" s="5" t="str">
        <f t="shared" si="5"/>
        <v/>
      </c>
      <c r="BI156" s="5" t="str">
        <f t="shared" si="6"/>
        <v/>
      </c>
    </row>
    <row r="157" spans="2:61" x14ac:dyDescent="0.35">
      <c r="B157" t="s">
        <v>1417</v>
      </c>
      <c r="C157" s="7">
        <v>1980</v>
      </c>
      <c r="D157" t="s">
        <v>1556</v>
      </c>
      <c r="E157" t="s">
        <v>1102</v>
      </c>
      <c r="F157" t="s">
        <v>1557</v>
      </c>
      <c r="G157" t="s">
        <v>1360</v>
      </c>
      <c r="H157" s="7">
        <v>2.57</v>
      </c>
      <c r="I157" s="7">
        <v>2.5</v>
      </c>
      <c r="J157" s="7">
        <v>2.5</v>
      </c>
      <c r="K157" s="7">
        <v>3</v>
      </c>
      <c r="L157" s="7">
        <v>3</v>
      </c>
      <c r="M157" s="7">
        <v>2.5</v>
      </c>
      <c r="N157" s="7">
        <v>2.5</v>
      </c>
      <c r="O157" s="7">
        <v>2</v>
      </c>
      <c r="P157" t="s">
        <v>1361</v>
      </c>
      <c r="Q157" s="7">
        <v>98</v>
      </c>
      <c r="R157" t="s">
        <v>1471</v>
      </c>
      <c r="U157" t="s">
        <v>839</v>
      </c>
      <c r="V157" s="7">
        <v>2004</v>
      </c>
      <c r="W157" t="s">
        <v>1554</v>
      </c>
      <c r="X157" t="s">
        <v>731</v>
      </c>
      <c r="Y157" t="s">
        <v>1557</v>
      </c>
      <c r="Z157" t="s">
        <v>836</v>
      </c>
      <c r="AA157" s="7">
        <v>3.79</v>
      </c>
      <c r="AB157" s="7">
        <v>4.5</v>
      </c>
      <c r="AC157" s="7">
        <v>4</v>
      </c>
      <c r="AD157" s="7">
        <v>4.5</v>
      </c>
      <c r="AE157" s="7">
        <v>3.5</v>
      </c>
      <c r="AF157" s="7">
        <v>3.5</v>
      </c>
      <c r="AG157" s="7">
        <v>2.5</v>
      </c>
      <c r="AH157" s="7">
        <v>4</v>
      </c>
      <c r="AI157" t="s">
        <v>91</v>
      </c>
      <c r="AJ157" s="7">
        <v>98</v>
      </c>
      <c r="AK157" t="s">
        <v>425</v>
      </c>
      <c r="AN157" t="s">
        <v>1831</v>
      </c>
      <c r="AO157" s="7">
        <v>2012</v>
      </c>
      <c r="AP157" t="s">
        <v>1554</v>
      </c>
      <c r="AQ157" t="s">
        <v>715</v>
      </c>
      <c r="AR157" t="s">
        <v>1559</v>
      </c>
      <c r="AS157" t="s">
        <v>1438</v>
      </c>
      <c r="AT157" s="7">
        <v>3.57</v>
      </c>
      <c r="AU157" s="7">
        <v>3.5</v>
      </c>
      <c r="AV157" s="7">
        <v>3.5</v>
      </c>
      <c r="AW157" s="7">
        <v>4.5</v>
      </c>
      <c r="AX157" s="7">
        <v>3.5</v>
      </c>
      <c r="AY157" s="7">
        <v>3</v>
      </c>
      <c r="AZ157" s="7">
        <v>3.5</v>
      </c>
      <c r="BA157" s="7">
        <v>3.5</v>
      </c>
      <c r="BB157" t="s">
        <v>1776</v>
      </c>
      <c r="BC157" s="7">
        <v>725</v>
      </c>
      <c r="BD157" t="s">
        <v>1858</v>
      </c>
      <c r="BH157" s="5" t="str">
        <f t="shared" si="5"/>
        <v/>
      </c>
      <c r="BI157" s="5" t="str">
        <f t="shared" si="6"/>
        <v/>
      </c>
    </row>
    <row r="158" spans="2:61" x14ac:dyDescent="0.35">
      <c r="B158" t="s">
        <v>1416</v>
      </c>
      <c r="C158" s="7">
        <v>1978</v>
      </c>
      <c r="D158" t="s">
        <v>1556</v>
      </c>
      <c r="E158" t="s">
        <v>1433</v>
      </c>
      <c r="F158" t="s">
        <v>1557</v>
      </c>
      <c r="G158" t="s">
        <v>1173</v>
      </c>
      <c r="H158" s="7">
        <v>3.29</v>
      </c>
      <c r="I158" s="7">
        <v>3.5</v>
      </c>
      <c r="J158" s="7">
        <v>3.5</v>
      </c>
      <c r="K158" s="7">
        <v>3</v>
      </c>
      <c r="L158" s="7">
        <v>3.5</v>
      </c>
      <c r="M158" s="7">
        <v>3.5</v>
      </c>
      <c r="N158" s="7">
        <v>3</v>
      </c>
      <c r="O158" s="7">
        <v>3</v>
      </c>
      <c r="P158" t="s">
        <v>1359</v>
      </c>
      <c r="Q158" s="7">
        <v>133</v>
      </c>
      <c r="R158" t="s">
        <v>1470</v>
      </c>
      <c r="U158" t="s">
        <v>863</v>
      </c>
      <c r="V158" s="7">
        <v>2004</v>
      </c>
      <c r="W158" t="s">
        <v>1554</v>
      </c>
      <c r="X158" t="s">
        <v>747</v>
      </c>
      <c r="Y158" t="s">
        <v>1557</v>
      </c>
      <c r="Z158" t="s">
        <v>748</v>
      </c>
      <c r="AA158" s="7">
        <v>4.1399999999999997</v>
      </c>
      <c r="AB158" s="7">
        <v>4</v>
      </c>
      <c r="AC158" s="7">
        <v>4.5</v>
      </c>
      <c r="AD158" s="7">
        <v>3.5</v>
      </c>
      <c r="AE158" s="7">
        <v>4</v>
      </c>
      <c r="AF158" s="7">
        <v>4</v>
      </c>
      <c r="AG158" s="7">
        <v>4</v>
      </c>
      <c r="AH158" s="7">
        <v>5</v>
      </c>
      <c r="AI158" t="s">
        <v>163</v>
      </c>
      <c r="AJ158" s="7">
        <v>119</v>
      </c>
      <c r="AK158" t="s">
        <v>429</v>
      </c>
      <c r="AN158" t="s">
        <v>1113</v>
      </c>
      <c r="AO158" s="7">
        <v>2012</v>
      </c>
      <c r="AP158" t="s">
        <v>1554</v>
      </c>
      <c r="AQ158" t="s">
        <v>670</v>
      </c>
      <c r="AR158" t="s">
        <v>1559</v>
      </c>
      <c r="AS158" t="s">
        <v>983</v>
      </c>
      <c r="AT158" s="7">
        <v>4</v>
      </c>
      <c r="AU158" s="7">
        <v>3</v>
      </c>
      <c r="AV158" s="7">
        <v>4</v>
      </c>
      <c r="AW158" s="7">
        <v>4</v>
      </c>
      <c r="AX158" s="7">
        <v>4.5</v>
      </c>
      <c r="AY158" s="7">
        <v>4.5</v>
      </c>
      <c r="AZ158" s="7">
        <v>4</v>
      </c>
      <c r="BA158" s="7">
        <v>4</v>
      </c>
      <c r="BB158" t="s">
        <v>349</v>
      </c>
      <c r="BC158" s="7">
        <v>600</v>
      </c>
      <c r="BD158" t="s">
        <v>553</v>
      </c>
      <c r="BH158" s="5" t="str">
        <f t="shared" si="5"/>
        <v/>
      </c>
      <c r="BI158" s="5" t="str">
        <f t="shared" si="6"/>
        <v/>
      </c>
    </row>
    <row r="159" spans="2:61" x14ac:dyDescent="0.35">
      <c r="B159" t="s">
        <v>1283</v>
      </c>
      <c r="C159" s="7">
        <v>1978</v>
      </c>
      <c r="D159" t="s">
        <v>56</v>
      </c>
      <c r="E159" t="s">
        <v>1293</v>
      </c>
      <c r="F159" t="s">
        <v>1557</v>
      </c>
      <c r="G159" t="s">
        <v>1304</v>
      </c>
      <c r="H159" s="38">
        <v>4.21</v>
      </c>
      <c r="I159" s="7">
        <v>3.5</v>
      </c>
      <c r="J159" s="7">
        <v>3.5</v>
      </c>
      <c r="K159" s="7">
        <v>4</v>
      </c>
      <c r="L159" s="7">
        <v>4.5</v>
      </c>
      <c r="M159" s="7">
        <v>5</v>
      </c>
      <c r="N159" s="7">
        <v>4</v>
      </c>
      <c r="O159" s="7">
        <v>5</v>
      </c>
      <c r="P159" t="s">
        <v>1223</v>
      </c>
      <c r="Q159" s="7">
        <v>91</v>
      </c>
      <c r="R159" t="s">
        <v>1233</v>
      </c>
      <c r="U159" t="s">
        <v>942</v>
      </c>
      <c r="V159" s="7">
        <v>2004</v>
      </c>
      <c r="W159" t="s">
        <v>1554</v>
      </c>
      <c r="X159" t="s">
        <v>702</v>
      </c>
      <c r="Y159" t="s">
        <v>1557</v>
      </c>
      <c r="Z159" t="s">
        <v>788</v>
      </c>
      <c r="AA159" s="7">
        <v>4.29</v>
      </c>
      <c r="AB159" s="7">
        <v>3</v>
      </c>
      <c r="AC159" s="7">
        <v>4</v>
      </c>
      <c r="AD159" s="7">
        <v>4</v>
      </c>
      <c r="AE159" s="7">
        <v>5</v>
      </c>
      <c r="AF159" s="7">
        <v>5</v>
      </c>
      <c r="AG159" s="7">
        <v>4</v>
      </c>
      <c r="AH159" s="7">
        <v>5</v>
      </c>
      <c r="AI159" t="s">
        <v>200</v>
      </c>
      <c r="AJ159" s="7">
        <v>103</v>
      </c>
      <c r="AK159" t="s">
        <v>445</v>
      </c>
      <c r="AN159" t="s">
        <v>1969</v>
      </c>
      <c r="AO159" s="7">
        <v>2012</v>
      </c>
      <c r="AP159" t="s">
        <v>1554</v>
      </c>
      <c r="AQ159" t="s">
        <v>670</v>
      </c>
      <c r="AR159" t="s">
        <v>1559</v>
      </c>
      <c r="AS159" t="s">
        <v>1142</v>
      </c>
      <c r="AT159" s="38">
        <v>3.5</v>
      </c>
      <c r="AU159" s="7">
        <v>3</v>
      </c>
      <c r="AV159" s="7">
        <v>3.5</v>
      </c>
      <c r="AW159" s="7">
        <v>3.5</v>
      </c>
      <c r="AX159" s="7">
        <v>3</v>
      </c>
      <c r="AY159" s="7">
        <v>3.5</v>
      </c>
      <c r="AZ159" s="7">
        <v>4</v>
      </c>
      <c r="BA159" s="7">
        <v>4</v>
      </c>
      <c r="BB159" t="s">
        <v>1757</v>
      </c>
      <c r="BC159" s="7">
        <v>325</v>
      </c>
      <c r="BD159" t="s">
        <v>1995</v>
      </c>
      <c r="BH159" s="5" t="str">
        <f t="shared" si="5"/>
        <v/>
      </c>
      <c r="BI159" s="5" t="str">
        <f t="shared" si="6"/>
        <v/>
      </c>
    </row>
    <row r="160" spans="2:61" x14ac:dyDescent="0.35">
      <c r="B160" t="s">
        <v>2113</v>
      </c>
      <c r="C160" s="7">
        <v>1977</v>
      </c>
      <c r="D160" t="s">
        <v>1556</v>
      </c>
      <c r="E160" t="s">
        <v>1421</v>
      </c>
      <c r="F160" t="s">
        <v>1557</v>
      </c>
      <c r="G160" t="s">
        <v>1434</v>
      </c>
      <c r="H160" s="7">
        <v>2.93</v>
      </c>
      <c r="I160" s="7">
        <v>2.5</v>
      </c>
      <c r="J160" s="7">
        <v>2.5</v>
      </c>
      <c r="K160" s="7">
        <v>3</v>
      </c>
      <c r="L160" s="7">
        <v>3.5</v>
      </c>
      <c r="M160" s="7">
        <v>3</v>
      </c>
      <c r="N160" s="7">
        <v>3</v>
      </c>
      <c r="O160" s="7">
        <v>3</v>
      </c>
      <c r="P160" t="s">
        <v>342</v>
      </c>
      <c r="Q160" s="7">
        <v>151</v>
      </c>
      <c r="R160" t="s">
        <v>2123</v>
      </c>
      <c r="U160" t="s">
        <v>1114</v>
      </c>
      <c r="V160" s="7">
        <v>2004</v>
      </c>
      <c r="W160" t="s">
        <v>1554</v>
      </c>
      <c r="X160" t="s">
        <v>652</v>
      </c>
      <c r="Y160" t="s">
        <v>1557</v>
      </c>
      <c r="Z160" t="s">
        <v>653</v>
      </c>
      <c r="AA160" s="7">
        <v>2.93</v>
      </c>
      <c r="AB160" s="7">
        <v>2.5</v>
      </c>
      <c r="AC160" s="7">
        <v>2.5</v>
      </c>
      <c r="AD160" s="7">
        <v>4</v>
      </c>
      <c r="AE160" s="7">
        <v>3.5</v>
      </c>
      <c r="AF160" s="7">
        <v>2</v>
      </c>
      <c r="AG160" s="7">
        <v>3</v>
      </c>
      <c r="AH160" s="7">
        <v>3</v>
      </c>
      <c r="AI160" t="s">
        <v>278</v>
      </c>
      <c r="AJ160" s="7">
        <v>90</v>
      </c>
      <c r="AK160" t="s">
        <v>483</v>
      </c>
      <c r="AN160" t="s">
        <v>1370</v>
      </c>
      <c r="AO160" s="7">
        <v>2011</v>
      </c>
      <c r="AP160" t="s">
        <v>1554</v>
      </c>
      <c r="AQ160" t="s">
        <v>1010</v>
      </c>
      <c r="AR160" t="s">
        <v>1559</v>
      </c>
      <c r="AS160" t="s">
        <v>682</v>
      </c>
      <c r="AT160" s="7">
        <v>3.14</v>
      </c>
      <c r="AU160" s="7">
        <v>3</v>
      </c>
      <c r="AV160" s="7">
        <v>3.5</v>
      </c>
      <c r="AW160" s="7">
        <v>3.5</v>
      </c>
      <c r="AX160" s="7">
        <v>3</v>
      </c>
      <c r="AY160" s="7">
        <v>3</v>
      </c>
      <c r="AZ160" s="7">
        <v>3.5</v>
      </c>
      <c r="BA160" s="7">
        <v>2.5</v>
      </c>
      <c r="BB160" t="s">
        <v>192</v>
      </c>
      <c r="BC160" s="7">
        <v>275</v>
      </c>
      <c r="BD160" t="s">
        <v>1496</v>
      </c>
      <c r="BH160" s="5" t="str">
        <f t="shared" si="5"/>
        <v/>
      </c>
      <c r="BI160" s="5" t="str">
        <f t="shared" si="6"/>
        <v/>
      </c>
    </row>
    <row r="161" spans="2:61" x14ac:dyDescent="0.35">
      <c r="B161" t="s">
        <v>1415</v>
      </c>
      <c r="C161" s="7">
        <v>1977</v>
      </c>
      <c r="D161" t="s">
        <v>1556</v>
      </c>
      <c r="E161" t="s">
        <v>1432</v>
      </c>
      <c r="F161" t="s">
        <v>1557</v>
      </c>
      <c r="G161" t="s">
        <v>267</v>
      </c>
      <c r="H161" s="7">
        <v>3.64</v>
      </c>
      <c r="I161" s="7">
        <v>2</v>
      </c>
      <c r="J161" s="7">
        <v>3.5</v>
      </c>
      <c r="K161" s="7">
        <v>4.5</v>
      </c>
      <c r="L161" s="7">
        <v>4</v>
      </c>
      <c r="M161" s="7">
        <v>3.5</v>
      </c>
      <c r="N161" s="7">
        <v>3.5</v>
      </c>
      <c r="O161" s="7">
        <v>4.5</v>
      </c>
      <c r="P161" t="s">
        <v>195</v>
      </c>
      <c r="Q161" s="7">
        <v>78</v>
      </c>
      <c r="R161" t="s">
        <v>1469</v>
      </c>
      <c r="U161" t="s">
        <v>2708</v>
      </c>
      <c r="V161" s="7">
        <v>2004</v>
      </c>
      <c r="W161" t="s">
        <v>1554</v>
      </c>
      <c r="X161" t="s">
        <v>2725</v>
      </c>
      <c r="Y161" t="s">
        <v>1557</v>
      </c>
      <c r="Z161" t="s">
        <v>2692</v>
      </c>
      <c r="AA161" s="38">
        <v>2.5</v>
      </c>
      <c r="AB161" s="7">
        <v>2</v>
      </c>
      <c r="AC161" s="7">
        <v>2.5</v>
      </c>
      <c r="AD161" s="7">
        <v>2.5</v>
      </c>
      <c r="AE161" s="7">
        <v>3</v>
      </c>
      <c r="AF161" s="7">
        <v>2</v>
      </c>
      <c r="AG161" s="7">
        <v>3</v>
      </c>
      <c r="AH161" s="7">
        <v>2.5</v>
      </c>
      <c r="AI161" t="s">
        <v>2693</v>
      </c>
      <c r="AJ161" s="7">
        <v>140</v>
      </c>
      <c r="AK161" t="s">
        <v>2741</v>
      </c>
      <c r="AN161" t="s">
        <v>764</v>
      </c>
      <c r="AO161" s="7">
        <v>2011</v>
      </c>
      <c r="AP161" t="s">
        <v>1554</v>
      </c>
      <c r="AQ161" t="s">
        <v>759</v>
      </c>
      <c r="AR161" t="s">
        <v>1560</v>
      </c>
      <c r="AS161" t="s">
        <v>106</v>
      </c>
      <c r="AT161" s="7">
        <v>2.57</v>
      </c>
      <c r="AU161" s="7">
        <v>3</v>
      </c>
      <c r="AV161" s="7">
        <v>3</v>
      </c>
      <c r="AW161" s="7">
        <v>2</v>
      </c>
      <c r="AX161" s="7">
        <v>2</v>
      </c>
      <c r="AY161" s="7">
        <v>3</v>
      </c>
      <c r="AZ161" s="7">
        <v>2</v>
      </c>
      <c r="BA161" s="7">
        <v>3</v>
      </c>
      <c r="BB161" t="s">
        <v>107</v>
      </c>
      <c r="BC161" s="7">
        <v>60</v>
      </c>
      <c r="BD161" t="s">
        <v>554</v>
      </c>
      <c r="BH161" s="5" t="str">
        <f t="shared" si="5"/>
        <v/>
      </c>
      <c r="BI161" s="5" t="str">
        <f t="shared" si="6"/>
        <v/>
      </c>
    </row>
    <row r="162" spans="2:61" x14ac:dyDescent="0.35">
      <c r="B162" t="s">
        <v>2326</v>
      </c>
      <c r="C162" s="7">
        <v>1977</v>
      </c>
      <c r="D162" t="s">
        <v>1556</v>
      </c>
      <c r="E162" t="s">
        <v>2260</v>
      </c>
      <c r="F162" t="s">
        <v>1557</v>
      </c>
      <c r="G162" t="s">
        <v>2251</v>
      </c>
      <c r="H162" s="7">
        <v>3.93</v>
      </c>
      <c r="I162" s="7">
        <v>3.5</v>
      </c>
      <c r="J162" s="7">
        <v>4</v>
      </c>
      <c r="K162" s="7">
        <v>4.5</v>
      </c>
      <c r="L162" s="7">
        <v>4.5</v>
      </c>
      <c r="M162" s="7">
        <v>2.5</v>
      </c>
      <c r="N162" s="7">
        <v>4</v>
      </c>
      <c r="O162" s="7">
        <v>4.5</v>
      </c>
      <c r="P162" t="s">
        <v>184</v>
      </c>
      <c r="Q162" s="7">
        <v>74</v>
      </c>
      <c r="R162" t="s">
        <v>2371</v>
      </c>
      <c r="U162" t="s">
        <v>1277</v>
      </c>
      <c r="V162" s="7">
        <v>2003</v>
      </c>
      <c r="W162" t="s">
        <v>1554</v>
      </c>
      <c r="X162" t="s">
        <v>1215</v>
      </c>
      <c r="Y162" t="s">
        <v>1555</v>
      </c>
      <c r="Z162" t="s">
        <v>1216</v>
      </c>
      <c r="AA162" s="7">
        <v>4.1399999999999997</v>
      </c>
      <c r="AB162" s="7">
        <v>4.5</v>
      </c>
      <c r="AC162" s="7">
        <v>4.5</v>
      </c>
      <c r="AD162" s="7">
        <v>3.5</v>
      </c>
      <c r="AE162" s="7">
        <v>3</v>
      </c>
      <c r="AF162" s="7">
        <v>4.5</v>
      </c>
      <c r="AG162" s="7">
        <v>4</v>
      </c>
      <c r="AH162" s="7">
        <v>5</v>
      </c>
      <c r="AI162" t="s">
        <v>1217</v>
      </c>
      <c r="AJ162" s="7">
        <v>101</v>
      </c>
      <c r="AK162" t="s">
        <v>1245</v>
      </c>
      <c r="AN162" t="s">
        <v>771</v>
      </c>
      <c r="AO162" s="7">
        <v>2011</v>
      </c>
      <c r="AP162" t="s">
        <v>1554</v>
      </c>
      <c r="AQ162" t="s">
        <v>772</v>
      </c>
      <c r="AR162" t="s">
        <v>1559</v>
      </c>
      <c r="AS162" t="s">
        <v>773</v>
      </c>
      <c r="AT162" s="7">
        <v>3.14</v>
      </c>
      <c r="AU162" s="7">
        <v>2.5</v>
      </c>
      <c r="AV162" s="7">
        <v>3.5</v>
      </c>
      <c r="AW162" s="7">
        <v>3.5</v>
      </c>
      <c r="AX162" s="7">
        <v>2.5</v>
      </c>
      <c r="AY162" s="7">
        <v>3</v>
      </c>
      <c r="AZ162" s="7">
        <v>3</v>
      </c>
      <c r="BA162" s="7">
        <v>4</v>
      </c>
      <c r="BB162" t="s">
        <v>110</v>
      </c>
      <c r="BC162" s="7">
        <v>325</v>
      </c>
      <c r="BD162" t="s">
        <v>555</v>
      </c>
      <c r="BH162" s="5" t="str">
        <f t="shared" si="5"/>
        <v/>
      </c>
      <c r="BI162" s="5" t="str">
        <f t="shared" si="6"/>
        <v/>
      </c>
    </row>
    <row r="163" spans="2:61" x14ac:dyDescent="0.35">
      <c r="B163" t="s">
        <v>2330</v>
      </c>
      <c r="C163" s="7">
        <v>1977</v>
      </c>
      <c r="D163" t="s">
        <v>1556</v>
      </c>
      <c r="E163" t="s">
        <v>2260</v>
      </c>
      <c r="F163" t="s">
        <v>1557</v>
      </c>
      <c r="G163" t="s">
        <v>2253</v>
      </c>
      <c r="H163" s="7">
        <v>3.79</v>
      </c>
      <c r="I163" s="7">
        <v>3.5</v>
      </c>
      <c r="J163" s="7">
        <v>4</v>
      </c>
      <c r="K163" s="7">
        <v>3.5</v>
      </c>
      <c r="L163" s="7">
        <v>4</v>
      </c>
      <c r="M163" s="7">
        <v>4.5</v>
      </c>
      <c r="N163" s="7">
        <v>3.5</v>
      </c>
      <c r="O163" s="7">
        <v>3.5</v>
      </c>
      <c r="P163" t="s">
        <v>305</v>
      </c>
      <c r="Q163" s="7">
        <v>77</v>
      </c>
      <c r="R163" t="s">
        <v>2372</v>
      </c>
      <c r="U163" t="s">
        <v>1139</v>
      </c>
      <c r="V163" s="7">
        <v>2003</v>
      </c>
      <c r="W163" t="s">
        <v>1554</v>
      </c>
      <c r="X163" t="s">
        <v>694</v>
      </c>
      <c r="Y163" t="s">
        <v>1557</v>
      </c>
      <c r="Z163" t="s">
        <v>999</v>
      </c>
      <c r="AA163" s="7">
        <v>3.5</v>
      </c>
      <c r="AB163" s="7">
        <v>3.5</v>
      </c>
      <c r="AC163" s="7">
        <v>3.5</v>
      </c>
      <c r="AD163" s="7">
        <v>3</v>
      </c>
      <c r="AE163" s="7">
        <v>4</v>
      </c>
      <c r="AF163" s="7">
        <v>3.5</v>
      </c>
      <c r="AG163" s="7">
        <v>3</v>
      </c>
      <c r="AH163" s="7">
        <v>4</v>
      </c>
      <c r="AI163" t="s">
        <v>296</v>
      </c>
      <c r="AJ163" s="7">
        <v>92</v>
      </c>
      <c r="AK163" t="s">
        <v>490</v>
      </c>
      <c r="AN163" t="s">
        <v>779</v>
      </c>
      <c r="AO163" s="7">
        <v>2011</v>
      </c>
      <c r="AP163" t="s">
        <v>1554</v>
      </c>
      <c r="AQ163" t="s">
        <v>780</v>
      </c>
      <c r="AR163" t="s">
        <v>1559</v>
      </c>
      <c r="AS163" t="s">
        <v>781</v>
      </c>
      <c r="AT163" s="7">
        <v>3.86</v>
      </c>
      <c r="AU163" s="7">
        <v>3.5</v>
      </c>
      <c r="AV163" s="7">
        <v>3.5</v>
      </c>
      <c r="AW163" s="7">
        <v>4</v>
      </c>
      <c r="AX163" s="7">
        <v>4</v>
      </c>
      <c r="AY163" s="7">
        <v>3</v>
      </c>
      <c r="AZ163" s="7">
        <v>4</v>
      </c>
      <c r="BA163" s="7">
        <v>5</v>
      </c>
      <c r="BB163" t="s">
        <v>117</v>
      </c>
      <c r="BC163" s="7">
        <v>300</v>
      </c>
      <c r="BD163" t="s">
        <v>556</v>
      </c>
      <c r="BH163" s="5" t="str">
        <f t="shared" si="5"/>
        <v/>
      </c>
      <c r="BI163" s="5" t="str">
        <f t="shared" si="6"/>
        <v/>
      </c>
    </row>
    <row r="164" spans="2:61" x14ac:dyDescent="0.35">
      <c r="B164" t="s">
        <v>1171</v>
      </c>
      <c r="C164" s="7">
        <v>1977</v>
      </c>
      <c r="D164" t="s">
        <v>1556</v>
      </c>
      <c r="E164" t="s">
        <v>1172</v>
      </c>
      <c r="F164" t="s">
        <v>1557</v>
      </c>
      <c r="G164" t="s">
        <v>1173</v>
      </c>
      <c r="H164" s="38">
        <v>1.79</v>
      </c>
      <c r="I164" s="7">
        <v>1.5</v>
      </c>
      <c r="J164" s="7">
        <v>2.5</v>
      </c>
      <c r="K164" s="7">
        <v>2.5</v>
      </c>
      <c r="L164" s="7">
        <v>2.5</v>
      </c>
      <c r="M164" s="7">
        <v>1</v>
      </c>
      <c r="N164" s="7">
        <v>1.5</v>
      </c>
      <c r="O164" s="7">
        <v>1</v>
      </c>
      <c r="P164" t="s">
        <v>265</v>
      </c>
      <c r="Q164" s="7">
        <v>80</v>
      </c>
      <c r="R164" t="s">
        <v>397</v>
      </c>
      <c r="U164" t="s">
        <v>660</v>
      </c>
      <c r="V164" s="7">
        <v>2002</v>
      </c>
      <c r="W164" t="s">
        <v>1554</v>
      </c>
      <c r="X164" t="s">
        <v>661</v>
      </c>
      <c r="Y164" t="s">
        <v>1557</v>
      </c>
      <c r="Z164" t="s">
        <v>662</v>
      </c>
      <c r="AA164" s="7">
        <v>3.64</v>
      </c>
      <c r="AB164" s="7">
        <v>3.5</v>
      </c>
      <c r="AC164" s="7">
        <v>3.5</v>
      </c>
      <c r="AD164" s="7">
        <v>3.5</v>
      </c>
      <c r="AE164" s="7">
        <v>3</v>
      </c>
      <c r="AF164" s="7">
        <v>4</v>
      </c>
      <c r="AG164" s="7">
        <v>4</v>
      </c>
      <c r="AH164" s="7">
        <v>4</v>
      </c>
      <c r="AI164" t="s">
        <v>60</v>
      </c>
      <c r="AJ164" s="7">
        <v>136</v>
      </c>
      <c r="AK164" t="s">
        <v>401</v>
      </c>
      <c r="AN164" t="s">
        <v>813</v>
      </c>
      <c r="AO164" s="7">
        <v>2011</v>
      </c>
      <c r="AP164" t="s">
        <v>1554</v>
      </c>
      <c r="AQ164" t="s">
        <v>814</v>
      </c>
      <c r="AR164" t="s">
        <v>1559</v>
      </c>
      <c r="AS164" t="s">
        <v>815</v>
      </c>
      <c r="AT164" s="7">
        <v>4.93</v>
      </c>
      <c r="AU164" s="7">
        <v>5</v>
      </c>
      <c r="AV164" s="7">
        <v>5</v>
      </c>
      <c r="AW164" s="7">
        <v>5</v>
      </c>
      <c r="AX164" s="7">
        <v>4.5</v>
      </c>
      <c r="AY164" s="7">
        <v>5</v>
      </c>
      <c r="AZ164" s="7">
        <v>5</v>
      </c>
      <c r="BA164" s="7">
        <v>5</v>
      </c>
      <c r="BB164" t="s">
        <v>131</v>
      </c>
      <c r="BC164" s="7">
        <v>620</v>
      </c>
      <c r="BD164" t="s">
        <v>557</v>
      </c>
      <c r="BH164" s="5" t="str">
        <f t="shared" si="5"/>
        <v/>
      </c>
      <c r="BI164" s="5" t="str">
        <f t="shared" si="6"/>
        <v/>
      </c>
    </row>
    <row r="165" spans="2:61" x14ac:dyDescent="0.35">
      <c r="B165" t="s">
        <v>2327</v>
      </c>
      <c r="C165" s="7">
        <v>1974</v>
      </c>
      <c r="D165" t="s">
        <v>1556</v>
      </c>
      <c r="E165" t="s">
        <v>2028</v>
      </c>
      <c r="F165" t="s">
        <v>1557</v>
      </c>
      <c r="G165" t="s">
        <v>2328</v>
      </c>
      <c r="H165" s="7">
        <v>2.79</v>
      </c>
      <c r="I165" s="7">
        <v>2.5</v>
      </c>
      <c r="J165" s="7">
        <v>2.5</v>
      </c>
      <c r="K165" s="7">
        <v>3</v>
      </c>
      <c r="L165" s="7">
        <v>3</v>
      </c>
      <c r="M165" s="7">
        <v>2.5</v>
      </c>
      <c r="N165" s="7">
        <v>3.5</v>
      </c>
      <c r="O165" s="7">
        <v>2.5</v>
      </c>
      <c r="P165" t="s">
        <v>2252</v>
      </c>
      <c r="Q165" s="7">
        <v>76</v>
      </c>
      <c r="R165" t="s">
        <v>2373</v>
      </c>
      <c r="U165" t="s">
        <v>914</v>
      </c>
      <c r="V165" s="7">
        <v>2002</v>
      </c>
      <c r="W165" t="s">
        <v>1554</v>
      </c>
      <c r="X165" t="s">
        <v>915</v>
      </c>
      <c r="Y165" t="s">
        <v>1557</v>
      </c>
      <c r="Z165" t="s">
        <v>916</v>
      </c>
      <c r="AA165" s="7">
        <v>2.79</v>
      </c>
      <c r="AB165" s="7">
        <v>2.5</v>
      </c>
      <c r="AC165" s="7">
        <v>2.5</v>
      </c>
      <c r="AD165" s="7">
        <v>3</v>
      </c>
      <c r="AE165" s="7">
        <v>2</v>
      </c>
      <c r="AF165" s="7">
        <v>3</v>
      </c>
      <c r="AG165" s="7">
        <v>4.5</v>
      </c>
      <c r="AH165" s="7">
        <v>2</v>
      </c>
      <c r="AI165" t="s">
        <v>185</v>
      </c>
      <c r="AJ165" s="7">
        <v>92</v>
      </c>
      <c r="AK165" t="s">
        <v>436</v>
      </c>
      <c r="AN165" t="s">
        <v>846</v>
      </c>
      <c r="AO165" s="7">
        <v>2011</v>
      </c>
      <c r="AP165" t="s">
        <v>1554</v>
      </c>
      <c r="AQ165" t="s">
        <v>689</v>
      </c>
      <c r="AR165" t="s">
        <v>1559</v>
      </c>
      <c r="AS165" t="s">
        <v>147</v>
      </c>
      <c r="AT165" s="7">
        <v>3.07</v>
      </c>
      <c r="AU165" s="7">
        <v>3.5</v>
      </c>
      <c r="AV165" s="7">
        <v>3.5</v>
      </c>
      <c r="AW165" s="7">
        <v>3</v>
      </c>
      <c r="AX165" s="7">
        <v>3</v>
      </c>
      <c r="AY165" s="7">
        <v>3</v>
      </c>
      <c r="AZ165" s="7">
        <v>3.5</v>
      </c>
      <c r="BA165" s="7">
        <v>2</v>
      </c>
      <c r="BB165" t="s">
        <v>148</v>
      </c>
      <c r="BC165" s="7">
        <v>300</v>
      </c>
      <c r="BD165" t="s">
        <v>558</v>
      </c>
      <c r="BH165" s="5" t="str">
        <f t="shared" si="5"/>
        <v/>
      </c>
      <c r="BI165" s="5" t="str">
        <f t="shared" si="6"/>
        <v/>
      </c>
    </row>
    <row r="166" spans="2:61" x14ac:dyDescent="0.35">
      <c r="B166" t="s">
        <v>2027</v>
      </c>
      <c r="C166" s="7">
        <v>1973</v>
      </c>
      <c r="D166" t="s">
        <v>1556</v>
      </c>
      <c r="E166" t="s">
        <v>2028</v>
      </c>
      <c r="F166" t="s">
        <v>1557</v>
      </c>
      <c r="G166" t="s">
        <v>1173</v>
      </c>
      <c r="H166" s="7">
        <v>3.5</v>
      </c>
      <c r="I166" s="7">
        <v>3</v>
      </c>
      <c r="J166" s="7">
        <v>3.5</v>
      </c>
      <c r="K166" s="7">
        <v>3.5</v>
      </c>
      <c r="L166" s="7">
        <v>3</v>
      </c>
      <c r="M166" s="7">
        <v>4</v>
      </c>
      <c r="N166" s="7">
        <v>3</v>
      </c>
      <c r="O166" s="7">
        <v>4.5</v>
      </c>
      <c r="P166" t="s">
        <v>2005</v>
      </c>
      <c r="Q166" s="7">
        <v>76</v>
      </c>
      <c r="R166" t="s">
        <v>2060</v>
      </c>
      <c r="U166" t="s">
        <v>2702</v>
      </c>
      <c r="V166" s="7">
        <v>2002</v>
      </c>
      <c r="W166" t="s">
        <v>1554</v>
      </c>
      <c r="X166" t="s">
        <v>2719</v>
      </c>
      <c r="Y166" t="s">
        <v>1557</v>
      </c>
      <c r="Z166" t="s">
        <v>2720</v>
      </c>
      <c r="AA166" s="7">
        <v>2.29</v>
      </c>
      <c r="AB166" s="7">
        <v>2</v>
      </c>
      <c r="AC166" s="7">
        <v>2</v>
      </c>
      <c r="AD166" s="7">
        <v>2.5</v>
      </c>
      <c r="AE166" s="7">
        <v>2.5</v>
      </c>
      <c r="AF166" s="7">
        <v>2.5</v>
      </c>
      <c r="AG166" s="7">
        <v>2</v>
      </c>
      <c r="AH166" s="7">
        <v>2.5</v>
      </c>
      <c r="AI166" t="s">
        <v>2689</v>
      </c>
      <c r="AJ166" s="7">
        <v>92</v>
      </c>
      <c r="AK166" t="s">
        <v>2735</v>
      </c>
      <c r="AN166" t="s">
        <v>847</v>
      </c>
      <c r="AO166" s="7">
        <v>2011</v>
      </c>
      <c r="AP166" t="s">
        <v>1554</v>
      </c>
      <c r="AQ166" t="s">
        <v>731</v>
      </c>
      <c r="AR166" t="s">
        <v>1559</v>
      </c>
      <c r="AS166" t="s">
        <v>783</v>
      </c>
      <c r="AT166" s="7">
        <v>3.21</v>
      </c>
      <c r="AU166" s="7">
        <v>3.5</v>
      </c>
      <c r="AV166" s="7">
        <v>3.5</v>
      </c>
      <c r="AW166" s="7">
        <v>4</v>
      </c>
      <c r="AX166" s="7">
        <v>3.5</v>
      </c>
      <c r="AY166" s="7">
        <v>1.5</v>
      </c>
      <c r="AZ166" s="7">
        <v>2.5</v>
      </c>
      <c r="BA166" s="7">
        <v>4</v>
      </c>
      <c r="BB166" t="s">
        <v>149</v>
      </c>
      <c r="BC166" s="7">
        <v>550</v>
      </c>
      <c r="BD166" t="s">
        <v>559</v>
      </c>
      <c r="BH166" s="5" t="str">
        <f t="shared" si="5"/>
        <v/>
      </c>
      <c r="BI166" s="5" t="str">
        <f t="shared" si="6"/>
        <v/>
      </c>
    </row>
    <row r="167" spans="2:61" x14ac:dyDescent="0.35">
      <c r="B167" t="s">
        <v>2306</v>
      </c>
      <c r="C167" s="7">
        <v>1973</v>
      </c>
      <c r="D167" t="s">
        <v>1556</v>
      </c>
      <c r="E167" t="s">
        <v>2260</v>
      </c>
      <c r="F167" t="s">
        <v>1557</v>
      </c>
      <c r="G167" t="s">
        <v>2307</v>
      </c>
      <c r="H167" s="7">
        <v>3.86</v>
      </c>
      <c r="I167" s="7">
        <v>3.5</v>
      </c>
      <c r="J167" s="7">
        <v>3.5</v>
      </c>
      <c r="K167" s="7">
        <v>4</v>
      </c>
      <c r="L167" s="7">
        <v>4.5</v>
      </c>
      <c r="M167" s="7">
        <v>3.5</v>
      </c>
      <c r="N167" s="7">
        <v>4</v>
      </c>
      <c r="O167" s="7">
        <v>4</v>
      </c>
      <c r="P167" t="s">
        <v>187</v>
      </c>
      <c r="Q167" s="7">
        <v>83</v>
      </c>
      <c r="R167" t="s">
        <v>2374</v>
      </c>
      <c r="U167" t="s">
        <v>1077</v>
      </c>
      <c r="V167" s="7">
        <v>2002</v>
      </c>
      <c r="W167" t="s">
        <v>1554</v>
      </c>
      <c r="X167" t="s">
        <v>747</v>
      </c>
      <c r="Y167" t="s">
        <v>1557</v>
      </c>
      <c r="Z167" t="s">
        <v>1078</v>
      </c>
      <c r="AA167" s="7">
        <v>3.5</v>
      </c>
      <c r="AB167" s="7">
        <v>3.5</v>
      </c>
      <c r="AC167" s="7">
        <v>3</v>
      </c>
      <c r="AD167" s="7">
        <v>3.5</v>
      </c>
      <c r="AE167" s="7">
        <v>3.5</v>
      </c>
      <c r="AF167" s="7">
        <v>3</v>
      </c>
      <c r="AG167" s="7">
        <v>4</v>
      </c>
      <c r="AH167" s="7">
        <v>4</v>
      </c>
      <c r="AI167" t="s">
        <v>195</v>
      </c>
      <c r="AJ167" s="7">
        <v>75</v>
      </c>
      <c r="AK167" t="s">
        <v>473</v>
      </c>
      <c r="AN167" t="s">
        <v>854</v>
      </c>
      <c r="AO167" s="7">
        <v>2011</v>
      </c>
      <c r="AP167" t="s">
        <v>1554</v>
      </c>
      <c r="AQ167" t="s">
        <v>670</v>
      </c>
      <c r="AR167" t="s">
        <v>1559</v>
      </c>
      <c r="AS167" t="s">
        <v>855</v>
      </c>
      <c r="AT167" s="7">
        <v>2.93</v>
      </c>
      <c r="AU167" s="7">
        <v>3</v>
      </c>
      <c r="AV167" s="7">
        <v>3.5</v>
      </c>
      <c r="AW167" s="7">
        <v>3</v>
      </c>
      <c r="AX167" s="7">
        <v>3</v>
      </c>
      <c r="AY167" s="7">
        <v>2.5</v>
      </c>
      <c r="AZ167" s="7">
        <v>3</v>
      </c>
      <c r="BA167" s="7">
        <v>2.5</v>
      </c>
      <c r="BB167" t="s">
        <v>157</v>
      </c>
      <c r="BC167" s="7">
        <v>325</v>
      </c>
      <c r="BD167" t="s">
        <v>560</v>
      </c>
      <c r="BH167" s="5" t="str">
        <f t="shared" si="5"/>
        <v/>
      </c>
      <c r="BI167" s="5" t="str">
        <f t="shared" si="6"/>
        <v/>
      </c>
    </row>
    <row r="168" spans="2:61" x14ac:dyDescent="0.35">
      <c r="B168" t="s">
        <v>2280</v>
      </c>
      <c r="C168" s="7">
        <v>1972</v>
      </c>
      <c r="D168" t="s">
        <v>1556</v>
      </c>
      <c r="E168" t="s">
        <v>2281</v>
      </c>
      <c r="F168" t="s">
        <v>1557</v>
      </c>
      <c r="G168" t="s">
        <v>1173</v>
      </c>
      <c r="H168" s="7">
        <v>2.86</v>
      </c>
      <c r="I168" s="7">
        <v>2.5</v>
      </c>
      <c r="J168" s="7">
        <v>2.5</v>
      </c>
      <c r="K168" s="7">
        <v>2.5</v>
      </c>
      <c r="L168" s="7">
        <v>2.5</v>
      </c>
      <c r="M168" s="7">
        <v>2.5</v>
      </c>
      <c r="N168" s="7">
        <v>3.5</v>
      </c>
      <c r="O168" s="7">
        <v>4</v>
      </c>
      <c r="P168" t="s">
        <v>245</v>
      </c>
      <c r="Q168" s="7">
        <v>80</v>
      </c>
      <c r="R168" t="s">
        <v>2375</v>
      </c>
      <c r="U168" t="s">
        <v>1258</v>
      </c>
      <c r="V168" s="7">
        <v>2001</v>
      </c>
      <c r="W168" t="s">
        <v>1554</v>
      </c>
      <c r="X168" t="s">
        <v>734</v>
      </c>
      <c r="Y168" t="s">
        <v>1557</v>
      </c>
      <c r="Z168" t="s">
        <v>1298</v>
      </c>
      <c r="AA168" s="7">
        <v>3.93</v>
      </c>
      <c r="AB168" s="7">
        <v>4</v>
      </c>
      <c r="AC168" s="7">
        <v>3.5</v>
      </c>
      <c r="AD168" s="7">
        <v>4.5</v>
      </c>
      <c r="AE168" s="7">
        <v>4.5</v>
      </c>
      <c r="AF168" s="7">
        <v>3.5</v>
      </c>
      <c r="AG168" s="7">
        <v>3.5</v>
      </c>
      <c r="AH168" s="7">
        <v>4</v>
      </c>
      <c r="AI168" t="s">
        <v>1188</v>
      </c>
      <c r="AJ168" s="7">
        <v>115</v>
      </c>
      <c r="AK168" t="s">
        <v>1246</v>
      </c>
      <c r="AN168" t="s">
        <v>933</v>
      </c>
      <c r="AO168" s="7">
        <v>2011</v>
      </c>
      <c r="AP168" t="s">
        <v>1554</v>
      </c>
      <c r="AQ168" t="s">
        <v>775</v>
      </c>
      <c r="AR168" t="s">
        <v>1559</v>
      </c>
      <c r="AS168" t="s">
        <v>934</v>
      </c>
      <c r="AT168" s="7">
        <v>2.86</v>
      </c>
      <c r="AU168" s="7">
        <v>2.5</v>
      </c>
      <c r="AV168" s="7">
        <v>2.5</v>
      </c>
      <c r="AW168" s="7">
        <v>3</v>
      </c>
      <c r="AX168" s="7">
        <v>2.5</v>
      </c>
      <c r="AY168" s="7">
        <v>2.5</v>
      </c>
      <c r="AZ168" s="7">
        <v>3.5</v>
      </c>
      <c r="BA168" s="7">
        <v>3.5</v>
      </c>
      <c r="BB168" t="s">
        <v>340</v>
      </c>
      <c r="BC168" s="7">
        <v>325</v>
      </c>
      <c r="BD168" t="s">
        <v>561</v>
      </c>
      <c r="BH168" s="5" t="str">
        <f t="shared" si="5"/>
        <v/>
      </c>
      <c r="BI168" s="5" t="str">
        <f t="shared" si="6"/>
        <v/>
      </c>
    </row>
    <row r="169" spans="2:61" x14ac:dyDescent="0.35">
      <c r="B169" t="s">
        <v>2116</v>
      </c>
      <c r="C169" s="7">
        <v>1972</v>
      </c>
      <c r="D169" t="s">
        <v>1556</v>
      </c>
      <c r="E169" t="s">
        <v>1421</v>
      </c>
      <c r="F169" t="s">
        <v>1557</v>
      </c>
      <c r="G169" t="s">
        <v>1434</v>
      </c>
      <c r="H169" s="7">
        <v>3.21</v>
      </c>
      <c r="I169" s="7">
        <v>2.5</v>
      </c>
      <c r="J169" s="7">
        <v>2.5</v>
      </c>
      <c r="K169" s="7">
        <v>4</v>
      </c>
      <c r="L169" s="7">
        <v>3.5</v>
      </c>
      <c r="M169" s="7">
        <v>3</v>
      </c>
      <c r="N169" s="7">
        <v>3</v>
      </c>
      <c r="O169" s="7">
        <v>4</v>
      </c>
      <c r="P169" t="s">
        <v>342</v>
      </c>
      <c r="Q169" s="7">
        <v>80</v>
      </c>
      <c r="R169" t="s">
        <v>2124</v>
      </c>
      <c r="U169" t="s">
        <v>935</v>
      </c>
      <c r="V169" s="7">
        <v>2001</v>
      </c>
      <c r="W169" t="s">
        <v>1554</v>
      </c>
      <c r="X169" t="s">
        <v>694</v>
      </c>
      <c r="Y169" t="s">
        <v>1557</v>
      </c>
      <c r="Z169" t="s">
        <v>936</v>
      </c>
      <c r="AA169" s="7">
        <v>4.1399999999999997</v>
      </c>
      <c r="AB169" s="7">
        <v>4.5</v>
      </c>
      <c r="AC169" s="7">
        <v>4</v>
      </c>
      <c r="AD169" s="7">
        <v>4</v>
      </c>
      <c r="AE169" s="7">
        <v>3</v>
      </c>
      <c r="AF169" s="7">
        <v>4.5</v>
      </c>
      <c r="AG169" s="7">
        <v>4</v>
      </c>
      <c r="AH169" s="7">
        <v>5</v>
      </c>
      <c r="AI169" t="s">
        <v>341</v>
      </c>
      <c r="AJ169" s="7">
        <v>113</v>
      </c>
      <c r="AK169" t="s">
        <v>444</v>
      </c>
      <c r="AN169" t="s">
        <v>973</v>
      </c>
      <c r="AO169" s="7">
        <v>2011</v>
      </c>
      <c r="AP169" t="s">
        <v>1554</v>
      </c>
      <c r="AQ169" t="s">
        <v>658</v>
      </c>
      <c r="AR169" t="s">
        <v>1559</v>
      </c>
      <c r="AS169" t="s">
        <v>909</v>
      </c>
      <c r="AT169" s="7">
        <v>4.1399999999999997</v>
      </c>
      <c r="AU169" s="7">
        <v>4.5</v>
      </c>
      <c r="AV169" s="7">
        <v>4</v>
      </c>
      <c r="AW169" s="7">
        <v>4.5</v>
      </c>
      <c r="AX169" s="7">
        <v>4</v>
      </c>
      <c r="AY169" s="7">
        <v>3</v>
      </c>
      <c r="AZ169" s="7">
        <v>4</v>
      </c>
      <c r="BA169" s="7">
        <v>5</v>
      </c>
      <c r="BB169" t="s">
        <v>211</v>
      </c>
      <c r="BC169" s="7">
        <v>350</v>
      </c>
      <c r="BD169" t="s">
        <v>562</v>
      </c>
      <c r="BH169" s="5" t="str">
        <f t="shared" si="5"/>
        <v/>
      </c>
      <c r="BI169" s="5" t="str">
        <f t="shared" si="6"/>
        <v/>
      </c>
    </row>
    <row r="170" spans="2:61" x14ac:dyDescent="0.35">
      <c r="B170" t="s">
        <v>2593</v>
      </c>
      <c r="C170" s="7">
        <v>1971</v>
      </c>
      <c r="D170" t="s">
        <v>1607</v>
      </c>
      <c r="E170" t="s">
        <v>2605</v>
      </c>
      <c r="F170" t="s">
        <v>1557</v>
      </c>
      <c r="G170" t="s">
        <v>2606</v>
      </c>
      <c r="H170" s="7">
        <v>2.79</v>
      </c>
      <c r="I170" s="7">
        <v>2.5</v>
      </c>
      <c r="J170" s="7">
        <v>3</v>
      </c>
      <c r="K170" s="7">
        <v>3.5</v>
      </c>
      <c r="L170" s="7">
        <v>2.5</v>
      </c>
      <c r="M170" s="7">
        <v>2</v>
      </c>
      <c r="N170" s="7">
        <v>3.5</v>
      </c>
      <c r="O170" s="7">
        <v>2.5</v>
      </c>
      <c r="P170" t="s">
        <v>310</v>
      </c>
      <c r="Q170" s="7">
        <v>71</v>
      </c>
      <c r="R170" t="s">
        <v>2611</v>
      </c>
      <c r="U170" t="s">
        <v>1392</v>
      </c>
      <c r="V170" s="7">
        <v>2001</v>
      </c>
      <c r="W170" t="s">
        <v>1554</v>
      </c>
      <c r="X170" t="s">
        <v>694</v>
      </c>
      <c r="Y170" t="s">
        <v>1557</v>
      </c>
      <c r="Z170" t="s">
        <v>999</v>
      </c>
      <c r="AA170" s="7">
        <v>4</v>
      </c>
      <c r="AB170" s="7">
        <v>4</v>
      </c>
      <c r="AC170" s="7">
        <v>3.5</v>
      </c>
      <c r="AD170" s="7">
        <v>4</v>
      </c>
      <c r="AE170" s="7">
        <v>4</v>
      </c>
      <c r="AF170" s="7">
        <v>4.5</v>
      </c>
      <c r="AG170" s="7">
        <v>3.5</v>
      </c>
      <c r="AH170" s="7">
        <v>4.5</v>
      </c>
      <c r="AI170" t="s">
        <v>1318</v>
      </c>
      <c r="AJ170" s="7">
        <v>87</v>
      </c>
      <c r="AK170" t="s">
        <v>1483</v>
      </c>
      <c r="AN170" t="s">
        <v>1006</v>
      </c>
      <c r="AO170" s="7">
        <v>2011</v>
      </c>
      <c r="AP170" t="s">
        <v>1554</v>
      </c>
      <c r="AQ170" t="s">
        <v>1007</v>
      </c>
      <c r="AR170" t="s">
        <v>1559</v>
      </c>
      <c r="AS170" t="s">
        <v>1008</v>
      </c>
      <c r="AT170" s="7">
        <v>3.64</v>
      </c>
      <c r="AU170" s="7">
        <v>3</v>
      </c>
      <c r="AV170" s="7">
        <v>3.5</v>
      </c>
      <c r="AW170" s="7">
        <v>4.5</v>
      </c>
      <c r="AX170" s="7">
        <v>4</v>
      </c>
      <c r="AY170" s="7">
        <v>3</v>
      </c>
      <c r="AZ170" s="7">
        <v>3.5</v>
      </c>
      <c r="BA170" s="7">
        <v>4</v>
      </c>
      <c r="BB170" t="s">
        <v>230</v>
      </c>
      <c r="BC170" s="7">
        <v>350</v>
      </c>
      <c r="BD170" t="s">
        <v>563</v>
      </c>
      <c r="BH170" s="5" t="str">
        <f t="shared" si="5"/>
        <v/>
      </c>
      <c r="BI170" s="5" t="str">
        <f t="shared" si="6"/>
        <v/>
      </c>
    </row>
    <row r="171" spans="2:61" x14ac:dyDescent="0.35">
      <c r="B171" t="s">
        <v>2314</v>
      </c>
      <c r="C171" s="7">
        <v>1970</v>
      </c>
      <c r="D171" t="s">
        <v>1556</v>
      </c>
      <c r="E171" t="s">
        <v>2260</v>
      </c>
      <c r="F171" t="s">
        <v>1557</v>
      </c>
      <c r="G171" t="s">
        <v>2307</v>
      </c>
      <c r="H171" s="7">
        <v>3.86</v>
      </c>
      <c r="I171" s="7">
        <v>3.5</v>
      </c>
      <c r="J171" s="7">
        <v>4</v>
      </c>
      <c r="K171" s="7">
        <v>4</v>
      </c>
      <c r="L171" s="7">
        <v>4</v>
      </c>
      <c r="M171" s="7">
        <v>3.5</v>
      </c>
      <c r="N171" s="7">
        <v>4</v>
      </c>
      <c r="O171" s="7">
        <v>4</v>
      </c>
      <c r="P171" t="s">
        <v>280</v>
      </c>
      <c r="Q171" s="7">
        <v>79</v>
      </c>
      <c r="R171" t="s">
        <v>2376</v>
      </c>
      <c r="U171" t="s">
        <v>2441</v>
      </c>
      <c r="V171" s="7">
        <v>2001</v>
      </c>
      <c r="W171" t="s">
        <v>1554</v>
      </c>
      <c r="X171" t="s">
        <v>702</v>
      </c>
      <c r="Y171" t="s">
        <v>1557</v>
      </c>
      <c r="Z171" t="s">
        <v>724</v>
      </c>
      <c r="AA171" s="7">
        <v>3.36</v>
      </c>
      <c r="AB171" s="7">
        <v>3.5</v>
      </c>
      <c r="AC171" s="7">
        <v>3</v>
      </c>
      <c r="AD171" s="7">
        <v>3.5</v>
      </c>
      <c r="AE171" s="7">
        <v>3.5</v>
      </c>
      <c r="AF171" s="7">
        <v>3.5</v>
      </c>
      <c r="AG171" s="7">
        <v>2.5</v>
      </c>
      <c r="AH171" s="7">
        <v>4</v>
      </c>
      <c r="AI171" t="s">
        <v>2442</v>
      </c>
      <c r="AJ171" s="7">
        <v>105</v>
      </c>
      <c r="AK171" t="s">
        <v>2478</v>
      </c>
      <c r="AN171" t="s">
        <v>1401</v>
      </c>
      <c r="AO171" s="7">
        <v>2011</v>
      </c>
      <c r="AP171" t="s">
        <v>1554</v>
      </c>
      <c r="AQ171" t="s">
        <v>689</v>
      </c>
      <c r="AR171" t="s">
        <v>1559</v>
      </c>
      <c r="AS171" t="s">
        <v>777</v>
      </c>
      <c r="AT171" s="7">
        <v>4.29</v>
      </c>
      <c r="AU171" s="7">
        <v>4</v>
      </c>
      <c r="AV171" s="7">
        <v>4.5</v>
      </c>
      <c r="AW171" s="7">
        <v>4.5</v>
      </c>
      <c r="AX171" s="7">
        <v>3.5</v>
      </c>
      <c r="AY171" s="7">
        <v>4.5</v>
      </c>
      <c r="AZ171" s="7">
        <v>4</v>
      </c>
      <c r="BA171" s="7">
        <v>5</v>
      </c>
      <c r="BB171" t="s">
        <v>191</v>
      </c>
      <c r="BC171" s="7">
        <v>300</v>
      </c>
      <c r="BD171" t="s">
        <v>1514</v>
      </c>
      <c r="BH171" s="5" t="str">
        <f t="shared" si="5"/>
        <v/>
      </c>
      <c r="BI171" s="5" t="str">
        <f t="shared" si="6"/>
        <v/>
      </c>
    </row>
    <row r="172" spans="2:61" x14ac:dyDescent="0.35">
      <c r="B172" t="s">
        <v>1364</v>
      </c>
      <c r="C172" s="7">
        <v>1969</v>
      </c>
      <c r="D172" t="s">
        <v>1556</v>
      </c>
      <c r="E172" t="s">
        <v>1421</v>
      </c>
      <c r="F172" t="s">
        <v>1557</v>
      </c>
      <c r="G172" t="s">
        <v>1434</v>
      </c>
      <c r="H172" s="7">
        <v>3.29</v>
      </c>
      <c r="I172" s="7">
        <v>2.5</v>
      </c>
      <c r="J172" s="7">
        <v>2.5</v>
      </c>
      <c r="K172" s="7">
        <v>3.5</v>
      </c>
      <c r="L172" s="7">
        <v>3.5</v>
      </c>
      <c r="M172" s="7">
        <v>3</v>
      </c>
      <c r="N172" s="7">
        <v>3</v>
      </c>
      <c r="O172" s="7">
        <v>5</v>
      </c>
      <c r="P172" t="s">
        <v>1329</v>
      </c>
      <c r="Q172" s="7">
        <v>86</v>
      </c>
      <c r="R172" t="s">
        <v>1464</v>
      </c>
      <c r="U172" t="s">
        <v>1063</v>
      </c>
      <c r="V172" s="7">
        <v>2001</v>
      </c>
      <c r="W172" t="s">
        <v>1554</v>
      </c>
      <c r="X172" t="s">
        <v>747</v>
      </c>
      <c r="Y172" t="s">
        <v>1557</v>
      </c>
      <c r="Z172" t="s">
        <v>748</v>
      </c>
      <c r="AA172" s="7">
        <v>4</v>
      </c>
      <c r="AB172" s="7">
        <v>4</v>
      </c>
      <c r="AC172" s="7">
        <v>4</v>
      </c>
      <c r="AD172" s="7">
        <v>4</v>
      </c>
      <c r="AE172" s="7">
        <v>3.5</v>
      </c>
      <c r="AF172" s="7">
        <v>3.5</v>
      </c>
      <c r="AG172" s="7">
        <v>4</v>
      </c>
      <c r="AH172" s="7">
        <v>5</v>
      </c>
      <c r="AI172" t="s">
        <v>195</v>
      </c>
      <c r="AJ172" s="7">
        <v>125</v>
      </c>
      <c r="AK172" t="s">
        <v>467</v>
      </c>
      <c r="AN172" t="s">
        <v>1064</v>
      </c>
      <c r="AO172" s="7">
        <v>2011</v>
      </c>
      <c r="AP172" t="s">
        <v>1554</v>
      </c>
      <c r="AQ172" t="s">
        <v>879</v>
      </c>
      <c r="AR172" t="s">
        <v>1559</v>
      </c>
      <c r="AS172" t="s">
        <v>252</v>
      </c>
      <c r="AT172" s="7">
        <v>3.86</v>
      </c>
      <c r="AU172" s="7">
        <v>3</v>
      </c>
      <c r="AV172" s="7">
        <v>3.5</v>
      </c>
      <c r="AW172" s="7">
        <v>4.5</v>
      </c>
      <c r="AX172" s="7">
        <v>5</v>
      </c>
      <c r="AY172" s="7">
        <v>3.5</v>
      </c>
      <c r="AZ172" s="7">
        <v>4</v>
      </c>
      <c r="BA172" s="7">
        <v>3.5</v>
      </c>
      <c r="BB172" t="s">
        <v>253</v>
      </c>
      <c r="BC172" s="7">
        <v>625</v>
      </c>
      <c r="BD172" t="s">
        <v>564</v>
      </c>
      <c r="BH172" s="5" t="str">
        <f t="shared" si="5"/>
        <v/>
      </c>
      <c r="BI172" s="5" t="str">
        <f t="shared" si="6"/>
        <v/>
      </c>
    </row>
    <row r="173" spans="2:61" x14ac:dyDescent="0.35">
      <c r="B173" t="s">
        <v>1180</v>
      </c>
      <c r="C173" s="7">
        <v>1968</v>
      </c>
      <c r="D173" t="s">
        <v>56</v>
      </c>
      <c r="E173" t="s">
        <v>1181</v>
      </c>
      <c r="F173" t="s">
        <v>1557</v>
      </c>
      <c r="G173" t="s">
        <v>1182</v>
      </c>
      <c r="H173" s="38">
        <v>3.79</v>
      </c>
      <c r="I173" s="7">
        <v>2</v>
      </c>
      <c r="J173" s="7">
        <v>4</v>
      </c>
      <c r="K173" s="7">
        <v>4</v>
      </c>
      <c r="L173" s="7">
        <v>4</v>
      </c>
      <c r="M173" s="7">
        <v>3.5</v>
      </c>
      <c r="N173" s="7">
        <v>4</v>
      </c>
      <c r="O173" s="7">
        <v>5</v>
      </c>
      <c r="P173" t="s">
        <v>310</v>
      </c>
      <c r="Q173" s="7">
        <v>87</v>
      </c>
      <c r="R173" t="s">
        <v>398</v>
      </c>
      <c r="U173" t="s">
        <v>730</v>
      </c>
      <c r="V173" s="7">
        <v>2000</v>
      </c>
      <c r="W173" t="s">
        <v>1554</v>
      </c>
      <c r="X173" t="s">
        <v>731</v>
      </c>
      <c r="Y173" t="s">
        <v>1557</v>
      </c>
      <c r="Z173" t="s">
        <v>732</v>
      </c>
      <c r="AA173" s="7">
        <v>2.57</v>
      </c>
      <c r="AB173" s="7">
        <v>3</v>
      </c>
      <c r="AC173" s="7">
        <v>2</v>
      </c>
      <c r="AD173" s="7">
        <v>3</v>
      </c>
      <c r="AE173" s="7">
        <v>2</v>
      </c>
      <c r="AF173" s="7">
        <v>2</v>
      </c>
      <c r="AG173" s="7">
        <v>3</v>
      </c>
      <c r="AH173" s="7">
        <v>3</v>
      </c>
      <c r="AI173" t="s">
        <v>92</v>
      </c>
      <c r="AJ173" s="7">
        <v>45</v>
      </c>
      <c r="AK173" t="s">
        <v>412</v>
      </c>
      <c r="AN173" t="s">
        <v>1067</v>
      </c>
      <c r="AO173" s="7">
        <v>2011</v>
      </c>
      <c r="AP173" t="s">
        <v>1554</v>
      </c>
      <c r="AQ173" t="s">
        <v>694</v>
      </c>
      <c r="AR173" t="s">
        <v>1559</v>
      </c>
      <c r="AS173" t="s">
        <v>255</v>
      </c>
      <c r="AT173" s="7">
        <v>3</v>
      </c>
      <c r="AU173" s="7">
        <v>3</v>
      </c>
      <c r="AV173" s="7">
        <v>3</v>
      </c>
      <c r="AW173" s="7">
        <v>3.5</v>
      </c>
      <c r="AX173" s="7">
        <v>3.5</v>
      </c>
      <c r="AY173" s="7">
        <v>3</v>
      </c>
      <c r="AZ173" s="7">
        <v>3</v>
      </c>
      <c r="BA173" s="7">
        <v>2</v>
      </c>
      <c r="BB173" t="s">
        <v>256</v>
      </c>
      <c r="BC173" s="7">
        <v>540</v>
      </c>
      <c r="BD173" t="s">
        <v>565</v>
      </c>
      <c r="BH173" s="5" t="str">
        <f t="shared" si="5"/>
        <v/>
      </c>
      <c r="BI173" s="5" t="str">
        <f t="shared" si="6"/>
        <v/>
      </c>
    </row>
    <row r="174" spans="2:61" x14ac:dyDescent="0.35">
      <c r="B174" t="s">
        <v>2323</v>
      </c>
      <c r="C174" s="7">
        <v>1967</v>
      </c>
      <c r="D174" t="s">
        <v>1556</v>
      </c>
      <c r="E174" t="s">
        <v>2260</v>
      </c>
      <c r="F174" t="s">
        <v>1557</v>
      </c>
      <c r="G174" t="s">
        <v>2307</v>
      </c>
      <c r="H174" s="7">
        <v>3.79</v>
      </c>
      <c r="I174" s="7">
        <v>4</v>
      </c>
      <c r="J174" s="7">
        <v>4</v>
      </c>
      <c r="K174" s="7">
        <v>4</v>
      </c>
      <c r="L174" s="7">
        <v>4</v>
      </c>
      <c r="M174" s="7">
        <v>4</v>
      </c>
      <c r="N174" s="7">
        <v>3.5</v>
      </c>
      <c r="O174" s="7">
        <v>3</v>
      </c>
      <c r="P174" t="s">
        <v>184</v>
      </c>
      <c r="Q174" s="7">
        <v>78</v>
      </c>
      <c r="R174" t="s">
        <v>2377</v>
      </c>
      <c r="U174" t="s">
        <v>2639</v>
      </c>
      <c r="V174" s="7">
        <v>2000</v>
      </c>
      <c r="W174" t="s">
        <v>1554</v>
      </c>
      <c r="X174" t="s">
        <v>681</v>
      </c>
      <c r="Y174" t="s">
        <v>1557</v>
      </c>
      <c r="Z174" t="s">
        <v>2624</v>
      </c>
      <c r="AA174" s="7">
        <v>3.43</v>
      </c>
      <c r="AB174" s="7">
        <v>3</v>
      </c>
      <c r="AC174" s="7">
        <v>3</v>
      </c>
      <c r="AD174" s="7">
        <v>4</v>
      </c>
      <c r="AE174" s="7">
        <v>3.5</v>
      </c>
      <c r="AF174" s="7">
        <v>2</v>
      </c>
      <c r="AG174" s="7">
        <v>4</v>
      </c>
      <c r="AH174" s="7">
        <v>4.5</v>
      </c>
      <c r="AI174" t="s">
        <v>2625</v>
      </c>
      <c r="AJ174" s="7">
        <v>88</v>
      </c>
      <c r="AK174" t="s">
        <v>2668</v>
      </c>
      <c r="AN174" t="s">
        <v>1090</v>
      </c>
      <c r="AO174" s="7">
        <v>2011</v>
      </c>
      <c r="AP174" t="s">
        <v>1554</v>
      </c>
      <c r="AQ174" t="s">
        <v>1091</v>
      </c>
      <c r="AR174" t="s">
        <v>1559</v>
      </c>
      <c r="AS174" t="s">
        <v>1092</v>
      </c>
      <c r="AT174" s="7">
        <v>3.64</v>
      </c>
      <c r="AU174" s="7">
        <v>3</v>
      </c>
      <c r="AV174" s="7">
        <v>3</v>
      </c>
      <c r="AW174" s="7">
        <v>3.5</v>
      </c>
      <c r="AX174" s="7">
        <v>4</v>
      </c>
      <c r="AY174" s="7">
        <v>3.5</v>
      </c>
      <c r="AZ174" s="7">
        <v>4.5</v>
      </c>
      <c r="BA174" s="7">
        <v>4</v>
      </c>
      <c r="BB174" t="s">
        <v>347</v>
      </c>
      <c r="BC174" s="7">
        <v>680</v>
      </c>
      <c r="BD174" t="s">
        <v>566</v>
      </c>
      <c r="BH174" s="5" t="str">
        <f t="shared" si="5"/>
        <v/>
      </c>
      <c r="BI174" s="5" t="str">
        <f t="shared" si="6"/>
        <v/>
      </c>
    </row>
    <row r="175" spans="2:61" x14ac:dyDescent="0.35">
      <c r="B175" t="s">
        <v>2335</v>
      </c>
      <c r="C175" s="7">
        <v>1963</v>
      </c>
      <c r="D175" t="s">
        <v>1556</v>
      </c>
      <c r="E175" t="s">
        <v>2260</v>
      </c>
      <c r="F175" t="s">
        <v>1557</v>
      </c>
      <c r="G175" t="s">
        <v>2307</v>
      </c>
      <c r="H175" s="7">
        <v>3.43</v>
      </c>
      <c r="I175" s="7">
        <v>3.5</v>
      </c>
      <c r="J175" s="7">
        <v>3.5</v>
      </c>
      <c r="K175" s="7">
        <v>4.5</v>
      </c>
      <c r="L175" s="7">
        <v>3.5</v>
      </c>
      <c r="M175" s="7">
        <v>2</v>
      </c>
      <c r="N175" s="7">
        <v>4</v>
      </c>
      <c r="O175" s="7">
        <v>3</v>
      </c>
      <c r="P175" t="s">
        <v>2244</v>
      </c>
      <c r="Q175" s="7">
        <v>74</v>
      </c>
      <c r="R175" t="s">
        <v>2378</v>
      </c>
      <c r="U175" t="s">
        <v>2289</v>
      </c>
      <c r="V175" s="7">
        <v>2000</v>
      </c>
      <c r="W175" t="s">
        <v>1554</v>
      </c>
      <c r="X175" t="s">
        <v>915</v>
      </c>
      <c r="Y175" t="s">
        <v>1557</v>
      </c>
      <c r="Z175" t="s">
        <v>2290</v>
      </c>
      <c r="AA175" s="7">
        <v>3.21</v>
      </c>
      <c r="AB175" s="7">
        <v>3</v>
      </c>
      <c r="AC175" s="7">
        <v>3</v>
      </c>
      <c r="AD175" s="7">
        <v>3</v>
      </c>
      <c r="AE175" s="7">
        <v>3</v>
      </c>
      <c r="AF175" s="7">
        <v>3.5</v>
      </c>
      <c r="AG175" s="7">
        <v>3.5</v>
      </c>
      <c r="AH175" s="7">
        <v>3.5</v>
      </c>
      <c r="AI175" t="s">
        <v>2225</v>
      </c>
      <c r="AJ175" s="7">
        <v>90</v>
      </c>
      <c r="AK175" t="s">
        <v>2397</v>
      </c>
      <c r="AN175" t="s">
        <v>1111</v>
      </c>
      <c r="AO175" s="7">
        <v>2011</v>
      </c>
      <c r="AP175" t="s">
        <v>1554</v>
      </c>
      <c r="AQ175" t="s">
        <v>965</v>
      </c>
      <c r="AR175" t="s">
        <v>1559</v>
      </c>
      <c r="AS175" t="s">
        <v>1021</v>
      </c>
      <c r="AT175" s="7">
        <v>3.71</v>
      </c>
      <c r="AU175" s="7">
        <v>3.5</v>
      </c>
      <c r="AV175" s="7">
        <v>4</v>
      </c>
      <c r="AW175" s="7">
        <v>3.5</v>
      </c>
      <c r="AX175" s="7">
        <v>3.5</v>
      </c>
      <c r="AY175" s="7">
        <v>4</v>
      </c>
      <c r="AZ175" s="7">
        <v>3.5</v>
      </c>
      <c r="BA175" s="7">
        <v>4</v>
      </c>
      <c r="BB175" t="s">
        <v>256</v>
      </c>
      <c r="BC175" s="7">
        <v>325</v>
      </c>
      <c r="BD175" t="s">
        <v>567</v>
      </c>
      <c r="BH175" s="5" t="str">
        <f t="shared" si="5"/>
        <v/>
      </c>
      <c r="BI175" s="5" t="str">
        <f t="shared" si="6"/>
        <v/>
      </c>
    </row>
    <row r="176" spans="2:61" x14ac:dyDescent="0.35">
      <c r="B176" t="s">
        <v>2259</v>
      </c>
      <c r="C176" s="7">
        <v>1961</v>
      </c>
      <c r="D176" t="s">
        <v>1556</v>
      </c>
      <c r="E176" t="s">
        <v>2260</v>
      </c>
      <c r="F176" t="s">
        <v>1557</v>
      </c>
      <c r="G176" t="s">
        <v>2200</v>
      </c>
      <c r="H176" s="7">
        <v>4.07</v>
      </c>
      <c r="I176" s="7">
        <v>3.5</v>
      </c>
      <c r="J176" s="7">
        <v>3.5</v>
      </c>
      <c r="K176" s="7">
        <v>4</v>
      </c>
      <c r="L176" s="7">
        <v>4.5</v>
      </c>
      <c r="M176" s="7">
        <v>4</v>
      </c>
      <c r="N176" s="7">
        <v>4.5</v>
      </c>
      <c r="O176" s="7">
        <v>4.5</v>
      </c>
      <c r="P176" t="s">
        <v>2201</v>
      </c>
      <c r="Q176" s="7">
        <v>79</v>
      </c>
      <c r="R176" t="s">
        <v>2379</v>
      </c>
      <c r="U176" t="s">
        <v>1158</v>
      </c>
      <c r="V176" s="7">
        <v>2000</v>
      </c>
      <c r="W176" t="s">
        <v>1554</v>
      </c>
      <c r="X176" t="s">
        <v>694</v>
      </c>
      <c r="Y176" t="s">
        <v>1557</v>
      </c>
      <c r="Z176" t="s">
        <v>979</v>
      </c>
      <c r="AA176" s="7">
        <v>3.14</v>
      </c>
      <c r="AB176" s="7">
        <v>3.5</v>
      </c>
      <c r="AC176" s="7">
        <v>3.5</v>
      </c>
      <c r="AD176" s="7">
        <v>3</v>
      </c>
      <c r="AE176" s="7">
        <v>2</v>
      </c>
      <c r="AF176" s="7">
        <v>3.5</v>
      </c>
      <c r="AG176" s="7">
        <v>3</v>
      </c>
      <c r="AH176" s="7">
        <v>3.5</v>
      </c>
      <c r="AI176" t="s">
        <v>352</v>
      </c>
      <c r="AJ176" s="7">
        <v>105</v>
      </c>
      <c r="AK176" t="s">
        <v>497</v>
      </c>
      <c r="AN176" t="s">
        <v>1133</v>
      </c>
      <c r="AO176" s="7">
        <v>2011</v>
      </c>
      <c r="AP176" t="s">
        <v>1554</v>
      </c>
      <c r="AQ176" t="s">
        <v>652</v>
      </c>
      <c r="AR176" t="s">
        <v>1560</v>
      </c>
      <c r="AS176" t="s">
        <v>1134</v>
      </c>
      <c r="AT176" s="7">
        <v>1.86</v>
      </c>
      <c r="AU176" s="7">
        <v>1</v>
      </c>
      <c r="AV176" s="7">
        <v>2.5</v>
      </c>
      <c r="AW176" s="7">
        <v>1</v>
      </c>
      <c r="AX176" s="7">
        <v>2</v>
      </c>
      <c r="AY176" s="7">
        <v>2.5</v>
      </c>
      <c r="AZ176" s="7">
        <v>2</v>
      </c>
      <c r="BA176" s="7">
        <v>2</v>
      </c>
      <c r="BB176" t="s">
        <v>292</v>
      </c>
      <c r="BC176" s="7">
        <v>28</v>
      </c>
      <c r="BD176" s="36" t="s">
        <v>568</v>
      </c>
      <c r="BH176" s="5" t="str">
        <f t="shared" si="5"/>
        <v/>
      </c>
      <c r="BI176" s="5" t="str">
        <f t="shared" si="6"/>
        <v/>
      </c>
    </row>
    <row r="177" spans="2:61" x14ac:dyDescent="0.35">
      <c r="B177" t="s">
        <v>2309</v>
      </c>
      <c r="C177" s="7">
        <v>1959</v>
      </c>
      <c r="D177" t="s">
        <v>1556</v>
      </c>
      <c r="E177" t="s">
        <v>2260</v>
      </c>
      <c r="F177" t="s">
        <v>1557</v>
      </c>
      <c r="G177" t="s">
        <v>2310</v>
      </c>
      <c r="H177" s="7">
        <v>3.93</v>
      </c>
      <c r="I177" s="7">
        <v>4</v>
      </c>
      <c r="J177" s="7">
        <v>4.5</v>
      </c>
      <c r="K177" s="7">
        <v>4</v>
      </c>
      <c r="L177" s="7">
        <v>4.5</v>
      </c>
      <c r="M177" s="7">
        <v>3.5</v>
      </c>
      <c r="N177" s="7">
        <v>3.5</v>
      </c>
      <c r="O177" s="7">
        <v>3.5</v>
      </c>
      <c r="P177" t="s">
        <v>2237</v>
      </c>
      <c r="Q177" s="7">
        <v>75</v>
      </c>
      <c r="R177" t="s">
        <v>2380</v>
      </c>
      <c r="U177" t="s">
        <v>1385</v>
      </c>
      <c r="V177" s="7">
        <v>1999</v>
      </c>
      <c r="W177" t="s">
        <v>1554</v>
      </c>
      <c r="X177" t="s">
        <v>731</v>
      </c>
      <c r="Y177" t="s">
        <v>1557</v>
      </c>
      <c r="Z177" t="s">
        <v>1445</v>
      </c>
      <c r="AA177" s="7">
        <v>3.64</v>
      </c>
      <c r="AB177" s="7">
        <v>4</v>
      </c>
      <c r="AC177" s="7">
        <v>4</v>
      </c>
      <c r="AD177" s="7">
        <v>4</v>
      </c>
      <c r="AE177" s="7">
        <v>3.5</v>
      </c>
      <c r="AF177" s="7">
        <v>4</v>
      </c>
      <c r="AG177" s="7">
        <v>2.5</v>
      </c>
      <c r="AH177" s="7">
        <v>4</v>
      </c>
      <c r="AI177" t="s">
        <v>137</v>
      </c>
      <c r="AJ177" s="7">
        <v>102</v>
      </c>
      <c r="AK177" t="s">
        <v>1480</v>
      </c>
      <c r="AN177" t="s">
        <v>673</v>
      </c>
      <c r="AO177" s="7">
        <v>2010</v>
      </c>
      <c r="AP177" t="s">
        <v>1554</v>
      </c>
      <c r="AQ177" t="s">
        <v>674</v>
      </c>
      <c r="AR177" t="s">
        <v>1559</v>
      </c>
      <c r="AS177" t="s">
        <v>675</v>
      </c>
      <c r="AT177" s="7">
        <v>3.43</v>
      </c>
      <c r="AU177" s="7">
        <v>3.5</v>
      </c>
      <c r="AV177" s="7">
        <v>3.5</v>
      </c>
      <c r="AW177" s="7">
        <v>3.5</v>
      </c>
      <c r="AX177" s="7">
        <v>3</v>
      </c>
      <c r="AY177" s="7">
        <v>3</v>
      </c>
      <c r="AZ177" s="7">
        <v>3.5</v>
      </c>
      <c r="BA177" s="7">
        <v>4</v>
      </c>
      <c r="BB177" t="s">
        <v>66</v>
      </c>
      <c r="BC177" s="7">
        <v>325</v>
      </c>
      <c r="BD177" t="s">
        <v>569</v>
      </c>
      <c r="BH177" s="5" t="str">
        <f t="shared" si="5"/>
        <v/>
      </c>
      <c r="BI177" s="5" t="str">
        <f t="shared" si="6"/>
        <v/>
      </c>
    </row>
    <row r="178" spans="2:61" x14ac:dyDescent="0.35">
      <c r="B178" t="s">
        <v>2285</v>
      </c>
      <c r="C178" s="7">
        <v>1955</v>
      </c>
      <c r="D178" t="s">
        <v>1556</v>
      </c>
      <c r="E178" t="s">
        <v>2260</v>
      </c>
      <c r="F178" t="s">
        <v>1557</v>
      </c>
      <c r="G178" t="s">
        <v>2203</v>
      </c>
      <c r="H178" s="7">
        <v>3.43</v>
      </c>
      <c r="I178" s="7">
        <v>3.5</v>
      </c>
      <c r="J178" s="7">
        <v>4.5</v>
      </c>
      <c r="K178" s="7">
        <v>3.5</v>
      </c>
      <c r="L178" s="7">
        <v>4</v>
      </c>
      <c r="M178" s="7">
        <v>3</v>
      </c>
      <c r="N178" s="7">
        <v>2.5</v>
      </c>
      <c r="O178" s="7">
        <v>3</v>
      </c>
      <c r="P178" t="s">
        <v>2221</v>
      </c>
      <c r="Q178" s="7">
        <v>76</v>
      </c>
      <c r="R178" t="s">
        <v>2381</v>
      </c>
      <c r="U178" t="s">
        <v>963</v>
      </c>
      <c r="V178" s="7">
        <v>1999</v>
      </c>
      <c r="W178" t="s">
        <v>1554</v>
      </c>
      <c r="X178" t="s">
        <v>747</v>
      </c>
      <c r="Y178" t="s">
        <v>1557</v>
      </c>
      <c r="Z178" t="s">
        <v>843</v>
      </c>
      <c r="AA178" s="7">
        <v>3.21</v>
      </c>
      <c r="AB178" s="7">
        <v>3.5</v>
      </c>
      <c r="AC178" s="7">
        <v>3.5</v>
      </c>
      <c r="AD178" s="7">
        <v>3.5</v>
      </c>
      <c r="AE178" s="7">
        <v>3</v>
      </c>
      <c r="AF178" s="7">
        <v>1.5</v>
      </c>
      <c r="AG178" s="7">
        <v>3.5</v>
      </c>
      <c r="AH178" s="7">
        <v>4</v>
      </c>
      <c r="AI178" t="s">
        <v>205</v>
      </c>
      <c r="AJ178" s="7">
        <v>104</v>
      </c>
      <c r="AK178" t="s">
        <v>448</v>
      </c>
      <c r="AN178" t="s">
        <v>1564</v>
      </c>
      <c r="AO178" s="7">
        <v>2010</v>
      </c>
      <c r="AP178" t="s">
        <v>1554</v>
      </c>
      <c r="AQ178" t="s">
        <v>798</v>
      </c>
      <c r="AR178" t="s">
        <v>1559</v>
      </c>
      <c r="AS178" t="s">
        <v>799</v>
      </c>
      <c r="AT178" s="7">
        <v>3.14</v>
      </c>
      <c r="AU178" s="7">
        <v>2.5</v>
      </c>
      <c r="AV178" s="7">
        <v>2.5</v>
      </c>
      <c r="AW178" s="7">
        <v>3.5</v>
      </c>
      <c r="AX178" s="7">
        <v>3.5</v>
      </c>
      <c r="AY178" s="7">
        <v>2.5</v>
      </c>
      <c r="AZ178" s="7">
        <v>4</v>
      </c>
      <c r="BA178" s="7">
        <v>3.5</v>
      </c>
      <c r="BB178" t="s">
        <v>161</v>
      </c>
      <c r="BC178" s="7">
        <v>742</v>
      </c>
      <c r="BD178" t="s">
        <v>1652</v>
      </c>
      <c r="BH178" s="5" t="str">
        <f t="shared" si="5"/>
        <v/>
      </c>
      <c r="BI178" s="5" t="str">
        <f t="shared" si="6"/>
        <v/>
      </c>
    </row>
    <row r="179" spans="2:61" x14ac:dyDescent="0.35">
      <c r="B179" t="s">
        <v>2300</v>
      </c>
      <c r="C179" s="7">
        <v>1953</v>
      </c>
      <c r="D179" t="s">
        <v>1556</v>
      </c>
      <c r="E179" t="s">
        <v>2260</v>
      </c>
      <c r="F179" t="s">
        <v>1557</v>
      </c>
      <c r="G179" t="s">
        <v>2203</v>
      </c>
      <c r="H179" s="7">
        <v>4</v>
      </c>
      <c r="I179" s="7">
        <v>3.5</v>
      </c>
      <c r="J179" s="7">
        <v>3.5</v>
      </c>
      <c r="K179" s="7">
        <v>4</v>
      </c>
      <c r="L179" s="7">
        <v>4</v>
      </c>
      <c r="M179" s="7">
        <v>4</v>
      </c>
      <c r="N179" s="7">
        <v>4.5</v>
      </c>
      <c r="O179" s="7">
        <v>4.5</v>
      </c>
      <c r="P179" t="s">
        <v>97</v>
      </c>
      <c r="Q179" s="7">
        <v>77</v>
      </c>
      <c r="R179" t="s">
        <v>2382</v>
      </c>
      <c r="U179" t="s">
        <v>1741</v>
      </c>
      <c r="V179" s="7">
        <v>1998</v>
      </c>
      <c r="W179" t="s">
        <v>1554</v>
      </c>
      <c r="X179" t="s">
        <v>1742</v>
      </c>
      <c r="Y179" t="s">
        <v>1557</v>
      </c>
      <c r="Z179" t="s">
        <v>1743</v>
      </c>
      <c r="AA179" s="7">
        <v>3.43</v>
      </c>
      <c r="AB179" s="7">
        <v>2.5</v>
      </c>
      <c r="AC179" s="7">
        <v>3</v>
      </c>
      <c r="AD179" s="7">
        <v>3.5</v>
      </c>
      <c r="AE179" s="7">
        <v>3.5</v>
      </c>
      <c r="AF179" s="7">
        <v>3.5</v>
      </c>
      <c r="AG179" s="7">
        <v>4</v>
      </c>
      <c r="AH179" s="7">
        <v>4</v>
      </c>
      <c r="AI179" t="s">
        <v>1673</v>
      </c>
      <c r="AJ179" s="7">
        <v>75</v>
      </c>
      <c r="AK179" t="s">
        <v>1692</v>
      </c>
      <c r="AN179" t="s">
        <v>721</v>
      </c>
      <c r="AO179" s="7">
        <v>2010</v>
      </c>
      <c r="AP179" t="s">
        <v>1554</v>
      </c>
      <c r="AQ179" t="s">
        <v>715</v>
      </c>
      <c r="AR179" t="s">
        <v>1559</v>
      </c>
      <c r="AS179" t="s">
        <v>722</v>
      </c>
      <c r="AT179" s="7">
        <v>3.07</v>
      </c>
      <c r="AU179" s="7">
        <v>2.5</v>
      </c>
      <c r="AV179" s="7">
        <v>3</v>
      </c>
      <c r="AW179" s="7">
        <v>3.5</v>
      </c>
      <c r="AX179" s="7">
        <v>3.5</v>
      </c>
      <c r="AY179" s="7">
        <v>2.5</v>
      </c>
      <c r="AZ179" s="7">
        <v>3.5</v>
      </c>
      <c r="BA179" s="7">
        <v>3</v>
      </c>
      <c r="BB179" t="s">
        <v>86</v>
      </c>
      <c r="BC179" s="7">
        <v>450</v>
      </c>
      <c r="BD179" t="s">
        <v>570</v>
      </c>
      <c r="BH179" s="5" t="str">
        <f t="shared" si="5"/>
        <v/>
      </c>
      <c r="BI179" s="5" t="str">
        <f t="shared" si="6"/>
        <v/>
      </c>
    </row>
    <row r="180" spans="2:61" x14ac:dyDescent="0.35">
      <c r="B180" t="s">
        <v>2262</v>
      </c>
      <c r="C180" s="7">
        <v>1951</v>
      </c>
      <c r="D180" t="s">
        <v>1556</v>
      </c>
      <c r="E180" t="s">
        <v>2260</v>
      </c>
      <c r="F180" t="s">
        <v>2263</v>
      </c>
      <c r="G180" t="s">
        <v>2203</v>
      </c>
      <c r="H180" s="7">
        <v>3.36</v>
      </c>
      <c r="I180" s="7">
        <v>3.5</v>
      </c>
      <c r="J180" s="7">
        <v>4</v>
      </c>
      <c r="K180" s="7">
        <v>4</v>
      </c>
      <c r="L180" s="7">
        <v>4</v>
      </c>
      <c r="M180" s="7">
        <v>2</v>
      </c>
      <c r="N180" s="7">
        <v>3</v>
      </c>
      <c r="O180" s="7">
        <v>3</v>
      </c>
      <c r="P180" t="s">
        <v>2204</v>
      </c>
      <c r="Q180" s="7">
        <v>75</v>
      </c>
      <c r="R180" t="s">
        <v>2383</v>
      </c>
      <c r="U180" t="s">
        <v>1592</v>
      </c>
      <c r="V180" s="7">
        <v>1997</v>
      </c>
      <c r="W180" t="s">
        <v>1554</v>
      </c>
      <c r="X180" t="s">
        <v>915</v>
      </c>
      <c r="Y180" t="s">
        <v>1557</v>
      </c>
      <c r="Z180" t="s">
        <v>1538</v>
      </c>
      <c r="AA180" s="7">
        <v>3.14</v>
      </c>
      <c r="AB180" s="7">
        <v>3</v>
      </c>
      <c r="AC180" s="7">
        <v>2.5</v>
      </c>
      <c r="AD180" s="7">
        <v>3.5</v>
      </c>
      <c r="AE180" s="7">
        <v>3.5</v>
      </c>
      <c r="AF180" s="7">
        <v>3</v>
      </c>
      <c r="AG180" s="7">
        <v>3.5</v>
      </c>
      <c r="AH180" s="7">
        <v>3</v>
      </c>
      <c r="AI180" t="s">
        <v>1539</v>
      </c>
      <c r="AJ180" s="7">
        <v>93</v>
      </c>
      <c r="AK180" t="s">
        <v>1641</v>
      </c>
      <c r="AN180" t="s">
        <v>725</v>
      </c>
      <c r="AO180" s="7">
        <v>2010</v>
      </c>
      <c r="AP180" t="s">
        <v>1554</v>
      </c>
      <c r="AQ180" t="s">
        <v>694</v>
      </c>
      <c r="AR180" t="s">
        <v>1560</v>
      </c>
      <c r="AS180" t="s">
        <v>724</v>
      </c>
      <c r="AT180" s="7">
        <v>3.57</v>
      </c>
      <c r="AU180" s="7">
        <v>3</v>
      </c>
      <c r="AV180" s="7">
        <v>3</v>
      </c>
      <c r="AW180" s="7">
        <v>4.5</v>
      </c>
      <c r="AX180" s="7">
        <v>4.5</v>
      </c>
      <c r="AY180" s="7">
        <v>2.5</v>
      </c>
      <c r="AZ180" s="7">
        <v>3.5</v>
      </c>
      <c r="BA180" s="7">
        <v>4</v>
      </c>
      <c r="BB180" t="s">
        <v>87</v>
      </c>
      <c r="BC180" s="7">
        <v>175</v>
      </c>
      <c r="BD180" t="s">
        <v>571</v>
      </c>
      <c r="BH180" s="5" t="str">
        <f t="shared" si="5"/>
        <v/>
      </c>
      <c r="BI180" s="5" t="str">
        <f t="shared" si="6"/>
        <v/>
      </c>
    </row>
    <row r="181" spans="2:61" x14ac:dyDescent="0.35">
      <c r="B181" t="s">
        <v>2272</v>
      </c>
      <c r="C181" s="7">
        <v>1950</v>
      </c>
      <c r="D181" t="s">
        <v>1556</v>
      </c>
      <c r="E181" t="s">
        <v>2260</v>
      </c>
      <c r="F181" t="s">
        <v>1557</v>
      </c>
      <c r="G181" t="s">
        <v>2211</v>
      </c>
      <c r="H181" s="7">
        <v>3.64</v>
      </c>
      <c r="I181" s="7">
        <v>3.5</v>
      </c>
      <c r="J181" s="7">
        <v>4</v>
      </c>
      <c r="K181" s="7">
        <v>3.5</v>
      </c>
      <c r="L181" s="7">
        <v>4</v>
      </c>
      <c r="M181" s="7">
        <v>3.5</v>
      </c>
      <c r="N181" s="7">
        <v>3.5</v>
      </c>
      <c r="O181" s="7">
        <v>3.5</v>
      </c>
      <c r="P181" t="s">
        <v>1762</v>
      </c>
      <c r="Q181" s="7">
        <v>74</v>
      </c>
      <c r="R181" t="s">
        <v>2384</v>
      </c>
      <c r="U181" t="s">
        <v>1270</v>
      </c>
      <c r="V181" s="7">
        <v>1997</v>
      </c>
      <c r="W181" t="s">
        <v>1554</v>
      </c>
      <c r="X181" t="s">
        <v>1204</v>
      </c>
      <c r="Y181" t="s">
        <v>1557</v>
      </c>
      <c r="Z181" t="s">
        <v>1205</v>
      </c>
      <c r="AA181" s="7">
        <v>2.79</v>
      </c>
      <c r="AB181" s="7">
        <v>3</v>
      </c>
      <c r="AC181" s="7">
        <v>3</v>
      </c>
      <c r="AD181" s="7">
        <v>3</v>
      </c>
      <c r="AE181" s="7">
        <v>2</v>
      </c>
      <c r="AF181" s="7">
        <v>2.5</v>
      </c>
      <c r="AG181" s="7">
        <v>3</v>
      </c>
      <c r="AH181" s="7">
        <v>3</v>
      </c>
      <c r="AI181" t="s">
        <v>1206</v>
      </c>
      <c r="AJ181" s="7">
        <v>110</v>
      </c>
      <c r="AK181" t="s">
        <v>1247</v>
      </c>
      <c r="AN181" t="s">
        <v>749</v>
      </c>
      <c r="AO181" s="7">
        <v>2010</v>
      </c>
      <c r="AP181" t="s">
        <v>1554</v>
      </c>
      <c r="AQ181" t="s">
        <v>750</v>
      </c>
      <c r="AR181" t="s">
        <v>1559</v>
      </c>
      <c r="AS181" t="s">
        <v>751</v>
      </c>
      <c r="AT181" s="7">
        <v>3.43</v>
      </c>
      <c r="AU181" s="7">
        <v>3</v>
      </c>
      <c r="AV181" s="7">
        <v>3.5</v>
      </c>
      <c r="AW181" s="7">
        <v>3.5</v>
      </c>
      <c r="AX181" s="7">
        <v>3.5</v>
      </c>
      <c r="AY181" s="7">
        <v>2.5</v>
      </c>
      <c r="AZ181" s="7">
        <v>4</v>
      </c>
      <c r="BA181" s="7">
        <v>4</v>
      </c>
      <c r="BB181" t="s">
        <v>98</v>
      </c>
      <c r="BC181" s="7">
        <v>325</v>
      </c>
      <c r="BD181" t="s">
        <v>572</v>
      </c>
      <c r="BH181" s="5" t="str">
        <f t="shared" si="5"/>
        <v/>
      </c>
      <c r="BI181" s="5" t="str">
        <f t="shared" si="6"/>
        <v/>
      </c>
    </row>
    <row r="182" spans="2:61" x14ac:dyDescent="0.35">
      <c r="B182" t="s">
        <v>2313</v>
      </c>
      <c r="C182" s="7">
        <v>1949</v>
      </c>
      <c r="D182" t="s">
        <v>1556</v>
      </c>
      <c r="E182" t="s">
        <v>2260</v>
      </c>
      <c r="F182" t="s">
        <v>1555</v>
      </c>
      <c r="G182" t="s">
        <v>2240</v>
      </c>
      <c r="H182" s="7">
        <v>3.57</v>
      </c>
      <c r="I182" s="7">
        <v>3.5</v>
      </c>
      <c r="J182" s="7">
        <v>3.5</v>
      </c>
      <c r="K182" s="7">
        <v>3.5</v>
      </c>
      <c r="L182" s="7">
        <v>4</v>
      </c>
      <c r="M182" s="7">
        <v>3.5</v>
      </c>
      <c r="N182" s="7">
        <v>3.5</v>
      </c>
      <c r="O182" s="7">
        <v>3.5</v>
      </c>
      <c r="P182" t="s">
        <v>2241</v>
      </c>
      <c r="Q182" s="7">
        <v>68</v>
      </c>
      <c r="R182" t="s">
        <v>2385</v>
      </c>
      <c r="U182" t="s">
        <v>1271</v>
      </c>
      <c r="V182" s="7">
        <v>1997</v>
      </c>
      <c r="W182" t="s">
        <v>1554</v>
      </c>
      <c r="X182" t="s">
        <v>1290</v>
      </c>
      <c r="Y182" t="s">
        <v>1557</v>
      </c>
      <c r="Z182" t="s">
        <v>1207</v>
      </c>
      <c r="AA182" s="7">
        <v>3.43</v>
      </c>
      <c r="AB182" s="7">
        <v>3</v>
      </c>
      <c r="AC182" s="7">
        <v>3.5</v>
      </c>
      <c r="AD182" s="7">
        <v>3.5</v>
      </c>
      <c r="AE182" s="7">
        <v>2.5</v>
      </c>
      <c r="AF182" s="7">
        <v>3.5</v>
      </c>
      <c r="AG182" s="7">
        <v>3.5</v>
      </c>
      <c r="AH182" s="7">
        <v>4.5</v>
      </c>
      <c r="AI182" t="s">
        <v>1208</v>
      </c>
      <c r="AJ182" s="7">
        <v>85</v>
      </c>
      <c r="AK182" t="s">
        <v>1248</v>
      </c>
      <c r="AN182" t="s">
        <v>776</v>
      </c>
      <c r="AO182" s="7">
        <v>2010</v>
      </c>
      <c r="AP182" t="s">
        <v>1554</v>
      </c>
      <c r="AQ182" t="s">
        <v>689</v>
      </c>
      <c r="AR182" t="s">
        <v>1559</v>
      </c>
      <c r="AS182" t="s">
        <v>777</v>
      </c>
      <c r="AT182" s="7">
        <v>3.14</v>
      </c>
      <c r="AU182" s="7">
        <v>3</v>
      </c>
      <c r="AV182" s="7">
        <v>3.5</v>
      </c>
      <c r="AW182" s="7">
        <v>2</v>
      </c>
      <c r="AX182" s="7">
        <v>3</v>
      </c>
      <c r="AY182" s="7">
        <v>4</v>
      </c>
      <c r="AZ182" s="7">
        <v>3.5</v>
      </c>
      <c r="BA182" s="7">
        <v>3</v>
      </c>
      <c r="BB182" t="s">
        <v>113</v>
      </c>
      <c r="BC182" s="7">
        <v>300</v>
      </c>
      <c r="BD182" t="s">
        <v>573</v>
      </c>
      <c r="BH182" s="5" t="str">
        <f t="shared" si="5"/>
        <v/>
      </c>
      <c r="BI182" s="5" t="str">
        <f t="shared" si="6"/>
        <v/>
      </c>
    </row>
    <row r="183" spans="2:61" x14ac:dyDescent="0.35">
      <c r="B183" t="s">
        <v>2294</v>
      </c>
      <c r="C183" s="7">
        <v>1948</v>
      </c>
      <c r="D183" t="s">
        <v>1556</v>
      </c>
      <c r="E183" t="s">
        <v>2260</v>
      </c>
      <c r="F183" t="s">
        <v>1555</v>
      </c>
      <c r="G183" t="s">
        <v>2229</v>
      </c>
      <c r="H183" s="7">
        <v>2.79</v>
      </c>
      <c r="I183" s="7">
        <v>3</v>
      </c>
      <c r="J183" s="7">
        <v>3</v>
      </c>
      <c r="K183" s="7">
        <v>3.5</v>
      </c>
      <c r="L183" s="7">
        <v>3</v>
      </c>
      <c r="M183" s="7">
        <v>1.5</v>
      </c>
      <c r="N183" s="7">
        <v>3</v>
      </c>
      <c r="O183" s="7">
        <v>2.5</v>
      </c>
      <c r="P183" t="s">
        <v>71</v>
      </c>
      <c r="Q183" s="7">
        <v>75</v>
      </c>
      <c r="R183" t="s">
        <v>2386</v>
      </c>
      <c r="U183" t="s">
        <v>1003</v>
      </c>
      <c r="V183" s="7">
        <v>1997</v>
      </c>
      <c r="W183" t="s">
        <v>1554</v>
      </c>
      <c r="X183" t="s">
        <v>694</v>
      </c>
      <c r="Y183" t="s">
        <v>1557</v>
      </c>
      <c r="Z183" t="s">
        <v>999</v>
      </c>
      <c r="AA183" s="7">
        <v>3.71</v>
      </c>
      <c r="AB183" s="7">
        <v>3</v>
      </c>
      <c r="AC183" s="7">
        <v>2.5</v>
      </c>
      <c r="AD183" s="7">
        <v>4</v>
      </c>
      <c r="AE183" s="7">
        <v>2.5</v>
      </c>
      <c r="AF183" s="7">
        <v>5</v>
      </c>
      <c r="AG183" s="7">
        <v>4</v>
      </c>
      <c r="AH183" s="7">
        <v>5</v>
      </c>
      <c r="AI183" t="s">
        <v>225</v>
      </c>
      <c r="AJ183" s="7">
        <v>81</v>
      </c>
      <c r="AK183" t="s">
        <v>458</v>
      </c>
      <c r="AN183" t="s">
        <v>862</v>
      </c>
      <c r="AO183" s="7">
        <v>2010</v>
      </c>
      <c r="AP183" t="s">
        <v>1554</v>
      </c>
      <c r="AQ183" t="s">
        <v>694</v>
      </c>
      <c r="AR183" t="s">
        <v>1559</v>
      </c>
      <c r="AS183" t="s">
        <v>783</v>
      </c>
      <c r="AT183" s="7">
        <v>4.07</v>
      </c>
      <c r="AU183" s="7">
        <v>3.5</v>
      </c>
      <c r="AV183" s="7">
        <v>4.5</v>
      </c>
      <c r="AW183" s="7">
        <v>3.5</v>
      </c>
      <c r="AX183" s="7">
        <v>4</v>
      </c>
      <c r="AY183" s="7">
        <v>3</v>
      </c>
      <c r="AZ183" s="7">
        <v>5</v>
      </c>
      <c r="BA183" s="7">
        <v>5</v>
      </c>
      <c r="BB183" t="s">
        <v>162</v>
      </c>
      <c r="BC183" s="7">
        <v>300</v>
      </c>
      <c r="BD183" t="s">
        <v>574</v>
      </c>
      <c r="BH183" s="5" t="str">
        <f t="shared" si="5"/>
        <v/>
      </c>
      <c r="BI183" s="5" t="str">
        <f t="shared" si="6"/>
        <v/>
      </c>
    </row>
    <row r="184" spans="2:61" x14ac:dyDescent="0.35">
      <c r="B184" t="s">
        <v>2282</v>
      </c>
      <c r="C184" s="7">
        <v>1947</v>
      </c>
      <c r="D184" t="s">
        <v>1556</v>
      </c>
      <c r="E184" t="s">
        <v>2260</v>
      </c>
      <c r="F184" t="s">
        <v>1555</v>
      </c>
      <c r="G184" t="s">
        <v>2218</v>
      </c>
      <c r="H184" s="7">
        <v>3.14</v>
      </c>
      <c r="I184" s="7">
        <v>3</v>
      </c>
      <c r="J184" s="7">
        <v>3</v>
      </c>
      <c r="K184" s="7">
        <v>3.5</v>
      </c>
      <c r="L184" s="7">
        <v>4</v>
      </c>
      <c r="M184" s="7">
        <v>2</v>
      </c>
      <c r="N184" s="7">
        <v>4</v>
      </c>
      <c r="O184" s="7">
        <v>2.5</v>
      </c>
      <c r="P184" t="s">
        <v>71</v>
      </c>
      <c r="Q184" s="7">
        <v>73</v>
      </c>
      <c r="R184" t="s">
        <v>2387</v>
      </c>
      <c r="U184" t="s">
        <v>1015</v>
      </c>
      <c r="V184" s="7">
        <v>1997</v>
      </c>
      <c r="W184" t="s">
        <v>1554</v>
      </c>
      <c r="X184" t="s">
        <v>747</v>
      </c>
      <c r="Y184" t="s">
        <v>1557</v>
      </c>
      <c r="Z184" t="s">
        <v>748</v>
      </c>
      <c r="AA184" s="7">
        <v>4.29</v>
      </c>
      <c r="AB184" s="7">
        <v>4</v>
      </c>
      <c r="AC184" s="7">
        <v>4.5</v>
      </c>
      <c r="AD184" s="7">
        <v>3.5</v>
      </c>
      <c r="AE184" s="7">
        <v>4</v>
      </c>
      <c r="AF184" s="7">
        <v>5</v>
      </c>
      <c r="AG184" s="7">
        <v>4</v>
      </c>
      <c r="AH184" s="7">
        <v>5</v>
      </c>
      <c r="AI184" t="s">
        <v>234</v>
      </c>
      <c r="AJ184" s="7">
        <v>134</v>
      </c>
      <c r="AK184" t="s">
        <v>463</v>
      </c>
      <c r="AN184" t="s">
        <v>997</v>
      </c>
      <c r="AO184" s="7">
        <v>2010</v>
      </c>
      <c r="AP184" t="s">
        <v>1554</v>
      </c>
      <c r="AQ184" t="s">
        <v>965</v>
      </c>
      <c r="AR184" t="s">
        <v>1559</v>
      </c>
      <c r="AS184" t="s">
        <v>895</v>
      </c>
      <c r="AT184" s="7">
        <v>3.36</v>
      </c>
      <c r="AU184" s="7">
        <v>3</v>
      </c>
      <c r="AV184" s="7">
        <v>3</v>
      </c>
      <c r="AW184" s="7">
        <v>3.5</v>
      </c>
      <c r="AX184" s="7">
        <v>4.5</v>
      </c>
      <c r="AY184" s="7">
        <v>2.5</v>
      </c>
      <c r="AZ184" s="7">
        <v>3.5</v>
      </c>
      <c r="BA184" s="7">
        <v>3.5</v>
      </c>
      <c r="BB184" t="s">
        <v>220</v>
      </c>
      <c r="BC184" s="7">
        <v>325</v>
      </c>
      <c r="BD184" t="s">
        <v>575</v>
      </c>
      <c r="BH184" s="5" t="str">
        <f t="shared" si="5"/>
        <v/>
      </c>
      <c r="BI184" s="5" t="str">
        <f t="shared" si="6"/>
        <v/>
      </c>
    </row>
    <row r="185" spans="2:61" x14ac:dyDescent="0.35">
      <c r="B185" t="s">
        <v>2293</v>
      </c>
      <c r="C185" s="7">
        <v>1946</v>
      </c>
      <c r="D185" t="s">
        <v>1556</v>
      </c>
      <c r="E185" t="s">
        <v>2260</v>
      </c>
      <c r="F185" t="s">
        <v>1555</v>
      </c>
      <c r="G185" t="s">
        <v>2227</v>
      </c>
      <c r="H185" s="7">
        <v>2.93</v>
      </c>
      <c r="I185" s="7">
        <v>3</v>
      </c>
      <c r="J185" s="7">
        <v>3</v>
      </c>
      <c r="K185" s="7">
        <v>3.5</v>
      </c>
      <c r="L185" s="7">
        <v>3</v>
      </c>
      <c r="M185" s="7">
        <v>2</v>
      </c>
      <c r="N185" s="7">
        <v>3</v>
      </c>
      <c r="O185" s="7">
        <v>3</v>
      </c>
      <c r="P185" t="s">
        <v>2228</v>
      </c>
      <c r="Q185" s="7">
        <v>75</v>
      </c>
      <c r="R185" t="s">
        <v>2388</v>
      </c>
      <c r="U185" t="s">
        <v>2643</v>
      </c>
      <c r="V185" s="7">
        <v>1996</v>
      </c>
      <c r="W185" t="s">
        <v>1554</v>
      </c>
      <c r="X185" t="s">
        <v>915</v>
      </c>
      <c r="Y185" t="s">
        <v>1557</v>
      </c>
      <c r="Z185" t="s">
        <v>2644</v>
      </c>
      <c r="AA185" s="7">
        <v>2.93</v>
      </c>
      <c r="AB185" s="7">
        <v>3</v>
      </c>
      <c r="AC185" s="7">
        <v>3</v>
      </c>
      <c r="AD185" s="7">
        <v>3</v>
      </c>
      <c r="AE185" s="7">
        <v>2.5</v>
      </c>
      <c r="AF185" s="7">
        <v>3</v>
      </c>
      <c r="AG185" s="7">
        <v>3</v>
      </c>
      <c r="AH185" s="7">
        <v>3</v>
      </c>
      <c r="AI185" t="s">
        <v>2627</v>
      </c>
      <c r="AJ185" s="7">
        <v>97</v>
      </c>
      <c r="AK185" t="s">
        <v>2671</v>
      </c>
      <c r="AN185" t="s">
        <v>1823</v>
      </c>
      <c r="AO185" s="7">
        <v>2010</v>
      </c>
      <c r="AP185" t="s">
        <v>1554</v>
      </c>
      <c r="AQ185" t="s">
        <v>1824</v>
      </c>
      <c r="AR185" t="s">
        <v>1559</v>
      </c>
      <c r="AS185" t="s">
        <v>687</v>
      </c>
      <c r="AT185" s="7">
        <v>3.21</v>
      </c>
      <c r="AU185" s="7">
        <v>2.5</v>
      </c>
      <c r="AV185" s="7">
        <v>3</v>
      </c>
      <c r="AW185" s="7">
        <v>3.5</v>
      </c>
      <c r="AX185" s="7">
        <v>3</v>
      </c>
      <c r="AY185" s="7">
        <v>3.5</v>
      </c>
      <c r="AZ185" s="7">
        <v>3.5</v>
      </c>
      <c r="BA185" s="7">
        <v>3.5</v>
      </c>
      <c r="BB185" t="s">
        <v>170</v>
      </c>
      <c r="BC185" s="7">
        <v>275</v>
      </c>
      <c r="BD185" t="s">
        <v>1859</v>
      </c>
      <c r="BH185" s="5" t="str">
        <f t="shared" si="5"/>
        <v/>
      </c>
      <c r="BI185" s="5" t="str">
        <f t="shared" si="6"/>
        <v/>
      </c>
    </row>
    <row r="186" spans="2:61" x14ac:dyDescent="0.35">
      <c r="B186" t="s">
        <v>2336</v>
      </c>
      <c r="C186" s="7">
        <v>1944</v>
      </c>
      <c r="D186" t="s">
        <v>1556</v>
      </c>
      <c r="E186" t="s">
        <v>2260</v>
      </c>
      <c r="F186" t="s">
        <v>1555</v>
      </c>
      <c r="G186" t="s">
        <v>2337</v>
      </c>
      <c r="H186" s="7">
        <v>3.07</v>
      </c>
      <c r="I186" s="7">
        <v>3</v>
      </c>
      <c r="J186" s="7">
        <v>3.5</v>
      </c>
      <c r="K186" s="7">
        <v>3.5</v>
      </c>
      <c r="L186" s="7">
        <v>3</v>
      </c>
      <c r="M186" s="7">
        <v>1.5</v>
      </c>
      <c r="N186" s="7">
        <v>4</v>
      </c>
      <c r="O186" s="7">
        <v>3</v>
      </c>
      <c r="P186" t="s">
        <v>2255</v>
      </c>
      <c r="Q186" s="7">
        <v>71</v>
      </c>
      <c r="R186" t="s">
        <v>2389</v>
      </c>
      <c r="U186" t="s">
        <v>2292</v>
      </c>
      <c r="V186" s="7">
        <v>1996</v>
      </c>
      <c r="W186" t="s">
        <v>1554</v>
      </c>
      <c r="X186" t="s">
        <v>915</v>
      </c>
      <c r="Y186" t="s">
        <v>1557</v>
      </c>
      <c r="Z186" t="s">
        <v>975</v>
      </c>
      <c r="AA186" s="7">
        <v>2.29</v>
      </c>
      <c r="AB186" s="7">
        <v>2</v>
      </c>
      <c r="AC186" s="7">
        <v>2.5</v>
      </c>
      <c r="AD186" s="7">
        <v>2.5</v>
      </c>
      <c r="AE186" s="7">
        <v>2</v>
      </c>
      <c r="AF186" s="7">
        <v>2.5</v>
      </c>
      <c r="AG186" s="7">
        <v>2</v>
      </c>
      <c r="AH186" s="7">
        <v>2.5</v>
      </c>
      <c r="AI186" t="s">
        <v>1342</v>
      </c>
      <c r="AJ186" s="7">
        <v>90</v>
      </c>
      <c r="AK186" t="s">
        <v>2398</v>
      </c>
      <c r="AN186" t="s">
        <v>2701</v>
      </c>
      <c r="AO186" s="7">
        <v>2010</v>
      </c>
      <c r="AP186" t="s">
        <v>1554</v>
      </c>
      <c r="AQ186" t="s">
        <v>882</v>
      </c>
      <c r="AR186" t="s">
        <v>2717</v>
      </c>
      <c r="AS186" t="s">
        <v>2718</v>
      </c>
      <c r="AT186" s="7">
        <v>2.79</v>
      </c>
      <c r="AU186" s="7">
        <v>2.5</v>
      </c>
      <c r="AV186" s="7">
        <v>2.5</v>
      </c>
      <c r="AW186" s="7">
        <v>3.5</v>
      </c>
      <c r="AX186" s="7">
        <v>3.5</v>
      </c>
      <c r="AY186" s="7">
        <v>2</v>
      </c>
      <c r="AZ186" s="7">
        <v>3</v>
      </c>
      <c r="BA186" s="7">
        <v>2.5</v>
      </c>
      <c r="BB186" t="s">
        <v>1218</v>
      </c>
      <c r="BC186" s="7">
        <v>710</v>
      </c>
      <c r="BD186" t="s">
        <v>2734</v>
      </c>
      <c r="BH186" s="5" t="str">
        <f t="shared" si="5"/>
        <v/>
      </c>
      <c r="BI186" s="5" t="str">
        <f t="shared" si="6"/>
        <v/>
      </c>
    </row>
    <row r="187" spans="2:61" x14ac:dyDescent="0.35">
      <c r="B187" t="s">
        <v>2265</v>
      </c>
      <c r="C187" s="7">
        <v>1942</v>
      </c>
      <c r="D187" t="s">
        <v>1556</v>
      </c>
      <c r="E187" t="s">
        <v>2260</v>
      </c>
      <c r="F187" t="s">
        <v>1557</v>
      </c>
      <c r="G187" t="s">
        <v>2266</v>
      </c>
      <c r="H187" s="7">
        <v>4.43</v>
      </c>
      <c r="I187" s="7">
        <v>4</v>
      </c>
      <c r="J187" s="7">
        <v>4</v>
      </c>
      <c r="K187" s="7">
        <v>4.5</v>
      </c>
      <c r="L187" s="7">
        <v>4.5</v>
      </c>
      <c r="M187" s="7">
        <v>5</v>
      </c>
      <c r="N187" s="7">
        <v>4</v>
      </c>
      <c r="O187" s="7">
        <v>5</v>
      </c>
      <c r="P187" t="s">
        <v>202</v>
      </c>
      <c r="Q187" s="7">
        <v>70</v>
      </c>
      <c r="R187" t="s">
        <v>2390</v>
      </c>
      <c r="U187" t="s">
        <v>1628</v>
      </c>
      <c r="V187" s="7">
        <v>1996</v>
      </c>
      <c r="W187" t="s">
        <v>1554</v>
      </c>
      <c r="X187" t="s">
        <v>694</v>
      </c>
      <c r="Y187" t="s">
        <v>1557</v>
      </c>
      <c r="Z187" t="s">
        <v>936</v>
      </c>
      <c r="AA187" s="38">
        <v>2.36</v>
      </c>
      <c r="AB187" s="7">
        <v>3.5</v>
      </c>
      <c r="AC187" s="7">
        <v>3.5</v>
      </c>
      <c r="AD187" s="7">
        <v>2.5</v>
      </c>
      <c r="AE187" s="7">
        <v>1.5</v>
      </c>
      <c r="AF187" s="7">
        <v>1.5</v>
      </c>
      <c r="AG187" s="7">
        <v>2</v>
      </c>
      <c r="AH187" s="7">
        <v>2</v>
      </c>
      <c r="AI187" t="s">
        <v>1553</v>
      </c>
      <c r="AJ187" s="7">
        <v>100</v>
      </c>
      <c r="AK187" t="s">
        <v>1642</v>
      </c>
      <c r="AN187" t="s">
        <v>2040</v>
      </c>
      <c r="AO187" s="7">
        <v>2010</v>
      </c>
      <c r="AP187" t="s">
        <v>1554</v>
      </c>
      <c r="AQ187" t="s">
        <v>2041</v>
      </c>
      <c r="AR187" t="s">
        <v>1559</v>
      </c>
      <c r="AS187" t="s">
        <v>2010</v>
      </c>
      <c r="AT187" s="7">
        <v>3.29</v>
      </c>
      <c r="AU187" s="7">
        <v>3</v>
      </c>
      <c r="AV187" s="7">
        <v>3</v>
      </c>
      <c r="AW187" s="7">
        <v>3.5</v>
      </c>
      <c r="AX187" s="7">
        <v>3.5</v>
      </c>
      <c r="AY187" s="7">
        <v>2.5</v>
      </c>
      <c r="AZ187" s="7">
        <v>4</v>
      </c>
      <c r="BA187" s="7">
        <v>3.5</v>
      </c>
      <c r="BB187" t="s">
        <v>144</v>
      </c>
      <c r="BC187" s="7">
        <v>675</v>
      </c>
      <c r="BD187" t="s">
        <v>2069</v>
      </c>
      <c r="BH187" s="5" t="str">
        <f t="shared" si="5"/>
        <v/>
      </c>
      <c r="BI187" s="5" t="str">
        <f t="shared" si="6"/>
        <v/>
      </c>
    </row>
    <row r="188" spans="2:61" x14ac:dyDescent="0.35">
      <c r="B188" t="s">
        <v>2308</v>
      </c>
      <c r="C188" s="7">
        <v>1942</v>
      </c>
      <c r="D188" t="s">
        <v>1556</v>
      </c>
      <c r="E188" t="s">
        <v>2260</v>
      </c>
      <c r="F188" t="s">
        <v>1555</v>
      </c>
      <c r="G188" t="s">
        <v>2235</v>
      </c>
      <c r="H188" s="7">
        <v>2.79</v>
      </c>
      <c r="I188" s="7">
        <v>3</v>
      </c>
      <c r="J188" s="7">
        <v>3</v>
      </c>
      <c r="K188" s="7">
        <v>3</v>
      </c>
      <c r="L188" s="7">
        <v>3</v>
      </c>
      <c r="M188" s="7">
        <v>1.5</v>
      </c>
      <c r="N188" s="7">
        <v>3.5</v>
      </c>
      <c r="O188" s="7">
        <v>2.5</v>
      </c>
      <c r="P188" t="s">
        <v>2236</v>
      </c>
      <c r="Q188" s="7">
        <v>42</v>
      </c>
      <c r="R188" t="s">
        <v>2391</v>
      </c>
      <c r="U188" t="s">
        <v>835</v>
      </c>
      <c r="V188" s="7">
        <v>1995</v>
      </c>
      <c r="W188" t="s">
        <v>1554</v>
      </c>
      <c r="X188" t="s">
        <v>731</v>
      </c>
      <c r="Y188" t="s">
        <v>1557</v>
      </c>
      <c r="Z188" t="s">
        <v>836</v>
      </c>
      <c r="AA188" s="7">
        <v>3.71</v>
      </c>
      <c r="AB188" s="7">
        <v>3.5</v>
      </c>
      <c r="AC188" s="7">
        <v>4</v>
      </c>
      <c r="AD188" s="7">
        <v>4.5</v>
      </c>
      <c r="AE188" s="7">
        <v>2</v>
      </c>
      <c r="AF188" s="7">
        <v>4.5</v>
      </c>
      <c r="AG188" s="7">
        <v>3</v>
      </c>
      <c r="AH188" s="7">
        <v>4.5</v>
      </c>
      <c r="AI188" t="s">
        <v>142</v>
      </c>
      <c r="AJ188" s="7">
        <v>82</v>
      </c>
      <c r="AK188" t="s">
        <v>423</v>
      </c>
      <c r="AN188" t="s">
        <v>2047</v>
      </c>
      <c r="AO188" s="7">
        <v>2010</v>
      </c>
      <c r="AP188" t="s">
        <v>1554</v>
      </c>
      <c r="AQ188" t="s">
        <v>1422</v>
      </c>
      <c r="AR188" t="s">
        <v>1559</v>
      </c>
      <c r="AS188" t="s">
        <v>2048</v>
      </c>
      <c r="AT188" s="7">
        <v>2.57</v>
      </c>
      <c r="AU188" s="7">
        <v>2.5</v>
      </c>
      <c r="AV188" s="7">
        <v>2.5</v>
      </c>
      <c r="AW188" s="7">
        <v>3</v>
      </c>
      <c r="AX188" s="7">
        <v>3</v>
      </c>
      <c r="AY188" s="7">
        <v>2.5</v>
      </c>
      <c r="AZ188" s="7">
        <v>2.5</v>
      </c>
      <c r="BA188" s="7">
        <v>2</v>
      </c>
      <c r="BB188" t="s">
        <v>2012</v>
      </c>
      <c r="BC188" s="7">
        <v>925</v>
      </c>
      <c r="BD188" t="s">
        <v>2070</v>
      </c>
      <c r="BH188" s="5" t="str">
        <f t="shared" si="5"/>
        <v/>
      </c>
      <c r="BI188" s="5" t="str">
        <f t="shared" si="6"/>
        <v/>
      </c>
    </row>
    <row r="189" spans="2:61" x14ac:dyDescent="0.35">
      <c r="B189" t="s">
        <v>2276</v>
      </c>
      <c r="C189" s="7">
        <v>1941</v>
      </c>
      <c r="D189" t="s">
        <v>1556</v>
      </c>
      <c r="E189" t="s">
        <v>2260</v>
      </c>
      <c r="F189" t="s">
        <v>1557</v>
      </c>
      <c r="G189" t="s">
        <v>2277</v>
      </c>
      <c r="H189" s="7">
        <v>3.43</v>
      </c>
      <c r="I189" s="7">
        <v>3.5</v>
      </c>
      <c r="J189" s="7">
        <v>3.5</v>
      </c>
      <c r="K189" s="7">
        <v>3.5</v>
      </c>
      <c r="L189" s="7">
        <v>4</v>
      </c>
      <c r="M189" s="7">
        <v>3</v>
      </c>
      <c r="N189" s="7">
        <v>3</v>
      </c>
      <c r="O189" s="7">
        <v>3.5</v>
      </c>
      <c r="P189" t="s">
        <v>2213</v>
      </c>
      <c r="Q189" s="7">
        <v>64</v>
      </c>
      <c r="R189" t="s">
        <v>2392</v>
      </c>
      <c r="U189" t="s">
        <v>2645</v>
      </c>
      <c r="V189" s="7">
        <v>1995</v>
      </c>
      <c r="W189" t="s">
        <v>1554</v>
      </c>
      <c r="X189" t="s">
        <v>915</v>
      </c>
      <c r="Y189" t="s">
        <v>1557</v>
      </c>
      <c r="Z189" t="s">
        <v>2628</v>
      </c>
      <c r="AA189" s="7">
        <v>3.29</v>
      </c>
      <c r="AB189" s="7">
        <v>3</v>
      </c>
      <c r="AC189" s="7">
        <v>3</v>
      </c>
      <c r="AD189" s="7">
        <v>3</v>
      </c>
      <c r="AE189" s="7">
        <v>3.5</v>
      </c>
      <c r="AF189" s="7">
        <v>3</v>
      </c>
      <c r="AG189" s="7">
        <v>4</v>
      </c>
      <c r="AH189" s="7">
        <v>3.5</v>
      </c>
      <c r="AI189" t="s">
        <v>1342</v>
      </c>
      <c r="AJ189" s="7">
        <v>98</v>
      </c>
      <c r="AK189" t="s">
        <v>2672</v>
      </c>
      <c r="AN189" t="s">
        <v>1620</v>
      </c>
      <c r="AO189" s="7">
        <v>2010</v>
      </c>
      <c r="AP189" t="s">
        <v>1554</v>
      </c>
      <c r="AQ189" t="s">
        <v>694</v>
      </c>
      <c r="AR189" t="s">
        <v>1559</v>
      </c>
      <c r="AS189" t="s">
        <v>788</v>
      </c>
      <c r="AT189" s="7">
        <v>3.43</v>
      </c>
      <c r="AU189" s="7">
        <v>3</v>
      </c>
      <c r="AV189" s="7">
        <v>4</v>
      </c>
      <c r="AW189" s="7">
        <v>3</v>
      </c>
      <c r="AX189" s="7">
        <v>3.5</v>
      </c>
      <c r="AY189" s="7">
        <v>3.5</v>
      </c>
      <c r="AZ189" s="7">
        <v>3.5</v>
      </c>
      <c r="BA189" s="7">
        <v>3.5</v>
      </c>
      <c r="BB189" t="s">
        <v>1549</v>
      </c>
      <c r="BC189" s="7">
        <v>300</v>
      </c>
      <c r="BD189" t="s">
        <v>1653</v>
      </c>
      <c r="BH189" s="5" t="str">
        <f t="shared" si="5"/>
        <v/>
      </c>
      <c r="BI189" s="5" t="str">
        <f t="shared" si="6"/>
        <v/>
      </c>
    </row>
    <row r="190" spans="2:61" x14ac:dyDescent="0.35">
      <c r="B190" s="39" t="s">
        <v>2278</v>
      </c>
      <c r="C190" s="40">
        <v>1940</v>
      </c>
      <c r="D190" s="39" t="s">
        <v>1556</v>
      </c>
      <c r="E190" s="39" t="s">
        <v>2260</v>
      </c>
      <c r="F190" s="41" t="s">
        <v>1555</v>
      </c>
      <c r="G190" s="39" t="s">
        <v>2214</v>
      </c>
      <c r="H190" s="40">
        <v>4.29</v>
      </c>
      <c r="I190" s="40">
        <v>4.5</v>
      </c>
      <c r="J190" s="40">
        <v>5</v>
      </c>
      <c r="K190" s="40">
        <v>5</v>
      </c>
      <c r="L190" s="40">
        <v>3.5</v>
      </c>
      <c r="M190" s="40">
        <v>3.5</v>
      </c>
      <c r="N190" s="40">
        <v>3.5</v>
      </c>
      <c r="O190" s="40">
        <v>5</v>
      </c>
      <c r="P190" s="39" t="s">
        <v>2215</v>
      </c>
      <c r="Q190" s="40">
        <v>126</v>
      </c>
      <c r="R190" s="39" t="s">
        <v>2393</v>
      </c>
      <c r="U190" t="s">
        <v>2110</v>
      </c>
      <c r="V190" s="7">
        <v>1995</v>
      </c>
      <c r="W190" t="s">
        <v>1554</v>
      </c>
      <c r="X190" t="s">
        <v>702</v>
      </c>
      <c r="Y190" t="s">
        <v>1555</v>
      </c>
      <c r="Z190" t="s">
        <v>2111</v>
      </c>
      <c r="AA190" s="7">
        <v>4</v>
      </c>
      <c r="AB190" s="7">
        <v>4</v>
      </c>
      <c r="AC190" s="7">
        <v>4</v>
      </c>
      <c r="AD190" s="7">
        <v>3.5</v>
      </c>
      <c r="AE190" s="7">
        <v>4</v>
      </c>
      <c r="AF190" s="7">
        <v>4</v>
      </c>
      <c r="AG190" s="7">
        <v>4</v>
      </c>
      <c r="AH190" s="7">
        <v>4.5</v>
      </c>
      <c r="AI190" t="s">
        <v>2112</v>
      </c>
      <c r="AJ190" s="7">
        <v>113</v>
      </c>
      <c r="AK190" t="s">
        <v>2129</v>
      </c>
      <c r="AN190" t="s">
        <v>2120</v>
      </c>
      <c r="AO190" s="7">
        <v>2010</v>
      </c>
      <c r="AP190" t="s">
        <v>1554</v>
      </c>
      <c r="AQ190" t="s">
        <v>888</v>
      </c>
      <c r="AR190" t="s">
        <v>1559</v>
      </c>
      <c r="AS190" t="s">
        <v>889</v>
      </c>
      <c r="AT190" s="7">
        <v>2.64</v>
      </c>
      <c r="AU190" s="7">
        <v>2.5</v>
      </c>
      <c r="AV190" s="7">
        <v>3</v>
      </c>
      <c r="AW190" s="7">
        <v>3</v>
      </c>
      <c r="AX190" s="7">
        <v>2.5</v>
      </c>
      <c r="AY190" s="7">
        <v>2</v>
      </c>
      <c r="AZ190" s="7">
        <v>3</v>
      </c>
      <c r="BA190" s="7">
        <v>2.5</v>
      </c>
      <c r="BB190" t="s">
        <v>98</v>
      </c>
      <c r="BC190" s="7">
        <v>950</v>
      </c>
      <c r="BD190" t="s">
        <v>2138</v>
      </c>
      <c r="BH190" s="5" t="str">
        <f t="shared" si="5"/>
        <v/>
      </c>
      <c r="BI190" s="5" t="str">
        <f t="shared" si="6"/>
        <v/>
      </c>
    </row>
    <row r="191" spans="2:61" x14ac:dyDescent="0.35">
      <c r="B191" s="42" t="s">
        <v>2301</v>
      </c>
      <c r="C191" s="43">
        <v>1940</v>
      </c>
      <c r="D191" s="42" t="s">
        <v>1556</v>
      </c>
      <c r="E191" s="42" t="s">
        <v>2260</v>
      </c>
      <c r="F191" s="44" t="s">
        <v>1557</v>
      </c>
      <c r="G191" s="42" t="s">
        <v>2232</v>
      </c>
      <c r="H191" s="43">
        <v>4</v>
      </c>
      <c r="I191" s="43">
        <v>4</v>
      </c>
      <c r="J191" s="43">
        <v>4</v>
      </c>
      <c r="K191" s="43">
        <v>4.5</v>
      </c>
      <c r="L191" s="43">
        <v>4.5</v>
      </c>
      <c r="M191" s="43">
        <v>3.5</v>
      </c>
      <c r="N191" s="43">
        <v>3.5</v>
      </c>
      <c r="O191" s="43">
        <v>4</v>
      </c>
      <c r="P191" s="42" t="s">
        <v>2233</v>
      </c>
      <c r="Q191" s="43">
        <v>88</v>
      </c>
      <c r="R191" s="42" t="s">
        <v>2394</v>
      </c>
      <c r="U191" t="s">
        <v>1166</v>
      </c>
      <c r="V191" s="7">
        <v>1995</v>
      </c>
      <c r="W191" t="s">
        <v>1554</v>
      </c>
      <c r="X191" t="s">
        <v>747</v>
      </c>
      <c r="Y191" t="s">
        <v>1557</v>
      </c>
      <c r="Z191" t="s">
        <v>1167</v>
      </c>
      <c r="AA191" s="38">
        <v>4.07</v>
      </c>
      <c r="AB191" s="7">
        <v>3.5</v>
      </c>
      <c r="AC191" s="7">
        <v>3</v>
      </c>
      <c r="AD191" s="7">
        <v>4</v>
      </c>
      <c r="AE191" s="7">
        <v>3.5</v>
      </c>
      <c r="AF191" s="7">
        <v>5</v>
      </c>
      <c r="AG191" s="7">
        <v>4.5</v>
      </c>
      <c r="AH191" s="7">
        <v>5</v>
      </c>
      <c r="AI191" t="s">
        <v>307</v>
      </c>
      <c r="AJ191" s="7">
        <v>111</v>
      </c>
      <c r="AK191" t="s">
        <v>499</v>
      </c>
      <c r="AN191" t="s">
        <v>688</v>
      </c>
      <c r="AO191" s="7">
        <v>2009</v>
      </c>
      <c r="AP191" t="s">
        <v>1554</v>
      </c>
      <c r="AQ191" t="s">
        <v>689</v>
      </c>
      <c r="AR191" t="s">
        <v>1559</v>
      </c>
      <c r="AS191" t="s">
        <v>73</v>
      </c>
      <c r="AT191" s="7">
        <v>4.29</v>
      </c>
      <c r="AU191" s="7">
        <v>4</v>
      </c>
      <c r="AV191" s="7">
        <v>4.5</v>
      </c>
      <c r="AW191" s="7">
        <v>4.5</v>
      </c>
      <c r="AX191" s="7">
        <v>4</v>
      </c>
      <c r="AY191" s="7">
        <v>4</v>
      </c>
      <c r="AZ191" s="7">
        <v>4</v>
      </c>
      <c r="BA191" s="7">
        <v>5</v>
      </c>
      <c r="BB191" t="s">
        <v>74</v>
      </c>
      <c r="BC191" s="7">
        <v>375</v>
      </c>
      <c r="BD191" t="s">
        <v>576</v>
      </c>
      <c r="BH191" s="5" t="str">
        <f t="shared" si="5"/>
        <v/>
      </c>
      <c r="BI191" s="5" t="str">
        <f t="shared" si="6"/>
        <v/>
      </c>
    </row>
    <row r="192" spans="2:61" x14ac:dyDescent="0.35">
      <c r="B192" s="42" t="s">
        <v>2311</v>
      </c>
      <c r="C192" s="43">
        <v>1937</v>
      </c>
      <c r="D192" s="42" t="s">
        <v>1556</v>
      </c>
      <c r="E192" s="42" t="s">
        <v>2260</v>
      </c>
      <c r="F192" s="44" t="s">
        <v>1557</v>
      </c>
      <c r="G192" s="42" t="s">
        <v>2266</v>
      </c>
      <c r="H192" s="43">
        <v>3.64</v>
      </c>
      <c r="I192" s="43">
        <v>4</v>
      </c>
      <c r="J192" s="43">
        <v>4</v>
      </c>
      <c r="K192" s="43">
        <v>4</v>
      </c>
      <c r="L192" s="43">
        <v>3.5</v>
      </c>
      <c r="M192" s="43">
        <v>3</v>
      </c>
      <c r="N192" s="43">
        <v>3.5</v>
      </c>
      <c r="O192" s="43">
        <v>3.5</v>
      </c>
      <c r="P192" s="42" t="s">
        <v>2238</v>
      </c>
      <c r="Q192" s="43">
        <v>83</v>
      </c>
      <c r="R192" s="42" t="s">
        <v>2395</v>
      </c>
      <c r="U192" t="s">
        <v>1011</v>
      </c>
      <c r="V192" s="7">
        <v>1994</v>
      </c>
      <c r="W192" t="s">
        <v>1554</v>
      </c>
      <c r="X192" t="s">
        <v>1012</v>
      </c>
      <c r="Y192" t="s">
        <v>1557</v>
      </c>
      <c r="Z192" t="s">
        <v>843</v>
      </c>
      <c r="AA192" s="7">
        <v>3.57</v>
      </c>
      <c r="AB192" s="7">
        <v>3.5</v>
      </c>
      <c r="AC192" s="7">
        <v>3.5</v>
      </c>
      <c r="AD192" s="7">
        <v>3</v>
      </c>
      <c r="AE192" s="7">
        <v>3.5</v>
      </c>
      <c r="AF192" s="7">
        <v>4</v>
      </c>
      <c r="AG192" s="7">
        <v>3.5</v>
      </c>
      <c r="AH192" s="7">
        <v>4</v>
      </c>
      <c r="AI192" t="s">
        <v>232</v>
      </c>
      <c r="AJ192" s="7">
        <v>119</v>
      </c>
      <c r="AK192" t="s">
        <v>460</v>
      </c>
      <c r="AN192" t="s">
        <v>744</v>
      </c>
      <c r="AO192" s="7">
        <v>2009</v>
      </c>
      <c r="AP192" t="s">
        <v>1554</v>
      </c>
      <c r="AQ192" t="s">
        <v>674</v>
      </c>
      <c r="AR192" t="s">
        <v>1559</v>
      </c>
      <c r="AS192" t="s">
        <v>745</v>
      </c>
      <c r="AT192" s="7">
        <v>3.14</v>
      </c>
      <c r="AU192" s="7">
        <v>3.5</v>
      </c>
      <c r="AV192" s="7">
        <v>3.5</v>
      </c>
      <c r="AW192" s="7">
        <v>3</v>
      </c>
      <c r="AX192" s="7">
        <v>2.5</v>
      </c>
      <c r="AY192" s="7">
        <v>2.5</v>
      </c>
      <c r="AZ192" s="7">
        <v>3</v>
      </c>
      <c r="BA192" s="7">
        <v>4</v>
      </c>
      <c r="BB192" t="s">
        <v>96</v>
      </c>
      <c r="BC192" s="7">
        <v>325</v>
      </c>
      <c r="BD192" t="s">
        <v>577</v>
      </c>
      <c r="BH192" s="5" t="str">
        <f t="shared" si="5"/>
        <v/>
      </c>
      <c r="BI192" s="5" t="str">
        <f t="shared" si="6"/>
        <v/>
      </c>
    </row>
    <row r="193" spans="21:61" x14ac:dyDescent="0.35">
      <c r="U193" t="s">
        <v>1065</v>
      </c>
      <c r="V193" s="7">
        <v>1994</v>
      </c>
      <c r="W193" t="s">
        <v>1554</v>
      </c>
      <c r="X193" t="s">
        <v>728</v>
      </c>
      <c r="Y193" t="s">
        <v>1557</v>
      </c>
      <c r="Z193" t="s">
        <v>975</v>
      </c>
      <c r="AA193" s="7">
        <v>2.5</v>
      </c>
      <c r="AB193" s="7">
        <v>2.5</v>
      </c>
      <c r="AC193" s="7">
        <v>2.5</v>
      </c>
      <c r="AD193" s="7">
        <v>3.5</v>
      </c>
      <c r="AE193" s="7">
        <v>2.5</v>
      </c>
      <c r="AF193" s="7">
        <v>1.5</v>
      </c>
      <c r="AG193" s="7">
        <v>3</v>
      </c>
      <c r="AH193" s="7">
        <v>2</v>
      </c>
      <c r="AI193" t="s">
        <v>90</v>
      </c>
      <c r="AJ193" s="7">
        <v>102</v>
      </c>
      <c r="AK193" t="s">
        <v>468</v>
      </c>
      <c r="AN193" t="s">
        <v>800</v>
      </c>
      <c r="AO193" s="7">
        <v>2009</v>
      </c>
      <c r="AP193" t="s">
        <v>1554</v>
      </c>
      <c r="AQ193" t="s">
        <v>731</v>
      </c>
      <c r="AR193" t="s">
        <v>1559</v>
      </c>
      <c r="AS193" t="s">
        <v>801</v>
      </c>
      <c r="AT193" s="7">
        <v>4.21</v>
      </c>
      <c r="AU193" s="7">
        <v>3.5</v>
      </c>
      <c r="AV193" s="7">
        <v>4</v>
      </c>
      <c r="AW193" s="7">
        <v>4.5</v>
      </c>
      <c r="AX193" s="7">
        <v>3.5</v>
      </c>
      <c r="AY193" s="7">
        <v>4.5</v>
      </c>
      <c r="AZ193" s="7">
        <v>4.5</v>
      </c>
      <c r="BA193" s="7">
        <v>5</v>
      </c>
      <c r="BB193" t="s">
        <v>125</v>
      </c>
      <c r="BC193" s="7">
        <v>275</v>
      </c>
      <c r="BD193" t="s">
        <v>578</v>
      </c>
      <c r="BH193" s="5" t="str">
        <f t="shared" si="5"/>
        <v/>
      </c>
      <c r="BI193" s="5" t="str">
        <f t="shared" si="6"/>
        <v/>
      </c>
    </row>
    <row r="194" spans="21:61" x14ac:dyDescent="0.35">
      <c r="U194" t="s">
        <v>978</v>
      </c>
      <c r="V194" s="7">
        <v>1993</v>
      </c>
      <c r="W194" t="s">
        <v>1554</v>
      </c>
      <c r="X194" t="s">
        <v>694</v>
      </c>
      <c r="Y194" t="s">
        <v>1557</v>
      </c>
      <c r="Z194" t="s">
        <v>979</v>
      </c>
      <c r="AA194" s="7">
        <v>3.86</v>
      </c>
      <c r="AB194" s="7">
        <v>3</v>
      </c>
      <c r="AC194" s="7">
        <v>3.5</v>
      </c>
      <c r="AD194" s="7">
        <v>4</v>
      </c>
      <c r="AE194" s="7">
        <v>3</v>
      </c>
      <c r="AF194" s="7">
        <v>3.5</v>
      </c>
      <c r="AG194" s="7">
        <v>5</v>
      </c>
      <c r="AH194" s="7">
        <v>5</v>
      </c>
      <c r="AI194" t="s">
        <v>213</v>
      </c>
      <c r="AJ194" s="7">
        <v>94</v>
      </c>
      <c r="AK194" t="s">
        <v>452</v>
      </c>
      <c r="AN194" t="s">
        <v>852</v>
      </c>
      <c r="AO194" s="7">
        <v>2009</v>
      </c>
      <c r="AP194" t="s">
        <v>1554</v>
      </c>
      <c r="AQ194" t="s">
        <v>750</v>
      </c>
      <c r="AR194" t="s">
        <v>1559</v>
      </c>
      <c r="AS194" t="s">
        <v>853</v>
      </c>
      <c r="AT194" s="7">
        <v>2.86</v>
      </c>
      <c r="AU194" s="7">
        <v>3</v>
      </c>
      <c r="AV194" s="7">
        <v>3.5</v>
      </c>
      <c r="AW194" s="7">
        <v>3</v>
      </c>
      <c r="AX194" s="7">
        <v>2.5</v>
      </c>
      <c r="AY194" s="7">
        <v>2.5</v>
      </c>
      <c r="AZ194" s="7">
        <v>2.5</v>
      </c>
      <c r="BA194" s="7">
        <v>3</v>
      </c>
      <c r="BB194" t="s">
        <v>153</v>
      </c>
      <c r="BC194" s="7">
        <v>650</v>
      </c>
      <c r="BD194" t="s">
        <v>579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21:61" x14ac:dyDescent="0.35">
      <c r="U195" t="s">
        <v>990</v>
      </c>
      <c r="V195" s="7">
        <v>1993</v>
      </c>
      <c r="W195" t="s">
        <v>1554</v>
      </c>
      <c r="X195" t="s">
        <v>747</v>
      </c>
      <c r="Y195" t="s">
        <v>1557</v>
      </c>
      <c r="Z195" t="s">
        <v>991</v>
      </c>
      <c r="AA195" s="7">
        <v>3</v>
      </c>
      <c r="AB195" s="7">
        <v>3</v>
      </c>
      <c r="AC195" s="7">
        <v>3</v>
      </c>
      <c r="AD195" s="7">
        <v>3</v>
      </c>
      <c r="AE195" s="7">
        <v>3</v>
      </c>
      <c r="AF195" s="7">
        <v>3.5</v>
      </c>
      <c r="AG195" s="7">
        <v>2.5</v>
      </c>
      <c r="AH195" s="7">
        <v>3</v>
      </c>
      <c r="AI195" t="s">
        <v>100</v>
      </c>
      <c r="AJ195" s="7">
        <v>73</v>
      </c>
      <c r="AK195" t="s">
        <v>454</v>
      </c>
      <c r="AN195" t="s">
        <v>857</v>
      </c>
      <c r="AO195" s="7">
        <v>2009</v>
      </c>
      <c r="AP195" t="s">
        <v>1554</v>
      </c>
      <c r="AQ195" t="s">
        <v>811</v>
      </c>
      <c r="AR195" t="s">
        <v>1568</v>
      </c>
      <c r="AS195" t="s">
        <v>858</v>
      </c>
      <c r="AT195" s="7">
        <v>1.79</v>
      </c>
      <c r="AU195" s="7">
        <v>1.5</v>
      </c>
      <c r="AV195" s="7">
        <v>2</v>
      </c>
      <c r="AW195" s="7">
        <v>2</v>
      </c>
      <c r="AX195" s="7">
        <v>3</v>
      </c>
      <c r="AY195" s="7">
        <v>1</v>
      </c>
      <c r="AZ195" s="7">
        <v>2</v>
      </c>
      <c r="BA195" s="7">
        <v>1</v>
      </c>
      <c r="BB195" t="s">
        <v>161</v>
      </c>
      <c r="BC195" s="7">
        <v>520</v>
      </c>
      <c r="BD195" t="s">
        <v>580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21:61" x14ac:dyDescent="0.35">
      <c r="U196" t="s">
        <v>1002</v>
      </c>
      <c r="V196" s="7">
        <v>1993</v>
      </c>
      <c r="W196" t="s">
        <v>1554</v>
      </c>
      <c r="X196" t="s">
        <v>731</v>
      </c>
      <c r="Y196" t="s">
        <v>1557</v>
      </c>
      <c r="Z196" t="s">
        <v>836</v>
      </c>
      <c r="AA196" s="7">
        <v>3.71</v>
      </c>
      <c r="AB196" s="7">
        <v>4</v>
      </c>
      <c r="AC196" s="7">
        <v>4</v>
      </c>
      <c r="AD196" s="7">
        <v>3.5</v>
      </c>
      <c r="AE196" s="7">
        <v>3</v>
      </c>
      <c r="AF196" s="7">
        <v>3.5</v>
      </c>
      <c r="AG196" s="7">
        <v>3</v>
      </c>
      <c r="AH196" s="7">
        <v>5</v>
      </c>
      <c r="AI196" t="s">
        <v>224</v>
      </c>
      <c r="AJ196" s="7">
        <v>113</v>
      </c>
      <c r="AK196" t="s">
        <v>457</v>
      </c>
      <c r="AN196" t="s">
        <v>2648</v>
      </c>
      <c r="AO196" s="7">
        <v>2009</v>
      </c>
      <c r="AP196" t="s">
        <v>1554</v>
      </c>
      <c r="AQ196" t="s">
        <v>915</v>
      </c>
      <c r="AR196" t="s">
        <v>1560</v>
      </c>
      <c r="AS196" t="s">
        <v>2647</v>
      </c>
      <c r="AT196" s="7">
        <v>3.21</v>
      </c>
      <c r="AU196" s="7">
        <v>2.5</v>
      </c>
      <c r="AV196" s="7">
        <v>3.5</v>
      </c>
      <c r="AW196" s="7">
        <v>3</v>
      </c>
      <c r="AX196" s="7">
        <v>3.5</v>
      </c>
      <c r="AY196" s="7">
        <v>3</v>
      </c>
      <c r="AZ196" s="7">
        <v>3.5</v>
      </c>
      <c r="BA196" s="7">
        <v>3.5</v>
      </c>
      <c r="BB196" t="s">
        <v>2629</v>
      </c>
      <c r="BC196" s="7">
        <v>104</v>
      </c>
      <c r="BD196" t="s">
        <v>2674</v>
      </c>
      <c r="BH196" s="5" t="str">
        <f t="shared" si="7"/>
        <v/>
      </c>
      <c r="BI196" s="5" t="str">
        <f t="shared" si="8"/>
        <v/>
      </c>
    </row>
    <row r="197" spans="21:61" x14ac:dyDescent="0.35">
      <c r="U197" t="s">
        <v>1014</v>
      </c>
      <c r="V197" s="7">
        <v>1992</v>
      </c>
      <c r="W197" t="s">
        <v>1554</v>
      </c>
      <c r="X197" t="s">
        <v>747</v>
      </c>
      <c r="Y197" t="s">
        <v>1557</v>
      </c>
      <c r="Z197" t="s">
        <v>748</v>
      </c>
      <c r="AA197" s="7">
        <v>3.57</v>
      </c>
      <c r="AB197" s="7">
        <v>3.5</v>
      </c>
      <c r="AC197" s="7">
        <v>3.5</v>
      </c>
      <c r="AD197" s="7">
        <v>3</v>
      </c>
      <c r="AE197" s="7">
        <v>3.5</v>
      </c>
      <c r="AF197" s="7">
        <v>3</v>
      </c>
      <c r="AG197" s="7">
        <v>4.5</v>
      </c>
      <c r="AH197" s="7">
        <v>4</v>
      </c>
      <c r="AI197" t="s">
        <v>187</v>
      </c>
      <c r="AJ197" s="7">
        <v>94</v>
      </c>
      <c r="AK197" t="s">
        <v>462</v>
      </c>
      <c r="AN197" t="s">
        <v>1407</v>
      </c>
      <c r="AO197" s="7">
        <v>2009</v>
      </c>
      <c r="AP197" t="s">
        <v>1554</v>
      </c>
      <c r="AQ197" t="s">
        <v>731</v>
      </c>
      <c r="AR197" t="s">
        <v>1559</v>
      </c>
      <c r="AS197" t="s">
        <v>1353</v>
      </c>
      <c r="AT197" s="7">
        <v>3.21</v>
      </c>
      <c r="AU197" s="7">
        <v>3.5</v>
      </c>
      <c r="AV197" s="7">
        <v>3</v>
      </c>
      <c r="AW197" s="7">
        <v>3.5</v>
      </c>
      <c r="AX197" s="7">
        <v>4</v>
      </c>
      <c r="AY197" s="7">
        <v>2.5</v>
      </c>
      <c r="AZ197" s="7">
        <v>3.5</v>
      </c>
      <c r="BA197" s="7">
        <v>2.5</v>
      </c>
      <c r="BB197" t="s">
        <v>1354</v>
      </c>
      <c r="BC197" s="7">
        <v>650</v>
      </c>
      <c r="BD197" t="s">
        <v>1519</v>
      </c>
      <c r="BH197" s="5" t="str">
        <f t="shared" si="7"/>
        <v/>
      </c>
      <c r="BI197" s="5" t="str">
        <f t="shared" si="8"/>
        <v/>
      </c>
    </row>
    <row r="198" spans="21:61" x14ac:dyDescent="0.35">
      <c r="U198" t="s">
        <v>996</v>
      </c>
      <c r="V198" s="7">
        <v>1991</v>
      </c>
      <c r="W198" t="s">
        <v>1554</v>
      </c>
      <c r="X198" t="s">
        <v>747</v>
      </c>
      <c r="Y198" t="s">
        <v>1557</v>
      </c>
      <c r="Z198" t="s">
        <v>843</v>
      </c>
      <c r="AA198" s="7">
        <v>3.43</v>
      </c>
      <c r="AB198" s="7">
        <v>3.5</v>
      </c>
      <c r="AC198" s="7">
        <v>3</v>
      </c>
      <c r="AD198" s="7">
        <v>3</v>
      </c>
      <c r="AE198" s="7">
        <v>3.5</v>
      </c>
      <c r="AF198" s="7">
        <v>4</v>
      </c>
      <c r="AG198" s="7">
        <v>3</v>
      </c>
      <c r="AH198" s="7">
        <v>4</v>
      </c>
      <c r="AI198" t="s">
        <v>110</v>
      </c>
      <c r="AJ198" s="7">
        <v>118</v>
      </c>
      <c r="AK198" t="s">
        <v>455</v>
      </c>
      <c r="AN198" t="s">
        <v>1414</v>
      </c>
      <c r="AO198" s="7">
        <v>2009</v>
      </c>
      <c r="AP198" t="s">
        <v>1554</v>
      </c>
      <c r="AQ198" t="s">
        <v>1429</v>
      </c>
      <c r="AR198" t="s">
        <v>1559</v>
      </c>
      <c r="AS198" t="s">
        <v>716</v>
      </c>
      <c r="AT198" s="7">
        <v>3.29</v>
      </c>
      <c r="AU198" s="7">
        <v>3</v>
      </c>
      <c r="AV198" s="7">
        <v>3</v>
      </c>
      <c r="AW198" s="7">
        <v>3.5</v>
      </c>
      <c r="AX198" s="7">
        <v>3.5</v>
      </c>
      <c r="AY198" s="7">
        <v>3.5</v>
      </c>
      <c r="AZ198" s="7">
        <v>3</v>
      </c>
      <c r="BA198" s="7">
        <v>3.5</v>
      </c>
      <c r="BB198" t="s">
        <v>241</v>
      </c>
      <c r="BC198" s="7">
        <v>675</v>
      </c>
      <c r="BD198" t="s">
        <v>1523</v>
      </c>
      <c r="BH198" s="5" t="str">
        <f t="shared" si="7"/>
        <v/>
      </c>
      <c r="BI198" s="5" t="str">
        <f t="shared" si="8"/>
        <v/>
      </c>
    </row>
    <row r="199" spans="21:61" x14ac:dyDescent="0.35">
      <c r="U199" t="s">
        <v>1588</v>
      </c>
      <c r="V199" s="7">
        <v>1990</v>
      </c>
      <c r="W199" t="s">
        <v>1554</v>
      </c>
      <c r="X199" t="s">
        <v>1104</v>
      </c>
      <c r="Y199" t="s">
        <v>1557</v>
      </c>
      <c r="Z199" t="s">
        <v>1589</v>
      </c>
      <c r="AA199" s="7">
        <v>3.43</v>
      </c>
      <c r="AB199" s="7">
        <v>3.5</v>
      </c>
      <c r="AC199" s="7">
        <v>3</v>
      </c>
      <c r="AD199" s="7">
        <v>3.5</v>
      </c>
      <c r="AE199" s="7">
        <v>3.5</v>
      </c>
      <c r="AF199" s="7">
        <v>3.5</v>
      </c>
      <c r="AG199" s="7">
        <v>3.5</v>
      </c>
      <c r="AH199" s="7">
        <v>3.5</v>
      </c>
      <c r="AI199" t="s">
        <v>1537</v>
      </c>
      <c r="AJ199" s="7">
        <v>80</v>
      </c>
      <c r="AK199" t="s">
        <v>1643</v>
      </c>
      <c r="AN199" t="s">
        <v>1109</v>
      </c>
      <c r="AO199" s="7">
        <v>2009</v>
      </c>
      <c r="AP199" t="s">
        <v>1554</v>
      </c>
      <c r="AQ199" t="s">
        <v>658</v>
      </c>
      <c r="AR199" t="s">
        <v>1568</v>
      </c>
      <c r="AS199" t="s">
        <v>1110</v>
      </c>
      <c r="AT199" s="7">
        <v>2.36</v>
      </c>
      <c r="AU199" s="7">
        <v>1.5</v>
      </c>
      <c r="AV199" s="7">
        <v>2.5</v>
      </c>
      <c r="AW199" s="7">
        <v>2.5</v>
      </c>
      <c r="AX199" s="7">
        <v>3</v>
      </c>
      <c r="AY199" s="7">
        <v>1.5</v>
      </c>
      <c r="AZ199" s="7">
        <v>2.5</v>
      </c>
      <c r="BA199" s="7">
        <v>3</v>
      </c>
      <c r="BB199" t="s">
        <v>276</v>
      </c>
      <c r="BC199" s="7">
        <v>129</v>
      </c>
      <c r="BD199" t="s">
        <v>581</v>
      </c>
      <c r="BH199" s="5" t="str">
        <f t="shared" si="7"/>
        <v/>
      </c>
      <c r="BI199" s="5" t="str">
        <f t="shared" si="8"/>
        <v/>
      </c>
    </row>
    <row r="200" spans="21:61" x14ac:dyDescent="0.35">
      <c r="U200" t="s">
        <v>2291</v>
      </c>
      <c r="V200" s="7">
        <v>1990</v>
      </c>
      <c r="W200" t="s">
        <v>1554</v>
      </c>
      <c r="X200" t="s">
        <v>915</v>
      </c>
      <c r="Y200" t="s">
        <v>1557</v>
      </c>
      <c r="Z200" t="s">
        <v>2288</v>
      </c>
      <c r="AA200" s="7">
        <v>3.14</v>
      </c>
      <c r="AB200" s="7">
        <v>2.5</v>
      </c>
      <c r="AC200" s="7">
        <v>2.5</v>
      </c>
      <c r="AD200" s="7">
        <v>3.5</v>
      </c>
      <c r="AE200" s="7">
        <v>3.5</v>
      </c>
      <c r="AF200" s="7">
        <v>3.5</v>
      </c>
      <c r="AG200" s="7">
        <v>3</v>
      </c>
      <c r="AH200" s="7">
        <v>3.5</v>
      </c>
      <c r="AI200" t="s">
        <v>2226</v>
      </c>
      <c r="AJ200" s="7">
        <v>92</v>
      </c>
      <c r="AK200" t="s">
        <v>2399</v>
      </c>
      <c r="AN200" t="s">
        <v>1835</v>
      </c>
      <c r="AO200" s="7">
        <v>2009</v>
      </c>
      <c r="AP200" t="s">
        <v>1554</v>
      </c>
      <c r="AQ200" t="s">
        <v>1292</v>
      </c>
      <c r="AR200" t="s">
        <v>1559</v>
      </c>
      <c r="AS200" t="s">
        <v>1780</v>
      </c>
      <c r="AT200" s="7">
        <v>3.21</v>
      </c>
      <c r="AU200" s="7">
        <v>3</v>
      </c>
      <c r="AV200" s="7">
        <v>3</v>
      </c>
      <c r="AW200" s="7">
        <v>3</v>
      </c>
      <c r="AX200" s="7">
        <v>3.5</v>
      </c>
      <c r="AY200" s="7">
        <v>3</v>
      </c>
      <c r="AZ200" s="7">
        <v>3.5</v>
      </c>
      <c r="BA200" s="7">
        <v>3.5</v>
      </c>
      <c r="BB200" t="s">
        <v>1362</v>
      </c>
      <c r="BC200" s="7">
        <v>325</v>
      </c>
      <c r="BD200" t="s">
        <v>1860</v>
      </c>
      <c r="BH200" s="5" t="str">
        <f t="shared" si="7"/>
        <v/>
      </c>
      <c r="BI200" s="5" t="str">
        <f t="shared" si="8"/>
        <v/>
      </c>
    </row>
    <row r="201" spans="21:61" x14ac:dyDescent="0.35">
      <c r="U201" t="s">
        <v>892</v>
      </c>
      <c r="V201" s="7">
        <v>1989</v>
      </c>
      <c r="W201" t="s">
        <v>1554</v>
      </c>
      <c r="X201" t="s">
        <v>747</v>
      </c>
      <c r="Y201" t="s">
        <v>1557</v>
      </c>
      <c r="Z201" t="s">
        <v>748</v>
      </c>
      <c r="AA201" s="7">
        <v>3.71</v>
      </c>
      <c r="AB201" s="7">
        <v>3.5</v>
      </c>
      <c r="AC201" s="7">
        <v>3.5</v>
      </c>
      <c r="AD201" s="7">
        <v>3.5</v>
      </c>
      <c r="AE201" s="7">
        <v>4</v>
      </c>
      <c r="AF201" s="7">
        <v>3.5</v>
      </c>
      <c r="AG201" s="7">
        <v>3.5</v>
      </c>
      <c r="AH201" s="7">
        <v>4.5</v>
      </c>
      <c r="AI201" t="s">
        <v>173</v>
      </c>
      <c r="AJ201" s="7">
        <v>102</v>
      </c>
      <c r="AK201" t="s">
        <v>431</v>
      </c>
      <c r="AN201" t="s">
        <v>714</v>
      </c>
      <c r="AO201" s="7">
        <v>2008</v>
      </c>
      <c r="AP201" t="s">
        <v>1554</v>
      </c>
      <c r="AQ201" t="s">
        <v>715</v>
      </c>
      <c r="AR201" t="s">
        <v>1559</v>
      </c>
      <c r="AS201" t="s">
        <v>716</v>
      </c>
      <c r="AT201" s="7">
        <v>3.5</v>
      </c>
      <c r="AU201" s="7">
        <v>3</v>
      </c>
      <c r="AV201" s="7">
        <v>3.5</v>
      </c>
      <c r="AW201" s="7">
        <v>3.5</v>
      </c>
      <c r="AX201" s="7">
        <v>3.5</v>
      </c>
      <c r="AY201" s="7">
        <v>3.5</v>
      </c>
      <c r="AZ201" s="7">
        <v>3.5</v>
      </c>
      <c r="BA201" s="7">
        <v>4</v>
      </c>
      <c r="BB201" t="s">
        <v>84</v>
      </c>
      <c r="BC201" s="7">
        <v>600</v>
      </c>
      <c r="BD201" t="s">
        <v>582</v>
      </c>
      <c r="BH201" s="5" t="str">
        <f t="shared" si="7"/>
        <v/>
      </c>
      <c r="BI201" s="5" t="str">
        <f t="shared" si="8"/>
        <v/>
      </c>
    </row>
    <row r="202" spans="21:61" x14ac:dyDescent="0.35">
      <c r="U202" t="s">
        <v>2287</v>
      </c>
      <c r="V202" s="7">
        <v>1989</v>
      </c>
      <c r="W202" t="s">
        <v>1554</v>
      </c>
      <c r="X202" t="s">
        <v>915</v>
      </c>
      <c r="Y202" t="s">
        <v>1557</v>
      </c>
      <c r="Z202" t="s">
        <v>2288</v>
      </c>
      <c r="AA202" s="7">
        <v>2.93</v>
      </c>
      <c r="AB202" s="7">
        <v>2.5</v>
      </c>
      <c r="AC202" s="7">
        <v>2.5</v>
      </c>
      <c r="AD202" s="7">
        <v>3</v>
      </c>
      <c r="AE202" s="7">
        <v>3.5</v>
      </c>
      <c r="AF202" s="7">
        <v>3</v>
      </c>
      <c r="AG202" s="7">
        <v>3</v>
      </c>
      <c r="AH202" s="7">
        <v>3</v>
      </c>
      <c r="AI202" t="s">
        <v>2224</v>
      </c>
      <c r="AJ202" s="7">
        <v>97</v>
      </c>
      <c r="AK202" t="s">
        <v>2400</v>
      </c>
      <c r="AN202" t="s">
        <v>768</v>
      </c>
      <c r="AO202" s="7">
        <v>2008</v>
      </c>
      <c r="AP202" t="s">
        <v>1554</v>
      </c>
      <c r="AQ202" t="s">
        <v>769</v>
      </c>
      <c r="AR202" t="s">
        <v>1559</v>
      </c>
      <c r="AS202" t="s">
        <v>770</v>
      </c>
      <c r="AT202" s="7">
        <v>3.29</v>
      </c>
      <c r="AU202" s="7">
        <v>3</v>
      </c>
      <c r="AV202" s="7">
        <v>3.5</v>
      </c>
      <c r="AW202" s="7">
        <v>3</v>
      </c>
      <c r="AX202" s="7">
        <v>3</v>
      </c>
      <c r="AY202" s="7">
        <v>4</v>
      </c>
      <c r="AZ202" s="7">
        <v>3.5</v>
      </c>
      <c r="BA202" s="7">
        <v>3</v>
      </c>
      <c r="BB202" t="s">
        <v>109</v>
      </c>
      <c r="BC202" s="7">
        <v>650</v>
      </c>
      <c r="BD202" t="s">
        <v>583</v>
      </c>
      <c r="BH202" s="5" t="str">
        <f t="shared" si="7"/>
        <v/>
      </c>
      <c r="BI202" s="5" t="str">
        <f t="shared" si="8"/>
        <v/>
      </c>
    </row>
    <row r="203" spans="21:61" x14ac:dyDescent="0.35">
      <c r="U203" t="s">
        <v>2706</v>
      </c>
      <c r="V203" s="7">
        <v>1989</v>
      </c>
      <c r="W203" t="s">
        <v>1554</v>
      </c>
      <c r="X203" t="s">
        <v>1052</v>
      </c>
      <c r="Y203" t="s">
        <v>2723</v>
      </c>
      <c r="Z203" t="s">
        <v>2724</v>
      </c>
      <c r="AA203" s="7">
        <v>2.29</v>
      </c>
      <c r="AB203" s="7">
        <v>3</v>
      </c>
      <c r="AC203" s="7">
        <v>2.5</v>
      </c>
      <c r="AD203" s="7">
        <v>2.5</v>
      </c>
      <c r="AE203" s="7">
        <v>2</v>
      </c>
      <c r="AF203" s="7">
        <v>2</v>
      </c>
      <c r="AG203" s="7">
        <v>2</v>
      </c>
      <c r="AH203" s="7">
        <v>2</v>
      </c>
      <c r="AI203" t="s">
        <v>113</v>
      </c>
      <c r="AJ203" s="7">
        <v>245</v>
      </c>
      <c r="AK203" t="s">
        <v>2739</v>
      </c>
      <c r="AN203" t="s">
        <v>884</v>
      </c>
      <c r="AO203" s="7">
        <v>2008</v>
      </c>
      <c r="AP203" t="s">
        <v>1554</v>
      </c>
      <c r="AQ203" t="s">
        <v>694</v>
      </c>
      <c r="AR203" t="s">
        <v>1559</v>
      </c>
      <c r="AS203" t="s">
        <v>788</v>
      </c>
      <c r="AT203" s="7">
        <v>2.93</v>
      </c>
      <c r="AU203" s="7">
        <v>3</v>
      </c>
      <c r="AV203" s="7">
        <v>2.5</v>
      </c>
      <c r="AW203" s="7">
        <v>2.5</v>
      </c>
      <c r="AX203" s="7">
        <v>2</v>
      </c>
      <c r="AY203" s="7">
        <v>4</v>
      </c>
      <c r="AZ203" s="7">
        <v>2.5</v>
      </c>
      <c r="BA203" s="7">
        <v>4</v>
      </c>
      <c r="BB203" t="s">
        <v>169</v>
      </c>
      <c r="BC203" s="7">
        <v>300</v>
      </c>
      <c r="BD203" t="s">
        <v>584</v>
      </c>
      <c r="BH203" s="5" t="str">
        <f t="shared" si="7"/>
        <v/>
      </c>
      <c r="BI203" s="5" t="str">
        <f t="shared" si="8"/>
        <v/>
      </c>
    </row>
    <row r="204" spans="21:61" x14ac:dyDescent="0.35">
      <c r="U204" t="s">
        <v>666</v>
      </c>
      <c r="V204" s="7">
        <v>1988</v>
      </c>
      <c r="W204" t="s">
        <v>1554</v>
      </c>
      <c r="X204" t="s">
        <v>667</v>
      </c>
      <c r="Y204" t="s">
        <v>1557</v>
      </c>
      <c r="Z204" t="s">
        <v>668</v>
      </c>
      <c r="AA204" s="7">
        <v>3.14</v>
      </c>
      <c r="AB204" s="7">
        <v>4</v>
      </c>
      <c r="AC204" s="7">
        <v>3.5</v>
      </c>
      <c r="AD204" s="7">
        <v>3.5</v>
      </c>
      <c r="AE204" s="7">
        <v>2.5</v>
      </c>
      <c r="AF204" s="7">
        <v>2</v>
      </c>
      <c r="AG204" s="7">
        <v>2.5</v>
      </c>
      <c r="AH204" s="7">
        <v>4</v>
      </c>
      <c r="AI204" t="s">
        <v>64</v>
      </c>
      <c r="AJ204" s="7">
        <v>124</v>
      </c>
      <c r="AK204" t="s">
        <v>403</v>
      </c>
      <c r="AN204" t="s">
        <v>885</v>
      </c>
      <c r="AO204" s="7">
        <v>2008</v>
      </c>
      <c r="AP204" t="s">
        <v>1554</v>
      </c>
      <c r="AQ204" t="s">
        <v>715</v>
      </c>
      <c r="AR204" t="s">
        <v>1559</v>
      </c>
      <c r="AS204" t="s">
        <v>886</v>
      </c>
      <c r="AT204" s="7">
        <v>2.29</v>
      </c>
      <c r="AU204" s="7">
        <v>3</v>
      </c>
      <c r="AV204" s="7">
        <v>2</v>
      </c>
      <c r="AW204" s="7">
        <v>2</v>
      </c>
      <c r="AX204" s="7">
        <v>2</v>
      </c>
      <c r="AY204" s="7">
        <v>2</v>
      </c>
      <c r="AZ204" s="7">
        <v>3</v>
      </c>
      <c r="BA204" s="7">
        <v>2</v>
      </c>
      <c r="BB204" t="s">
        <v>170</v>
      </c>
      <c r="BC204" s="7">
        <v>340</v>
      </c>
      <c r="BD204" t="s">
        <v>585</v>
      </c>
      <c r="BH204" s="5" t="str">
        <f t="shared" si="7"/>
        <v/>
      </c>
      <c r="BI204" s="5" t="str">
        <f t="shared" si="8"/>
        <v/>
      </c>
    </row>
    <row r="205" spans="21:61" x14ac:dyDescent="0.35">
      <c r="U205" t="s">
        <v>842</v>
      </c>
      <c r="V205" s="7">
        <v>1988</v>
      </c>
      <c r="W205" t="s">
        <v>1554</v>
      </c>
      <c r="X205" t="s">
        <v>747</v>
      </c>
      <c r="Y205" t="s">
        <v>1557</v>
      </c>
      <c r="Z205" t="s">
        <v>843</v>
      </c>
      <c r="AA205" s="7">
        <v>3.29</v>
      </c>
      <c r="AB205" s="7">
        <v>3</v>
      </c>
      <c r="AC205" s="7">
        <v>2.5</v>
      </c>
      <c r="AD205" s="7">
        <v>4</v>
      </c>
      <c r="AE205" s="7">
        <v>4</v>
      </c>
      <c r="AF205" s="7">
        <v>4</v>
      </c>
      <c r="AG205" s="7">
        <v>1.5</v>
      </c>
      <c r="AH205" s="7">
        <v>4</v>
      </c>
      <c r="AI205" t="s">
        <v>145</v>
      </c>
      <c r="AJ205" s="7">
        <v>89</v>
      </c>
      <c r="AK205" t="s">
        <v>426</v>
      </c>
      <c r="AN205" t="s">
        <v>887</v>
      </c>
      <c r="AO205" s="7">
        <v>2008</v>
      </c>
      <c r="AP205" t="s">
        <v>1554</v>
      </c>
      <c r="AQ205" t="s">
        <v>888</v>
      </c>
      <c r="AR205" t="s">
        <v>1559</v>
      </c>
      <c r="AS205" t="s">
        <v>889</v>
      </c>
      <c r="AT205" s="7">
        <v>1.29</v>
      </c>
      <c r="AU205" s="7">
        <v>1</v>
      </c>
      <c r="AV205" s="7">
        <v>1</v>
      </c>
      <c r="AW205" s="7">
        <v>2</v>
      </c>
      <c r="AX205" s="7">
        <v>1</v>
      </c>
      <c r="AY205" s="7">
        <v>1</v>
      </c>
      <c r="AZ205" s="7">
        <v>2</v>
      </c>
      <c r="BA205" s="7">
        <v>1</v>
      </c>
      <c r="BB205" t="s">
        <v>171</v>
      </c>
      <c r="BC205" s="7">
        <v>300</v>
      </c>
      <c r="BD205" t="s">
        <v>586</v>
      </c>
      <c r="BH205" s="5" t="str">
        <f t="shared" si="7"/>
        <v/>
      </c>
      <c r="BI205" s="5" t="str">
        <f t="shared" si="8"/>
        <v/>
      </c>
    </row>
    <row r="206" spans="21:61" x14ac:dyDescent="0.35">
      <c r="U206" t="s">
        <v>962</v>
      </c>
      <c r="V206" s="7">
        <v>1988</v>
      </c>
      <c r="W206" t="s">
        <v>1554</v>
      </c>
      <c r="X206" t="s">
        <v>747</v>
      </c>
      <c r="Y206" t="s">
        <v>1557</v>
      </c>
      <c r="Z206" t="s">
        <v>748</v>
      </c>
      <c r="AA206" s="7">
        <v>3.86</v>
      </c>
      <c r="AB206" s="7">
        <v>3.5</v>
      </c>
      <c r="AC206" s="7">
        <v>3.5</v>
      </c>
      <c r="AD206" s="7">
        <v>4</v>
      </c>
      <c r="AE206" s="7">
        <v>3.5</v>
      </c>
      <c r="AF206" s="7">
        <v>3.5</v>
      </c>
      <c r="AG206" s="7">
        <v>4</v>
      </c>
      <c r="AH206" s="7">
        <v>5</v>
      </c>
      <c r="AI206" t="s">
        <v>195</v>
      </c>
      <c r="AJ206" s="7">
        <v>86</v>
      </c>
      <c r="AK206" t="s">
        <v>447</v>
      </c>
      <c r="AN206" t="s">
        <v>917</v>
      </c>
      <c r="AO206" s="7">
        <v>2008</v>
      </c>
      <c r="AP206" t="s">
        <v>1554</v>
      </c>
      <c r="AQ206" t="s">
        <v>915</v>
      </c>
      <c r="AR206" t="s">
        <v>1560</v>
      </c>
      <c r="AS206" t="s">
        <v>918</v>
      </c>
      <c r="AT206" s="7">
        <v>2.4300000000000002</v>
      </c>
      <c r="AU206" s="7">
        <v>3</v>
      </c>
      <c r="AV206" s="7">
        <v>3</v>
      </c>
      <c r="AW206" s="7">
        <v>3</v>
      </c>
      <c r="AX206" s="7">
        <v>1.5</v>
      </c>
      <c r="AY206" s="7">
        <v>2</v>
      </c>
      <c r="AZ206" s="7">
        <v>1.5</v>
      </c>
      <c r="BA206" s="7">
        <v>3</v>
      </c>
      <c r="BB206" t="s">
        <v>186</v>
      </c>
      <c r="BC206" s="7">
        <v>80</v>
      </c>
      <c r="BD206" t="s">
        <v>587</v>
      </c>
      <c r="BH206" s="5" t="str">
        <f t="shared" si="7"/>
        <v/>
      </c>
      <c r="BI206" s="5" t="str">
        <f t="shared" si="8"/>
        <v/>
      </c>
    </row>
    <row r="207" spans="21:61" x14ac:dyDescent="0.35">
      <c r="U207" t="s">
        <v>920</v>
      </c>
      <c r="V207" s="7">
        <v>1987</v>
      </c>
      <c r="W207" t="s">
        <v>1554</v>
      </c>
      <c r="X207" t="s">
        <v>915</v>
      </c>
      <c r="Y207" t="s">
        <v>1557</v>
      </c>
      <c r="Z207" t="s">
        <v>921</v>
      </c>
      <c r="AA207" s="7">
        <v>3</v>
      </c>
      <c r="AB207" s="7">
        <v>3.5</v>
      </c>
      <c r="AC207" s="7">
        <v>3</v>
      </c>
      <c r="AD207" s="7">
        <v>3.5</v>
      </c>
      <c r="AE207" s="7">
        <v>2</v>
      </c>
      <c r="AF207" s="7">
        <v>2.5</v>
      </c>
      <c r="AG207" s="7">
        <v>3.5</v>
      </c>
      <c r="AH207" s="7">
        <v>3</v>
      </c>
      <c r="AI207" t="s">
        <v>185</v>
      </c>
      <c r="AJ207" s="7">
        <v>73</v>
      </c>
      <c r="AK207" t="s">
        <v>438</v>
      </c>
      <c r="AN207" t="s">
        <v>1402</v>
      </c>
      <c r="AO207" s="7">
        <v>2008</v>
      </c>
      <c r="AP207" t="s">
        <v>1554</v>
      </c>
      <c r="AQ207" t="s">
        <v>888</v>
      </c>
      <c r="AR207" t="s">
        <v>1559</v>
      </c>
      <c r="AS207" t="s">
        <v>1455</v>
      </c>
      <c r="AT207" s="7">
        <v>3.21</v>
      </c>
      <c r="AU207" s="7">
        <v>3</v>
      </c>
      <c r="AV207" s="7">
        <v>3</v>
      </c>
      <c r="AW207" s="7">
        <v>3</v>
      </c>
      <c r="AX207" s="7">
        <v>3.5</v>
      </c>
      <c r="AY207" s="7">
        <v>3.5</v>
      </c>
      <c r="AZ207" s="7">
        <v>3</v>
      </c>
      <c r="BA207" s="7">
        <v>3.5</v>
      </c>
      <c r="BB207" t="s">
        <v>1349</v>
      </c>
      <c r="BC207" s="7">
        <v>300</v>
      </c>
      <c r="BD207" t="s">
        <v>1515</v>
      </c>
      <c r="BH207" s="5" t="str">
        <f t="shared" si="7"/>
        <v/>
      </c>
      <c r="BI207" s="5" t="str">
        <f t="shared" si="8"/>
        <v/>
      </c>
    </row>
    <row r="208" spans="21:61" x14ac:dyDescent="0.35">
      <c r="U208" t="s">
        <v>1403</v>
      </c>
      <c r="V208" s="7">
        <v>1987</v>
      </c>
      <c r="W208" t="s">
        <v>1554</v>
      </c>
      <c r="X208" t="s">
        <v>1430</v>
      </c>
      <c r="Y208" t="s">
        <v>1555</v>
      </c>
      <c r="Z208" t="s">
        <v>1350</v>
      </c>
      <c r="AA208" s="7">
        <v>3.71</v>
      </c>
      <c r="AB208" s="7">
        <v>4</v>
      </c>
      <c r="AC208" s="7">
        <v>4</v>
      </c>
      <c r="AD208" s="7">
        <v>3.5</v>
      </c>
      <c r="AE208" s="7">
        <v>3</v>
      </c>
      <c r="AF208" s="7">
        <v>3.5</v>
      </c>
      <c r="AG208" s="7">
        <v>3.5</v>
      </c>
      <c r="AH208" s="7">
        <v>4.5</v>
      </c>
      <c r="AI208" t="s">
        <v>1351</v>
      </c>
      <c r="AJ208" s="7">
        <v>90</v>
      </c>
      <c r="AK208" t="s">
        <v>1490</v>
      </c>
      <c r="AN208" t="s">
        <v>1057</v>
      </c>
      <c r="AO208" s="7">
        <v>2008</v>
      </c>
      <c r="AP208" t="s">
        <v>1554</v>
      </c>
      <c r="AQ208" t="s">
        <v>734</v>
      </c>
      <c r="AR208" t="s">
        <v>1559</v>
      </c>
      <c r="AS208" t="s">
        <v>1058</v>
      </c>
      <c r="AT208" s="7">
        <v>3.93</v>
      </c>
      <c r="AU208" s="7">
        <v>4</v>
      </c>
      <c r="AV208" s="7">
        <v>4</v>
      </c>
      <c r="AW208" s="7">
        <v>4.5</v>
      </c>
      <c r="AX208" s="7">
        <v>3</v>
      </c>
      <c r="AY208" s="7">
        <v>3</v>
      </c>
      <c r="AZ208" s="7">
        <v>4</v>
      </c>
      <c r="BA208" s="7">
        <v>5</v>
      </c>
      <c r="BB208" t="s">
        <v>248</v>
      </c>
      <c r="BC208" s="7">
        <v>1275</v>
      </c>
      <c r="BD208" t="s">
        <v>588</v>
      </c>
      <c r="BH208" s="5" t="str">
        <f t="shared" si="7"/>
        <v/>
      </c>
      <c r="BI208" s="5" t="str">
        <f t="shared" si="8"/>
        <v/>
      </c>
    </row>
    <row r="209" spans="21:61" x14ac:dyDescent="0.35">
      <c r="U209" t="s">
        <v>2074</v>
      </c>
      <c r="V209" s="7">
        <v>1986</v>
      </c>
      <c r="W209" t="s">
        <v>1554</v>
      </c>
      <c r="X209" t="s">
        <v>759</v>
      </c>
      <c r="Y209" t="s">
        <v>1557</v>
      </c>
      <c r="Z209" t="s">
        <v>2075</v>
      </c>
      <c r="AA209" s="7">
        <v>2.79</v>
      </c>
      <c r="AB209" s="7">
        <v>2.5</v>
      </c>
      <c r="AC209" s="7">
        <v>2.5</v>
      </c>
      <c r="AD209" s="7">
        <v>3</v>
      </c>
      <c r="AE209" s="7">
        <v>2.5</v>
      </c>
      <c r="AF209" s="7">
        <v>2.5</v>
      </c>
      <c r="AG209" s="7">
        <v>3</v>
      </c>
      <c r="AH209" s="7">
        <v>3.5</v>
      </c>
      <c r="AI209" t="s">
        <v>130</v>
      </c>
      <c r="AJ209" s="7">
        <v>118</v>
      </c>
      <c r="AK209" t="s">
        <v>2130</v>
      </c>
      <c r="AN209" t="s">
        <v>1060</v>
      </c>
      <c r="AO209" s="7">
        <v>2008</v>
      </c>
      <c r="AP209" t="s">
        <v>1554</v>
      </c>
      <c r="AQ209" t="s">
        <v>1061</v>
      </c>
      <c r="AR209" t="s">
        <v>1559</v>
      </c>
      <c r="AS209" t="s">
        <v>1062</v>
      </c>
      <c r="AT209" s="7">
        <v>4</v>
      </c>
      <c r="AU209" s="7">
        <v>3</v>
      </c>
      <c r="AV209" s="7">
        <v>3.5</v>
      </c>
      <c r="AW209" s="7">
        <v>4</v>
      </c>
      <c r="AX209" s="7">
        <v>5</v>
      </c>
      <c r="AY209" s="7">
        <v>3.5</v>
      </c>
      <c r="AZ209" s="7">
        <v>4</v>
      </c>
      <c r="BA209" s="7">
        <v>5</v>
      </c>
      <c r="BB209" t="s">
        <v>251</v>
      </c>
      <c r="BC209" s="7">
        <v>630</v>
      </c>
      <c r="BD209" t="s">
        <v>589</v>
      </c>
      <c r="BH209" s="5" t="str">
        <f t="shared" si="7"/>
        <v/>
      </c>
      <c r="BI209" s="5" t="str">
        <f t="shared" si="8"/>
        <v/>
      </c>
    </row>
    <row r="210" spans="21:61" x14ac:dyDescent="0.35">
      <c r="U210" t="s">
        <v>693</v>
      </c>
      <c r="V210" s="7">
        <v>1986</v>
      </c>
      <c r="W210" t="s">
        <v>1554</v>
      </c>
      <c r="X210" t="s">
        <v>694</v>
      </c>
      <c r="Y210" t="s">
        <v>1557</v>
      </c>
      <c r="Z210" t="s">
        <v>695</v>
      </c>
      <c r="AA210" s="7">
        <v>2.29</v>
      </c>
      <c r="AB210" s="7">
        <v>2</v>
      </c>
      <c r="AC210" s="7">
        <v>2.5</v>
      </c>
      <c r="AD210" s="7">
        <v>2</v>
      </c>
      <c r="AE210" s="7">
        <v>1</v>
      </c>
      <c r="AF210" s="7">
        <v>3</v>
      </c>
      <c r="AG210" s="7">
        <v>2.5</v>
      </c>
      <c r="AH210" s="7">
        <v>3</v>
      </c>
      <c r="AI210" t="s">
        <v>336</v>
      </c>
      <c r="AJ210" s="7">
        <v>85</v>
      </c>
      <c r="AK210" t="s">
        <v>406</v>
      </c>
      <c r="AN210" t="s">
        <v>1966</v>
      </c>
      <c r="AO210" s="7">
        <v>2008</v>
      </c>
      <c r="AP210" t="s">
        <v>1554</v>
      </c>
      <c r="AQ210" t="s">
        <v>888</v>
      </c>
      <c r="AR210" t="s">
        <v>1559</v>
      </c>
      <c r="AS210" t="s">
        <v>1978</v>
      </c>
      <c r="AT210" s="7">
        <v>2.86</v>
      </c>
      <c r="AU210" s="7">
        <v>3</v>
      </c>
      <c r="AV210" s="7">
        <v>2.5</v>
      </c>
      <c r="AW210" s="7">
        <v>3.5</v>
      </c>
      <c r="AX210" s="7">
        <v>2.5</v>
      </c>
      <c r="AY210" s="7">
        <v>1.5</v>
      </c>
      <c r="AZ210" s="7">
        <v>3.5</v>
      </c>
      <c r="BA210" s="7">
        <v>3.5</v>
      </c>
      <c r="BB210" t="s">
        <v>1952</v>
      </c>
      <c r="BC210" s="7">
        <v>650</v>
      </c>
      <c r="BD210" t="s">
        <v>1996</v>
      </c>
      <c r="BH210" s="5" t="str">
        <f t="shared" si="7"/>
        <v/>
      </c>
      <c r="BI210" s="5" t="str">
        <f t="shared" si="8"/>
        <v/>
      </c>
    </row>
    <row r="211" spans="21:61" x14ac:dyDescent="0.35">
      <c r="U211" t="s">
        <v>746</v>
      </c>
      <c r="V211" s="7">
        <v>1986</v>
      </c>
      <c r="W211" t="s">
        <v>1554</v>
      </c>
      <c r="X211" t="s">
        <v>747</v>
      </c>
      <c r="Y211" t="s">
        <v>1557</v>
      </c>
      <c r="Z211" t="s">
        <v>748</v>
      </c>
      <c r="AA211" s="7">
        <v>4</v>
      </c>
      <c r="AB211" s="7">
        <v>3.5</v>
      </c>
      <c r="AC211" s="7">
        <v>3.5</v>
      </c>
      <c r="AD211" s="7">
        <v>4.5</v>
      </c>
      <c r="AE211" s="7">
        <v>3.5</v>
      </c>
      <c r="AF211" s="7">
        <v>4</v>
      </c>
      <c r="AG211" s="7">
        <v>4</v>
      </c>
      <c r="AH211" s="7">
        <v>5</v>
      </c>
      <c r="AI211" t="s">
        <v>97</v>
      </c>
      <c r="AJ211" s="7">
        <v>126</v>
      </c>
      <c r="AK211" t="s">
        <v>414</v>
      </c>
      <c r="AN211" t="s">
        <v>1141</v>
      </c>
      <c r="AO211" s="7">
        <v>2008</v>
      </c>
      <c r="AP211" t="s">
        <v>1554</v>
      </c>
      <c r="AQ211" t="s">
        <v>670</v>
      </c>
      <c r="AR211" t="s">
        <v>1559</v>
      </c>
      <c r="AS211" t="s">
        <v>1142</v>
      </c>
      <c r="AT211" s="7">
        <v>3.93</v>
      </c>
      <c r="AU211" s="7">
        <v>3.5</v>
      </c>
      <c r="AV211" s="7">
        <v>3.5</v>
      </c>
      <c r="AW211" s="7">
        <v>4</v>
      </c>
      <c r="AX211" s="7">
        <v>4</v>
      </c>
      <c r="AY211" s="7">
        <v>4</v>
      </c>
      <c r="AZ211" s="7">
        <v>4.5</v>
      </c>
      <c r="BA211" s="7">
        <v>4</v>
      </c>
      <c r="BB211" t="s">
        <v>170</v>
      </c>
      <c r="BC211" s="7">
        <v>625</v>
      </c>
      <c r="BD211" t="s">
        <v>590</v>
      </c>
      <c r="BH211" s="5" t="str">
        <f t="shared" si="7"/>
        <v/>
      </c>
      <c r="BI211" s="5" t="str">
        <f t="shared" si="8"/>
        <v/>
      </c>
    </row>
    <row r="212" spans="21:61" x14ac:dyDescent="0.35">
      <c r="U212" t="s">
        <v>2179</v>
      </c>
      <c r="V212" s="7">
        <v>1986</v>
      </c>
      <c r="W212" t="s">
        <v>1554</v>
      </c>
      <c r="X212" t="s">
        <v>1430</v>
      </c>
      <c r="Y212" t="s">
        <v>1557</v>
      </c>
      <c r="Z212" t="s">
        <v>2180</v>
      </c>
      <c r="AA212" s="7">
        <v>3.14</v>
      </c>
      <c r="AB212" s="7">
        <v>3</v>
      </c>
      <c r="AC212" s="7">
        <v>3</v>
      </c>
      <c r="AD212" s="7">
        <v>4</v>
      </c>
      <c r="AE212" s="7">
        <v>2.5</v>
      </c>
      <c r="AF212" s="7">
        <v>2.5</v>
      </c>
      <c r="AG212" s="7">
        <v>4</v>
      </c>
      <c r="AH212" s="7">
        <v>3</v>
      </c>
      <c r="AI212" t="s">
        <v>199</v>
      </c>
      <c r="AJ212" s="7">
        <v>84</v>
      </c>
      <c r="AK212" t="s">
        <v>2195</v>
      </c>
      <c r="AN212" t="s">
        <v>663</v>
      </c>
      <c r="AO212" s="7">
        <v>2007</v>
      </c>
      <c r="AP212" t="s">
        <v>1554</v>
      </c>
      <c r="AQ212" t="s">
        <v>664</v>
      </c>
      <c r="AR212" t="s">
        <v>1559</v>
      </c>
      <c r="AS212" t="s">
        <v>61</v>
      </c>
      <c r="AT212" s="7">
        <v>3.93</v>
      </c>
      <c r="AU212" s="7">
        <v>3.5</v>
      </c>
      <c r="AV212" s="7">
        <v>4.5</v>
      </c>
      <c r="AW212" s="7">
        <v>4.5</v>
      </c>
      <c r="AX212" s="7">
        <v>4.5</v>
      </c>
      <c r="AY212" s="7">
        <v>3</v>
      </c>
      <c r="AZ212" s="7">
        <v>3.5</v>
      </c>
      <c r="BA212" s="7">
        <v>4</v>
      </c>
      <c r="BB212" t="s">
        <v>62</v>
      </c>
      <c r="BC212" s="7">
        <v>125</v>
      </c>
      <c r="BD212" t="s">
        <v>591</v>
      </c>
      <c r="BH212" s="5" t="str">
        <f t="shared" si="7"/>
        <v/>
      </c>
      <c r="BI212" s="5" t="str">
        <f t="shared" si="8"/>
        <v/>
      </c>
    </row>
    <row r="213" spans="21:61" x14ac:dyDescent="0.35">
      <c r="U213" t="s">
        <v>974</v>
      </c>
      <c r="V213" s="7">
        <v>1985</v>
      </c>
      <c r="W213" t="s">
        <v>1554</v>
      </c>
      <c r="X213" t="s">
        <v>728</v>
      </c>
      <c r="Y213" t="s">
        <v>1557</v>
      </c>
      <c r="Z213" t="s">
        <v>975</v>
      </c>
      <c r="AA213" s="7">
        <v>3.36</v>
      </c>
      <c r="AB213" s="7">
        <v>2.5</v>
      </c>
      <c r="AC213" s="7">
        <v>4</v>
      </c>
      <c r="AD213" s="7">
        <v>4</v>
      </c>
      <c r="AE213" s="7">
        <v>2.5</v>
      </c>
      <c r="AF213" s="7">
        <v>3.5</v>
      </c>
      <c r="AG213" s="7">
        <v>2.5</v>
      </c>
      <c r="AH213" s="7">
        <v>4.5</v>
      </c>
      <c r="AI213" t="s">
        <v>212</v>
      </c>
      <c r="AJ213" s="7">
        <v>105</v>
      </c>
      <c r="AK213" t="s">
        <v>451</v>
      </c>
      <c r="AN213" t="s">
        <v>685</v>
      </c>
      <c r="AO213" s="7">
        <v>2007</v>
      </c>
      <c r="AP213" t="s">
        <v>1554</v>
      </c>
      <c r="AQ213" t="s">
        <v>686</v>
      </c>
      <c r="AR213" t="s">
        <v>1559</v>
      </c>
      <c r="AS213" t="s">
        <v>687</v>
      </c>
      <c r="AT213" s="7">
        <v>4.07</v>
      </c>
      <c r="AU213" s="7">
        <v>3.5</v>
      </c>
      <c r="AV213" s="7">
        <v>3.5</v>
      </c>
      <c r="AW213" s="7">
        <v>4.5</v>
      </c>
      <c r="AX213" s="7">
        <v>4</v>
      </c>
      <c r="AY213" s="7">
        <v>3.5</v>
      </c>
      <c r="AZ213" s="7">
        <v>4.5</v>
      </c>
      <c r="BA213" s="7">
        <v>5</v>
      </c>
      <c r="BB213" t="s">
        <v>72</v>
      </c>
      <c r="BC213" s="7">
        <v>400</v>
      </c>
      <c r="BD213" t="s">
        <v>592</v>
      </c>
      <c r="BH213" s="5" t="str">
        <f t="shared" si="7"/>
        <v/>
      </c>
      <c r="BI213" s="5" t="str">
        <f t="shared" si="8"/>
        <v/>
      </c>
    </row>
    <row r="214" spans="21:61" x14ac:dyDescent="0.35">
      <c r="U214" t="s">
        <v>1155</v>
      </c>
      <c r="V214" s="7">
        <v>1985</v>
      </c>
      <c r="W214" t="s">
        <v>1554</v>
      </c>
      <c r="X214" t="s">
        <v>1156</v>
      </c>
      <c r="Y214" t="s">
        <v>1557</v>
      </c>
      <c r="Z214" t="s">
        <v>1157</v>
      </c>
      <c r="AA214" s="7">
        <v>2.4300000000000002</v>
      </c>
      <c r="AB214" s="7">
        <v>1.5</v>
      </c>
      <c r="AC214" s="7">
        <v>2.5</v>
      </c>
      <c r="AD214" s="7">
        <v>3</v>
      </c>
      <c r="AE214" s="7">
        <v>2</v>
      </c>
      <c r="AF214" s="7">
        <v>2.5</v>
      </c>
      <c r="AG214" s="7">
        <v>2.5</v>
      </c>
      <c r="AH214" s="7">
        <v>3</v>
      </c>
      <c r="AI214" t="s">
        <v>77</v>
      </c>
      <c r="AJ214" s="7">
        <v>80</v>
      </c>
      <c r="AK214" t="s">
        <v>496</v>
      </c>
      <c r="AN214" t="s">
        <v>1784</v>
      </c>
      <c r="AO214" s="7">
        <v>2007</v>
      </c>
      <c r="AP214" t="s">
        <v>1554</v>
      </c>
      <c r="AQ214" t="s">
        <v>1156</v>
      </c>
      <c r="AR214" t="s">
        <v>1559</v>
      </c>
      <c r="AS214" t="s">
        <v>1785</v>
      </c>
      <c r="AT214" s="7">
        <v>2.57</v>
      </c>
      <c r="AU214" s="7">
        <v>2.5</v>
      </c>
      <c r="AV214" s="7">
        <v>2.5</v>
      </c>
      <c r="AW214" s="7">
        <v>2.5</v>
      </c>
      <c r="AX214" s="7">
        <v>3</v>
      </c>
      <c r="AY214" s="7">
        <v>2.5</v>
      </c>
      <c r="AZ214" s="7">
        <v>2.5</v>
      </c>
      <c r="BA214" s="7">
        <v>2.5</v>
      </c>
      <c r="BB214" t="s">
        <v>1757</v>
      </c>
      <c r="BC214" s="7">
        <v>325</v>
      </c>
      <c r="BD214" t="s">
        <v>1861</v>
      </c>
      <c r="BH214" s="5" t="str">
        <f t="shared" si="7"/>
        <v/>
      </c>
      <c r="BI214" s="5" t="str">
        <f t="shared" si="8"/>
        <v/>
      </c>
    </row>
    <row r="215" spans="21:61" x14ac:dyDescent="0.35">
      <c r="U215" t="s">
        <v>968</v>
      </c>
      <c r="V215" s="7">
        <v>1984</v>
      </c>
      <c r="W215" t="s">
        <v>1554</v>
      </c>
      <c r="X215" t="s">
        <v>747</v>
      </c>
      <c r="Y215" t="s">
        <v>1557</v>
      </c>
      <c r="Z215" t="s">
        <v>969</v>
      </c>
      <c r="AA215" s="7">
        <v>3.57</v>
      </c>
      <c r="AB215" s="7">
        <v>3</v>
      </c>
      <c r="AC215" s="7">
        <v>3</v>
      </c>
      <c r="AD215" s="7">
        <v>4</v>
      </c>
      <c r="AE215" s="7">
        <v>3.5</v>
      </c>
      <c r="AF215" s="7">
        <v>4</v>
      </c>
      <c r="AG215" s="7">
        <v>3</v>
      </c>
      <c r="AH215" s="7">
        <v>4.5</v>
      </c>
      <c r="AI215" t="s">
        <v>209</v>
      </c>
      <c r="AJ215" s="7">
        <v>117</v>
      </c>
      <c r="AK215" t="s">
        <v>450</v>
      </c>
      <c r="AN215" t="s">
        <v>1958</v>
      </c>
      <c r="AO215" s="7">
        <v>2007</v>
      </c>
      <c r="AP215" t="s">
        <v>1554</v>
      </c>
      <c r="AQ215" t="s">
        <v>694</v>
      </c>
      <c r="AR215" t="s">
        <v>1559</v>
      </c>
      <c r="AS215" t="s">
        <v>1973</v>
      </c>
      <c r="AT215" s="7">
        <v>3.14</v>
      </c>
      <c r="AU215" s="7">
        <v>2</v>
      </c>
      <c r="AV215" s="7">
        <v>3</v>
      </c>
      <c r="AW215" s="7">
        <v>3.5</v>
      </c>
      <c r="AX215" s="7">
        <v>3</v>
      </c>
      <c r="AY215" s="7">
        <v>3.5</v>
      </c>
      <c r="AZ215" s="7">
        <v>3.5</v>
      </c>
      <c r="BA215" s="7">
        <v>3.5</v>
      </c>
      <c r="BB215" t="s">
        <v>1341</v>
      </c>
      <c r="BC215" s="7">
        <v>650</v>
      </c>
      <c r="BD215" t="s">
        <v>1997</v>
      </c>
      <c r="BH215" s="5" t="str">
        <f t="shared" si="7"/>
        <v/>
      </c>
      <c r="BI215" s="5" t="str">
        <f t="shared" si="8"/>
        <v/>
      </c>
    </row>
    <row r="216" spans="21:61" x14ac:dyDescent="0.35">
      <c r="U216" t="s">
        <v>1154</v>
      </c>
      <c r="V216" s="7">
        <v>1984</v>
      </c>
      <c r="W216" t="s">
        <v>1554</v>
      </c>
      <c r="X216" t="s">
        <v>1104</v>
      </c>
      <c r="Y216" t="s">
        <v>1557</v>
      </c>
      <c r="Z216" t="s">
        <v>836</v>
      </c>
      <c r="AA216" s="7">
        <v>2.4300000000000002</v>
      </c>
      <c r="AB216" s="7">
        <v>2</v>
      </c>
      <c r="AC216" s="7">
        <v>2</v>
      </c>
      <c r="AD216" s="7">
        <v>2.5</v>
      </c>
      <c r="AE216" s="7">
        <v>2.5</v>
      </c>
      <c r="AF216" s="7">
        <v>2.5</v>
      </c>
      <c r="AG216" s="7">
        <v>2.5</v>
      </c>
      <c r="AH216" s="7">
        <v>3</v>
      </c>
      <c r="AI216" t="s">
        <v>302</v>
      </c>
      <c r="AJ216" s="7">
        <v>97</v>
      </c>
      <c r="AK216" t="s">
        <v>495</v>
      </c>
      <c r="AN216" t="s">
        <v>869</v>
      </c>
      <c r="AO216" s="7">
        <v>2007</v>
      </c>
      <c r="AP216" t="s">
        <v>1554</v>
      </c>
      <c r="AQ216" t="s">
        <v>870</v>
      </c>
      <c r="AR216" t="s">
        <v>1560</v>
      </c>
      <c r="AS216" t="s">
        <v>871</v>
      </c>
      <c r="AT216" s="7">
        <v>1.5</v>
      </c>
      <c r="AU216" s="7">
        <v>1.5</v>
      </c>
      <c r="AV216" s="7">
        <v>2</v>
      </c>
      <c r="AW216" s="7">
        <v>1.5</v>
      </c>
      <c r="AX216" s="7">
        <v>2</v>
      </c>
      <c r="AY216" s="7">
        <v>1</v>
      </c>
      <c r="AZ216" s="7">
        <v>1.5</v>
      </c>
      <c r="BA216" s="7">
        <v>1</v>
      </c>
      <c r="BB216" t="s">
        <v>171</v>
      </c>
      <c r="BC216" s="7">
        <v>90</v>
      </c>
      <c r="BD216" t="s">
        <v>593</v>
      </c>
      <c r="BH216" s="5" t="str">
        <f t="shared" si="7"/>
        <v/>
      </c>
      <c r="BI216" s="5" t="str">
        <f t="shared" si="8"/>
        <v/>
      </c>
    </row>
    <row r="217" spans="21:61" x14ac:dyDescent="0.35">
      <c r="U217" t="s">
        <v>690</v>
      </c>
      <c r="V217" s="7">
        <v>1983</v>
      </c>
      <c r="W217" t="s">
        <v>1554</v>
      </c>
      <c r="X217" t="s">
        <v>691</v>
      </c>
      <c r="Y217" t="s">
        <v>1557</v>
      </c>
      <c r="Z217" t="s">
        <v>692</v>
      </c>
      <c r="AA217" s="7">
        <v>2.5</v>
      </c>
      <c r="AB217" s="7">
        <v>2.5</v>
      </c>
      <c r="AC217" s="7">
        <v>2.5</v>
      </c>
      <c r="AD217" s="7">
        <v>2.5</v>
      </c>
      <c r="AE217" s="7">
        <v>1</v>
      </c>
      <c r="AF217" s="7">
        <v>3</v>
      </c>
      <c r="AG217" s="7">
        <v>2.5</v>
      </c>
      <c r="AH217" s="7">
        <v>3.5</v>
      </c>
      <c r="AI217" t="s">
        <v>335</v>
      </c>
      <c r="AJ217" s="7">
        <v>85</v>
      </c>
      <c r="AK217" t="s">
        <v>405</v>
      </c>
      <c r="AN217" t="s">
        <v>1597</v>
      </c>
      <c r="AO217" s="7">
        <v>2007</v>
      </c>
      <c r="AP217" t="s">
        <v>1554</v>
      </c>
      <c r="AQ217" t="s">
        <v>681</v>
      </c>
      <c r="AR217" t="s">
        <v>1559</v>
      </c>
      <c r="AS217" t="s">
        <v>682</v>
      </c>
      <c r="AT217" s="7">
        <v>3.5</v>
      </c>
      <c r="AU217" s="7">
        <v>3.5</v>
      </c>
      <c r="AV217" s="7">
        <v>3.5</v>
      </c>
      <c r="AW217" s="7">
        <v>3.5</v>
      </c>
      <c r="AX217" s="7">
        <v>3.5</v>
      </c>
      <c r="AY217" s="7">
        <v>4</v>
      </c>
      <c r="AZ217" s="7">
        <v>3</v>
      </c>
      <c r="BA217" s="7">
        <v>3.5</v>
      </c>
      <c r="BB217" t="s">
        <v>1542</v>
      </c>
      <c r="BC217" s="7">
        <v>300</v>
      </c>
      <c r="BD217" t="s">
        <v>1654</v>
      </c>
      <c r="BH217" s="5" t="str">
        <f t="shared" si="7"/>
        <v/>
      </c>
      <c r="BI217" s="5" t="str">
        <f t="shared" si="8"/>
        <v/>
      </c>
    </row>
    <row r="218" spans="21:61" x14ac:dyDescent="0.35">
      <c r="U218" t="s">
        <v>1152</v>
      </c>
      <c r="V218" s="7">
        <v>1983</v>
      </c>
      <c r="W218" t="s">
        <v>1554</v>
      </c>
      <c r="X218" t="s">
        <v>1032</v>
      </c>
      <c r="Y218" t="s">
        <v>1557</v>
      </c>
      <c r="Z218" t="s">
        <v>1153</v>
      </c>
      <c r="AA218" s="7">
        <v>1.86</v>
      </c>
      <c r="AB218" s="7">
        <v>2</v>
      </c>
      <c r="AC218" s="7">
        <v>3</v>
      </c>
      <c r="AD218" s="7">
        <v>1.5</v>
      </c>
      <c r="AE218" s="7">
        <v>1.5</v>
      </c>
      <c r="AF218" s="7">
        <v>1.5</v>
      </c>
      <c r="AG218" s="7">
        <v>1.5</v>
      </c>
      <c r="AH218" s="7">
        <v>2</v>
      </c>
      <c r="AI218" t="s">
        <v>240</v>
      </c>
      <c r="AJ218" s="7">
        <v>91</v>
      </c>
      <c r="AK218" t="s">
        <v>494</v>
      </c>
      <c r="AN218" t="s">
        <v>992</v>
      </c>
      <c r="AO218" s="7">
        <v>2007</v>
      </c>
      <c r="AP218" t="s">
        <v>1554</v>
      </c>
      <c r="AQ218" t="s">
        <v>694</v>
      </c>
      <c r="AR218" t="s">
        <v>1559</v>
      </c>
      <c r="AS218" t="s">
        <v>993</v>
      </c>
      <c r="AT218" s="7">
        <v>2.29</v>
      </c>
      <c r="AU218" s="7">
        <v>2</v>
      </c>
      <c r="AV218" s="7">
        <v>2.5</v>
      </c>
      <c r="AW218" s="7">
        <v>3.5</v>
      </c>
      <c r="AX218" s="7">
        <v>2.5</v>
      </c>
      <c r="AY218" s="7">
        <v>1.5</v>
      </c>
      <c r="AZ218" s="7">
        <v>3</v>
      </c>
      <c r="BA218" s="7">
        <v>1</v>
      </c>
      <c r="BB218" t="s">
        <v>219</v>
      </c>
      <c r="BC218" s="7">
        <v>650</v>
      </c>
      <c r="BD218" t="s">
        <v>594</v>
      </c>
      <c r="BH218" s="5" t="str">
        <f t="shared" si="7"/>
        <v/>
      </c>
      <c r="BI218" s="5" t="str">
        <f t="shared" si="8"/>
        <v/>
      </c>
    </row>
    <row r="219" spans="21:61" x14ac:dyDescent="0.35">
      <c r="U219" t="s">
        <v>1955</v>
      </c>
      <c r="V219" s="7">
        <v>1982</v>
      </c>
      <c r="W219" t="s">
        <v>1554</v>
      </c>
      <c r="X219" t="s">
        <v>681</v>
      </c>
      <c r="Y219" t="s">
        <v>1557</v>
      </c>
      <c r="Z219" t="s">
        <v>1971</v>
      </c>
      <c r="AA219" s="7">
        <v>2.5</v>
      </c>
      <c r="AB219" s="7">
        <v>2</v>
      </c>
      <c r="AC219" s="7">
        <v>2.5</v>
      </c>
      <c r="AD219" s="7">
        <v>3.5</v>
      </c>
      <c r="AE219" s="7">
        <v>3</v>
      </c>
      <c r="AF219" s="7">
        <v>2</v>
      </c>
      <c r="AG219" s="7">
        <v>2</v>
      </c>
      <c r="AH219" s="7">
        <v>2.5</v>
      </c>
      <c r="AI219" t="s">
        <v>1944</v>
      </c>
      <c r="AJ219" s="7">
        <v>130</v>
      </c>
      <c r="AK219" t="s">
        <v>1987</v>
      </c>
      <c r="AN219" t="s">
        <v>1399</v>
      </c>
      <c r="AO219" s="7">
        <v>2007</v>
      </c>
      <c r="AP219" t="s">
        <v>1554</v>
      </c>
      <c r="AQ219" t="s">
        <v>694</v>
      </c>
      <c r="AR219" t="s">
        <v>1559</v>
      </c>
      <c r="AS219" t="s">
        <v>1454</v>
      </c>
      <c r="AT219" s="7">
        <v>2.5</v>
      </c>
      <c r="AU219" s="7">
        <v>2</v>
      </c>
      <c r="AV219" s="7">
        <v>2</v>
      </c>
      <c r="AW219" s="7">
        <v>3.5</v>
      </c>
      <c r="AX219" s="7">
        <v>3</v>
      </c>
      <c r="AY219" s="7">
        <v>2.5</v>
      </c>
      <c r="AZ219" s="7">
        <v>2.5</v>
      </c>
      <c r="BA219" s="7">
        <v>2</v>
      </c>
      <c r="BB219" t="s">
        <v>217</v>
      </c>
      <c r="BC219" s="7">
        <v>350</v>
      </c>
      <c r="BD219" t="s">
        <v>1513</v>
      </c>
      <c r="BH219" s="5" t="str">
        <f t="shared" si="7"/>
        <v/>
      </c>
      <c r="BI219" s="5" t="str">
        <f t="shared" si="8"/>
        <v/>
      </c>
    </row>
    <row r="220" spans="21:61" x14ac:dyDescent="0.35">
      <c r="U220" t="s">
        <v>1087</v>
      </c>
      <c r="V220" s="7">
        <v>1981</v>
      </c>
      <c r="W220" t="s">
        <v>1554</v>
      </c>
      <c r="X220" t="s">
        <v>1032</v>
      </c>
      <c r="Y220" t="s">
        <v>1557</v>
      </c>
      <c r="Z220" t="s">
        <v>695</v>
      </c>
      <c r="AA220" s="7">
        <v>2.21</v>
      </c>
      <c r="AB220" s="7">
        <v>2</v>
      </c>
      <c r="AC220" s="7">
        <v>2.5</v>
      </c>
      <c r="AD220" s="7">
        <v>3.5</v>
      </c>
      <c r="AE220" s="7">
        <v>1.5</v>
      </c>
      <c r="AF220" s="7">
        <v>2</v>
      </c>
      <c r="AG220" s="7">
        <v>2</v>
      </c>
      <c r="AH220" s="7">
        <v>2</v>
      </c>
      <c r="AI220" t="s">
        <v>240</v>
      </c>
      <c r="AJ220" s="7">
        <v>90</v>
      </c>
      <c r="AK220" t="s">
        <v>476</v>
      </c>
      <c r="AN220" t="s">
        <v>1404</v>
      </c>
      <c r="AO220" s="7">
        <v>2007</v>
      </c>
      <c r="AP220" t="s">
        <v>1554</v>
      </c>
      <c r="AQ220" t="s">
        <v>664</v>
      </c>
      <c r="AR220" t="s">
        <v>1559</v>
      </c>
      <c r="AS220" t="s">
        <v>1456</v>
      </c>
      <c r="AT220" s="7">
        <v>3.64</v>
      </c>
      <c r="AU220" s="7">
        <v>3</v>
      </c>
      <c r="AV220" s="7">
        <v>3.5</v>
      </c>
      <c r="AW220" s="7">
        <v>4</v>
      </c>
      <c r="AX220" s="7">
        <v>4</v>
      </c>
      <c r="AY220" s="7">
        <v>4</v>
      </c>
      <c r="AZ220" s="7">
        <v>3.5</v>
      </c>
      <c r="BA220" s="7">
        <v>3.5</v>
      </c>
      <c r="BB220" t="s">
        <v>1194</v>
      </c>
      <c r="BC220" s="7">
        <v>300</v>
      </c>
      <c r="BD220" t="s">
        <v>1516</v>
      </c>
      <c r="BH220" s="5" t="str">
        <f t="shared" si="7"/>
        <v/>
      </c>
      <c r="BI220" s="5" t="str">
        <f t="shared" si="8"/>
        <v/>
      </c>
    </row>
    <row r="221" spans="21:61" x14ac:dyDescent="0.35">
      <c r="U221" t="s">
        <v>1140</v>
      </c>
      <c r="V221" s="7">
        <v>1980</v>
      </c>
      <c r="W221" t="s">
        <v>1554</v>
      </c>
      <c r="X221" t="s">
        <v>667</v>
      </c>
      <c r="Y221" t="s">
        <v>1557</v>
      </c>
      <c r="Z221" t="s">
        <v>297</v>
      </c>
      <c r="AA221" s="7">
        <v>3.14</v>
      </c>
      <c r="AB221" s="7">
        <v>2.5</v>
      </c>
      <c r="AC221" s="7">
        <v>2.5</v>
      </c>
      <c r="AD221" s="7">
        <v>3.5</v>
      </c>
      <c r="AE221" s="7">
        <v>2</v>
      </c>
      <c r="AF221" s="7">
        <v>4</v>
      </c>
      <c r="AG221" s="7">
        <v>3.5</v>
      </c>
      <c r="AH221" s="7">
        <v>4</v>
      </c>
      <c r="AI221" t="s">
        <v>298</v>
      </c>
      <c r="AJ221" s="7">
        <v>150</v>
      </c>
      <c r="AK221" t="s">
        <v>491</v>
      </c>
      <c r="AN221" t="s">
        <v>1610</v>
      </c>
      <c r="AO221" s="7">
        <v>2007</v>
      </c>
      <c r="AP221" t="s">
        <v>1554</v>
      </c>
      <c r="AQ221" t="s">
        <v>860</v>
      </c>
      <c r="AR221" t="s">
        <v>1559</v>
      </c>
      <c r="AS221" t="s">
        <v>880</v>
      </c>
      <c r="AT221" s="7">
        <v>2.71</v>
      </c>
      <c r="AU221" s="7">
        <v>2</v>
      </c>
      <c r="AV221" s="7">
        <v>2.5</v>
      </c>
      <c r="AW221" s="7">
        <v>2.5</v>
      </c>
      <c r="AX221" s="7">
        <v>3.5</v>
      </c>
      <c r="AY221" s="7">
        <v>3</v>
      </c>
      <c r="AZ221" s="7">
        <v>2.5</v>
      </c>
      <c r="BA221" s="7">
        <v>3</v>
      </c>
      <c r="BB221" t="s">
        <v>1545</v>
      </c>
      <c r="BC221" s="7">
        <v>325</v>
      </c>
      <c r="BD221" t="s">
        <v>1655</v>
      </c>
      <c r="BH221" s="5" t="str">
        <f t="shared" si="7"/>
        <v/>
      </c>
      <c r="BI221" s="5" t="str">
        <f t="shared" si="8"/>
        <v/>
      </c>
    </row>
    <row r="222" spans="21:61" x14ac:dyDescent="0.35">
      <c r="U222" t="s">
        <v>919</v>
      </c>
      <c r="V222" s="7">
        <v>1979</v>
      </c>
      <c r="W222" t="s">
        <v>1554</v>
      </c>
      <c r="X222" t="s">
        <v>915</v>
      </c>
      <c r="Y222" t="s">
        <v>1557</v>
      </c>
      <c r="Z222" t="s">
        <v>748</v>
      </c>
      <c r="AA222" s="7">
        <v>4</v>
      </c>
      <c r="AB222" s="7">
        <v>3.5</v>
      </c>
      <c r="AC222" s="7">
        <v>3.5</v>
      </c>
      <c r="AD222" s="7">
        <v>3.5</v>
      </c>
      <c r="AE222" s="7">
        <v>3.5</v>
      </c>
      <c r="AF222" s="7">
        <v>4.5</v>
      </c>
      <c r="AG222" s="7">
        <v>4.5</v>
      </c>
      <c r="AH222" s="7">
        <v>5</v>
      </c>
      <c r="AI222" t="s">
        <v>187</v>
      </c>
      <c r="AJ222" s="7">
        <v>100</v>
      </c>
      <c r="AK222" t="s">
        <v>437</v>
      </c>
      <c r="AN222" t="s">
        <v>1365</v>
      </c>
      <c r="AO222" s="7">
        <v>2006</v>
      </c>
      <c r="AP222" t="s">
        <v>1554</v>
      </c>
      <c r="AQ222" t="s">
        <v>694</v>
      </c>
      <c r="AR222" t="s">
        <v>1559</v>
      </c>
      <c r="AS222" t="s">
        <v>713</v>
      </c>
      <c r="AT222" s="7">
        <v>2.57</v>
      </c>
      <c r="AU222" s="7">
        <v>2</v>
      </c>
      <c r="AV222" s="7">
        <v>2</v>
      </c>
      <c r="AW222" s="7">
        <v>3</v>
      </c>
      <c r="AX222" s="7">
        <v>2.5</v>
      </c>
      <c r="AY222" s="7">
        <v>3.5</v>
      </c>
      <c r="AZ222" s="7">
        <v>2.5</v>
      </c>
      <c r="BA222" s="7">
        <v>2.5</v>
      </c>
      <c r="BB222" t="s">
        <v>1330</v>
      </c>
      <c r="BC222" s="7">
        <v>154</v>
      </c>
      <c r="BD222" t="s">
        <v>1492</v>
      </c>
      <c r="BH222" s="5" t="str">
        <f t="shared" si="7"/>
        <v/>
      </c>
      <c r="BI222" s="5" t="str">
        <f t="shared" si="8"/>
        <v/>
      </c>
    </row>
    <row r="223" spans="21:61" x14ac:dyDescent="0.35">
      <c r="U223" s="42" t="s">
        <v>922</v>
      </c>
      <c r="V223" s="43">
        <v>1978</v>
      </c>
      <c r="W223" s="42" t="s">
        <v>1554</v>
      </c>
      <c r="X223" s="42" t="s">
        <v>667</v>
      </c>
      <c r="Y223" s="42" t="s">
        <v>1557</v>
      </c>
      <c r="Z223" s="42" t="s">
        <v>923</v>
      </c>
      <c r="AA223" s="43">
        <v>3.36</v>
      </c>
      <c r="AB223" s="43">
        <v>2.5</v>
      </c>
      <c r="AC223" s="43">
        <v>2.5</v>
      </c>
      <c r="AD223" s="43">
        <v>3.5</v>
      </c>
      <c r="AE223" s="43">
        <v>3.5</v>
      </c>
      <c r="AF223" s="43">
        <v>3.5</v>
      </c>
      <c r="AG223" s="43">
        <v>4</v>
      </c>
      <c r="AH223" s="43">
        <v>4</v>
      </c>
      <c r="AI223" s="42" t="s">
        <v>188</v>
      </c>
      <c r="AJ223" s="43">
        <v>102</v>
      </c>
      <c r="AK223" s="46" t="s">
        <v>439</v>
      </c>
      <c r="AN223" t="s">
        <v>680</v>
      </c>
      <c r="AO223" s="7">
        <v>2006</v>
      </c>
      <c r="AP223" t="s">
        <v>1554</v>
      </c>
      <c r="AQ223" t="s">
        <v>681</v>
      </c>
      <c r="AR223" t="s">
        <v>1559</v>
      </c>
      <c r="AS223" t="s">
        <v>682</v>
      </c>
      <c r="AT223" s="7">
        <v>2.86</v>
      </c>
      <c r="AU223" s="7">
        <v>3.5</v>
      </c>
      <c r="AV223" s="7">
        <v>3</v>
      </c>
      <c r="AW223" s="7">
        <v>3.5</v>
      </c>
      <c r="AX223" s="7">
        <v>2</v>
      </c>
      <c r="AY223" s="7">
        <v>2.5</v>
      </c>
      <c r="AZ223" s="7">
        <v>2.5</v>
      </c>
      <c r="BA223" s="7">
        <v>3</v>
      </c>
      <c r="BB223" t="s">
        <v>70</v>
      </c>
      <c r="BC223" s="7">
        <v>95</v>
      </c>
      <c r="BD223" t="s">
        <v>595</v>
      </c>
      <c r="BH223" s="5" t="str">
        <f t="shared" si="7"/>
        <v/>
      </c>
      <c r="BI223" s="5" t="str">
        <f t="shared" si="8"/>
        <v/>
      </c>
    </row>
    <row r="224" spans="21:61" x14ac:dyDescent="0.35">
      <c r="U224" s="42" t="s">
        <v>1031</v>
      </c>
      <c r="V224" s="43">
        <v>1978</v>
      </c>
      <c r="W224" s="42" t="s">
        <v>1554</v>
      </c>
      <c r="X224" s="42" t="s">
        <v>1032</v>
      </c>
      <c r="Y224" s="42" t="s">
        <v>1557</v>
      </c>
      <c r="Z224" s="42" t="s">
        <v>1033</v>
      </c>
      <c r="AA224" s="43">
        <v>3.57</v>
      </c>
      <c r="AB224" s="43">
        <v>4</v>
      </c>
      <c r="AC224" s="43">
        <v>3</v>
      </c>
      <c r="AD224" s="43">
        <v>3.5</v>
      </c>
      <c r="AE224" s="43">
        <v>3.5</v>
      </c>
      <c r="AF224" s="43">
        <v>4</v>
      </c>
      <c r="AG224" s="43">
        <v>3</v>
      </c>
      <c r="AH224" s="43">
        <v>4</v>
      </c>
      <c r="AI224" s="42" t="s">
        <v>239</v>
      </c>
      <c r="AJ224" s="43">
        <v>47</v>
      </c>
      <c r="AK224" s="46" t="s">
        <v>466</v>
      </c>
      <c r="AN224" t="s">
        <v>1957</v>
      </c>
      <c r="AO224" s="7">
        <v>2006</v>
      </c>
      <c r="AP224" t="s">
        <v>1554</v>
      </c>
      <c r="AQ224" t="s">
        <v>661</v>
      </c>
      <c r="AR224" t="s">
        <v>1559</v>
      </c>
      <c r="AS224" t="s">
        <v>1972</v>
      </c>
      <c r="AT224" s="7">
        <v>3.14</v>
      </c>
      <c r="AU224" s="7">
        <v>2.5</v>
      </c>
      <c r="AV224" s="7">
        <v>3</v>
      </c>
      <c r="AW224" s="7">
        <v>3.5</v>
      </c>
      <c r="AX224" s="7">
        <v>3</v>
      </c>
      <c r="AY224" s="7">
        <v>3.5</v>
      </c>
      <c r="AZ224" s="7">
        <v>3</v>
      </c>
      <c r="BA224" s="7">
        <v>3.5</v>
      </c>
      <c r="BB224" t="s">
        <v>291</v>
      </c>
      <c r="BC224" s="7">
        <v>275</v>
      </c>
      <c r="BD224" s="36" t="s">
        <v>1998</v>
      </c>
      <c r="BH224" s="5" t="str">
        <f t="shared" si="7"/>
        <v/>
      </c>
      <c r="BI224" s="5" t="str">
        <f t="shared" si="8"/>
        <v/>
      </c>
    </row>
    <row r="225" spans="21:61" x14ac:dyDescent="0.35">
      <c r="U225" s="42" t="s">
        <v>2586</v>
      </c>
      <c r="V225" s="43">
        <v>1976</v>
      </c>
      <c r="W225" s="42" t="s">
        <v>1554</v>
      </c>
      <c r="X225" s="42" t="s">
        <v>681</v>
      </c>
      <c r="Y225" s="42" t="s">
        <v>1557</v>
      </c>
      <c r="Z225" s="42" t="s">
        <v>2595</v>
      </c>
      <c r="AA225" s="43">
        <v>2.71</v>
      </c>
      <c r="AB225" s="43">
        <v>2.5</v>
      </c>
      <c r="AC225" s="43">
        <v>3</v>
      </c>
      <c r="AD225" s="43">
        <v>2.5</v>
      </c>
      <c r="AE225" s="43">
        <v>2.5</v>
      </c>
      <c r="AF225" s="43">
        <v>2.5</v>
      </c>
      <c r="AG225" s="43">
        <v>3.5</v>
      </c>
      <c r="AH225" s="43">
        <v>2.5</v>
      </c>
      <c r="AI225" s="42" t="s">
        <v>230</v>
      </c>
      <c r="AJ225" s="43">
        <v>69</v>
      </c>
      <c r="AK225" s="46" t="s">
        <v>2616</v>
      </c>
      <c r="AN225" t="s">
        <v>723</v>
      </c>
      <c r="AO225" s="7">
        <v>2006</v>
      </c>
      <c r="AP225" t="s">
        <v>1554</v>
      </c>
      <c r="AQ225" t="s">
        <v>694</v>
      </c>
      <c r="AR225" t="s">
        <v>1559</v>
      </c>
      <c r="AS225" t="s">
        <v>724</v>
      </c>
      <c r="AT225" s="7">
        <v>4.29</v>
      </c>
      <c r="AU225" s="7">
        <v>3</v>
      </c>
      <c r="AV225" s="7">
        <v>3.5</v>
      </c>
      <c r="AW225" s="7">
        <v>4.5</v>
      </c>
      <c r="AX225" s="7">
        <v>4.5</v>
      </c>
      <c r="AY225" s="7">
        <v>5</v>
      </c>
      <c r="AZ225" s="7">
        <v>4.5</v>
      </c>
      <c r="BA225" s="7">
        <v>5</v>
      </c>
      <c r="BB225" t="s">
        <v>87</v>
      </c>
      <c r="BC225" s="7">
        <v>600</v>
      </c>
      <c r="BD225" t="s">
        <v>596</v>
      </c>
      <c r="BH225" s="5" t="str">
        <f t="shared" si="7"/>
        <v/>
      </c>
      <c r="BI225" s="5" t="str">
        <f t="shared" si="8"/>
        <v/>
      </c>
    </row>
    <row r="226" spans="21:61" x14ac:dyDescent="0.35">
      <c r="U226" s="42" t="s">
        <v>699</v>
      </c>
      <c r="V226" s="43">
        <v>1973</v>
      </c>
      <c r="W226" s="42" t="s">
        <v>1554</v>
      </c>
      <c r="X226" s="42" t="s">
        <v>700</v>
      </c>
      <c r="Y226" s="42" t="s">
        <v>1557</v>
      </c>
      <c r="Z226" s="42" t="s">
        <v>701</v>
      </c>
      <c r="AA226" s="43">
        <v>2.93</v>
      </c>
      <c r="AB226" s="43">
        <v>1.5</v>
      </c>
      <c r="AC226" s="43">
        <v>3</v>
      </c>
      <c r="AD226" s="43">
        <v>3.5</v>
      </c>
      <c r="AE226" s="43">
        <v>4</v>
      </c>
      <c r="AF226" s="43">
        <v>3.5</v>
      </c>
      <c r="AG226" s="43">
        <v>2.5</v>
      </c>
      <c r="AH226" s="43">
        <v>2.5</v>
      </c>
      <c r="AI226" s="42" t="s">
        <v>75</v>
      </c>
      <c r="AJ226" s="43">
        <v>86</v>
      </c>
      <c r="AK226" s="46" t="s">
        <v>408</v>
      </c>
      <c r="AN226" t="s">
        <v>761</v>
      </c>
      <c r="AO226" s="7">
        <v>2006</v>
      </c>
      <c r="AP226" t="s">
        <v>1554</v>
      </c>
      <c r="AQ226" t="s">
        <v>759</v>
      </c>
      <c r="AR226" t="s">
        <v>1559</v>
      </c>
      <c r="AS226" t="s">
        <v>762</v>
      </c>
      <c r="AT226" s="7">
        <v>4.3600000000000003</v>
      </c>
      <c r="AU226" s="7">
        <v>3.5</v>
      </c>
      <c r="AV226" s="7">
        <v>4</v>
      </c>
      <c r="AW226" s="7">
        <v>4.5</v>
      </c>
      <c r="AX226" s="7">
        <v>4.5</v>
      </c>
      <c r="AY226" s="7">
        <v>4.5</v>
      </c>
      <c r="AZ226" s="7">
        <v>4.5</v>
      </c>
      <c r="BA226" s="7">
        <v>5</v>
      </c>
      <c r="BB226" t="s">
        <v>103</v>
      </c>
      <c r="BC226" s="7">
        <v>1250</v>
      </c>
      <c r="BD226" t="s">
        <v>597</v>
      </c>
      <c r="BH226" s="5" t="str">
        <f t="shared" si="7"/>
        <v/>
      </c>
      <c r="BI226" s="5" t="str">
        <f t="shared" si="8"/>
        <v/>
      </c>
    </row>
    <row r="227" spans="21:61" x14ac:dyDescent="0.35">
      <c r="U227" s="42" t="s">
        <v>2173</v>
      </c>
      <c r="V227" s="43">
        <v>1972</v>
      </c>
      <c r="W227" s="42" t="s">
        <v>1554</v>
      </c>
      <c r="X227" s="42" t="s">
        <v>667</v>
      </c>
      <c r="Y227" s="42" t="s">
        <v>1557</v>
      </c>
      <c r="Z227" s="42" t="s">
        <v>843</v>
      </c>
      <c r="AA227" s="43">
        <v>2.79</v>
      </c>
      <c r="AB227" s="43">
        <v>2</v>
      </c>
      <c r="AC227" s="43">
        <v>3</v>
      </c>
      <c r="AD227" s="43">
        <v>3</v>
      </c>
      <c r="AE227" s="43">
        <v>3</v>
      </c>
      <c r="AF227" s="43">
        <v>2.5</v>
      </c>
      <c r="AG227" s="43">
        <v>3.5</v>
      </c>
      <c r="AH227" s="43">
        <v>2.5</v>
      </c>
      <c r="AI227" s="42" t="s">
        <v>184</v>
      </c>
      <c r="AJ227" s="43">
        <v>71</v>
      </c>
      <c r="AK227" s="46" t="s">
        <v>2193</v>
      </c>
      <c r="AN227" t="s">
        <v>763</v>
      </c>
      <c r="AO227" s="7">
        <v>2006</v>
      </c>
      <c r="AP227" t="s">
        <v>1554</v>
      </c>
      <c r="AQ227" t="s">
        <v>652</v>
      </c>
      <c r="AR227" t="s">
        <v>1560</v>
      </c>
      <c r="AS227" t="s">
        <v>104</v>
      </c>
      <c r="AT227" s="7">
        <v>2.93</v>
      </c>
      <c r="AU227" s="7">
        <v>2.5</v>
      </c>
      <c r="AV227" s="7">
        <v>3</v>
      </c>
      <c r="AW227" s="7">
        <v>3</v>
      </c>
      <c r="AX227" s="7">
        <v>3</v>
      </c>
      <c r="AY227" s="7">
        <v>3.5</v>
      </c>
      <c r="AZ227" s="7">
        <v>2.5</v>
      </c>
      <c r="BA227" s="7">
        <v>3</v>
      </c>
      <c r="BB227" t="s">
        <v>105</v>
      </c>
      <c r="BC227" s="7">
        <v>57</v>
      </c>
      <c r="BD227" t="s">
        <v>598</v>
      </c>
      <c r="BH227" s="5" t="str">
        <f t="shared" si="7"/>
        <v/>
      </c>
      <c r="BI227" s="5" t="str">
        <f t="shared" si="8"/>
        <v/>
      </c>
    </row>
    <row r="228" spans="21:61" x14ac:dyDescent="0.35">
      <c r="U228" s="42" t="s">
        <v>1897</v>
      </c>
      <c r="V228" s="43">
        <v>1970</v>
      </c>
      <c r="W228" s="42" t="s">
        <v>1554</v>
      </c>
      <c r="X228" s="42" t="s">
        <v>1888</v>
      </c>
      <c r="Y228" s="42" t="s">
        <v>1557</v>
      </c>
      <c r="Z228" s="42" t="s">
        <v>1870</v>
      </c>
      <c r="AA228" s="43">
        <v>2.5</v>
      </c>
      <c r="AB228" s="43">
        <v>2</v>
      </c>
      <c r="AC228" s="43">
        <v>2.5</v>
      </c>
      <c r="AD228" s="43">
        <v>2.5</v>
      </c>
      <c r="AE228" s="43">
        <v>3</v>
      </c>
      <c r="AF228" s="43">
        <v>2.5</v>
      </c>
      <c r="AG228" s="43">
        <v>2.5</v>
      </c>
      <c r="AH228" s="43">
        <v>2.5</v>
      </c>
      <c r="AI228" s="42" t="s">
        <v>1871</v>
      </c>
      <c r="AJ228" s="43">
        <v>112</v>
      </c>
      <c r="AK228" s="46" t="s">
        <v>1928</v>
      </c>
      <c r="AN228" t="s">
        <v>1570</v>
      </c>
      <c r="AO228" s="7">
        <v>2006</v>
      </c>
      <c r="AP228" t="s">
        <v>1554</v>
      </c>
      <c r="AQ228" t="s">
        <v>814</v>
      </c>
      <c r="AR228" t="s">
        <v>1559</v>
      </c>
      <c r="AS228" t="s">
        <v>1571</v>
      </c>
      <c r="AT228" s="7">
        <v>2.79</v>
      </c>
      <c r="AU228" s="7">
        <v>2.5</v>
      </c>
      <c r="AV228" s="7">
        <v>2.5</v>
      </c>
      <c r="AW228" s="7">
        <v>3.5</v>
      </c>
      <c r="AX228" s="7">
        <v>3</v>
      </c>
      <c r="AY228" s="7">
        <v>2.5</v>
      </c>
      <c r="AZ228" s="7">
        <v>3</v>
      </c>
      <c r="BA228" s="7">
        <v>2.5</v>
      </c>
      <c r="BB228" t="s">
        <v>188</v>
      </c>
      <c r="BC228" s="7">
        <v>300</v>
      </c>
      <c r="BD228" t="s">
        <v>1656</v>
      </c>
      <c r="BH228" s="5" t="str">
        <f t="shared" si="7"/>
        <v/>
      </c>
      <c r="BI228" s="5" t="str">
        <f t="shared" si="8"/>
        <v/>
      </c>
    </row>
    <row r="229" spans="21:61" x14ac:dyDescent="0.35">
      <c r="U229" s="39" t="s">
        <v>1887</v>
      </c>
      <c r="V229" s="40">
        <v>1969</v>
      </c>
      <c r="W229" s="39" t="s">
        <v>1554</v>
      </c>
      <c r="X229" s="39" t="s">
        <v>1888</v>
      </c>
      <c r="Y229" s="39" t="s">
        <v>1557</v>
      </c>
      <c r="Z229" s="39" t="s">
        <v>701</v>
      </c>
      <c r="AA229" s="40">
        <v>2.71</v>
      </c>
      <c r="AB229" s="40">
        <v>2.5</v>
      </c>
      <c r="AC229" s="40">
        <v>2.5</v>
      </c>
      <c r="AD229" s="40">
        <v>3</v>
      </c>
      <c r="AE229" s="40">
        <v>3</v>
      </c>
      <c r="AF229" s="40">
        <v>2.5</v>
      </c>
      <c r="AG229" s="40">
        <v>3</v>
      </c>
      <c r="AH229" s="40">
        <v>2.5</v>
      </c>
      <c r="AI229" s="39" t="s">
        <v>1865</v>
      </c>
      <c r="AJ229" s="40">
        <v>128</v>
      </c>
      <c r="AK229" s="45" t="s">
        <v>1929</v>
      </c>
      <c r="AN229" t="s">
        <v>782</v>
      </c>
      <c r="AO229" s="7">
        <v>2006</v>
      </c>
      <c r="AP229" t="s">
        <v>1554</v>
      </c>
      <c r="AQ229" t="s">
        <v>694</v>
      </c>
      <c r="AR229" t="s">
        <v>1559</v>
      </c>
      <c r="AS229" t="s">
        <v>783</v>
      </c>
      <c r="AT229" s="7">
        <v>4.71</v>
      </c>
      <c r="AU229" s="7">
        <v>4</v>
      </c>
      <c r="AV229" s="7">
        <v>4.5</v>
      </c>
      <c r="AW229" s="7">
        <v>5</v>
      </c>
      <c r="AX229" s="7">
        <v>5</v>
      </c>
      <c r="AY229" s="7">
        <v>4.5</v>
      </c>
      <c r="AZ229" s="7">
        <v>5</v>
      </c>
      <c r="BA229" s="7">
        <v>5</v>
      </c>
      <c r="BB229" t="s">
        <v>118</v>
      </c>
      <c r="BC229" s="7">
        <v>925</v>
      </c>
      <c r="BD229" t="s">
        <v>599</v>
      </c>
      <c r="BH229" s="5" t="str">
        <f t="shared" si="7"/>
        <v/>
      </c>
      <c r="BI229" s="5" t="str">
        <f t="shared" si="8"/>
        <v/>
      </c>
    </row>
    <row r="230" spans="21:61" x14ac:dyDescent="0.35">
      <c r="U230" s="39" t="s">
        <v>2591</v>
      </c>
      <c r="V230" s="40">
        <v>1969</v>
      </c>
      <c r="W230" s="39" t="s">
        <v>1554</v>
      </c>
      <c r="X230" s="39" t="s">
        <v>681</v>
      </c>
      <c r="Y230" s="39" t="s">
        <v>1557</v>
      </c>
      <c r="Z230" s="39" t="s">
        <v>2603</v>
      </c>
      <c r="AA230" s="40">
        <v>2.93</v>
      </c>
      <c r="AB230" s="40">
        <v>2.5</v>
      </c>
      <c r="AC230" s="40">
        <v>2.5</v>
      </c>
      <c r="AD230" s="40">
        <v>3</v>
      </c>
      <c r="AE230" s="40">
        <v>2.5</v>
      </c>
      <c r="AF230" s="40">
        <v>3</v>
      </c>
      <c r="AG230" s="40">
        <v>3.5</v>
      </c>
      <c r="AH230" s="40">
        <v>3.5</v>
      </c>
      <c r="AI230" s="39" t="s">
        <v>97</v>
      </c>
      <c r="AJ230" s="40">
        <v>82</v>
      </c>
      <c r="AK230" s="45" t="s">
        <v>2617</v>
      </c>
      <c r="AN230" t="s">
        <v>1326</v>
      </c>
      <c r="AO230" s="7">
        <v>2006</v>
      </c>
      <c r="AP230" t="s">
        <v>1554</v>
      </c>
      <c r="AQ230" t="s">
        <v>780</v>
      </c>
      <c r="AR230" t="s">
        <v>1559</v>
      </c>
      <c r="AS230" t="s">
        <v>826</v>
      </c>
      <c r="AT230" s="7">
        <v>3.5</v>
      </c>
      <c r="AU230" s="7">
        <v>3.5</v>
      </c>
      <c r="AV230" s="7">
        <v>4</v>
      </c>
      <c r="AW230" s="7">
        <v>4</v>
      </c>
      <c r="AX230" s="7">
        <v>3.5</v>
      </c>
      <c r="AY230" s="7">
        <v>3</v>
      </c>
      <c r="AZ230" s="7">
        <v>3</v>
      </c>
      <c r="BA230" s="7">
        <v>3.5</v>
      </c>
      <c r="BB230" t="s">
        <v>1309</v>
      </c>
      <c r="BC230" s="7">
        <v>575</v>
      </c>
      <c r="BD230" t="s">
        <v>1498</v>
      </c>
      <c r="BH230" s="5" t="str">
        <f t="shared" si="7"/>
        <v/>
      </c>
      <c r="BI230" s="5" t="str">
        <f t="shared" si="8"/>
        <v/>
      </c>
    </row>
    <row r="231" spans="21:61" x14ac:dyDescent="0.35">
      <c r="U231" s="42" t="s">
        <v>1393</v>
      </c>
      <c r="V231" s="43">
        <v>1945</v>
      </c>
      <c r="W231" s="42" t="s">
        <v>1554</v>
      </c>
      <c r="X231" s="42" t="s">
        <v>1428</v>
      </c>
      <c r="Y231" s="42" t="s">
        <v>1557</v>
      </c>
      <c r="Z231" s="42" t="s">
        <v>1449</v>
      </c>
      <c r="AA231" s="43">
        <v>2.36</v>
      </c>
      <c r="AB231" s="43">
        <v>2.5</v>
      </c>
      <c r="AC231" s="43">
        <v>2</v>
      </c>
      <c r="AD231" s="43">
        <v>3</v>
      </c>
      <c r="AE231" s="43">
        <v>3</v>
      </c>
      <c r="AF231" s="43">
        <v>1.5</v>
      </c>
      <c r="AG231" s="43">
        <v>2</v>
      </c>
      <c r="AH231" s="43">
        <v>2.5</v>
      </c>
      <c r="AI231" s="42" t="s">
        <v>1345</v>
      </c>
      <c r="AJ231" s="43">
        <v>74</v>
      </c>
      <c r="AK231" s="46" t="s">
        <v>1484</v>
      </c>
      <c r="AN231" t="s">
        <v>810</v>
      </c>
      <c r="AO231" s="7">
        <v>2006</v>
      </c>
      <c r="AP231" t="s">
        <v>1554</v>
      </c>
      <c r="AQ231" t="s">
        <v>811</v>
      </c>
      <c r="AR231" t="s">
        <v>1559</v>
      </c>
      <c r="AS231" t="s">
        <v>812</v>
      </c>
      <c r="AT231" s="7">
        <v>2.64</v>
      </c>
      <c r="AU231" s="7">
        <v>3</v>
      </c>
      <c r="AV231" s="7">
        <v>3</v>
      </c>
      <c r="AW231" s="7">
        <v>3</v>
      </c>
      <c r="AX231" s="7">
        <v>3</v>
      </c>
      <c r="AY231" s="7">
        <v>2</v>
      </c>
      <c r="AZ231" s="7">
        <v>2.5</v>
      </c>
      <c r="BA231" s="7">
        <v>2</v>
      </c>
      <c r="BB231" t="s">
        <v>130</v>
      </c>
      <c r="BC231" s="7">
        <v>600</v>
      </c>
      <c r="BD231" t="s">
        <v>600</v>
      </c>
      <c r="BH231" s="5" t="str">
        <f t="shared" si="7"/>
        <v/>
      </c>
      <c r="BI231" s="5" t="str">
        <f t="shared" si="8"/>
        <v/>
      </c>
    </row>
    <row r="232" spans="21:61" x14ac:dyDescent="0.35">
      <c r="AN232" t="s">
        <v>1788</v>
      </c>
      <c r="AO232" s="7">
        <v>2006</v>
      </c>
      <c r="AP232" t="s">
        <v>1554</v>
      </c>
      <c r="AQ232" t="s">
        <v>1789</v>
      </c>
      <c r="AR232" t="s">
        <v>1559</v>
      </c>
      <c r="AS232" t="s">
        <v>1760</v>
      </c>
      <c r="AT232" s="7">
        <v>3.29</v>
      </c>
      <c r="AU232" s="7">
        <v>3</v>
      </c>
      <c r="AV232" s="7">
        <v>3.5</v>
      </c>
      <c r="AW232" s="7">
        <v>3</v>
      </c>
      <c r="AX232" s="7">
        <v>3.5</v>
      </c>
      <c r="AY232" s="7">
        <v>4</v>
      </c>
      <c r="AZ232" s="7">
        <v>2</v>
      </c>
      <c r="BA232" s="7">
        <v>4</v>
      </c>
      <c r="BB232" t="s">
        <v>1761</v>
      </c>
      <c r="BC232" s="7">
        <v>325</v>
      </c>
      <c r="BD232" t="s">
        <v>1862</v>
      </c>
      <c r="BH232" s="5" t="str">
        <f t="shared" si="7"/>
        <v/>
      </c>
      <c r="BI232" s="5" t="str">
        <f t="shared" si="8"/>
        <v/>
      </c>
    </row>
    <row r="233" spans="21:61" x14ac:dyDescent="0.35">
      <c r="AN233" t="s">
        <v>856</v>
      </c>
      <c r="AO233" s="7">
        <v>2006</v>
      </c>
      <c r="AP233" t="s">
        <v>1554</v>
      </c>
      <c r="AQ233" t="s">
        <v>158</v>
      </c>
      <c r="AR233" t="s">
        <v>1560</v>
      </c>
      <c r="AS233" t="s">
        <v>159</v>
      </c>
      <c r="AT233" s="7">
        <v>4.21</v>
      </c>
      <c r="AU233" s="7">
        <v>3</v>
      </c>
      <c r="AV233" s="7">
        <v>5</v>
      </c>
      <c r="AW233" s="7">
        <v>3.5</v>
      </c>
      <c r="AX233" s="7">
        <v>5</v>
      </c>
      <c r="AY233" s="7">
        <v>3</v>
      </c>
      <c r="AZ233" s="7">
        <v>5</v>
      </c>
      <c r="BA233" s="7">
        <v>5</v>
      </c>
      <c r="BB233" t="s">
        <v>160</v>
      </c>
      <c r="BC233" s="7">
        <v>472</v>
      </c>
      <c r="BD233" t="s">
        <v>601</v>
      </c>
      <c r="BH233" s="5" t="str">
        <f t="shared" si="7"/>
        <v/>
      </c>
      <c r="BI233" s="5" t="str">
        <f t="shared" si="8"/>
        <v/>
      </c>
    </row>
    <row r="234" spans="21:61" x14ac:dyDescent="0.35">
      <c r="AN234" t="s">
        <v>1108</v>
      </c>
      <c r="AO234" s="7">
        <v>2006</v>
      </c>
      <c r="AP234" t="s">
        <v>1554</v>
      </c>
      <c r="AQ234" t="s">
        <v>658</v>
      </c>
      <c r="AR234" t="s">
        <v>1559</v>
      </c>
      <c r="AS234" t="s">
        <v>909</v>
      </c>
      <c r="AT234" s="7">
        <v>2.93</v>
      </c>
      <c r="AU234" s="7">
        <v>3</v>
      </c>
      <c r="AV234" s="7">
        <v>3</v>
      </c>
      <c r="AW234" s="7">
        <v>3.5</v>
      </c>
      <c r="AX234" s="7">
        <v>3.5</v>
      </c>
      <c r="AY234" s="7">
        <v>2.5</v>
      </c>
      <c r="AZ234" s="7">
        <v>2.5</v>
      </c>
      <c r="BA234" s="7">
        <v>2.5</v>
      </c>
      <c r="BB234" t="s">
        <v>275</v>
      </c>
      <c r="BC234" s="7">
        <v>700</v>
      </c>
      <c r="BD234" t="s">
        <v>602</v>
      </c>
      <c r="BH234" s="5" t="str">
        <f t="shared" si="7"/>
        <v/>
      </c>
      <c r="BI234" s="5" t="str">
        <f t="shared" si="8"/>
        <v/>
      </c>
    </row>
    <row r="235" spans="21:61" x14ac:dyDescent="0.35">
      <c r="AN235" t="s">
        <v>1160</v>
      </c>
      <c r="AO235" s="7">
        <v>2006</v>
      </c>
      <c r="AP235" t="s">
        <v>1554</v>
      </c>
      <c r="AQ235" t="s">
        <v>664</v>
      </c>
      <c r="AR235" t="s">
        <v>1559</v>
      </c>
      <c r="AS235" t="s">
        <v>1161</v>
      </c>
      <c r="AT235" s="38">
        <v>3.43</v>
      </c>
      <c r="AU235" s="7">
        <v>3</v>
      </c>
      <c r="AV235" s="7">
        <v>3</v>
      </c>
      <c r="AW235" s="7">
        <v>3.5</v>
      </c>
      <c r="AX235" s="7">
        <v>3</v>
      </c>
      <c r="AY235" s="7">
        <v>3.5</v>
      </c>
      <c r="AZ235" s="7">
        <v>4</v>
      </c>
      <c r="BA235" s="7">
        <v>4</v>
      </c>
      <c r="BB235" t="s">
        <v>304</v>
      </c>
      <c r="BC235" s="7">
        <v>600</v>
      </c>
      <c r="BD235" t="s">
        <v>603</v>
      </c>
      <c r="BH235" s="5" t="str">
        <f t="shared" si="7"/>
        <v/>
      </c>
      <c r="BI235" s="5" t="str">
        <f t="shared" si="8"/>
        <v/>
      </c>
    </row>
    <row r="236" spans="21:61" x14ac:dyDescent="0.35">
      <c r="AN236" t="s">
        <v>1179</v>
      </c>
      <c r="AO236" s="7">
        <v>2006</v>
      </c>
      <c r="AP236" t="s">
        <v>1554</v>
      </c>
      <c r="AQ236" t="s">
        <v>731</v>
      </c>
      <c r="AR236" t="s">
        <v>1559</v>
      </c>
      <c r="AS236" t="s">
        <v>1018</v>
      </c>
      <c r="AT236" s="38">
        <v>2.36</v>
      </c>
      <c r="AU236" s="7">
        <v>3</v>
      </c>
      <c r="AV236" s="7">
        <v>3.5</v>
      </c>
      <c r="AW236" s="7">
        <v>2.5</v>
      </c>
      <c r="AX236" s="7">
        <v>2</v>
      </c>
      <c r="AY236" s="7">
        <v>2</v>
      </c>
      <c r="AZ236" s="7">
        <v>1.5</v>
      </c>
      <c r="BA236" s="7">
        <v>2</v>
      </c>
      <c r="BB236" t="s">
        <v>309</v>
      </c>
      <c r="BC236" s="7">
        <v>600</v>
      </c>
      <c r="BD236" t="s">
        <v>604</v>
      </c>
      <c r="BH236" s="5" t="str">
        <f t="shared" si="7"/>
        <v/>
      </c>
      <c r="BI236" s="5" t="str">
        <f t="shared" si="8"/>
        <v/>
      </c>
    </row>
    <row r="237" spans="21:61" x14ac:dyDescent="0.35">
      <c r="AN237" t="s">
        <v>2071</v>
      </c>
      <c r="AO237" s="7">
        <v>2005</v>
      </c>
      <c r="AP237" t="s">
        <v>1554</v>
      </c>
      <c r="AQ237" t="s">
        <v>1423</v>
      </c>
      <c r="AR237" t="s">
        <v>1559</v>
      </c>
      <c r="AS237" t="s">
        <v>2072</v>
      </c>
      <c r="AT237" s="7">
        <v>3</v>
      </c>
      <c r="AU237" s="7">
        <v>2</v>
      </c>
      <c r="AV237" s="7">
        <v>3</v>
      </c>
      <c r="AW237" s="7">
        <v>3.5</v>
      </c>
      <c r="AX237" s="7">
        <v>3.5</v>
      </c>
      <c r="AY237" s="7">
        <v>2.5</v>
      </c>
      <c r="AZ237" s="7">
        <v>3</v>
      </c>
      <c r="BA237" s="7">
        <v>3.5</v>
      </c>
      <c r="BB237" t="s">
        <v>2073</v>
      </c>
      <c r="BC237" s="7">
        <v>325</v>
      </c>
      <c r="BD237" t="s">
        <v>2139</v>
      </c>
      <c r="BH237" s="5" t="str">
        <f t="shared" si="7"/>
        <v/>
      </c>
      <c r="BI237" s="5" t="str">
        <f t="shared" si="8"/>
        <v/>
      </c>
    </row>
    <row r="238" spans="21:61" x14ac:dyDescent="0.35">
      <c r="AN238" t="s">
        <v>1369</v>
      </c>
      <c r="AO238" s="7">
        <v>2005</v>
      </c>
      <c r="AP238" t="s">
        <v>1554</v>
      </c>
      <c r="AQ238" t="s">
        <v>1423</v>
      </c>
      <c r="AR238" t="s">
        <v>1559</v>
      </c>
      <c r="AS238" t="s">
        <v>1018</v>
      </c>
      <c r="AT238" s="7">
        <v>2.21</v>
      </c>
      <c r="AU238" s="7">
        <v>2.5</v>
      </c>
      <c r="AV238" s="7">
        <v>2</v>
      </c>
      <c r="AW238" s="7">
        <v>2.5</v>
      </c>
      <c r="AX238" s="7">
        <v>2.5</v>
      </c>
      <c r="AY238" s="7">
        <v>1.5</v>
      </c>
      <c r="AZ238" s="7">
        <v>2.5</v>
      </c>
      <c r="BA238" s="7">
        <v>2</v>
      </c>
      <c r="BB238" t="s">
        <v>1334</v>
      </c>
      <c r="BC238" s="7">
        <v>180</v>
      </c>
      <c r="BD238" t="s">
        <v>1495</v>
      </c>
      <c r="BH238" s="5" t="str">
        <f t="shared" si="7"/>
        <v/>
      </c>
      <c r="BI238" s="5" t="str">
        <f t="shared" si="8"/>
        <v/>
      </c>
    </row>
    <row r="239" spans="21:61" x14ac:dyDescent="0.35">
      <c r="AN239" t="s">
        <v>1378</v>
      </c>
      <c r="AO239" s="7">
        <v>2005</v>
      </c>
      <c r="AP239" t="s">
        <v>1554</v>
      </c>
      <c r="AQ239" t="s">
        <v>658</v>
      </c>
      <c r="AR239" t="s">
        <v>1559</v>
      </c>
      <c r="AS239" t="s">
        <v>672</v>
      </c>
      <c r="AT239" s="7">
        <v>3.43</v>
      </c>
      <c r="AU239" s="7">
        <v>3.5</v>
      </c>
      <c r="AV239" s="7">
        <v>3</v>
      </c>
      <c r="AW239" s="7">
        <v>3.5</v>
      </c>
      <c r="AX239" s="7">
        <v>3</v>
      </c>
      <c r="AY239" s="7">
        <v>3.5</v>
      </c>
      <c r="AZ239" s="7">
        <v>3.5</v>
      </c>
      <c r="BA239" s="7">
        <v>4</v>
      </c>
      <c r="BB239" t="s">
        <v>1312</v>
      </c>
      <c r="BC239" s="7">
        <v>375</v>
      </c>
      <c r="BD239" t="s">
        <v>1502</v>
      </c>
      <c r="BH239" s="5" t="str">
        <f t="shared" si="7"/>
        <v/>
      </c>
      <c r="BI239" s="5" t="str">
        <f t="shared" si="8"/>
        <v/>
      </c>
    </row>
    <row r="240" spans="21:61" x14ac:dyDescent="0.35">
      <c r="AN240" t="s">
        <v>1794</v>
      </c>
      <c r="AO240" s="7">
        <v>2005</v>
      </c>
      <c r="AP240" t="s">
        <v>1554</v>
      </c>
      <c r="AQ240" t="s">
        <v>679</v>
      </c>
      <c r="AR240" t="s">
        <v>1559</v>
      </c>
      <c r="AS240" t="s">
        <v>762</v>
      </c>
      <c r="AT240" s="7">
        <v>3.07</v>
      </c>
      <c r="AU240" s="7">
        <v>3</v>
      </c>
      <c r="AV240" s="7">
        <v>3.5</v>
      </c>
      <c r="AW240" s="7">
        <v>3.5</v>
      </c>
      <c r="AX240" s="7">
        <v>3</v>
      </c>
      <c r="AY240" s="7">
        <v>2.5</v>
      </c>
      <c r="AZ240" s="7">
        <v>3</v>
      </c>
      <c r="BA240" s="7">
        <v>3</v>
      </c>
      <c r="BB240" t="s">
        <v>300</v>
      </c>
      <c r="BC240" s="7">
        <v>650</v>
      </c>
      <c r="BD240" t="s">
        <v>1863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1387</v>
      </c>
      <c r="AO241" s="7">
        <v>2005</v>
      </c>
      <c r="AP241" t="s">
        <v>1554</v>
      </c>
      <c r="AQ241" t="s">
        <v>1010</v>
      </c>
      <c r="AR241" t="s">
        <v>1560</v>
      </c>
      <c r="AS241" t="s">
        <v>1024</v>
      </c>
      <c r="AT241" s="7">
        <v>3</v>
      </c>
      <c r="AU241" s="7">
        <v>3.5</v>
      </c>
      <c r="AV241" s="7">
        <v>3.5</v>
      </c>
      <c r="AW241" s="7">
        <v>2</v>
      </c>
      <c r="AX241" s="7">
        <v>3.5</v>
      </c>
      <c r="AY241" s="7">
        <v>1.5</v>
      </c>
      <c r="AZ241" s="7">
        <v>4</v>
      </c>
      <c r="BA241" s="7">
        <v>3</v>
      </c>
      <c r="BB241" t="s">
        <v>1341</v>
      </c>
      <c r="BC241" s="7">
        <v>170</v>
      </c>
      <c r="BD241" t="s">
        <v>1507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950</v>
      </c>
      <c r="AO242" s="7">
        <v>2005</v>
      </c>
      <c r="AP242" t="s">
        <v>1554</v>
      </c>
      <c r="AQ242" t="s">
        <v>951</v>
      </c>
      <c r="AR242" t="s">
        <v>1559</v>
      </c>
      <c r="AS242" t="s">
        <v>952</v>
      </c>
      <c r="AT242" s="7">
        <v>4.6399999999999997</v>
      </c>
      <c r="AU242" s="7">
        <v>4.5</v>
      </c>
      <c r="AV242" s="7">
        <v>4.5</v>
      </c>
      <c r="AW242" s="7">
        <v>5</v>
      </c>
      <c r="AX242" s="7">
        <v>4.5</v>
      </c>
      <c r="AY242" s="7">
        <v>5</v>
      </c>
      <c r="AZ242" s="7">
        <v>4</v>
      </c>
      <c r="BA242" s="7">
        <v>5</v>
      </c>
      <c r="BB242" t="s">
        <v>201</v>
      </c>
      <c r="BC242" s="7">
        <v>650</v>
      </c>
      <c r="BD242" t="s">
        <v>605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1410</v>
      </c>
      <c r="AO243" s="7">
        <v>2005</v>
      </c>
      <c r="AP243" t="s">
        <v>1554</v>
      </c>
      <c r="AQ243" t="s">
        <v>664</v>
      </c>
      <c r="AR243" t="s">
        <v>1559</v>
      </c>
      <c r="AS243" t="s">
        <v>1458</v>
      </c>
      <c r="AT243" s="7">
        <v>2.93</v>
      </c>
      <c r="AU243" s="7">
        <v>2</v>
      </c>
      <c r="AV243" s="7">
        <v>3</v>
      </c>
      <c r="AW243" s="7">
        <v>2.5</v>
      </c>
      <c r="AX243" s="7">
        <v>3.5</v>
      </c>
      <c r="AY243" s="7">
        <v>3.5</v>
      </c>
      <c r="AZ243" s="7">
        <v>3</v>
      </c>
      <c r="BA243" s="7">
        <v>3</v>
      </c>
      <c r="BB243" t="s">
        <v>1356</v>
      </c>
      <c r="BC243" s="7">
        <v>600</v>
      </c>
      <c r="BD243" t="s">
        <v>1521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1622</v>
      </c>
      <c r="AO244" s="7">
        <v>2005</v>
      </c>
      <c r="AP244" t="s">
        <v>1554</v>
      </c>
      <c r="AQ244" t="s">
        <v>664</v>
      </c>
      <c r="AR244" t="s">
        <v>1559</v>
      </c>
      <c r="AS244" t="s">
        <v>1623</v>
      </c>
      <c r="AT244" s="7">
        <v>3.5</v>
      </c>
      <c r="AU244" s="7">
        <v>3</v>
      </c>
      <c r="AV244" s="7">
        <v>4</v>
      </c>
      <c r="AW244" s="7">
        <v>3.5</v>
      </c>
      <c r="AX244" s="7">
        <v>3.5</v>
      </c>
      <c r="AY244" s="7">
        <v>3.5</v>
      </c>
      <c r="AZ244" s="7">
        <v>3.5</v>
      </c>
      <c r="BA244" s="7">
        <v>3.5</v>
      </c>
      <c r="BB244" t="s">
        <v>1550</v>
      </c>
      <c r="BC244" s="7">
        <v>600</v>
      </c>
      <c r="BD244" t="s">
        <v>1657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827</v>
      </c>
      <c r="AO245" s="7">
        <v>2004</v>
      </c>
      <c r="AP245" t="s">
        <v>1554</v>
      </c>
      <c r="AQ245" t="s">
        <v>664</v>
      </c>
      <c r="AR245" t="s">
        <v>1559</v>
      </c>
      <c r="AS245" t="s">
        <v>828</v>
      </c>
      <c r="AT245" s="7">
        <v>4.29</v>
      </c>
      <c r="AU245" s="7">
        <v>3</v>
      </c>
      <c r="AV245" s="7">
        <v>4.5</v>
      </c>
      <c r="AW245" s="7">
        <v>5</v>
      </c>
      <c r="AX245" s="7">
        <v>4</v>
      </c>
      <c r="AY245" s="7">
        <v>4.5</v>
      </c>
      <c r="AZ245" s="7">
        <v>4</v>
      </c>
      <c r="BA245" s="7">
        <v>5</v>
      </c>
      <c r="BB245" t="s">
        <v>138</v>
      </c>
      <c r="BC245" s="7">
        <v>600</v>
      </c>
      <c r="BD245" t="s">
        <v>606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829</v>
      </c>
      <c r="AO246" s="7">
        <v>2004</v>
      </c>
      <c r="AP246" t="s">
        <v>1554</v>
      </c>
      <c r="AQ246" t="s">
        <v>664</v>
      </c>
      <c r="AR246" t="s">
        <v>1559</v>
      </c>
      <c r="AS246" t="s">
        <v>830</v>
      </c>
      <c r="AT246" s="7">
        <v>3.29</v>
      </c>
      <c r="AU246" s="7">
        <v>2.5</v>
      </c>
      <c r="AV246" s="7">
        <v>2.5</v>
      </c>
      <c r="AW246" s="7">
        <v>3</v>
      </c>
      <c r="AX246" s="7">
        <v>2.5</v>
      </c>
      <c r="AY246" s="7">
        <v>4</v>
      </c>
      <c r="AZ246" s="7">
        <v>4.5</v>
      </c>
      <c r="BA246" s="7">
        <v>4</v>
      </c>
      <c r="BB246" t="s">
        <v>139</v>
      </c>
      <c r="BC246" s="7">
        <v>650</v>
      </c>
      <c r="BD246" t="s">
        <v>607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1382</v>
      </c>
      <c r="AO247" s="7">
        <v>2004</v>
      </c>
      <c r="AP247" t="s">
        <v>1554</v>
      </c>
      <c r="AQ247" t="s">
        <v>965</v>
      </c>
      <c r="AR247" t="s">
        <v>1560</v>
      </c>
      <c r="AS247" t="s">
        <v>819</v>
      </c>
      <c r="AT247" s="7">
        <v>3.43</v>
      </c>
      <c r="AU247" s="7">
        <v>3</v>
      </c>
      <c r="AV247" s="7">
        <v>3.5</v>
      </c>
      <c r="AW247" s="7">
        <v>3.5</v>
      </c>
      <c r="AX247" s="7">
        <v>3.5</v>
      </c>
      <c r="AY247" s="7">
        <v>3</v>
      </c>
      <c r="AZ247" s="7">
        <v>4</v>
      </c>
      <c r="BA247" s="7">
        <v>3.5</v>
      </c>
      <c r="BB247" t="s">
        <v>1337</v>
      </c>
      <c r="BC247" s="7">
        <v>175</v>
      </c>
      <c r="BD247" t="s">
        <v>1505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937</v>
      </c>
      <c r="AO248" s="7">
        <v>2004</v>
      </c>
      <c r="AP248" t="s">
        <v>1554</v>
      </c>
      <c r="AQ248" t="s">
        <v>938</v>
      </c>
      <c r="AR248" t="s">
        <v>1559</v>
      </c>
      <c r="AS248" t="s">
        <v>939</v>
      </c>
      <c r="AT248" s="7">
        <v>2.79</v>
      </c>
      <c r="AU248" s="7">
        <v>2.5</v>
      </c>
      <c r="AV248" s="7">
        <v>2</v>
      </c>
      <c r="AW248" s="7">
        <v>3</v>
      </c>
      <c r="AX248" s="7">
        <v>2.5</v>
      </c>
      <c r="AY248" s="7">
        <v>2.5</v>
      </c>
      <c r="AZ248" s="7">
        <v>3.5</v>
      </c>
      <c r="BA248" s="7">
        <v>3.5</v>
      </c>
      <c r="BB248" t="s">
        <v>196</v>
      </c>
      <c r="BC248" s="7">
        <v>325</v>
      </c>
      <c r="BD248" t="s">
        <v>608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976</v>
      </c>
      <c r="AO249" s="7">
        <v>2004</v>
      </c>
      <c r="AP249" t="s">
        <v>1554</v>
      </c>
      <c r="AQ249" t="s">
        <v>814</v>
      </c>
      <c r="AR249" t="s">
        <v>1559</v>
      </c>
      <c r="AS249" t="s">
        <v>977</v>
      </c>
      <c r="AT249" s="7">
        <v>1.93</v>
      </c>
      <c r="AU249" s="7">
        <v>2</v>
      </c>
      <c r="AV249" s="7">
        <v>2</v>
      </c>
      <c r="AW249" s="7">
        <v>3</v>
      </c>
      <c r="AX249" s="7">
        <v>2</v>
      </c>
      <c r="AY249" s="7">
        <v>1.5</v>
      </c>
      <c r="AZ249" s="7">
        <v>2</v>
      </c>
      <c r="BA249" s="7">
        <v>1</v>
      </c>
      <c r="BB249" t="s">
        <v>144</v>
      </c>
      <c r="BC249" s="7">
        <v>300</v>
      </c>
      <c r="BD249" t="s">
        <v>609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1273</v>
      </c>
      <c r="AO250" s="7">
        <v>2004</v>
      </c>
      <c r="AP250" t="s">
        <v>1554</v>
      </c>
      <c r="AQ250" t="s">
        <v>694</v>
      </c>
      <c r="AR250" t="s">
        <v>1559</v>
      </c>
      <c r="AS250" t="s">
        <v>999</v>
      </c>
      <c r="AT250" s="7">
        <v>3.71</v>
      </c>
      <c r="AU250" s="7">
        <v>3.5</v>
      </c>
      <c r="AV250" s="7">
        <v>3.5</v>
      </c>
      <c r="AW250" s="7">
        <v>3.5</v>
      </c>
      <c r="AX250" s="7">
        <v>3</v>
      </c>
      <c r="AY250" s="7">
        <v>4</v>
      </c>
      <c r="AZ250" s="7">
        <v>4</v>
      </c>
      <c r="BA250" s="7">
        <v>4.5</v>
      </c>
      <c r="BB250" t="s">
        <v>1210</v>
      </c>
      <c r="BC250" s="7">
        <v>325</v>
      </c>
      <c r="BD250" t="s">
        <v>1252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1405</v>
      </c>
      <c r="AO251" s="7">
        <v>2004</v>
      </c>
      <c r="AP251" t="s">
        <v>1554</v>
      </c>
      <c r="AQ251" t="s">
        <v>780</v>
      </c>
      <c r="AR251" t="s">
        <v>1559</v>
      </c>
      <c r="AS251" t="s">
        <v>1298</v>
      </c>
      <c r="AT251" s="7">
        <v>3.64</v>
      </c>
      <c r="AU251" s="7">
        <v>3.5</v>
      </c>
      <c r="AV251" s="7">
        <v>4</v>
      </c>
      <c r="AW251" s="7">
        <v>4.5</v>
      </c>
      <c r="AX251" s="7">
        <v>4</v>
      </c>
      <c r="AY251" s="7">
        <v>2.5</v>
      </c>
      <c r="AZ251" s="7">
        <v>3.5</v>
      </c>
      <c r="BA251" s="7">
        <v>3.5</v>
      </c>
      <c r="BB251" t="s">
        <v>185</v>
      </c>
      <c r="BC251" s="7">
        <v>650</v>
      </c>
      <c r="BD251" t="s">
        <v>1517</v>
      </c>
      <c r="BH251" s="5" t="str">
        <f t="shared" si="7"/>
        <v/>
      </c>
      <c r="BI251" s="5" t="str">
        <f t="shared" si="8"/>
        <v/>
      </c>
    </row>
    <row r="252" spans="40:61" x14ac:dyDescent="0.35">
      <c r="AN252" t="s">
        <v>1419</v>
      </c>
      <c r="AO252" s="7">
        <v>2004</v>
      </c>
      <c r="AP252" t="s">
        <v>1554</v>
      </c>
      <c r="AQ252" t="s">
        <v>731</v>
      </c>
      <c r="AR252" t="s">
        <v>1559</v>
      </c>
      <c r="AS252" t="s">
        <v>1463</v>
      </c>
      <c r="AT252" s="38">
        <v>2.4300000000000002</v>
      </c>
      <c r="AU252" s="7">
        <v>2</v>
      </c>
      <c r="AV252" s="7">
        <v>2.5</v>
      </c>
      <c r="AW252" s="7">
        <v>2.5</v>
      </c>
      <c r="AX252" s="7">
        <v>3</v>
      </c>
      <c r="AY252" s="7">
        <v>2.5</v>
      </c>
      <c r="AZ252" s="7">
        <v>2</v>
      </c>
      <c r="BA252" s="7">
        <v>2.5</v>
      </c>
      <c r="BB252" t="s">
        <v>1363</v>
      </c>
      <c r="BC252" s="7">
        <v>325</v>
      </c>
      <c r="BD252" t="s">
        <v>1526</v>
      </c>
      <c r="BH252" s="5" t="str">
        <f t="shared" si="7"/>
        <v/>
      </c>
      <c r="BI252" s="5" t="str">
        <f t="shared" si="8"/>
        <v/>
      </c>
    </row>
    <row r="253" spans="40:61" x14ac:dyDescent="0.35">
      <c r="AN253" t="s">
        <v>727</v>
      </c>
      <c r="AO253" s="7">
        <v>2003</v>
      </c>
      <c r="AP253" t="s">
        <v>1554</v>
      </c>
      <c r="AQ253" t="s">
        <v>728</v>
      </c>
      <c r="AR253" t="s">
        <v>1568</v>
      </c>
      <c r="AS253" t="s">
        <v>729</v>
      </c>
      <c r="AT253" s="7">
        <v>2.5</v>
      </c>
      <c r="AU253" s="7">
        <v>2</v>
      </c>
      <c r="AV253" s="7">
        <v>2.5</v>
      </c>
      <c r="AW253" s="7">
        <v>3.5</v>
      </c>
      <c r="AX253" s="7">
        <v>2</v>
      </c>
      <c r="AY253" s="7">
        <v>1.5</v>
      </c>
      <c r="AZ253" s="7">
        <v>2</v>
      </c>
      <c r="BA253" s="7">
        <v>4</v>
      </c>
      <c r="BB253" t="s">
        <v>91</v>
      </c>
      <c r="BC253" s="7">
        <v>42</v>
      </c>
      <c r="BD253" t="s">
        <v>610</v>
      </c>
      <c r="BH253" s="5" t="str">
        <f t="shared" si="7"/>
        <v/>
      </c>
      <c r="BI253" s="5" t="str">
        <f t="shared" si="8"/>
        <v/>
      </c>
    </row>
    <row r="254" spans="40:61" x14ac:dyDescent="0.35">
      <c r="AN254" t="s">
        <v>1376</v>
      </c>
      <c r="AO254" s="7">
        <v>2003</v>
      </c>
      <c r="AP254" t="s">
        <v>1554</v>
      </c>
      <c r="AQ254" t="s">
        <v>658</v>
      </c>
      <c r="AR254" t="s">
        <v>1559</v>
      </c>
      <c r="AS254" t="s">
        <v>672</v>
      </c>
      <c r="AT254" s="7">
        <v>3.07</v>
      </c>
      <c r="AU254" s="7">
        <v>2.5</v>
      </c>
      <c r="AV254" s="7">
        <v>2.5</v>
      </c>
      <c r="AW254" s="7">
        <v>3</v>
      </c>
      <c r="AX254" s="7">
        <v>3</v>
      </c>
      <c r="AY254" s="7">
        <v>3</v>
      </c>
      <c r="AZ254" s="7">
        <v>4</v>
      </c>
      <c r="BA254" s="7">
        <v>3.5</v>
      </c>
      <c r="BB254" t="s">
        <v>1310</v>
      </c>
      <c r="BC254" s="7">
        <v>300</v>
      </c>
      <c r="BD254" t="s">
        <v>1500</v>
      </c>
      <c r="BH254" s="5" t="str">
        <f t="shared" si="7"/>
        <v/>
      </c>
      <c r="BI254" s="5" t="str">
        <f t="shared" si="8"/>
        <v/>
      </c>
    </row>
    <row r="255" spans="40:61" x14ac:dyDescent="0.35">
      <c r="AN255" t="s">
        <v>896</v>
      </c>
      <c r="AO255" s="7">
        <v>2003</v>
      </c>
      <c r="AP255" t="s">
        <v>1554</v>
      </c>
      <c r="AQ255" t="s">
        <v>897</v>
      </c>
      <c r="AR255" t="s">
        <v>1559</v>
      </c>
      <c r="AS255" t="s">
        <v>898</v>
      </c>
      <c r="AT255" s="7">
        <v>3.43</v>
      </c>
      <c r="AU255" s="7">
        <v>2.5</v>
      </c>
      <c r="AV255" s="7">
        <v>2.5</v>
      </c>
      <c r="AW255" s="7">
        <v>3.5</v>
      </c>
      <c r="AX255" s="7">
        <v>3</v>
      </c>
      <c r="AY255" s="7">
        <v>4.5</v>
      </c>
      <c r="AZ255" s="7">
        <v>4</v>
      </c>
      <c r="BA255" s="7">
        <v>4</v>
      </c>
      <c r="BB255" t="s">
        <v>174</v>
      </c>
      <c r="BC255" s="7">
        <v>325</v>
      </c>
      <c r="BD255" t="s">
        <v>611</v>
      </c>
      <c r="BH255" s="5" t="str">
        <f t="shared" si="7"/>
        <v/>
      </c>
      <c r="BI255" s="5" t="str">
        <f t="shared" si="8"/>
        <v/>
      </c>
    </row>
    <row r="256" spans="40:61" x14ac:dyDescent="0.35">
      <c r="AN256" t="s">
        <v>1325</v>
      </c>
      <c r="AO256" s="7">
        <v>2003</v>
      </c>
      <c r="AP256" t="s">
        <v>1554</v>
      </c>
      <c r="AQ256" t="s">
        <v>664</v>
      </c>
      <c r="AR256" t="s">
        <v>1559</v>
      </c>
      <c r="AS256" t="s">
        <v>1441</v>
      </c>
      <c r="AT256" s="7">
        <v>2.93</v>
      </c>
      <c r="AU256" s="7">
        <v>3.5</v>
      </c>
      <c r="AV256" s="7">
        <v>3.5</v>
      </c>
      <c r="AW256" s="7">
        <v>3.5</v>
      </c>
      <c r="AX256" s="7">
        <v>3</v>
      </c>
      <c r="AY256" s="7">
        <v>2.5</v>
      </c>
      <c r="AZ256" s="7">
        <v>2</v>
      </c>
      <c r="BA256" s="7">
        <v>2.5</v>
      </c>
      <c r="BB256" t="s">
        <v>1316</v>
      </c>
      <c r="BC256" s="7">
        <v>625</v>
      </c>
      <c r="BD256" t="s">
        <v>1508</v>
      </c>
      <c r="BH256" s="5" t="str">
        <f t="shared" si="7"/>
        <v/>
      </c>
      <c r="BI256" s="5" t="str">
        <f t="shared" si="8"/>
        <v/>
      </c>
    </row>
    <row r="257" spans="40:61" x14ac:dyDescent="0.35">
      <c r="AN257" t="s">
        <v>913</v>
      </c>
      <c r="AO257" s="7">
        <v>2003</v>
      </c>
      <c r="AP257" t="s">
        <v>1554</v>
      </c>
      <c r="AQ257" t="s">
        <v>670</v>
      </c>
      <c r="AR257" t="s">
        <v>1559</v>
      </c>
      <c r="AS257" t="s">
        <v>855</v>
      </c>
      <c r="AT257" s="7">
        <v>1.93</v>
      </c>
      <c r="AU257" s="7">
        <v>1.5</v>
      </c>
      <c r="AV257" s="7">
        <v>2</v>
      </c>
      <c r="AW257" s="7">
        <v>3</v>
      </c>
      <c r="AX257" s="7">
        <v>2</v>
      </c>
      <c r="AY257" s="7">
        <v>1.5</v>
      </c>
      <c r="AZ257" s="7">
        <v>1.5</v>
      </c>
      <c r="BA257" s="7">
        <v>2</v>
      </c>
      <c r="BB257" t="s">
        <v>78</v>
      </c>
      <c r="BC257" s="7">
        <v>300</v>
      </c>
      <c r="BD257" t="s">
        <v>612</v>
      </c>
      <c r="BH257" s="5" t="str">
        <f t="shared" si="7"/>
        <v/>
      </c>
      <c r="BI257" s="5" t="str">
        <f t="shared" si="8"/>
        <v/>
      </c>
    </row>
    <row r="258" spans="40:61" x14ac:dyDescent="0.35">
      <c r="AN258" t="s">
        <v>980</v>
      </c>
      <c r="AO258" s="7">
        <v>2003</v>
      </c>
      <c r="AP258" t="s">
        <v>1554</v>
      </c>
      <c r="AQ258" t="s">
        <v>694</v>
      </c>
      <c r="AR258" t="s">
        <v>1559</v>
      </c>
      <c r="AS258" t="s">
        <v>753</v>
      </c>
      <c r="AT258" s="7">
        <v>2.14</v>
      </c>
      <c r="AU258" s="7">
        <v>2</v>
      </c>
      <c r="AV258" s="7">
        <v>2</v>
      </c>
      <c r="AW258" s="7">
        <v>2.5</v>
      </c>
      <c r="AX258" s="7">
        <v>2</v>
      </c>
      <c r="AY258" s="7">
        <v>2</v>
      </c>
      <c r="AZ258" s="7">
        <v>3</v>
      </c>
      <c r="BA258" s="7">
        <v>1.5</v>
      </c>
      <c r="BB258" t="s">
        <v>248</v>
      </c>
      <c r="BC258" s="7">
        <v>325</v>
      </c>
      <c r="BD258" t="s">
        <v>613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t="s">
        <v>1000</v>
      </c>
      <c r="AO259" s="7">
        <v>2003</v>
      </c>
      <c r="AP259" t="s">
        <v>1554</v>
      </c>
      <c r="AQ259" t="s">
        <v>1001</v>
      </c>
      <c r="AR259" t="s">
        <v>1560</v>
      </c>
      <c r="AS259" t="s">
        <v>222</v>
      </c>
      <c r="AT259" s="7">
        <v>2.36</v>
      </c>
      <c r="AU259" s="7">
        <v>2</v>
      </c>
      <c r="AV259" s="7">
        <v>2</v>
      </c>
      <c r="AW259" s="7">
        <v>2</v>
      </c>
      <c r="AX259" s="7">
        <v>1.5</v>
      </c>
      <c r="AY259" s="7">
        <v>4</v>
      </c>
      <c r="AZ259" s="7">
        <v>3</v>
      </c>
      <c r="BA259" s="7">
        <v>2</v>
      </c>
      <c r="BB259" t="s">
        <v>223</v>
      </c>
      <c r="BC259" s="7">
        <v>90</v>
      </c>
      <c r="BD259" t="s">
        <v>614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t="s">
        <v>1324</v>
      </c>
      <c r="AO260" s="7">
        <v>2003</v>
      </c>
      <c r="AP260" t="s">
        <v>1554</v>
      </c>
      <c r="AQ260" t="s">
        <v>759</v>
      </c>
      <c r="AR260" t="s">
        <v>1559</v>
      </c>
      <c r="AS260" t="s">
        <v>762</v>
      </c>
      <c r="AT260" s="7">
        <v>3.07</v>
      </c>
      <c r="AU260" s="7">
        <v>2.5</v>
      </c>
      <c r="AV260" s="7">
        <v>3</v>
      </c>
      <c r="AW260" s="7">
        <v>3</v>
      </c>
      <c r="AX260" s="7">
        <v>3</v>
      </c>
      <c r="AY260" s="7">
        <v>4</v>
      </c>
      <c r="AZ260" s="7">
        <v>2.5</v>
      </c>
      <c r="BA260" s="7">
        <v>3.5</v>
      </c>
      <c r="BB260" t="s">
        <v>1320</v>
      </c>
      <c r="BC260" s="7">
        <v>650</v>
      </c>
      <c r="BD260" t="s">
        <v>1512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t="s">
        <v>1406</v>
      </c>
      <c r="AO261" s="7">
        <v>2003</v>
      </c>
      <c r="AP261" t="s">
        <v>1554</v>
      </c>
      <c r="AQ261" t="s">
        <v>734</v>
      </c>
      <c r="AR261" t="s">
        <v>1559</v>
      </c>
      <c r="AS261" t="s">
        <v>1457</v>
      </c>
      <c r="AT261" s="7">
        <v>3.29</v>
      </c>
      <c r="AU261" s="7">
        <v>2.5</v>
      </c>
      <c r="AV261" s="7">
        <v>3</v>
      </c>
      <c r="AW261" s="7">
        <v>3.5</v>
      </c>
      <c r="AX261" s="7">
        <v>3.5</v>
      </c>
      <c r="AY261" s="7">
        <v>3.5</v>
      </c>
      <c r="AZ261" s="7">
        <v>3.5</v>
      </c>
      <c r="BA261" s="7">
        <v>3.5</v>
      </c>
      <c r="BB261" t="s">
        <v>1352</v>
      </c>
      <c r="BC261" s="7">
        <v>600</v>
      </c>
      <c r="BD261" t="s">
        <v>1518</v>
      </c>
      <c r="BH261" s="5" t="str">
        <f t="shared" si="9"/>
        <v/>
      </c>
      <c r="BI261" s="5" t="str">
        <f t="shared" si="10"/>
        <v/>
      </c>
    </row>
    <row r="262" spans="40:61" x14ac:dyDescent="0.35">
      <c r="AN262" t="s">
        <v>683</v>
      </c>
      <c r="AO262" s="7">
        <v>2002</v>
      </c>
      <c r="AP262" t="s">
        <v>1554</v>
      </c>
      <c r="AQ262" t="s">
        <v>670</v>
      </c>
      <c r="AR262" t="s">
        <v>1559</v>
      </c>
      <c r="AS262" t="s">
        <v>684</v>
      </c>
      <c r="AT262" s="7">
        <v>2.93</v>
      </c>
      <c r="AU262" s="7">
        <v>2</v>
      </c>
      <c r="AV262" s="7">
        <v>2</v>
      </c>
      <c r="AW262" s="7">
        <v>3.5</v>
      </c>
      <c r="AX262" s="7">
        <v>3</v>
      </c>
      <c r="AY262" s="7">
        <v>2</v>
      </c>
      <c r="AZ262" s="7">
        <v>4</v>
      </c>
      <c r="BA262" s="7">
        <v>4</v>
      </c>
      <c r="BB262" t="s">
        <v>71</v>
      </c>
      <c r="BC262" s="7">
        <v>650</v>
      </c>
      <c r="BD262" t="s">
        <v>615</v>
      </c>
      <c r="BH262" s="5" t="str">
        <f t="shared" si="9"/>
        <v/>
      </c>
      <c r="BI262" s="5" t="str">
        <f t="shared" si="10"/>
        <v/>
      </c>
    </row>
    <row r="263" spans="40:61" x14ac:dyDescent="0.35">
      <c r="AN263" t="s">
        <v>1377</v>
      </c>
      <c r="AO263" s="7">
        <v>2002</v>
      </c>
      <c r="AP263" t="s">
        <v>1554</v>
      </c>
      <c r="AQ263" t="s">
        <v>664</v>
      </c>
      <c r="AR263" t="s">
        <v>1559</v>
      </c>
      <c r="AS263" t="s">
        <v>1441</v>
      </c>
      <c r="AT263" s="7">
        <v>3</v>
      </c>
      <c r="AU263" s="7">
        <v>2</v>
      </c>
      <c r="AV263" s="7">
        <v>2.5</v>
      </c>
      <c r="AW263" s="7">
        <v>3.5</v>
      </c>
      <c r="AX263" s="7">
        <v>3</v>
      </c>
      <c r="AY263" s="7">
        <v>3.5</v>
      </c>
      <c r="AZ263" s="7">
        <v>3</v>
      </c>
      <c r="BA263" s="7">
        <v>3.5</v>
      </c>
      <c r="BB263" t="s">
        <v>1311</v>
      </c>
      <c r="BC263" s="7">
        <v>600</v>
      </c>
      <c r="BD263" t="s">
        <v>1501</v>
      </c>
      <c r="BH263" s="5" t="str">
        <f t="shared" si="9"/>
        <v/>
      </c>
      <c r="BI263" s="5" t="str">
        <f t="shared" si="10"/>
        <v/>
      </c>
    </row>
    <row r="264" spans="40:61" x14ac:dyDescent="0.35">
      <c r="AN264" t="s">
        <v>838</v>
      </c>
      <c r="AO264" s="7">
        <v>2002</v>
      </c>
      <c r="AP264" t="s">
        <v>1554</v>
      </c>
      <c r="AQ264" t="s">
        <v>731</v>
      </c>
      <c r="AR264" t="s">
        <v>1559</v>
      </c>
      <c r="AS264" t="s">
        <v>801</v>
      </c>
      <c r="AT264" s="7">
        <v>4.1399999999999997</v>
      </c>
      <c r="AU264" s="7">
        <v>3.5</v>
      </c>
      <c r="AV264" s="7">
        <v>3.5</v>
      </c>
      <c r="AW264" s="7">
        <v>4.5</v>
      </c>
      <c r="AX264" s="7">
        <v>4</v>
      </c>
      <c r="AY264" s="7">
        <v>4.5</v>
      </c>
      <c r="AZ264" s="7">
        <v>4</v>
      </c>
      <c r="BA264" s="7">
        <v>5</v>
      </c>
      <c r="BB264" t="s">
        <v>141</v>
      </c>
      <c r="BC264" s="7">
        <v>1300</v>
      </c>
      <c r="BD264" t="s">
        <v>616</v>
      </c>
      <c r="BH264" s="5" t="str">
        <f t="shared" si="9"/>
        <v/>
      </c>
      <c r="BI264" s="5" t="str">
        <f t="shared" si="10"/>
        <v/>
      </c>
    </row>
    <row r="265" spans="40:61" x14ac:dyDescent="0.35">
      <c r="AN265" t="s">
        <v>2108</v>
      </c>
      <c r="AO265" s="7">
        <v>2002</v>
      </c>
      <c r="AP265" t="s">
        <v>1554</v>
      </c>
      <c r="AQ265" t="s">
        <v>915</v>
      </c>
      <c r="AR265" t="s">
        <v>1560</v>
      </c>
      <c r="AS265" t="s">
        <v>2109</v>
      </c>
      <c r="AT265" s="7">
        <v>2.29</v>
      </c>
      <c r="AU265" s="7">
        <v>2</v>
      </c>
      <c r="AV265" s="7">
        <v>2.5</v>
      </c>
      <c r="AW265" s="7">
        <v>2.5</v>
      </c>
      <c r="AX265" s="7">
        <v>2.5</v>
      </c>
      <c r="AY265" s="7">
        <v>2</v>
      </c>
      <c r="AZ265" s="7">
        <v>2.5</v>
      </c>
      <c r="BA265" s="7">
        <v>2</v>
      </c>
      <c r="BB265" t="s">
        <v>1342</v>
      </c>
      <c r="BC265" s="7">
        <v>57</v>
      </c>
      <c r="BD265" t="s">
        <v>2140</v>
      </c>
      <c r="BH265" s="5" t="str">
        <f t="shared" si="9"/>
        <v/>
      </c>
      <c r="BI265" s="5" t="str">
        <f t="shared" si="10"/>
        <v/>
      </c>
    </row>
    <row r="266" spans="40:61" x14ac:dyDescent="0.35">
      <c r="AN266" t="s">
        <v>1159</v>
      </c>
      <c r="AO266" s="7">
        <v>2002</v>
      </c>
      <c r="AP266" t="s">
        <v>1554</v>
      </c>
      <c r="AQ266" t="s">
        <v>652</v>
      </c>
      <c r="AR266" t="s">
        <v>1560</v>
      </c>
      <c r="AS266" t="s">
        <v>653</v>
      </c>
      <c r="AT266" s="7">
        <v>3.07</v>
      </c>
      <c r="AU266" s="7">
        <v>2.5</v>
      </c>
      <c r="AV266" s="7">
        <v>3</v>
      </c>
      <c r="AW266" s="7">
        <v>3</v>
      </c>
      <c r="AX266" s="7">
        <v>3.5</v>
      </c>
      <c r="AY266" s="7">
        <v>3</v>
      </c>
      <c r="AZ266" s="7">
        <v>2.5</v>
      </c>
      <c r="BA266" s="7">
        <v>4</v>
      </c>
      <c r="BB266" t="s">
        <v>303</v>
      </c>
      <c r="BC266" s="7">
        <v>25</v>
      </c>
      <c r="BD266" t="s">
        <v>617</v>
      </c>
      <c r="BH266" s="5" t="str">
        <f t="shared" si="9"/>
        <v/>
      </c>
      <c r="BI266" s="5" t="str">
        <f t="shared" si="10"/>
        <v/>
      </c>
    </row>
    <row r="267" spans="40:61" x14ac:dyDescent="0.35">
      <c r="AN267" t="s">
        <v>669</v>
      </c>
      <c r="AO267" s="7">
        <v>2001</v>
      </c>
      <c r="AP267" t="s">
        <v>1554</v>
      </c>
      <c r="AQ267" t="s">
        <v>670</v>
      </c>
      <c r="AR267" t="s">
        <v>1560</v>
      </c>
      <c r="AS267" t="s">
        <v>333</v>
      </c>
      <c r="AT267" s="7">
        <v>3.79</v>
      </c>
      <c r="AU267" s="7">
        <v>4</v>
      </c>
      <c r="AV267" s="7">
        <v>4</v>
      </c>
      <c r="AW267" s="7">
        <v>2.5</v>
      </c>
      <c r="AX267" s="7">
        <v>2.5</v>
      </c>
      <c r="AY267" s="7">
        <v>4.5</v>
      </c>
      <c r="AZ267" s="7">
        <v>4</v>
      </c>
      <c r="BA267" s="7">
        <v>5</v>
      </c>
      <c r="BB267" t="s">
        <v>334</v>
      </c>
      <c r="BC267" s="7">
        <v>120</v>
      </c>
      <c r="BD267" t="s">
        <v>618</v>
      </c>
      <c r="BH267" s="5" t="str">
        <f t="shared" si="9"/>
        <v/>
      </c>
      <c r="BI267" s="5" t="str">
        <f t="shared" si="10"/>
        <v/>
      </c>
    </row>
    <row r="268" spans="40:61" x14ac:dyDescent="0.35">
      <c r="AN268" t="s">
        <v>752</v>
      </c>
      <c r="AO268" s="7">
        <v>2001</v>
      </c>
      <c r="AP268" t="s">
        <v>1554</v>
      </c>
      <c r="AQ268" t="s">
        <v>670</v>
      </c>
      <c r="AR268" t="s">
        <v>1560</v>
      </c>
      <c r="AS268" t="s">
        <v>753</v>
      </c>
      <c r="AT268" s="7">
        <v>3.5</v>
      </c>
      <c r="AU268" s="7">
        <v>4</v>
      </c>
      <c r="AV268" s="7">
        <v>4</v>
      </c>
      <c r="AW268" s="7">
        <v>2</v>
      </c>
      <c r="AX268" s="7">
        <v>3</v>
      </c>
      <c r="AY268" s="7">
        <v>3</v>
      </c>
      <c r="AZ268" s="7">
        <v>4</v>
      </c>
      <c r="BA268" s="7">
        <v>4.5</v>
      </c>
      <c r="BB268" t="s">
        <v>99</v>
      </c>
      <c r="BC268" s="7">
        <v>34</v>
      </c>
      <c r="BD268" t="s">
        <v>619</v>
      </c>
      <c r="BH268" s="5" t="str">
        <f t="shared" si="9"/>
        <v/>
      </c>
      <c r="BI268" s="5" t="str">
        <f t="shared" si="10"/>
        <v/>
      </c>
    </row>
    <row r="269" spans="40:61" x14ac:dyDescent="0.35">
      <c r="AN269" t="s">
        <v>1420</v>
      </c>
      <c r="AO269" s="7">
        <v>2001</v>
      </c>
      <c r="AP269" t="s">
        <v>1554</v>
      </c>
      <c r="AQ269" t="s">
        <v>694</v>
      </c>
      <c r="AR269" t="s">
        <v>1559</v>
      </c>
      <c r="AS269" t="s">
        <v>979</v>
      </c>
      <c r="AT269" s="38">
        <v>2.4300000000000002</v>
      </c>
      <c r="AU269" s="7">
        <v>2.5</v>
      </c>
      <c r="AV269" s="7">
        <v>3.5</v>
      </c>
      <c r="AW269" s="7">
        <v>3.5</v>
      </c>
      <c r="AX269" s="7">
        <v>2.5</v>
      </c>
      <c r="AY269" s="7">
        <v>1.5</v>
      </c>
      <c r="AZ269" s="7">
        <v>1.5</v>
      </c>
      <c r="BA269" s="7">
        <v>2</v>
      </c>
      <c r="BB269" t="s">
        <v>1336</v>
      </c>
      <c r="BC269" s="7">
        <v>625</v>
      </c>
      <c r="BD269" t="s">
        <v>1527</v>
      </c>
      <c r="BH269" s="5" t="str">
        <f t="shared" si="9"/>
        <v/>
      </c>
      <c r="BI269" s="5" t="str">
        <f t="shared" si="10"/>
        <v/>
      </c>
    </row>
    <row r="270" spans="40:61" x14ac:dyDescent="0.35">
      <c r="AN270" t="s">
        <v>817</v>
      </c>
      <c r="AO270" s="7">
        <v>2000</v>
      </c>
      <c r="AP270" t="s">
        <v>1554</v>
      </c>
      <c r="AQ270" t="s">
        <v>818</v>
      </c>
      <c r="AR270" t="s">
        <v>1560</v>
      </c>
      <c r="AS270" t="s">
        <v>819</v>
      </c>
      <c r="AT270" s="7">
        <v>4.57</v>
      </c>
      <c r="AU270" s="7">
        <v>4</v>
      </c>
      <c r="AV270" s="7">
        <v>4</v>
      </c>
      <c r="AW270" s="7">
        <v>5</v>
      </c>
      <c r="AX270" s="7">
        <v>4</v>
      </c>
      <c r="AY270" s="7">
        <v>5</v>
      </c>
      <c r="AZ270" s="7">
        <v>5</v>
      </c>
      <c r="BA270" s="7">
        <v>5</v>
      </c>
      <c r="BB270" t="s">
        <v>134</v>
      </c>
      <c r="BC270" s="7">
        <v>150</v>
      </c>
      <c r="BD270" t="s">
        <v>620</v>
      </c>
      <c r="BH270" s="5" t="str">
        <f t="shared" si="9"/>
        <v/>
      </c>
      <c r="BI270" s="5" t="str">
        <f t="shared" si="10"/>
        <v/>
      </c>
    </row>
    <row r="271" spans="40:61" x14ac:dyDescent="0.35">
      <c r="AN271" t="s">
        <v>940</v>
      </c>
      <c r="AO271" s="7">
        <v>2000</v>
      </c>
      <c r="AP271" t="s">
        <v>1554</v>
      </c>
      <c r="AQ271" t="s">
        <v>938</v>
      </c>
      <c r="AR271" t="s">
        <v>1560</v>
      </c>
      <c r="AS271" t="s">
        <v>939</v>
      </c>
      <c r="AT271" s="7">
        <v>3.14</v>
      </c>
      <c r="AU271" s="7">
        <v>3</v>
      </c>
      <c r="AV271" s="7">
        <v>2</v>
      </c>
      <c r="AW271" s="7">
        <v>3</v>
      </c>
      <c r="AX271" s="7">
        <v>2</v>
      </c>
      <c r="AY271" s="7">
        <v>3</v>
      </c>
      <c r="AZ271" s="7">
        <v>5</v>
      </c>
      <c r="BA271" s="7">
        <v>4</v>
      </c>
      <c r="BB271" t="s">
        <v>197</v>
      </c>
      <c r="BC271" s="7">
        <v>60</v>
      </c>
      <c r="BD271" t="s">
        <v>621</v>
      </c>
      <c r="BH271" s="5" t="str">
        <f t="shared" si="9"/>
        <v/>
      </c>
      <c r="BI271" s="5" t="str">
        <f t="shared" si="10"/>
        <v/>
      </c>
    </row>
    <row r="272" spans="40:61" x14ac:dyDescent="0.35">
      <c r="AN272" t="s">
        <v>1051</v>
      </c>
      <c r="AO272" s="7">
        <v>2000</v>
      </c>
      <c r="AP272" t="s">
        <v>1554</v>
      </c>
      <c r="AQ272" t="s">
        <v>1052</v>
      </c>
      <c r="AR272" t="s">
        <v>1560</v>
      </c>
      <c r="AS272" t="s">
        <v>1053</v>
      </c>
      <c r="AT272" s="7">
        <v>1.71</v>
      </c>
      <c r="AU272" s="7">
        <v>1.5</v>
      </c>
      <c r="AV272" s="7">
        <v>2</v>
      </c>
      <c r="AW272" s="7">
        <v>2.5</v>
      </c>
      <c r="AX272" s="7">
        <v>1.5</v>
      </c>
      <c r="AY272" s="7">
        <v>1.5</v>
      </c>
      <c r="AZ272" s="7">
        <v>2</v>
      </c>
      <c r="BA272" s="7">
        <v>1</v>
      </c>
      <c r="BB272" t="s">
        <v>247</v>
      </c>
      <c r="BC272" s="7">
        <v>60</v>
      </c>
      <c r="BD272" t="s">
        <v>622</v>
      </c>
      <c r="BH272" s="5" t="str">
        <f t="shared" si="9"/>
        <v/>
      </c>
      <c r="BI272" s="5" t="str">
        <f t="shared" si="10"/>
        <v/>
      </c>
    </row>
    <row r="273" spans="40:61" x14ac:dyDescent="0.35">
      <c r="AN273" t="s">
        <v>1047</v>
      </c>
      <c r="AO273" s="7">
        <v>1998</v>
      </c>
      <c r="AP273" t="s">
        <v>1554</v>
      </c>
      <c r="AQ273" t="s">
        <v>1048</v>
      </c>
      <c r="AR273" t="s">
        <v>1559</v>
      </c>
      <c r="AS273" t="s">
        <v>898</v>
      </c>
      <c r="AT273" s="7">
        <v>3.71</v>
      </c>
      <c r="AU273" s="7">
        <v>2.5</v>
      </c>
      <c r="AV273" s="7">
        <v>3</v>
      </c>
      <c r="AW273" s="7">
        <v>3.5</v>
      </c>
      <c r="AX273" s="7">
        <v>3</v>
      </c>
      <c r="AY273" s="7">
        <v>5</v>
      </c>
      <c r="AZ273" s="7">
        <v>4</v>
      </c>
      <c r="BA273" s="7">
        <v>5</v>
      </c>
      <c r="BB273" t="s">
        <v>243</v>
      </c>
      <c r="BC273" s="7">
        <v>325</v>
      </c>
      <c r="BD273" t="s">
        <v>623</v>
      </c>
      <c r="BH273" s="5" t="str">
        <f t="shared" si="9"/>
        <v/>
      </c>
      <c r="BI273" s="5" t="str">
        <f t="shared" si="10"/>
        <v/>
      </c>
    </row>
    <row r="274" spans="40:61" x14ac:dyDescent="0.35">
      <c r="AN274" t="s">
        <v>1144</v>
      </c>
      <c r="AO274" s="7">
        <v>1998</v>
      </c>
      <c r="AP274" t="s">
        <v>1554</v>
      </c>
      <c r="AQ274" t="s">
        <v>694</v>
      </c>
      <c r="AR274" t="s">
        <v>1559</v>
      </c>
      <c r="AS274" t="s">
        <v>1145</v>
      </c>
      <c r="AT274" s="7">
        <v>2.79</v>
      </c>
      <c r="AU274" s="7">
        <v>2</v>
      </c>
      <c r="AV274" s="7">
        <v>3</v>
      </c>
      <c r="AW274" s="7">
        <v>3.5</v>
      </c>
      <c r="AX274" s="7">
        <v>3.5</v>
      </c>
      <c r="AY274" s="7">
        <v>2</v>
      </c>
      <c r="AZ274" s="7">
        <v>2.5</v>
      </c>
      <c r="BA274" s="7">
        <v>3</v>
      </c>
      <c r="BB274" t="s">
        <v>300</v>
      </c>
      <c r="BC274" s="7">
        <v>650</v>
      </c>
      <c r="BD274" t="s">
        <v>624</v>
      </c>
      <c r="BH274" s="5" t="str">
        <f t="shared" si="9"/>
        <v/>
      </c>
      <c r="BI274" s="5" t="str">
        <f t="shared" si="10"/>
        <v/>
      </c>
    </row>
    <row r="275" spans="40:61" x14ac:dyDescent="0.35">
      <c r="AN275" t="s">
        <v>1605</v>
      </c>
      <c r="AO275" s="7">
        <v>1997</v>
      </c>
      <c r="AP275" t="s">
        <v>1554</v>
      </c>
      <c r="AQ275" t="s">
        <v>694</v>
      </c>
      <c r="AR275" t="s">
        <v>1560</v>
      </c>
      <c r="AS275" t="s">
        <v>1606</v>
      </c>
      <c r="AT275" s="7">
        <v>2.36</v>
      </c>
      <c r="AU275" s="7">
        <v>2.5</v>
      </c>
      <c r="AV275" s="7">
        <v>2</v>
      </c>
      <c r="AW275" s="7">
        <v>2.5</v>
      </c>
      <c r="AX275" s="7">
        <v>2.5</v>
      </c>
      <c r="AY275" s="7">
        <v>2.5</v>
      </c>
      <c r="AZ275" s="7">
        <v>2.5</v>
      </c>
      <c r="BA275" s="7">
        <v>2</v>
      </c>
      <c r="BB275" t="s">
        <v>77</v>
      </c>
      <c r="BC275" s="7">
        <v>160</v>
      </c>
      <c r="BD275" t="s">
        <v>1658</v>
      </c>
      <c r="BH275" s="5" t="str">
        <f t="shared" si="9"/>
        <v/>
      </c>
      <c r="BI275" s="5" t="str">
        <f t="shared" si="10"/>
        <v/>
      </c>
    </row>
    <row r="276" spans="40:61" x14ac:dyDescent="0.35">
      <c r="AN276" t="s">
        <v>1269</v>
      </c>
      <c r="AO276" s="7">
        <v>1995</v>
      </c>
      <c r="AP276" t="s">
        <v>1554</v>
      </c>
      <c r="AQ276" t="s">
        <v>965</v>
      </c>
      <c r="AR276" t="s">
        <v>1559</v>
      </c>
      <c r="AS276" t="s">
        <v>1299</v>
      </c>
      <c r="AT276" s="7">
        <v>3.36</v>
      </c>
      <c r="AU276" s="7">
        <v>2.5</v>
      </c>
      <c r="AV276" s="7">
        <v>3.5</v>
      </c>
      <c r="AW276" s="7">
        <v>4</v>
      </c>
      <c r="AX276" s="7">
        <v>2</v>
      </c>
      <c r="AY276" s="7">
        <v>3.5</v>
      </c>
      <c r="AZ276" s="7">
        <v>3.5</v>
      </c>
      <c r="BA276" s="7">
        <v>4.5</v>
      </c>
      <c r="BB276" t="s">
        <v>1203</v>
      </c>
      <c r="BC276" s="7">
        <v>650</v>
      </c>
      <c r="BD276" t="s">
        <v>1253</v>
      </c>
      <c r="BH276" s="5" t="str">
        <f t="shared" si="9"/>
        <v/>
      </c>
      <c r="BI276" s="5" t="str">
        <f t="shared" si="10"/>
        <v/>
      </c>
    </row>
    <row r="277" spans="40:61" x14ac:dyDescent="0.35">
      <c r="AN277" t="s">
        <v>1603</v>
      </c>
      <c r="AO277" s="7">
        <v>1994</v>
      </c>
      <c r="AP277" t="s">
        <v>1554</v>
      </c>
      <c r="AQ277" t="s">
        <v>681</v>
      </c>
      <c r="AR277" t="s">
        <v>1560</v>
      </c>
      <c r="AS277" t="s">
        <v>1604</v>
      </c>
      <c r="AT277" s="7">
        <v>2.86</v>
      </c>
      <c r="AU277" s="7">
        <v>3</v>
      </c>
      <c r="AV277" s="7">
        <v>2.5</v>
      </c>
      <c r="AW277" s="7">
        <v>2.5</v>
      </c>
      <c r="AX277" s="7">
        <v>3</v>
      </c>
      <c r="AY277" s="7">
        <v>2.5</v>
      </c>
      <c r="AZ277" s="7">
        <v>3.5</v>
      </c>
      <c r="BA277" s="7">
        <v>3</v>
      </c>
      <c r="BB277" t="s">
        <v>1544</v>
      </c>
      <c r="BC277" s="7">
        <v>210</v>
      </c>
      <c r="BD277" t="s">
        <v>1659</v>
      </c>
      <c r="BH277" s="5" t="str">
        <f t="shared" si="9"/>
        <v/>
      </c>
      <c r="BI277" s="5" t="str">
        <f t="shared" si="10"/>
        <v/>
      </c>
    </row>
    <row r="278" spans="40:61" x14ac:dyDescent="0.35">
      <c r="AN278" t="s">
        <v>964</v>
      </c>
      <c r="AO278" s="7">
        <v>1990</v>
      </c>
      <c r="AP278" t="s">
        <v>1554</v>
      </c>
      <c r="AQ278" t="s">
        <v>965</v>
      </c>
      <c r="AR278" t="s">
        <v>1559</v>
      </c>
      <c r="AS278" t="s">
        <v>206</v>
      </c>
      <c r="AT278" s="7">
        <v>2.64</v>
      </c>
      <c r="AU278" s="7">
        <v>2</v>
      </c>
      <c r="AV278" s="7">
        <v>3</v>
      </c>
      <c r="AW278" s="7">
        <v>3</v>
      </c>
      <c r="AX278" s="7">
        <v>2.5</v>
      </c>
      <c r="AY278" s="7">
        <v>2.5</v>
      </c>
      <c r="AZ278" s="7">
        <v>2.5</v>
      </c>
      <c r="BA278" s="7">
        <v>3</v>
      </c>
      <c r="BB278" t="s">
        <v>207</v>
      </c>
      <c r="BC278" s="7">
        <v>975</v>
      </c>
      <c r="BD278" t="s">
        <v>625</v>
      </c>
      <c r="BH278" s="5" t="str">
        <f t="shared" si="9"/>
        <v/>
      </c>
      <c r="BI278" s="5" t="str">
        <f t="shared" si="10"/>
        <v/>
      </c>
    </row>
    <row r="279" spans="40:61" x14ac:dyDescent="0.35">
      <c r="AN279" t="s">
        <v>1561</v>
      </c>
      <c r="AO279" s="7">
        <v>1988</v>
      </c>
      <c r="AP279" t="s">
        <v>1554</v>
      </c>
      <c r="AQ279" t="s">
        <v>1562</v>
      </c>
      <c r="AR279" t="s">
        <v>1560</v>
      </c>
      <c r="AS279" t="s">
        <v>1563</v>
      </c>
      <c r="AT279" s="7">
        <v>2.4300000000000002</v>
      </c>
      <c r="AU279" s="7">
        <v>2</v>
      </c>
      <c r="AV279" s="7">
        <v>2</v>
      </c>
      <c r="AW279" s="7">
        <v>3</v>
      </c>
      <c r="AX279" s="7">
        <v>2</v>
      </c>
      <c r="AY279" s="7">
        <v>2</v>
      </c>
      <c r="AZ279" s="7">
        <v>3</v>
      </c>
      <c r="BA279" s="7">
        <v>3</v>
      </c>
      <c r="BB279" t="s">
        <v>1528</v>
      </c>
      <c r="BC279" s="7">
        <v>70</v>
      </c>
      <c r="BD279" t="s">
        <v>1660</v>
      </c>
      <c r="BH279" s="5" t="str">
        <f t="shared" si="9"/>
        <v/>
      </c>
      <c r="BI279" s="5" t="str">
        <f t="shared" si="10"/>
        <v/>
      </c>
    </row>
    <row r="280" spans="40:61" x14ac:dyDescent="0.35">
      <c r="AN280" s="39" t="s">
        <v>789</v>
      </c>
      <c r="AO280" s="40">
        <v>1987</v>
      </c>
      <c r="AP280" s="39" t="s">
        <v>1554</v>
      </c>
      <c r="AQ280" s="39" t="s">
        <v>790</v>
      </c>
      <c r="AR280" s="39" t="s">
        <v>1560</v>
      </c>
      <c r="AS280" s="39" t="s">
        <v>791</v>
      </c>
      <c r="AT280" s="40">
        <v>2.14</v>
      </c>
      <c r="AU280" s="40">
        <v>2</v>
      </c>
      <c r="AV280" s="40">
        <v>2.5</v>
      </c>
      <c r="AW280" s="40">
        <v>2</v>
      </c>
      <c r="AX280" s="40">
        <v>1.5</v>
      </c>
      <c r="AY280" s="40">
        <v>1.5</v>
      </c>
      <c r="AZ280" s="40">
        <v>3</v>
      </c>
      <c r="BA280" s="40">
        <v>2.5</v>
      </c>
      <c r="BB280" s="39" t="s">
        <v>121</v>
      </c>
      <c r="BC280" s="40">
        <v>110</v>
      </c>
      <c r="BD280" s="45" t="s">
        <v>626</v>
      </c>
      <c r="BH280" s="5" t="str">
        <f t="shared" si="9"/>
        <v/>
      </c>
      <c r="BI280" s="5" t="str">
        <f t="shared" si="10"/>
        <v/>
      </c>
    </row>
    <row r="281" spans="40:61" x14ac:dyDescent="0.35">
      <c r="AN281" s="42" t="s">
        <v>2695</v>
      </c>
      <c r="AO281" s="43">
        <v>1985</v>
      </c>
      <c r="AP281" s="42" t="s">
        <v>1554</v>
      </c>
      <c r="AQ281" s="42" t="s">
        <v>811</v>
      </c>
      <c r="AR281" s="42" t="s">
        <v>1560</v>
      </c>
      <c r="AS281" s="42" t="s">
        <v>836</v>
      </c>
      <c r="AT281" s="43">
        <v>3.07</v>
      </c>
      <c r="AU281" s="43">
        <v>2.5</v>
      </c>
      <c r="AV281" s="43">
        <v>3.5</v>
      </c>
      <c r="AW281" s="43">
        <v>4</v>
      </c>
      <c r="AX281" s="43">
        <v>3</v>
      </c>
      <c r="AY281" s="43">
        <v>3</v>
      </c>
      <c r="AZ281" s="43">
        <v>2</v>
      </c>
      <c r="BA281" s="43">
        <v>3.5</v>
      </c>
      <c r="BB281" s="42" t="s">
        <v>2683</v>
      </c>
      <c r="BC281" s="43">
        <v>71</v>
      </c>
      <c r="BD281" s="46" t="s">
        <v>2728</v>
      </c>
      <c r="BH281" s="5" t="str">
        <f t="shared" si="9"/>
        <v/>
      </c>
      <c r="BI281" s="5" t="str">
        <f t="shared" si="10"/>
        <v/>
      </c>
    </row>
    <row r="282" spans="40:61" x14ac:dyDescent="0.35">
      <c r="AN282" s="42" t="s">
        <v>1390</v>
      </c>
      <c r="AO282" s="43">
        <v>1971</v>
      </c>
      <c r="AP282" s="42" t="s">
        <v>1554</v>
      </c>
      <c r="AQ282" s="42" t="s">
        <v>915</v>
      </c>
      <c r="AR282" s="42" t="s">
        <v>1559</v>
      </c>
      <c r="AS282" s="42" t="s">
        <v>1343</v>
      </c>
      <c r="AT282" s="43">
        <v>2.79</v>
      </c>
      <c r="AU282" s="43">
        <v>2</v>
      </c>
      <c r="AV282" s="43">
        <v>2.5</v>
      </c>
      <c r="AW282" s="43">
        <v>3.5</v>
      </c>
      <c r="AX282" s="43">
        <v>2.5</v>
      </c>
      <c r="AY282" s="43">
        <v>3</v>
      </c>
      <c r="AZ282" s="43">
        <v>3</v>
      </c>
      <c r="BA282" s="43">
        <v>3</v>
      </c>
      <c r="BB282" s="42" t="s">
        <v>54</v>
      </c>
      <c r="BC282" s="43">
        <v>588</v>
      </c>
      <c r="BD282" s="46" t="s">
        <v>1509</v>
      </c>
      <c r="BH282" s="5" t="str">
        <f t="shared" si="9"/>
        <v/>
      </c>
      <c r="BI282" s="5" t="str">
        <f t="shared" si="10"/>
        <v/>
      </c>
    </row>
    <row r="283" spans="40:61" x14ac:dyDescent="0.35">
      <c r="BH283" s="5" t="str">
        <f t="shared" si="9"/>
        <v/>
      </c>
      <c r="BI283" s="5" t="str">
        <f t="shared" si="10"/>
        <v/>
      </c>
    </row>
    <row r="284" spans="40:61" x14ac:dyDescent="0.35">
      <c r="BH284" s="5" t="str">
        <f t="shared" si="9"/>
        <v/>
      </c>
      <c r="BI284" s="5" t="str">
        <f t="shared" si="10"/>
        <v/>
      </c>
    </row>
    <row r="285" spans="40:61" x14ac:dyDescent="0.35">
      <c r="BH285" s="5" t="str">
        <f t="shared" si="9"/>
        <v/>
      </c>
      <c r="BI285" s="5" t="str">
        <f t="shared" si="10"/>
        <v/>
      </c>
    </row>
    <row r="286" spans="40:61" x14ac:dyDescent="0.35">
      <c r="BH286" s="5" t="str">
        <f t="shared" si="9"/>
        <v/>
      </c>
      <c r="BI286" s="5" t="str">
        <f t="shared" si="10"/>
        <v/>
      </c>
    </row>
    <row r="287" spans="40:61" x14ac:dyDescent="0.35">
      <c r="BH287" s="5" t="str">
        <f t="shared" si="9"/>
        <v/>
      </c>
      <c r="BI287" s="5" t="str">
        <f t="shared" si="10"/>
        <v/>
      </c>
    </row>
    <row r="288" spans="4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TRIM(CLEAN(SUBSTITUTE(AN429,CHAR(160),"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hyperlinks>
    <hyperlink ref="BD176" r:id="rId1" xr:uid="{0EF4FD79-FEFC-43FC-A834-6A80C9F8A91F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13"/>
  <sheetViews>
    <sheetView workbookViewId="0">
      <selection activeCell="E21" sqref="E21"/>
    </sheetView>
  </sheetViews>
  <sheetFormatPr defaultRowHeight="14.5" x14ac:dyDescent="0.35"/>
  <sheetData>
    <row r="3" spans="3:4" x14ac:dyDescent="0.35">
      <c r="C3" t="s">
        <v>325</v>
      </c>
      <c r="D3" t="s">
        <v>326</v>
      </c>
    </row>
    <row r="4" spans="3:4" x14ac:dyDescent="0.35">
      <c r="C4" t="s">
        <v>317</v>
      </c>
      <c r="D4">
        <f xml:space="preserve"> COUNTIF(Table1[STot],"&lt;=1.50")</f>
        <v>4</v>
      </c>
    </row>
    <row r="5" spans="3:4" x14ac:dyDescent="0.35">
      <c r="C5" t="s">
        <v>318</v>
      </c>
      <c r="D5">
        <f xml:space="preserve"> COUNTIFS(Table1[STot],"&gt;1.5",Table1[STot],"&lt;=2.0")</f>
        <v>14</v>
      </c>
    </row>
    <row r="6" spans="3:4" x14ac:dyDescent="0.35">
      <c r="C6" t="s">
        <v>319</v>
      </c>
      <c r="D6">
        <f xml:space="preserve"> COUNTIFS(Table1[STot],"&gt;2.0",Table1[STot],"&lt;=2.5")</f>
        <v>57</v>
      </c>
    </row>
    <row r="7" spans="3:4" x14ac:dyDescent="0.35">
      <c r="C7" t="s">
        <v>320</v>
      </c>
      <c r="D7">
        <f xml:space="preserve"> COUNTIFS(Table1[STot],"&gt;2.5",Table1[STot],"&lt;=3.0")</f>
        <v>123</v>
      </c>
    </row>
    <row r="8" spans="3:4" x14ac:dyDescent="0.35">
      <c r="C8" t="s">
        <v>321</v>
      </c>
      <c r="D8">
        <f xml:space="preserve"> COUNTIFS(Table1[STot],"&gt;3.0",Table1[STot],"&lt;=3.5")</f>
        <v>241</v>
      </c>
    </row>
    <row r="9" spans="3:4" x14ac:dyDescent="0.35">
      <c r="C9" t="s">
        <v>322</v>
      </c>
      <c r="D9">
        <f xml:space="preserve"> COUNTIFS(Table1[STot],"&gt;3.5",Table1[STot],"&lt;=4.0")</f>
        <v>187</v>
      </c>
    </row>
    <row r="10" spans="3:4" x14ac:dyDescent="0.35">
      <c r="C10" t="s">
        <v>323</v>
      </c>
      <c r="D10">
        <f xml:space="preserve"> COUNTIFS(Table1[STot],"&gt;4.0",Table1[STot],"&lt;=4.5")</f>
        <v>57</v>
      </c>
    </row>
    <row r="11" spans="3:4" x14ac:dyDescent="0.35">
      <c r="C11" t="s">
        <v>324</v>
      </c>
      <c r="D11">
        <f xml:space="preserve"> COUNTIFS(Table1[STot],"&gt;4.5",Table1[STot],"&lt;=5.0")</f>
        <v>13</v>
      </c>
    </row>
    <row r="21" spans="3:4" x14ac:dyDescent="0.35">
      <c r="C21" t="s">
        <v>328</v>
      </c>
      <c r="D21" t="s">
        <v>329</v>
      </c>
    </row>
    <row r="22" spans="3:4" x14ac:dyDescent="0.35">
      <c r="C22">
        <v>1935</v>
      </c>
      <c r="D22">
        <f xml:space="preserve"> COUNTIF(Table1[Year],C22)</f>
        <v>0</v>
      </c>
    </row>
    <row r="23" spans="3:4" x14ac:dyDescent="0.35">
      <c r="C23">
        <v>1936</v>
      </c>
      <c r="D23">
        <f xml:space="preserve"> COUNTIF(Table1[Year],C23)</f>
        <v>0</v>
      </c>
    </row>
    <row r="24" spans="3:4" x14ac:dyDescent="0.35">
      <c r="C24">
        <v>1937</v>
      </c>
      <c r="D24">
        <f xml:space="preserve"> COUNTIF(Table1[Year],C24)</f>
        <v>1</v>
      </c>
    </row>
    <row r="25" spans="3:4" x14ac:dyDescent="0.35">
      <c r="C25">
        <v>1938</v>
      </c>
      <c r="D25">
        <f xml:space="preserve"> COUNTIF(Table1[Year],C25)</f>
        <v>0</v>
      </c>
    </row>
    <row r="26" spans="3:4" x14ac:dyDescent="0.35">
      <c r="C26">
        <v>1939</v>
      </c>
      <c r="D26">
        <f xml:space="preserve"> COUNTIF(Table1[Year],C26)</f>
        <v>0</v>
      </c>
    </row>
    <row r="27" spans="3:4" x14ac:dyDescent="0.35">
      <c r="C27">
        <v>1940</v>
      </c>
      <c r="D27">
        <f xml:space="preserve"> COUNTIF(Table1[Year],C27)</f>
        <v>2</v>
      </c>
    </row>
    <row r="28" spans="3:4" x14ac:dyDescent="0.35">
      <c r="C28">
        <v>1941</v>
      </c>
      <c r="D28">
        <f xml:space="preserve"> COUNTIF(Table1[Year],C28)</f>
        <v>1</v>
      </c>
    </row>
    <row r="29" spans="3:4" x14ac:dyDescent="0.35">
      <c r="C29">
        <v>1942</v>
      </c>
      <c r="D29">
        <f xml:space="preserve"> COUNTIF(Table1[Year],C29)</f>
        <v>2</v>
      </c>
    </row>
    <row r="30" spans="3:4" x14ac:dyDescent="0.35">
      <c r="C30">
        <v>1943</v>
      </c>
      <c r="D30">
        <f xml:space="preserve"> COUNTIF(Table1[Year],C30)</f>
        <v>0</v>
      </c>
    </row>
    <row r="31" spans="3:4" x14ac:dyDescent="0.35">
      <c r="C31">
        <v>1944</v>
      </c>
      <c r="D31">
        <f xml:space="preserve"> COUNTIF(Table1[Year],C31)</f>
        <v>1</v>
      </c>
    </row>
    <row r="32" spans="3:4" x14ac:dyDescent="0.35">
      <c r="C32">
        <v>1945</v>
      </c>
      <c r="D32">
        <f xml:space="preserve"> COUNTIF(Table1[Year],C32)</f>
        <v>1</v>
      </c>
    </row>
    <row r="33" spans="3:4" x14ac:dyDescent="0.35">
      <c r="C33">
        <v>1946</v>
      </c>
      <c r="D33">
        <f xml:space="preserve"> COUNTIF(Table1[Year],C33)</f>
        <v>1</v>
      </c>
    </row>
    <row r="34" spans="3:4" x14ac:dyDescent="0.35">
      <c r="C34">
        <v>1947</v>
      </c>
      <c r="D34">
        <f xml:space="preserve"> COUNTIF(Table1[Year],C34)</f>
        <v>1</v>
      </c>
    </row>
    <row r="35" spans="3:4" x14ac:dyDescent="0.35">
      <c r="C35">
        <v>1948</v>
      </c>
      <c r="D35">
        <f xml:space="preserve"> COUNTIF(Table1[Year],C35)</f>
        <v>1</v>
      </c>
    </row>
    <row r="36" spans="3:4" x14ac:dyDescent="0.35">
      <c r="C36">
        <v>1949</v>
      </c>
      <c r="D36">
        <f xml:space="preserve"> COUNTIF(Table1[Year],C36)</f>
        <v>1</v>
      </c>
    </row>
    <row r="37" spans="3:4" x14ac:dyDescent="0.35">
      <c r="C37">
        <v>1950</v>
      </c>
      <c r="D37">
        <f xml:space="preserve"> COUNTIF(Table1[Year],C37)</f>
        <v>1</v>
      </c>
    </row>
    <row r="38" spans="3:4" x14ac:dyDescent="0.35">
      <c r="C38">
        <v>1951</v>
      </c>
      <c r="D38">
        <f xml:space="preserve"> COUNTIF(Table1[Year],C38)</f>
        <v>1</v>
      </c>
    </row>
    <row r="39" spans="3:4" x14ac:dyDescent="0.35">
      <c r="C39">
        <v>1952</v>
      </c>
      <c r="D39">
        <f xml:space="preserve"> COUNTIF(Table1[Year],C39)</f>
        <v>0</v>
      </c>
    </row>
    <row r="40" spans="3:4" x14ac:dyDescent="0.35">
      <c r="C40">
        <v>1953</v>
      </c>
      <c r="D40">
        <f xml:space="preserve"> COUNTIF(Table1[Year],C40)</f>
        <v>1</v>
      </c>
    </row>
    <row r="41" spans="3:4" x14ac:dyDescent="0.35">
      <c r="C41">
        <v>1954</v>
      </c>
      <c r="D41">
        <f xml:space="preserve"> COUNTIF(Table1[Year],C41)</f>
        <v>0</v>
      </c>
    </row>
    <row r="42" spans="3:4" x14ac:dyDescent="0.35">
      <c r="C42">
        <v>1955</v>
      </c>
      <c r="D42">
        <f xml:space="preserve"> COUNTIF(Table1[Year],C42)</f>
        <v>1</v>
      </c>
    </row>
    <row r="43" spans="3:4" x14ac:dyDescent="0.35">
      <c r="C43">
        <v>1956</v>
      </c>
      <c r="D43">
        <f xml:space="preserve"> COUNTIF(Table1[Year],C43)</f>
        <v>0</v>
      </c>
    </row>
    <row r="44" spans="3:4" x14ac:dyDescent="0.35">
      <c r="C44">
        <v>1957</v>
      </c>
      <c r="D44">
        <f xml:space="preserve"> COUNTIF(Table1[Year],C44)</f>
        <v>0</v>
      </c>
    </row>
    <row r="45" spans="3:4" x14ac:dyDescent="0.35">
      <c r="C45">
        <v>1958</v>
      </c>
      <c r="D45">
        <f xml:space="preserve"> COUNTIF(Table1[Year],C45)</f>
        <v>0</v>
      </c>
    </row>
    <row r="46" spans="3:4" x14ac:dyDescent="0.35">
      <c r="C46">
        <v>1959</v>
      </c>
      <c r="D46">
        <f xml:space="preserve"> COUNTIF(Table1[Year],C46)</f>
        <v>1</v>
      </c>
    </row>
    <row r="47" spans="3:4" x14ac:dyDescent="0.35">
      <c r="C47">
        <v>1960</v>
      </c>
      <c r="D47">
        <f xml:space="preserve"> COUNTIF(Table1[Year],C47)</f>
        <v>0</v>
      </c>
    </row>
    <row r="48" spans="3:4" x14ac:dyDescent="0.35">
      <c r="C48">
        <v>1961</v>
      </c>
      <c r="D48">
        <f xml:space="preserve"> COUNTIF(Table1[Year],C48)</f>
        <v>1</v>
      </c>
    </row>
    <row r="49" spans="3:4" x14ac:dyDescent="0.35">
      <c r="C49">
        <v>1962</v>
      </c>
      <c r="D49">
        <f xml:space="preserve"> COUNTIF(Table1[Year],C49)</f>
        <v>0</v>
      </c>
    </row>
    <row r="50" spans="3:4" x14ac:dyDescent="0.35">
      <c r="C50">
        <v>1963</v>
      </c>
      <c r="D50">
        <f xml:space="preserve"> COUNTIF(Table1[Year],C50)</f>
        <v>1</v>
      </c>
    </row>
    <row r="51" spans="3:4" x14ac:dyDescent="0.35">
      <c r="C51">
        <v>1964</v>
      </c>
      <c r="D51">
        <f xml:space="preserve"> COUNTIF(Table1[Year],C51)</f>
        <v>0</v>
      </c>
    </row>
    <row r="52" spans="3:4" x14ac:dyDescent="0.35">
      <c r="C52">
        <v>1965</v>
      </c>
      <c r="D52">
        <f xml:space="preserve"> COUNTIF(Table1[Year],C52)</f>
        <v>0</v>
      </c>
    </row>
    <row r="53" spans="3:4" x14ac:dyDescent="0.35">
      <c r="C53">
        <v>1966</v>
      </c>
      <c r="D53">
        <f xml:space="preserve"> COUNTIF(Table1[Year],C53)</f>
        <v>0</v>
      </c>
    </row>
    <row r="54" spans="3:4" x14ac:dyDescent="0.35">
      <c r="C54">
        <v>1967</v>
      </c>
      <c r="D54">
        <f xml:space="preserve"> COUNTIF(Table1[Year],C54)</f>
        <v>1</v>
      </c>
    </row>
    <row r="55" spans="3:4" x14ac:dyDescent="0.35">
      <c r="C55">
        <v>1968</v>
      </c>
      <c r="D55">
        <f xml:space="preserve"> COUNTIF(Table1[Year],C55)</f>
        <v>1</v>
      </c>
    </row>
    <row r="56" spans="3:4" x14ac:dyDescent="0.35">
      <c r="C56">
        <v>1969</v>
      </c>
      <c r="D56">
        <f xml:space="preserve"> COUNTIF(Table1[Year],C56)</f>
        <v>3</v>
      </c>
    </row>
    <row r="57" spans="3:4" x14ac:dyDescent="0.35">
      <c r="C57">
        <v>1970</v>
      </c>
      <c r="D57">
        <f xml:space="preserve"> COUNTIF(Table1[Year],C57)</f>
        <v>2</v>
      </c>
    </row>
    <row r="58" spans="3:4" x14ac:dyDescent="0.35">
      <c r="C58">
        <v>1971</v>
      </c>
      <c r="D58">
        <f xml:space="preserve"> COUNTIF(Table1[Year],C58)</f>
        <v>2</v>
      </c>
    </row>
    <row r="59" spans="3:4" x14ac:dyDescent="0.35">
      <c r="C59">
        <v>1972</v>
      </c>
      <c r="D59">
        <f xml:space="preserve"> COUNTIF(Table1[Year],C59)</f>
        <v>3</v>
      </c>
    </row>
    <row r="60" spans="3:4" x14ac:dyDescent="0.35">
      <c r="C60">
        <v>1973</v>
      </c>
      <c r="D60">
        <f xml:space="preserve"> COUNTIF(Table1[Year],C60)</f>
        <v>3</v>
      </c>
    </row>
    <row r="61" spans="3:4" x14ac:dyDescent="0.35">
      <c r="C61">
        <v>1974</v>
      </c>
      <c r="D61">
        <f xml:space="preserve"> COUNTIF(Table1[Year],C61)</f>
        <v>1</v>
      </c>
    </row>
    <row r="62" spans="3:4" x14ac:dyDescent="0.35">
      <c r="C62">
        <v>1975</v>
      </c>
      <c r="D62">
        <f xml:space="preserve"> COUNTIF(Table1[Year],C62)</f>
        <v>0</v>
      </c>
    </row>
    <row r="63" spans="3:4" x14ac:dyDescent="0.35">
      <c r="C63">
        <v>1976</v>
      </c>
      <c r="D63">
        <f xml:space="preserve"> COUNTIF(Table1[Year],C63)</f>
        <v>1</v>
      </c>
    </row>
    <row r="64" spans="3:4" x14ac:dyDescent="0.35">
      <c r="C64">
        <v>1977</v>
      </c>
      <c r="D64">
        <f xml:space="preserve"> COUNTIF(Table1[Year],C64)</f>
        <v>5</v>
      </c>
    </row>
    <row r="65" spans="3:4" x14ac:dyDescent="0.35">
      <c r="C65">
        <v>1978</v>
      </c>
      <c r="D65">
        <f xml:space="preserve"> COUNTIF(Table1[Year],C65)</f>
        <v>4</v>
      </c>
    </row>
    <row r="66" spans="3:4" x14ac:dyDescent="0.35">
      <c r="C66">
        <v>1979</v>
      </c>
      <c r="D66">
        <f xml:space="preserve"> COUNTIF(Table1[Year],C66)</f>
        <v>1</v>
      </c>
    </row>
    <row r="67" spans="3:4" x14ac:dyDescent="0.35">
      <c r="C67">
        <v>1980</v>
      </c>
      <c r="D67">
        <f xml:space="preserve"> COUNTIF(Table1[Year],C67)</f>
        <v>2</v>
      </c>
    </row>
    <row r="68" spans="3:4" x14ac:dyDescent="0.35">
      <c r="C68">
        <v>1981</v>
      </c>
      <c r="D68">
        <f xml:space="preserve"> COUNTIF(Table1[Year],C68)</f>
        <v>4</v>
      </c>
    </row>
    <row r="69" spans="3:4" x14ac:dyDescent="0.35">
      <c r="C69">
        <v>1982</v>
      </c>
      <c r="D69">
        <f xml:space="preserve"> COUNTIF(Table1[Year],C69)</f>
        <v>6</v>
      </c>
    </row>
    <row r="70" spans="3:4" x14ac:dyDescent="0.35">
      <c r="C70">
        <v>1983</v>
      </c>
      <c r="D70">
        <f xml:space="preserve"> COUNTIF(Table1[Year],C70)</f>
        <v>4</v>
      </c>
    </row>
    <row r="71" spans="3:4" x14ac:dyDescent="0.35">
      <c r="C71">
        <v>1984</v>
      </c>
      <c r="D71">
        <f xml:space="preserve"> COUNTIF(Table1[Year],C71)</f>
        <v>3</v>
      </c>
    </row>
    <row r="72" spans="3:4" x14ac:dyDescent="0.35">
      <c r="C72">
        <v>1985</v>
      </c>
      <c r="D72">
        <f xml:space="preserve"> COUNTIF(Table1[Year],C72)</f>
        <v>4</v>
      </c>
    </row>
    <row r="73" spans="3:4" x14ac:dyDescent="0.35">
      <c r="C73">
        <v>1986</v>
      </c>
      <c r="D73">
        <f xml:space="preserve"> COUNTIF(Table1[Year],C73)</f>
        <v>7</v>
      </c>
    </row>
    <row r="74" spans="3:4" x14ac:dyDescent="0.35">
      <c r="C74">
        <v>1987</v>
      </c>
      <c r="D74">
        <f xml:space="preserve"> COUNTIF(Table1[Year],C74)</f>
        <v>3</v>
      </c>
    </row>
    <row r="75" spans="3:4" x14ac:dyDescent="0.35">
      <c r="C75">
        <v>1988</v>
      </c>
      <c r="D75">
        <f xml:space="preserve"> COUNTIF(Table1[Year],C75)</f>
        <v>6</v>
      </c>
    </row>
    <row r="76" spans="3:4" x14ac:dyDescent="0.35">
      <c r="C76">
        <v>1989</v>
      </c>
      <c r="D76">
        <f xml:space="preserve"> COUNTIF(Table1[Year],C76)</f>
        <v>5</v>
      </c>
    </row>
    <row r="77" spans="3:4" x14ac:dyDescent="0.35">
      <c r="C77">
        <v>1990</v>
      </c>
      <c r="D77">
        <f xml:space="preserve"> COUNTIF(Table1[Year],C77)</f>
        <v>4</v>
      </c>
    </row>
    <row r="78" spans="3:4" x14ac:dyDescent="0.35">
      <c r="C78">
        <v>1991</v>
      </c>
      <c r="D78">
        <f xml:space="preserve"> COUNTIF(Table1[Year],C78)</f>
        <v>4</v>
      </c>
    </row>
    <row r="79" spans="3:4" x14ac:dyDescent="0.35">
      <c r="C79">
        <v>1992</v>
      </c>
      <c r="D79">
        <f xml:space="preserve"> COUNTIF(Table1[Year],C79)</f>
        <v>2</v>
      </c>
    </row>
    <row r="80" spans="3:4" x14ac:dyDescent="0.35">
      <c r="C80">
        <v>1993</v>
      </c>
      <c r="D80">
        <f xml:space="preserve"> COUNTIF(Table1[Year],C80)</f>
        <v>5</v>
      </c>
    </row>
    <row r="81" spans="3:4" x14ac:dyDescent="0.35">
      <c r="C81">
        <v>1994</v>
      </c>
      <c r="D81">
        <f xml:space="preserve"> COUNTIF(Table1[Year],C81)</f>
        <v>7</v>
      </c>
    </row>
    <row r="82" spans="3:4" x14ac:dyDescent="0.35">
      <c r="C82">
        <v>1995</v>
      </c>
      <c r="D82">
        <f xml:space="preserve"> COUNTIF(Table1[Year],C82)</f>
        <v>8</v>
      </c>
    </row>
    <row r="83" spans="3:4" x14ac:dyDescent="0.35">
      <c r="C83">
        <v>1996</v>
      </c>
      <c r="D83">
        <f xml:space="preserve"> COUNTIF(Table1[Year],C83)</f>
        <v>4</v>
      </c>
    </row>
    <row r="84" spans="3:4" x14ac:dyDescent="0.35">
      <c r="C84">
        <v>1997</v>
      </c>
      <c r="D84">
        <f xml:space="preserve"> COUNTIF(Table1[Year],C84)</f>
        <v>9</v>
      </c>
    </row>
    <row r="85" spans="3:4" x14ac:dyDescent="0.35">
      <c r="C85">
        <v>1998</v>
      </c>
      <c r="D85">
        <f xml:space="preserve"> COUNTIF(Table1[Year],C85)</f>
        <v>6</v>
      </c>
    </row>
    <row r="86" spans="3:4" x14ac:dyDescent="0.35">
      <c r="C86">
        <v>1999</v>
      </c>
      <c r="D86">
        <f xml:space="preserve"> COUNTIF(Table1[Year],C86)</f>
        <v>5</v>
      </c>
    </row>
    <row r="87" spans="3:4" x14ac:dyDescent="0.35">
      <c r="C87">
        <v>2000</v>
      </c>
      <c r="D87">
        <f xml:space="preserve"> COUNTIF(Table1[Year],C87)</f>
        <v>11</v>
      </c>
    </row>
    <row r="88" spans="3:4" x14ac:dyDescent="0.35">
      <c r="C88">
        <v>2001</v>
      </c>
      <c r="D88">
        <f xml:space="preserve"> COUNTIF(Table1[Year],C88)</f>
        <v>9</v>
      </c>
    </row>
    <row r="89" spans="3:4" x14ac:dyDescent="0.35">
      <c r="C89">
        <v>2002</v>
      </c>
      <c r="D89">
        <f xml:space="preserve"> COUNTIF(Table1[Year],C89)</f>
        <v>13</v>
      </c>
    </row>
    <row r="90" spans="3:4" x14ac:dyDescent="0.35">
      <c r="C90">
        <v>2003</v>
      </c>
      <c r="D90">
        <f xml:space="preserve"> COUNTIF(Table1[Year],C90)</f>
        <v>14</v>
      </c>
    </row>
    <row r="91" spans="3:4" x14ac:dyDescent="0.35">
      <c r="C91">
        <v>2004</v>
      </c>
      <c r="D91">
        <f xml:space="preserve"> COUNTIF(Table1[Year],C91)</f>
        <v>15</v>
      </c>
    </row>
    <row r="92" spans="3:4" x14ac:dyDescent="0.35">
      <c r="C92">
        <v>2005</v>
      </c>
      <c r="D92">
        <f xml:space="preserve"> COUNTIF(Table1[Year],C92)</f>
        <v>8</v>
      </c>
    </row>
    <row r="93" spans="3:4" x14ac:dyDescent="0.35">
      <c r="C93">
        <v>2006</v>
      </c>
      <c r="D93">
        <f xml:space="preserve"> COUNTIF(Table1[Year],C93)</f>
        <v>21</v>
      </c>
    </row>
    <row r="94" spans="3:4" x14ac:dyDescent="0.35">
      <c r="C94">
        <v>2007</v>
      </c>
      <c r="D94">
        <f xml:space="preserve"> COUNTIF(Table1[Year],C94)</f>
        <v>22</v>
      </c>
    </row>
    <row r="95" spans="3:4" x14ac:dyDescent="0.35">
      <c r="C95">
        <v>2008</v>
      </c>
      <c r="D95">
        <f xml:space="preserve"> COUNTIF(Table1[Year],C95)</f>
        <v>16</v>
      </c>
    </row>
    <row r="96" spans="3:4" x14ac:dyDescent="0.35">
      <c r="C96">
        <v>2009</v>
      </c>
      <c r="D96">
        <f xml:space="preserve"> COUNTIF(Table1[Year],C96)</f>
        <v>20</v>
      </c>
    </row>
    <row r="97" spans="3:4" x14ac:dyDescent="0.35">
      <c r="C97">
        <v>2010</v>
      </c>
      <c r="D97">
        <f xml:space="preserve"> COUNTIF(Table1[Year],C97)</f>
        <v>26</v>
      </c>
    </row>
    <row r="98" spans="3:4" x14ac:dyDescent="0.35">
      <c r="C98">
        <v>2011</v>
      </c>
      <c r="D98">
        <f xml:space="preserve"> COUNTIF(Table1[Year],C98)</f>
        <v>29</v>
      </c>
    </row>
    <row r="99" spans="3:4" x14ac:dyDescent="0.35">
      <c r="C99">
        <v>2012</v>
      </c>
      <c r="D99">
        <f xml:space="preserve"> COUNTIF(Table1[Year],C99)</f>
        <v>38</v>
      </c>
    </row>
    <row r="100" spans="3:4" x14ac:dyDescent="0.35">
      <c r="C100">
        <v>2013</v>
      </c>
      <c r="D100">
        <f xml:space="preserve"> COUNTIF(Table1[Year],C100)</f>
        <v>26</v>
      </c>
    </row>
    <row r="101" spans="3:4" x14ac:dyDescent="0.35">
      <c r="C101">
        <v>2014</v>
      </c>
      <c r="D101">
        <f xml:space="preserve"> COUNTIF(Table1[Year],C101)</f>
        <v>31</v>
      </c>
    </row>
    <row r="102" spans="3:4" x14ac:dyDescent="0.35">
      <c r="C102">
        <v>2015</v>
      </c>
      <c r="D102">
        <f xml:space="preserve"> COUNTIF(Table1[Year],C102)</f>
        <v>38</v>
      </c>
    </row>
    <row r="103" spans="3:4" x14ac:dyDescent="0.35">
      <c r="C103">
        <v>2016</v>
      </c>
      <c r="D103">
        <f xml:space="preserve"> COUNTIF(Table1[Year],C103)</f>
        <v>35</v>
      </c>
    </row>
    <row r="104" spans="3:4" x14ac:dyDescent="0.35">
      <c r="C104">
        <v>2017</v>
      </c>
      <c r="D104">
        <f xml:space="preserve"> COUNTIF(Table1[Year],C104)</f>
        <v>40</v>
      </c>
    </row>
    <row r="105" spans="3:4" x14ac:dyDescent="0.35">
      <c r="C105">
        <v>2018</v>
      </c>
      <c r="D105">
        <f xml:space="preserve"> COUNTIF(Table1[Year],C105)</f>
        <v>25</v>
      </c>
    </row>
    <row r="106" spans="3:4" x14ac:dyDescent="0.35">
      <c r="C106">
        <v>2019</v>
      </c>
      <c r="D106">
        <f xml:space="preserve"> COUNTIF(Table1[Year],C106)</f>
        <v>27</v>
      </c>
    </row>
    <row r="107" spans="3:4" x14ac:dyDescent="0.35">
      <c r="C107">
        <v>2020</v>
      </c>
      <c r="D107">
        <f xml:space="preserve"> COUNTIF(Table1[Year],C107)</f>
        <v>19</v>
      </c>
    </row>
    <row r="108" spans="3:4" x14ac:dyDescent="0.35">
      <c r="C108">
        <v>2021</v>
      </c>
      <c r="D108">
        <f xml:space="preserve"> COUNTIF(Table1[Year],C108)</f>
        <v>21</v>
      </c>
    </row>
    <row r="109" spans="3:4" x14ac:dyDescent="0.35">
      <c r="C109">
        <v>2022</v>
      </c>
      <c r="D109">
        <f xml:space="preserve"> COUNTIF(Table1[Year],C109)</f>
        <v>18</v>
      </c>
    </row>
    <row r="110" spans="3:4" x14ac:dyDescent="0.35">
      <c r="C110">
        <v>2023</v>
      </c>
      <c r="D110">
        <f xml:space="preserve"> COUNTIF(Table1[Year],C110)</f>
        <v>14</v>
      </c>
    </row>
    <row r="111" spans="3:4" x14ac:dyDescent="0.35">
      <c r="C111">
        <v>2024</v>
      </c>
      <c r="D111">
        <f xml:space="preserve"> COUNTIF(Table1[Year],C111)</f>
        <v>10</v>
      </c>
    </row>
    <row r="112" spans="3:4" x14ac:dyDescent="0.35">
      <c r="C112">
        <v>2025</v>
      </c>
      <c r="D112">
        <f xml:space="preserve"> COUNTIF(Table1[Year],C112)</f>
        <v>6</v>
      </c>
    </row>
    <row r="113" spans="3:4" x14ac:dyDescent="0.35">
      <c r="C113">
        <v>2026</v>
      </c>
      <c r="D113">
        <f xml:space="preserve"> COUNTIF(Table1[Year],C113)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N22" sqref="N22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631</v>
      </c>
    </row>
    <row r="19" spans="2:4" x14ac:dyDescent="0.35">
      <c r="C19" s="2" t="s">
        <v>632</v>
      </c>
    </row>
    <row r="20" spans="2:4" x14ac:dyDescent="0.35">
      <c r="B20" s="2" t="s">
        <v>633</v>
      </c>
    </row>
    <row r="21" spans="2:4" x14ac:dyDescent="0.35">
      <c r="C21" s="2" t="s">
        <v>634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2742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635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636</v>
      </c>
    </row>
    <row r="38" spans="2:4" x14ac:dyDescent="0.35">
      <c r="B38" s="2" t="s">
        <v>637</v>
      </c>
    </row>
    <row r="39" spans="2:4" x14ac:dyDescent="0.35">
      <c r="C39" s="2" t="s">
        <v>638</v>
      </c>
    </row>
    <row r="41" spans="2:4" x14ac:dyDescent="0.35">
      <c r="B41" s="2" t="s">
        <v>327</v>
      </c>
    </row>
    <row r="42" spans="2:4" x14ac:dyDescent="0.35">
      <c r="C42" s="2" t="s">
        <v>639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V14" sqref="V14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627</v>
      </c>
    </row>
    <row r="6" spans="2:3" x14ac:dyDescent="0.35">
      <c r="B6" s="2" t="s">
        <v>628</v>
      </c>
    </row>
    <row r="7" spans="2:3" x14ac:dyDescent="0.35">
      <c r="C7" s="2" t="s">
        <v>629</v>
      </c>
    </row>
    <row r="8" spans="2:3" x14ac:dyDescent="0.35">
      <c r="C8" s="2" t="s">
        <v>630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2025-08-08T02:43:56Z</dcterms:modified>
</cp:coreProperties>
</file>