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755" windowHeight="12345"/>
  </bookViews>
  <sheets>
    <sheet name="VSWR Ladder" sheetId="1" r:id="rId1"/>
    <sheet name="Calculation sheet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/>
  <c r="N31" i="2"/>
  <c r="G14"/>
  <c r="S26"/>
  <c r="N15"/>
  <c r="N49"/>
  <c r="N51" s="1"/>
  <c r="N47"/>
  <c r="N45"/>
  <c r="N17"/>
  <c r="N16"/>
  <c r="N13"/>
  <c r="N26" s="1"/>
  <c r="N24"/>
  <c r="N7"/>
  <c r="E25"/>
  <c r="G25" s="1"/>
  <c r="G19"/>
  <c r="N8" l="1"/>
  <c r="G8"/>
  <c r="E42" i="1"/>
  <c r="G9"/>
  <c r="F38"/>
  <c r="F39" s="1"/>
  <c r="G15"/>
  <c r="N32" i="2" l="1"/>
  <c r="N37"/>
  <c r="N38" s="1"/>
  <c r="G11" i="1"/>
  <c r="E18"/>
  <c r="E20" s="1"/>
  <c r="E22" s="1"/>
  <c r="E24" s="1"/>
  <c r="E26" s="1"/>
  <c r="E28" s="1"/>
  <c r="E30" s="1"/>
  <c r="E32" s="1"/>
  <c r="E34" s="1"/>
  <c r="K11" l="1"/>
  <c r="H15"/>
  <c r="J15" s="1"/>
  <c r="K15" s="1"/>
  <c r="J16" s="1"/>
  <c r="L15" l="1"/>
  <c r="M16" l="1"/>
  <c r="H16"/>
  <c r="G16" s="1"/>
  <c r="H17" l="1"/>
  <c r="K17" l="1"/>
  <c r="J18" s="1"/>
  <c r="H18" s="1"/>
  <c r="G18" s="1"/>
  <c r="J17"/>
  <c r="L17" l="1"/>
  <c r="M18" s="1"/>
  <c r="H19"/>
  <c r="J19" s="1"/>
  <c r="K19" l="1"/>
  <c r="L19" l="1"/>
  <c r="J20"/>
  <c r="H20" s="1"/>
  <c r="G20" s="1"/>
  <c r="M20" l="1"/>
  <c r="H21"/>
  <c r="J21" s="1"/>
  <c r="K21" l="1"/>
  <c r="L21" l="1"/>
  <c r="J22"/>
  <c r="H22" s="1"/>
  <c r="G22" s="1"/>
  <c r="M22" l="1"/>
  <c r="H23"/>
  <c r="J23" s="1"/>
  <c r="K23" l="1"/>
  <c r="L23" l="1"/>
  <c r="M24" s="1"/>
  <c r="J24"/>
  <c r="H24" s="1"/>
  <c r="G24" s="1"/>
  <c r="H25" l="1"/>
  <c r="J25" s="1"/>
  <c r="K25" l="1"/>
  <c r="L25" l="1"/>
  <c r="M26" s="1"/>
  <c r="J26"/>
  <c r="H26" s="1"/>
  <c r="G26" s="1"/>
  <c r="H27" l="1"/>
  <c r="J27" s="1"/>
  <c r="K27" l="1"/>
  <c r="L27" s="1"/>
  <c r="J28" l="1"/>
  <c r="H28" s="1"/>
  <c r="G28" s="1"/>
  <c r="M28"/>
  <c r="H29" l="1"/>
  <c r="J29" l="1"/>
  <c r="K29" s="1"/>
  <c r="J30" l="1"/>
  <c r="H30" s="1"/>
  <c r="G30" s="1"/>
  <c r="L29"/>
  <c r="M30" s="1"/>
  <c r="H31" l="1"/>
  <c r="J31" s="1"/>
  <c r="K31" s="1"/>
  <c r="J32" s="1"/>
  <c r="H32" s="1"/>
  <c r="G32" s="1"/>
  <c r="L31" l="1"/>
  <c r="M32" s="1"/>
  <c r="H33"/>
  <c r="J33" s="1"/>
  <c r="K33" s="1"/>
  <c r="J34" s="1"/>
  <c r="H34" s="1"/>
  <c r="G34" s="1"/>
  <c r="G42" s="1"/>
  <c r="L33" l="1"/>
  <c r="M34" s="1"/>
  <c r="H35"/>
  <c r="J35" s="1"/>
  <c r="K35" s="1"/>
  <c r="L35" l="1"/>
  <c r="L44" s="1"/>
  <c r="K42"/>
  <c r="I42" s="1"/>
  <c r="L38" l="1"/>
  <c r="M36"/>
  <c r="M38" s="1"/>
  <c r="I44" s="1"/>
  <c r="M44" s="1"/>
  <c r="M40" l="1"/>
</calcChain>
</file>

<file path=xl/sharedStrings.xml><?xml version="1.0" encoding="utf-8"?>
<sst xmlns="http://schemas.openxmlformats.org/spreadsheetml/2006/main" count="114" uniqueCount="79">
  <si>
    <t>VSWR Ladder</t>
  </si>
  <si>
    <t>VSWR</t>
  </si>
  <si>
    <t>Source</t>
  </si>
  <si>
    <t xml:space="preserve">VSWR </t>
  </si>
  <si>
    <t>Load</t>
  </si>
  <si>
    <t>Γ =</t>
  </si>
  <si>
    <t>Signal =</t>
  </si>
  <si>
    <t>:1</t>
  </si>
  <si>
    <t>dbm</t>
  </si>
  <si>
    <t>Loss (db)</t>
  </si>
  <si>
    <t>mWatts</t>
  </si>
  <si>
    <t>Reflection</t>
  </si>
  <si>
    <t>Reflect</t>
  </si>
  <si>
    <t>Total Power Transmitted =</t>
  </si>
  <si>
    <t>Atten</t>
  </si>
  <si>
    <t>Time int</t>
  </si>
  <si>
    <t xml:space="preserve"> </t>
  </si>
  <si>
    <t>Power</t>
  </si>
  <si>
    <r>
      <t xml:space="preserve">Unit Impulse (Dirac) of </t>
    </r>
    <r>
      <rPr>
        <sz val="11"/>
        <color theme="1"/>
        <rFont val="Calibri"/>
        <family val="2"/>
      </rPr>
      <t>δt of amplitude of 1</t>
    </r>
  </si>
  <si>
    <t>Cable</t>
  </si>
  <si>
    <t>dBW</t>
  </si>
  <si>
    <t>dBm</t>
  </si>
  <si>
    <t>Watt</t>
  </si>
  <si>
    <t>Milli-Watts</t>
  </si>
  <si>
    <t>Total power =</t>
  </si>
  <si>
    <t>Transmitter Zo</t>
  </si>
  <si>
    <t xml:space="preserve">Z = </t>
  </si>
  <si>
    <t>VSWR =</t>
  </si>
  <si>
    <t>Lost in</t>
  </si>
  <si>
    <t>Speed of Light</t>
  </si>
  <si>
    <t>M/sec</t>
  </si>
  <si>
    <t>Wavelength</t>
  </si>
  <si>
    <t>cm</t>
  </si>
  <si>
    <t>Frequency</t>
  </si>
  <si>
    <t>MHz</t>
  </si>
  <si>
    <t>power</t>
  </si>
  <si>
    <t>R2 =</t>
  </si>
  <si>
    <t>R1 =</t>
  </si>
  <si>
    <t>Ω</t>
  </si>
  <si>
    <t>dB</t>
  </si>
  <si>
    <t>watts</t>
  </si>
  <si>
    <t>Cable feed</t>
  </si>
  <si>
    <t>Polariser</t>
  </si>
  <si>
    <t>db/loss</t>
  </si>
  <si>
    <t>Pol</t>
  </si>
  <si>
    <t>meters</t>
  </si>
  <si>
    <t>loss</t>
  </si>
  <si>
    <t>Length</t>
  </si>
  <si>
    <t>db</t>
  </si>
  <si>
    <t>Bristol University Ground Station</t>
  </si>
  <si>
    <t>Ecoflex 10</t>
  </si>
  <si>
    <t>Ecoflex10</t>
  </si>
  <si>
    <t>@</t>
  </si>
  <si>
    <t>db/100m(loss)</t>
  </si>
  <si>
    <t>Gain</t>
  </si>
  <si>
    <t>Antenna</t>
  </si>
  <si>
    <t>Link loss</t>
  </si>
  <si>
    <t>Loss</t>
  </si>
  <si>
    <t>db loss</t>
  </si>
  <si>
    <t>dBw</t>
  </si>
  <si>
    <t>Watts</t>
  </si>
  <si>
    <t>EIRP =</t>
  </si>
  <si>
    <t>Output power to the ether on boresight</t>
  </si>
  <si>
    <t>Power lost in cable</t>
  </si>
  <si>
    <t>Path loss calculation</t>
  </si>
  <si>
    <t>Distance</t>
  </si>
  <si>
    <t>miles</t>
  </si>
  <si>
    <t>km</t>
  </si>
  <si>
    <t>MHZ</t>
  </si>
  <si>
    <t>Path loss</t>
  </si>
  <si>
    <t>Line of sight between two isotropic antennas</t>
  </si>
  <si>
    <t>Power at antenna</t>
  </si>
  <si>
    <t>Sat in ant</t>
  </si>
  <si>
    <t>Power at the end of cable</t>
  </si>
  <si>
    <t>NU</t>
  </si>
  <si>
    <t>Cable loss</t>
  </si>
  <si>
    <t xml:space="preserve">Power </t>
  </si>
  <si>
    <t>Output of the transistor</t>
  </si>
  <si>
    <t>To the antenna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</si>
</sst>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0" fillId="0" borderId="3" xfId="0" applyBorder="1" applyAlignme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4" xfId="0" applyNumberFormat="1" applyBorder="1"/>
    <xf numFmtId="2" fontId="0" fillId="0" borderId="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/>
    <xf numFmtId="2" fontId="0" fillId="8" borderId="0" xfId="0" applyNumberFormat="1" applyFill="1"/>
    <xf numFmtId="2" fontId="0" fillId="8" borderId="0" xfId="0" applyNumberFormat="1" applyFill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7" borderId="1" xfId="0" applyNumberFormat="1" applyFill="1" applyBorder="1"/>
    <xf numFmtId="2" fontId="0" fillId="13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6" xfId="0" applyNumberFormat="1" applyBorder="1"/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/>
    <xf numFmtId="11" fontId="3" fillId="0" borderId="13" xfId="0" applyNumberFormat="1" applyFont="1" applyBorder="1"/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right"/>
    </xf>
    <xf numFmtId="2" fontId="0" fillId="21" borderId="0" xfId="0" applyNumberFormat="1" applyFill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2" fontId="0" fillId="22" borderId="0" xfId="0" applyNumberFormat="1" applyFill="1" applyBorder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2" fontId="0" fillId="23" borderId="8" xfId="0" applyNumberFormat="1" applyFill="1" applyBorder="1" applyAlignment="1">
      <alignment horizontal="center"/>
    </xf>
    <xf numFmtId="2" fontId="3" fillId="5" borderId="13" xfId="0" applyNumberFormat="1" applyFont="1" applyFill="1" applyBorder="1"/>
    <xf numFmtId="2" fontId="0" fillId="5" borderId="14" xfId="0" applyNumberFormat="1" applyFill="1" applyBorder="1"/>
    <xf numFmtId="2" fontId="0" fillId="18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19" xfId="0" applyNumberFormat="1" applyBorder="1"/>
    <xf numFmtId="2" fontId="0" fillId="0" borderId="20" xfId="0" applyNumberFormat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2" fontId="4" fillId="8" borderId="17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0" fillId="8" borderId="25" xfId="0" applyNumberForma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/>
    </xf>
    <xf numFmtId="2" fontId="0" fillId="12" borderId="21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2" fontId="0" fillId="15" borderId="21" xfId="0" applyNumberFormat="1" applyFill="1" applyBorder="1" applyAlignment="1">
      <alignment horizontal="center"/>
    </xf>
    <xf numFmtId="2" fontId="0" fillId="8" borderId="21" xfId="0" applyNumberFormat="1" applyFill="1" applyBorder="1" applyAlignment="1">
      <alignment horizontal="center"/>
    </xf>
    <xf numFmtId="2" fontId="0" fillId="13" borderId="21" xfId="0" applyNumberFormat="1" applyFill="1" applyBorder="1" applyAlignment="1">
      <alignment horizontal="center"/>
    </xf>
    <xf numFmtId="2" fontId="0" fillId="10" borderId="21" xfId="0" applyNumberFormat="1" applyFill="1" applyBorder="1" applyAlignment="1">
      <alignment horizontal="center"/>
    </xf>
    <xf numFmtId="2" fontId="0" fillId="9" borderId="21" xfId="0" applyNumberFormat="1" applyFill="1" applyBorder="1" applyAlignment="1">
      <alignment horizontal="center"/>
    </xf>
    <xf numFmtId="2" fontId="0" fillId="18" borderId="21" xfId="0" applyNumberFormat="1" applyFill="1" applyBorder="1" applyAlignment="1">
      <alignment horizontal="center"/>
    </xf>
    <xf numFmtId="2" fontId="0" fillId="16" borderId="21" xfId="0" applyNumberFormat="1" applyFill="1" applyBorder="1" applyAlignment="1">
      <alignment horizontal="center"/>
    </xf>
    <xf numFmtId="2" fontId="0" fillId="11" borderId="21" xfId="0" applyNumberFormat="1" applyFill="1" applyBorder="1" applyAlignment="1">
      <alignment horizontal="center"/>
    </xf>
    <xf numFmtId="2" fontId="0" fillId="17" borderId="21" xfId="0" applyNumberFormat="1" applyFill="1" applyBorder="1" applyAlignment="1">
      <alignment horizontal="center"/>
    </xf>
    <xf numFmtId="2" fontId="0" fillId="19" borderId="21" xfId="0" applyNumberFormat="1" applyFill="1" applyBorder="1" applyAlignment="1">
      <alignment horizontal="center"/>
    </xf>
    <xf numFmtId="2" fontId="0" fillId="20" borderId="21" xfId="0" applyNumberFormat="1" applyFill="1" applyBorder="1" applyAlignment="1">
      <alignment horizontal="center"/>
    </xf>
    <xf numFmtId="2" fontId="0" fillId="7" borderId="26" xfId="0" applyNumberFormat="1" applyFill="1" applyBorder="1" applyAlignment="1">
      <alignment horizontal="center"/>
    </xf>
    <xf numFmtId="2" fontId="0" fillId="12" borderId="26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2" fontId="0" fillId="6" borderId="26" xfId="0" applyNumberFormat="1" applyFill="1" applyBorder="1" applyAlignment="1">
      <alignment horizontal="center"/>
    </xf>
    <xf numFmtId="2" fontId="0" fillId="15" borderId="26" xfId="0" applyNumberFormat="1" applyFill="1" applyBorder="1" applyAlignment="1">
      <alignment horizontal="center"/>
    </xf>
    <xf numFmtId="2" fontId="0" fillId="8" borderId="26" xfId="0" applyNumberFormat="1" applyFill="1" applyBorder="1" applyAlignment="1">
      <alignment horizontal="center"/>
    </xf>
    <xf numFmtId="2" fontId="0" fillId="13" borderId="26" xfId="0" applyNumberFormat="1" applyFill="1" applyBorder="1" applyAlignment="1">
      <alignment horizontal="center"/>
    </xf>
    <xf numFmtId="2" fontId="0" fillId="10" borderId="26" xfId="0" applyNumberFormat="1" applyFill="1" applyBorder="1" applyAlignment="1">
      <alignment horizontal="center"/>
    </xf>
    <xf numFmtId="2" fontId="0" fillId="9" borderId="26" xfId="0" applyNumberFormat="1" applyFill="1" applyBorder="1" applyAlignment="1">
      <alignment horizontal="center"/>
    </xf>
    <xf numFmtId="2" fontId="0" fillId="18" borderId="26" xfId="0" applyNumberFormat="1" applyFill="1" applyBorder="1" applyAlignment="1">
      <alignment horizontal="center"/>
    </xf>
    <xf numFmtId="2" fontId="0" fillId="16" borderId="26" xfId="0" applyNumberFormat="1" applyFill="1" applyBorder="1" applyAlignment="1">
      <alignment horizontal="center"/>
    </xf>
    <xf numFmtId="2" fontId="0" fillId="11" borderId="26" xfId="0" applyNumberFormat="1" applyFill="1" applyBorder="1" applyAlignment="1">
      <alignment horizontal="center"/>
    </xf>
    <xf numFmtId="2" fontId="0" fillId="17" borderId="26" xfId="0" applyNumberFormat="1" applyFill="1" applyBorder="1" applyAlignment="1">
      <alignment horizontal="center"/>
    </xf>
    <xf numFmtId="2" fontId="0" fillId="19" borderId="26" xfId="0" applyNumberFormat="1" applyFill="1" applyBorder="1" applyAlignment="1">
      <alignment horizontal="center"/>
    </xf>
    <xf numFmtId="2" fontId="0" fillId="20" borderId="26" xfId="0" applyNumberFormat="1" applyFill="1" applyBorder="1" applyAlignment="1">
      <alignment horizontal="center"/>
    </xf>
    <xf numFmtId="2" fontId="0" fillId="0" borderId="4" xfId="0" applyNumberFormat="1" applyBorder="1"/>
    <xf numFmtId="2" fontId="0" fillId="8" borderId="29" xfId="0" applyNumberFormat="1" applyFill="1" applyBorder="1"/>
    <xf numFmtId="2" fontId="0" fillId="8" borderId="27" xfId="0" applyNumberFormat="1" applyFill="1" applyBorder="1"/>
    <xf numFmtId="2" fontId="0" fillId="8" borderId="27" xfId="0" applyNumberFormat="1" applyFill="1" applyBorder="1" applyAlignment="1">
      <alignment horizontal="center" vertical="center"/>
    </xf>
    <xf numFmtId="2" fontId="0" fillId="8" borderId="28" xfId="0" applyNumberFormat="1" applyFill="1" applyBorder="1" applyAlignment="1">
      <alignment horizontal="center" vertical="center"/>
    </xf>
    <xf numFmtId="2" fontId="0" fillId="8" borderId="22" xfId="0" applyNumberFormat="1" applyFill="1" applyBorder="1"/>
    <xf numFmtId="2" fontId="1" fillId="0" borderId="18" xfId="0" applyNumberFormat="1" applyFont="1" applyBorder="1" applyAlignment="1">
      <alignment horizontal="right"/>
    </xf>
    <xf numFmtId="2" fontId="0" fillId="8" borderId="3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/>
    <xf numFmtId="0" fontId="0" fillId="0" borderId="18" xfId="0" applyBorder="1"/>
    <xf numFmtId="0" fontId="0" fillId="0" borderId="13" xfId="0" applyBorder="1"/>
    <xf numFmtId="0" fontId="0" fillId="0" borderId="31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14" xfId="0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8" xfId="0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/>
    <xf numFmtId="0" fontId="0" fillId="17" borderId="0" xfId="0" applyFill="1"/>
    <xf numFmtId="0" fontId="0" fillId="0" borderId="0" xfId="0" applyFill="1"/>
    <xf numFmtId="0" fontId="0" fillId="7" borderId="31" xfId="0" applyFill="1" applyBorder="1"/>
    <xf numFmtId="2" fontId="0" fillId="0" borderId="10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8" xfId="0" applyNumberFormat="1" applyBorder="1"/>
    <xf numFmtId="2" fontId="0" fillId="0" borderId="31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3" borderId="15" xfId="0" applyNumberFormat="1" applyFill="1" applyBorder="1" applyAlignment="1">
      <alignment horizontal="right"/>
    </xf>
    <xf numFmtId="2" fontId="0" fillId="23" borderId="16" xfId="0" applyNumberFormat="1" applyFill="1" applyBorder="1" applyAlignment="1">
      <alignment horizontal="right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2" fontId="0" fillId="4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12" borderId="4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2" fontId="3" fillId="8" borderId="27" xfId="0" applyNumberFormat="1" applyFont="1" applyFill="1" applyBorder="1" applyAlignment="1">
      <alignment horizontal="center" vertical="center"/>
    </xf>
    <xf numFmtId="2" fontId="3" fillId="8" borderId="28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Repeated Reflections along a lossy line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934705344930469"/>
          <c:y val="0.13040642646941872"/>
          <c:w val="0.86882607699645464"/>
          <c:h val="0.61498432487605659"/>
        </c:manualLayout>
      </c:layout>
      <c:barChart>
        <c:barDir val="col"/>
        <c:grouping val="clustered"/>
        <c:ser>
          <c:idx val="5"/>
          <c:order val="0"/>
          <c:tx>
            <c:v>Source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'VSWR Ladder'!$E$15:$E$35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</c:numCache>
            </c:numRef>
          </c:cat>
          <c:val>
            <c:numRef>
              <c:f>'VSWR Ladder'!$G$15:$G$35</c:f>
              <c:numCache>
                <c:formatCode>0.00</c:formatCode>
                <c:ptCount val="21"/>
                <c:pt idx="0">
                  <c:v>1000</c:v>
                </c:pt>
                <c:pt idx="1">
                  <c:v>5.0000024901450185E-4</c:v>
                </c:pt>
                <c:pt idx="3">
                  <c:v>2.5000024901456262E-10</c:v>
                </c:pt>
                <c:pt idx="5">
                  <c:v>1.2500018676096801E-16</c:v>
                </c:pt>
                <c:pt idx="7">
                  <c:v>6.2500124507342421E-23</c:v>
                </c:pt>
                <c:pt idx="9">
                  <c:v>3.1250077817108389E-29</c:v>
                </c:pt>
                <c:pt idx="11">
                  <c:v>1.5625046690276329E-35</c:v>
                </c:pt>
                <c:pt idx="13">
                  <c:v>7.8125272360012801E-42</c:v>
                </c:pt>
                <c:pt idx="15">
                  <c:v>3.9062655634331664E-48</c:v>
                </c:pt>
                <c:pt idx="17">
                  <c:v>1.9531337544333309E-54</c:v>
                </c:pt>
                <c:pt idx="19">
                  <c:v>9.7656736357529541E-61</c:v>
                </c:pt>
              </c:numCache>
            </c:numRef>
          </c:val>
        </c:ser>
        <c:ser>
          <c:idx val="0"/>
          <c:order val="1"/>
          <c:tx>
            <c:strRef>
              <c:f>'VSWR Ladder'!$L$13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'VSWR Ladder'!$E$15:$E$35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3">
                  <c:v>2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6</c:v>
                </c:pt>
                <c:pt idx="13">
                  <c:v>7</c:v>
                </c:pt>
                <c:pt idx="15">
                  <c:v>8</c:v>
                </c:pt>
                <c:pt idx="17">
                  <c:v>9</c:v>
                </c:pt>
                <c:pt idx="19">
                  <c:v>10</c:v>
                </c:pt>
              </c:numCache>
            </c:numRef>
          </c:cat>
          <c:val>
            <c:numRef>
              <c:f>'VSWR Ladder'!$L$15:$L$36</c:f>
              <c:numCache>
                <c:formatCode>0.00</c:formatCode>
                <c:ptCount val="22"/>
                <c:pt idx="0">
                  <c:v>999.99949999975001</c:v>
                </c:pt>
                <c:pt idx="2">
                  <c:v>4.9999999901425131E-4</c:v>
                </c:pt>
                <c:pt idx="4">
                  <c:v>2.5000012401437465E-10</c:v>
                </c:pt>
                <c:pt idx="6">
                  <c:v>1.2500012426084247E-16</c:v>
                </c:pt>
                <c:pt idx="8">
                  <c:v>6.2500093257264528E-23</c:v>
                </c:pt>
                <c:pt idx="10">
                  <c:v>3.1250062192061445E-29</c:v>
                </c:pt>
                <c:pt idx="12">
                  <c:v>1.5625038877748962E-35</c:v>
                </c:pt>
                <c:pt idx="14">
                  <c:v>7.8125233297356509E-42</c:v>
                </c:pt>
                <c:pt idx="16">
                  <c:v>3.9062636102993245E-48</c:v>
                </c:pt>
                <c:pt idx="18">
                  <c:v>1.9531327778659787E-54</c:v>
                </c:pt>
                <c:pt idx="20">
                  <c:v>9.7656687529136234E-61</c:v>
                </c:pt>
              </c:numCache>
            </c:numRef>
          </c:val>
        </c:ser>
        <c:gapWidth val="100"/>
        <c:overlap val="-100"/>
        <c:axId val="152828160"/>
        <c:axId val="153108480"/>
        <c:extLst/>
      </c:barChart>
      <c:catAx>
        <c:axId val="152828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480"/>
        <c:crosses val="autoZero"/>
        <c:auto val="1"/>
        <c:lblAlgn val="ctr"/>
        <c:lblOffset val="100"/>
      </c:catAx>
      <c:valAx>
        <c:axId val="153108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to the load (</a:t>
            </a:r>
            <a:r>
              <a:rPr lang="en-US"/>
              <a:t>mWatts)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3073571695625985"/>
          <c:y val="0.13721271393643045"/>
          <c:w val="0.83690837141274532"/>
          <c:h val="0.77854391672923562"/>
        </c:manualLayout>
      </c:layout>
      <c:barChart>
        <c:barDir val="col"/>
        <c:grouping val="clustered"/>
        <c:ser>
          <c:idx val="0"/>
          <c:order val="0"/>
          <c:tx>
            <c:strRef>
              <c:f>'VSWR Ladder'!$L$14</c:f>
              <c:strCache>
                <c:ptCount val="1"/>
                <c:pt idx="0">
                  <c:v>mWatts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'VSWR Ladder'!$L$15:$L$36</c:f>
              <c:numCache>
                <c:formatCode>0.00</c:formatCode>
                <c:ptCount val="22"/>
                <c:pt idx="0">
                  <c:v>999.99949999975001</c:v>
                </c:pt>
                <c:pt idx="2">
                  <c:v>4.9999999901425131E-4</c:v>
                </c:pt>
                <c:pt idx="4">
                  <c:v>2.5000012401437465E-10</c:v>
                </c:pt>
                <c:pt idx="6">
                  <c:v>1.2500012426084247E-16</c:v>
                </c:pt>
                <c:pt idx="8">
                  <c:v>6.2500093257264528E-23</c:v>
                </c:pt>
                <c:pt idx="10">
                  <c:v>3.1250062192061445E-29</c:v>
                </c:pt>
                <c:pt idx="12">
                  <c:v>1.5625038877748962E-35</c:v>
                </c:pt>
                <c:pt idx="14">
                  <c:v>7.8125233297356509E-42</c:v>
                </c:pt>
                <c:pt idx="16">
                  <c:v>3.9062636102993245E-48</c:v>
                </c:pt>
                <c:pt idx="18">
                  <c:v>1.9531327778659787E-54</c:v>
                </c:pt>
                <c:pt idx="20">
                  <c:v>9.7656687529136234E-61</c:v>
                </c:pt>
              </c:numCache>
            </c:numRef>
          </c:val>
        </c:ser>
        <c:gapWidth val="219"/>
        <c:overlap val="-27"/>
        <c:axId val="153119360"/>
        <c:axId val="153149824"/>
      </c:barChart>
      <c:catAx>
        <c:axId val="1531193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9824"/>
        <c:crosses val="autoZero"/>
        <c:auto val="1"/>
        <c:lblAlgn val="ctr"/>
        <c:lblOffset val="100"/>
      </c:catAx>
      <c:valAx>
        <c:axId val="15314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476249</xdr:colOff>
      <xdr:row>2</xdr:row>
      <xdr:rowOff>176212</xdr:rowOff>
    </xdr:from>
    <xdr:to>
      <xdr:col>21</xdr:col>
      <xdr:colOff>333374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481011</xdr:colOff>
      <xdr:row>23</xdr:row>
      <xdr:rowOff>142875</xdr:rowOff>
    </xdr:from>
    <xdr:to>
      <xdr:col>21</xdr:col>
      <xdr:colOff>314324</xdr:colOff>
      <xdr:row>38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N44"/>
  <sheetViews>
    <sheetView tabSelected="1" zoomScale="82" zoomScaleNormal="82" workbookViewId="0">
      <selection activeCell="P47" sqref="P47"/>
    </sheetView>
  </sheetViews>
  <sheetFormatPr defaultRowHeight="15"/>
  <cols>
    <col min="5" max="5" width="11.85546875" customWidth="1"/>
    <col min="6" max="6" width="9" customWidth="1"/>
    <col min="7" max="7" width="9.42578125" style="6" customWidth="1"/>
    <col min="8" max="11" width="9.28515625" style="6" bestFit="1" customWidth="1"/>
    <col min="12" max="12" width="10.140625" style="6" bestFit="1" customWidth="1"/>
    <col min="13" max="13" width="10.140625" style="7" bestFit="1" customWidth="1"/>
  </cols>
  <sheetData>
    <row r="3" spans="4:14" ht="15.75" thickBot="1"/>
    <row r="4" spans="4:14" ht="15.75" thickBot="1">
      <c r="D4" s="147" t="s">
        <v>0</v>
      </c>
      <c r="E4" s="148"/>
      <c r="F4" s="148"/>
      <c r="G4" s="148"/>
      <c r="H4" s="148"/>
      <c r="I4" s="148"/>
      <c r="J4" s="148"/>
      <c r="K4" s="148"/>
      <c r="L4" s="148"/>
      <c r="M4" s="149"/>
    </row>
    <row r="5" spans="4:14" ht="15.75" thickBot="1">
      <c r="E5" s="112" t="s">
        <v>18</v>
      </c>
    </row>
    <row r="6" spans="4:14">
      <c r="E6" s="113"/>
      <c r="G6" s="152" t="s">
        <v>1</v>
      </c>
      <c r="H6" s="153"/>
      <c r="I6" s="115" t="s">
        <v>19</v>
      </c>
      <c r="J6" s="116"/>
      <c r="K6" s="156" t="s">
        <v>3</v>
      </c>
      <c r="L6" s="157"/>
    </row>
    <row r="7" spans="4:14">
      <c r="E7" s="113"/>
      <c r="G7" s="154" t="s">
        <v>2</v>
      </c>
      <c r="H7" s="155"/>
      <c r="I7" s="117"/>
      <c r="J7" s="118"/>
      <c r="K7" s="158" t="s">
        <v>4</v>
      </c>
      <c r="L7" s="159"/>
    </row>
    <row r="8" spans="4:14" ht="15.75" thickBot="1">
      <c r="E8" s="113"/>
      <c r="G8" s="26">
        <v>0</v>
      </c>
      <c r="H8" s="8" t="s">
        <v>7</v>
      </c>
      <c r="I8" s="117"/>
      <c r="J8" s="119"/>
      <c r="K8" s="34">
        <v>1</v>
      </c>
      <c r="L8" s="35" t="s">
        <v>7</v>
      </c>
    </row>
    <row r="9" spans="4:14" ht="15.75" thickTop="1">
      <c r="E9" s="113"/>
      <c r="G9" s="9">
        <f>IF(G8=1,0.99999,IF(G8=0,0.000000001,1/G8))</f>
        <v>1.0000000000000001E-9</v>
      </c>
      <c r="I9" s="77"/>
      <c r="K9" s="9">
        <f>IF(K8=1,0.999999,IF(K8=0,0.000001,1/K8))</f>
        <v>0.99999899999999997</v>
      </c>
      <c r="N9" t="s">
        <v>16</v>
      </c>
    </row>
    <row r="10" spans="4:14" ht="15.75" customHeight="1" thickBot="1">
      <c r="E10" s="113"/>
      <c r="G10" s="9"/>
      <c r="I10" s="78"/>
      <c r="K10" s="9"/>
    </row>
    <row r="11" spans="4:14" ht="15.75" thickBot="1">
      <c r="E11" s="113"/>
      <c r="F11" s="28" t="s">
        <v>5</v>
      </c>
      <c r="G11" s="10">
        <f>(1-G9)/(1+G9)</f>
        <v>0.99999999799999995</v>
      </c>
      <c r="I11" s="78"/>
      <c r="J11" s="82" t="s">
        <v>5</v>
      </c>
      <c r="K11" s="10">
        <f>(1-K9)/(1+K9)</f>
        <v>5.0000025001450283E-7</v>
      </c>
      <c r="L11" s="39"/>
      <c r="M11" s="40"/>
    </row>
    <row r="12" spans="4:14" ht="16.5" thickTop="1" thickBot="1">
      <c r="E12" s="114"/>
      <c r="G12" s="11"/>
      <c r="I12" s="81"/>
      <c r="J12" s="83"/>
      <c r="K12" s="83"/>
      <c r="L12" s="12"/>
      <c r="M12" s="41" t="s">
        <v>17</v>
      </c>
    </row>
    <row r="13" spans="4:14" ht="15.75" thickBot="1">
      <c r="E13" s="2" t="s">
        <v>6</v>
      </c>
      <c r="F13" s="44">
        <v>1</v>
      </c>
      <c r="G13" s="14" t="s">
        <v>22</v>
      </c>
      <c r="I13" s="79" t="s">
        <v>14</v>
      </c>
      <c r="K13" s="9" t="s">
        <v>12</v>
      </c>
      <c r="L13" s="15" t="s">
        <v>4</v>
      </c>
      <c r="M13" s="42" t="s">
        <v>28</v>
      </c>
    </row>
    <row r="14" spans="4:14" ht="15.75" thickBot="1">
      <c r="E14" s="1" t="s">
        <v>15</v>
      </c>
      <c r="G14" s="16" t="s">
        <v>10</v>
      </c>
      <c r="H14" s="7" t="s">
        <v>8</v>
      </c>
      <c r="I14" s="80" t="s">
        <v>9</v>
      </c>
      <c r="J14" s="7" t="s">
        <v>8</v>
      </c>
      <c r="K14" s="17" t="s">
        <v>10</v>
      </c>
      <c r="L14" s="18" t="s">
        <v>10</v>
      </c>
      <c r="M14" s="42" t="s">
        <v>19</v>
      </c>
    </row>
    <row r="15" spans="4:14" ht="15.75" thickTop="1">
      <c r="E15" s="3">
        <v>0</v>
      </c>
      <c r="G15" s="19">
        <f>F13*1000</f>
        <v>1000</v>
      </c>
      <c r="H15" s="46">
        <f>10*LOG(G15)</f>
        <v>30</v>
      </c>
      <c r="I15" s="150">
        <v>0</v>
      </c>
      <c r="J15" s="61">
        <f>H15-I15</f>
        <v>30</v>
      </c>
      <c r="K15" s="138">
        <f>10^(J15/10)*$K$11</f>
        <v>5.0000025001450282E-4</v>
      </c>
      <c r="L15" s="130">
        <f>10^(J15/10)-K15</f>
        <v>999.99949999975001</v>
      </c>
      <c r="M15" s="42"/>
    </row>
    <row r="16" spans="4:14">
      <c r="D16" s="133" t="s">
        <v>11</v>
      </c>
      <c r="E16" s="146">
        <v>1</v>
      </c>
      <c r="F16" s="5"/>
      <c r="G16" s="134">
        <f>10^(H16/10)*$G$11</f>
        <v>5.0000024901450185E-4</v>
      </c>
      <c r="H16" s="47">
        <f>J16-I15</f>
        <v>-33.010297785041978</v>
      </c>
      <c r="I16" s="150"/>
      <c r="J16" s="62">
        <f>10*LOG(K15)</f>
        <v>-33.010297785041978</v>
      </c>
      <c r="K16" s="139"/>
      <c r="L16" s="126"/>
      <c r="M16" s="42">
        <f>ROUND(G15-K15-L15,2)</f>
        <v>0</v>
      </c>
    </row>
    <row r="17" spans="4:13">
      <c r="D17" s="133"/>
      <c r="E17" s="146"/>
      <c r="F17" s="5"/>
      <c r="G17" s="134"/>
      <c r="H17" s="48">
        <f>10*LOG(G16)</f>
        <v>-33.010297793727872</v>
      </c>
      <c r="I17" s="150"/>
      <c r="J17" s="63">
        <f>H17-I15</f>
        <v>-33.010297793727872</v>
      </c>
      <c r="K17" s="137">
        <f>10^(J17/10)*$K$11</f>
        <v>2.5000024951456409E-10</v>
      </c>
      <c r="L17" s="126">
        <f t="shared" ref="L17" si="0">10^(J17/10)-K17</f>
        <v>4.9999999901425131E-4</v>
      </c>
      <c r="M17" s="42"/>
    </row>
    <row r="18" spans="4:13">
      <c r="D18" s="133"/>
      <c r="E18" s="146">
        <f>1+E16</f>
        <v>2</v>
      </c>
      <c r="G18" s="141">
        <f>10^(H18/10)*$G$11</f>
        <v>2.5000024901456262E-10</v>
      </c>
      <c r="H18" s="49">
        <f>J18-I15</f>
        <v>-96.020595578769857</v>
      </c>
      <c r="I18" s="150"/>
      <c r="J18" s="64">
        <f>10*LOG(K17)</f>
        <v>-96.020595578769857</v>
      </c>
      <c r="K18" s="137"/>
      <c r="L18" s="126"/>
      <c r="M18" s="42">
        <f>ROUND(G16-K17-L17,2)</f>
        <v>0</v>
      </c>
    </row>
    <row r="19" spans="4:13">
      <c r="D19" s="133"/>
      <c r="E19" s="146"/>
      <c r="G19" s="141"/>
      <c r="H19" s="50">
        <f>10*LOG(G18)</f>
        <v>-96.020595587455773</v>
      </c>
      <c r="I19" s="150"/>
      <c r="J19" s="65">
        <f>H19-I15</f>
        <v>-96.020595587455773</v>
      </c>
      <c r="K19" s="139">
        <f>10^(J19/10)*$K$11</f>
        <v>1.2500018701096881E-16</v>
      </c>
      <c r="L19" s="126">
        <f t="shared" ref="L19" si="1">10^(J19/10)-K19</f>
        <v>2.5000012401437465E-10</v>
      </c>
      <c r="M19" s="42"/>
    </row>
    <row r="20" spans="4:13">
      <c r="D20" s="133"/>
      <c r="E20" s="146">
        <f t="shared" ref="E20" si="2">1+E18</f>
        <v>3</v>
      </c>
      <c r="G20" s="142">
        <f>10^(H20/10)*$G$11</f>
        <v>1.2500018676096801E-16</v>
      </c>
      <c r="H20" s="47">
        <f>J20-I15</f>
        <v>-159.03089337249776</v>
      </c>
      <c r="I20" s="150"/>
      <c r="J20" s="62">
        <f>10*LOG(K19)</f>
        <v>-159.03089337249776</v>
      </c>
      <c r="K20" s="139"/>
      <c r="L20" s="126"/>
      <c r="M20" s="42">
        <f t="shared" ref="M20" si="3">ROUND(G18-K19-L19,2)</f>
        <v>0</v>
      </c>
    </row>
    <row r="21" spans="4:13" ht="15" customHeight="1">
      <c r="D21" s="133"/>
      <c r="E21" s="146"/>
      <c r="G21" s="142"/>
      <c r="H21" s="51">
        <f>10*LOG(G20)</f>
        <v>-159.03089338118366</v>
      </c>
      <c r="I21" s="150"/>
      <c r="J21" s="66">
        <f>H21-I15</f>
        <v>-159.03089338118366</v>
      </c>
      <c r="K21" s="140">
        <f>10^(J21/10)*$K$11</f>
        <v>6.2500124632343091E-23</v>
      </c>
      <c r="L21" s="126">
        <f t="shared" ref="L21" si="4">10^(J21/10)-K21</f>
        <v>1.2500012426084247E-16</v>
      </c>
      <c r="M21" s="42"/>
    </row>
    <row r="22" spans="4:13">
      <c r="D22" s="133"/>
      <c r="E22" s="146">
        <f t="shared" ref="E22" si="5">1+E20</f>
        <v>4</v>
      </c>
      <c r="G22" s="143">
        <f>10^(H22/10)*$G$11</f>
        <v>6.2500124507342421E-23</v>
      </c>
      <c r="H22" s="52">
        <f>J22-I15</f>
        <v>-222.04119116622567</v>
      </c>
      <c r="I22" s="150"/>
      <c r="J22" s="67">
        <f>10*LOG(K21)</f>
        <v>-222.04119116622567</v>
      </c>
      <c r="K22" s="140"/>
      <c r="L22" s="126"/>
      <c r="M22" s="42">
        <f t="shared" ref="M22" si="6">ROUND(G20-K21-L21,2)</f>
        <v>0</v>
      </c>
    </row>
    <row r="23" spans="4:13">
      <c r="D23" s="133"/>
      <c r="E23" s="146"/>
      <c r="G23" s="143"/>
      <c r="H23" s="53">
        <f>10*LOG(G22)</f>
        <v>-222.04119117491157</v>
      </c>
      <c r="I23" s="150"/>
      <c r="J23" s="68">
        <f>H23-I15</f>
        <v>-222.04119117491157</v>
      </c>
      <c r="K23" s="160">
        <f>10^(J23/10)*$K$11</f>
        <v>3.1250077879608762E-29</v>
      </c>
      <c r="L23" s="126">
        <f t="shared" ref="L23" si="7">10^(J23/10)-K23</f>
        <v>6.2500093257264528E-23</v>
      </c>
      <c r="M23" s="42"/>
    </row>
    <row r="24" spans="4:13">
      <c r="D24" s="133"/>
      <c r="E24" s="146">
        <f t="shared" ref="E24" si="8">1+E22</f>
        <v>5</v>
      </c>
      <c r="G24" s="144">
        <f>10^(H24/10)*$G$11</f>
        <v>3.1250077817108389E-29</v>
      </c>
      <c r="H24" s="54">
        <f>J24-I15</f>
        <v>-285.05148895995353</v>
      </c>
      <c r="I24" s="150"/>
      <c r="J24" s="69">
        <f>10*LOG(K23)</f>
        <v>-285.05148895995353</v>
      </c>
      <c r="K24" s="160"/>
      <c r="L24" s="126"/>
      <c r="M24" s="42">
        <f t="shared" ref="M24" si="9">ROUND(G22-K23-L23,2)</f>
        <v>0</v>
      </c>
    </row>
    <row r="25" spans="4:13">
      <c r="D25" s="133"/>
      <c r="E25" s="146"/>
      <c r="G25" s="144"/>
      <c r="H25" s="55">
        <f>10*LOG(G24)</f>
        <v>-285.05148896863949</v>
      </c>
      <c r="I25" s="150"/>
      <c r="J25" s="70">
        <f>H25-I15</f>
        <v>-285.05148896863949</v>
      </c>
      <c r="K25" s="161">
        <f>10^(J25/10)*$K$11</f>
        <v>1.5625046721526751E-35</v>
      </c>
      <c r="L25" s="126">
        <f t="shared" ref="L25" si="10">10^(J25/10)-K25</f>
        <v>3.1250062192061445E-29</v>
      </c>
      <c r="M25" s="42"/>
    </row>
    <row r="26" spans="4:13">
      <c r="D26" s="133"/>
      <c r="E26" s="146">
        <f t="shared" ref="E26" si="11">1+E24</f>
        <v>6</v>
      </c>
      <c r="G26" s="145">
        <f>10^(H26/10)*$G$11</f>
        <v>1.5625046690276329E-35</v>
      </c>
      <c r="H26" s="56">
        <f>J26-I15</f>
        <v>-348.06178675368153</v>
      </c>
      <c r="I26" s="150"/>
      <c r="J26" s="71">
        <f>10*LOG(K25)</f>
        <v>-348.06178675368153</v>
      </c>
      <c r="K26" s="161"/>
      <c r="L26" s="126"/>
      <c r="M26" s="42">
        <f t="shared" ref="M26" si="12">ROUND(G24-K25-L25,2)</f>
        <v>0</v>
      </c>
    </row>
    <row r="27" spans="4:13">
      <c r="D27" s="133"/>
      <c r="E27" s="146"/>
      <c r="G27" s="145"/>
      <c r="H27" s="57">
        <f>10*LOG(G26)</f>
        <v>-348.06178676236749</v>
      </c>
      <c r="I27" s="150"/>
      <c r="J27" s="72">
        <f>H27-I15</f>
        <v>-348.06178676236749</v>
      </c>
      <c r="K27" s="131">
        <f>10^(J27/10)*$K$11</f>
        <v>7.8125272516263868E-42</v>
      </c>
      <c r="L27" s="126">
        <f t="shared" ref="L27" si="13">10^(J27/10)-K27</f>
        <v>1.5625038877748962E-35</v>
      </c>
      <c r="M27" s="42"/>
    </row>
    <row r="28" spans="4:13">
      <c r="D28" s="133"/>
      <c r="E28" s="146">
        <f t="shared" ref="E28:E34" si="14">1+E26</f>
        <v>7</v>
      </c>
      <c r="G28" s="136">
        <f>10^(H28/10)*$G$11</f>
        <v>7.8125272360012801E-42</v>
      </c>
      <c r="H28" s="52">
        <f>J28-I15</f>
        <v>-411.07208454740947</v>
      </c>
      <c r="I28" s="150"/>
      <c r="J28" s="67">
        <f>10*LOG(K27)</f>
        <v>-411.07208454740947</v>
      </c>
      <c r="K28" s="131"/>
      <c r="L28" s="126"/>
      <c r="M28" s="42">
        <f t="shared" ref="M28:M36" si="15">ROUND(G26-K27-L27,2)</f>
        <v>0</v>
      </c>
    </row>
    <row r="29" spans="4:13">
      <c r="D29" s="133"/>
      <c r="E29" s="146"/>
      <c r="G29" s="136"/>
      <c r="H29" s="58">
        <f>10*LOG(G28)</f>
        <v>-411.07208455609538</v>
      </c>
      <c r="I29" s="150"/>
      <c r="J29" s="73">
        <f>H29-I15</f>
        <v>-411.07208455609538</v>
      </c>
      <c r="K29" s="137">
        <f>10^(J29/10)*$K$11</f>
        <v>3.9062655712457239E-48</v>
      </c>
      <c r="L29" s="129">
        <f t="shared" ref="L29:L35" si="16">10^(J29/10)-K29</f>
        <v>7.8125233297356509E-42</v>
      </c>
      <c r="M29" s="42"/>
    </row>
    <row r="30" spans="4:13">
      <c r="D30" s="133"/>
      <c r="E30" s="146">
        <f t="shared" si="14"/>
        <v>8</v>
      </c>
      <c r="G30" s="135">
        <f>10^(H30/10)*$G$11</f>
        <v>3.9062655634331664E-48</v>
      </c>
      <c r="H30" s="49">
        <f>J30-I15</f>
        <v>-474.08238234113742</v>
      </c>
      <c r="I30" s="150"/>
      <c r="J30" s="64">
        <f>10*LOG(K29)</f>
        <v>-474.08238234113742</v>
      </c>
      <c r="K30" s="137"/>
      <c r="L30" s="130"/>
      <c r="M30" s="42">
        <f t="shared" si="15"/>
        <v>0</v>
      </c>
    </row>
    <row r="31" spans="4:13">
      <c r="D31" s="133"/>
      <c r="E31" s="146"/>
      <c r="G31" s="135"/>
      <c r="H31" s="59">
        <f>10*LOG(G30)</f>
        <v>-474.08238234982332</v>
      </c>
      <c r="I31" s="150"/>
      <c r="J31" s="74">
        <f>H31-I15</f>
        <v>-474.08238234982332</v>
      </c>
      <c r="K31" s="131">
        <f>10^(J31/10)*$K$11</f>
        <v>1.953133758339584E-54</v>
      </c>
      <c r="L31" s="129">
        <f t="shared" si="16"/>
        <v>3.9062636102993245E-48</v>
      </c>
      <c r="M31" s="42"/>
    </row>
    <row r="32" spans="4:13">
      <c r="D32" s="133"/>
      <c r="E32" s="146">
        <f t="shared" si="14"/>
        <v>9</v>
      </c>
      <c r="G32" s="136">
        <f>10^(H32/10)*$G$11</f>
        <v>1.9531337544333309E-54</v>
      </c>
      <c r="H32" s="52">
        <f>J32-I15</f>
        <v>-537.0926801348653</v>
      </c>
      <c r="I32" s="150"/>
      <c r="J32" s="67">
        <f>10*LOG(K31)</f>
        <v>-537.0926801348653</v>
      </c>
      <c r="K32" s="131"/>
      <c r="L32" s="130"/>
      <c r="M32" s="42">
        <f t="shared" si="15"/>
        <v>0</v>
      </c>
    </row>
    <row r="33" spans="4:14">
      <c r="D33" s="133"/>
      <c r="E33" s="146"/>
      <c r="G33" s="136"/>
      <c r="H33" s="58">
        <f>10*LOG(G32)</f>
        <v>-537.09268014355121</v>
      </c>
      <c r="I33" s="150"/>
      <c r="J33" s="73">
        <f>H33-I15</f>
        <v>-537.09268014355121</v>
      </c>
      <c r="K33" s="132">
        <f>10^(J33/10)*$K$11</f>
        <v>9.7656736552843665E-61</v>
      </c>
      <c r="L33" s="129">
        <f t="shared" si="16"/>
        <v>1.9531327778659787E-54</v>
      </c>
      <c r="M33" s="42"/>
    </row>
    <row r="34" spans="4:14">
      <c r="D34" s="133"/>
      <c r="E34" s="146">
        <f t="shared" si="14"/>
        <v>10</v>
      </c>
      <c r="G34" s="135">
        <f>10^(H34/10)*$G$11</f>
        <v>9.7656736357529541E-61</v>
      </c>
      <c r="H34" s="60">
        <f>J34-I15</f>
        <v>-600.10297792859319</v>
      </c>
      <c r="I34" s="150"/>
      <c r="J34" s="75">
        <f>10*LOG(K33)</f>
        <v>-600.10297792859319</v>
      </c>
      <c r="K34" s="132"/>
      <c r="L34" s="130"/>
      <c r="M34" s="42">
        <f t="shared" si="15"/>
        <v>0</v>
      </c>
    </row>
    <row r="35" spans="4:14" ht="15.75" thickBot="1">
      <c r="D35" s="133"/>
      <c r="E35" s="146"/>
      <c r="G35" s="135"/>
      <c r="H35" s="59">
        <f>10*LOG(G34)</f>
        <v>-600.10297793727909</v>
      </c>
      <c r="I35" s="151"/>
      <c r="J35" s="74">
        <f>H35-I15</f>
        <v>-600.10297793727909</v>
      </c>
      <c r="K35" s="131">
        <f>10^(J35/10)*$K$11</f>
        <v>4.8828392594364802E-67</v>
      </c>
      <c r="L35" s="129">
        <f t="shared" si="16"/>
        <v>9.7656687529136234E-61</v>
      </c>
      <c r="M35" s="42"/>
    </row>
    <row r="36" spans="4:14" ht="16.5" thickTop="1" thickBot="1">
      <c r="D36" s="133"/>
      <c r="E36" s="4"/>
      <c r="G36" s="21"/>
      <c r="H36" s="21"/>
      <c r="I36" s="76"/>
      <c r="J36" s="20"/>
      <c r="K36" s="131"/>
      <c r="L36" s="130"/>
      <c r="M36" s="45">
        <f t="shared" si="15"/>
        <v>0</v>
      </c>
    </row>
    <row r="37" spans="4:14" ht="16.5" thickTop="1" thickBot="1">
      <c r="M37" s="13"/>
    </row>
    <row r="38" spans="4:14" ht="15.75" thickBot="1">
      <c r="F38" s="37">
        <f>10*LOG(F13,10)</f>
        <v>0</v>
      </c>
      <c r="G38" s="6" t="s">
        <v>20</v>
      </c>
      <c r="I38" s="127" t="s">
        <v>13</v>
      </c>
      <c r="J38" s="128"/>
      <c r="K38" s="128"/>
      <c r="L38" s="33">
        <f>SUM(L15:L36)</f>
        <v>999.99999999999898</v>
      </c>
      <c r="M38" s="43">
        <f>SUM(M16:M36)</f>
        <v>0</v>
      </c>
    </row>
    <row r="39" spans="4:14" ht="15.75" thickBot="1">
      <c r="D39" s="123" t="s">
        <v>25</v>
      </c>
      <c r="E39" s="124"/>
      <c r="F39" s="37">
        <f>F38+30</f>
        <v>30</v>
      </c>
      <c r="G39" s="6" t="s">
        <v>21</v>
      </c>
      <c r="K39" s="22"/>
      <c r="L39" s="22"/>
      <c r="M39" s="23"/>
    </row>
    <row r="40" spans="4:14" ht="15.75" thickBot="1">
      <c r="D40" s="38" t="s">
        <v>26</v>
      </c>
      <c r="E40" s="27">
        <v>50</v>
      </c>
      <c r="J40" s="24"/>
      <c r="K40" s="125" t="s">
        <v>24</v>
      </c>
      <c r="L40" s="125"/>
      <c r="M40" s="31">
        <f>L38+M38+I42</f>
        <v>1000</v>
      </c>
      <c r="N40" t="s">
        <v>10</v>
      </c>
    </row>
    <row r="41" spans="4:14" ht="15.75" thickBot="1">
      <c r="G41" s="120" t="s">
        <v>23</v>
      </c>
      <c r="H41" s="121"/>
      <c r="I41" s="121"/>
      <c r="J41" s="121"/>
      <c r="K41" s="122"/>
      <c r="L41" s="25"/>
      <c r="M41" s="31"/>
    </row>
    <row r="42" spans="4:14">
      <c r="D42" s="38" t="s">
        <v>27</v>
      </c>
      <c r="E42">
        <f>1-E40/(1+E40)</f>
        <v>1.9607843137254943E-2</v>
      </c>
      <c r="G42" s="29">
        <f>SUM(G16:G35)</f>
        <v>5.0000049901487587E-4</v>
      </c>
      <c r="H42" s="29"/>
      <c r="I42" s="30">
        <f>K42-G42</f>
        <v>1.0000015138872387E-12</v>
      </c>
      <c r="J42" s="36"/>
      <c r="K42" s="36">
        <f>SUM(K15:K35)</f>
        <v>5.0000050001487739E-4</v>
      </c>
      <c r="M42" s="32"/>
    </row>
    <row r="43" spans="4:14">
      <c r="G43" s="7"/>
      <c r="H43" s="7"/>
      <c r="I43" s="30"/>
      <c r="J43" s="7"/>
      <c r="K43" s="7"/>
      <c r="M43" s="32"/>
    </row>
    <row r="44" spans="4:14">
      <c r="G44" s="7"/>
      <c r="H44" s="7"/>
      <c r="I44" s="30">
        <f>M38</f>
        <v>0</v>
      </c>
      <c r="J44" s="30"/>
      <c r="K44" s="30"/>
      <c r="L44" s="30">
        <f>SUM(L15:L35)</f>
        <v>999.99999999999898</v>
      </c>
      <c r="M44" s="32">
        <f>L44+I42+I44</f>
        <v>1000</v>
      </c>
      <c r="N44" t="s">
        <v>10</v>
      </c>
    </row>
  </sheetData>
  <mergeCells count="55">
    <mergeCell ref="D4:M4"/>
    <mergeCell ref="E30:E31"/>
    <mergeCell ref="E32:E33"/>
    <mergeCell ref="E34:E35"/>
    <mergeCell ref="L31:L32"/>
    <mergeCell ref="L33:L34"/>
    <mergeCell ref="L35:L36"/>
    <mergeCell ref="I15:I35"/>
    <mergeCell ref="E28:E29"/>
    <mergeCell ref="G6:H6"/>
    <mergeCell ref="G7:H7"/>
    <mergeCell ref="K6:L6"/>
    <mergeCell ref="K7:L7"/>
    <mergeCell ref="G28:G29"/>
    <mergeCell ref="K23:K24"/>
    <mergeCell ref="K25:K26"/>
    <mergeCell ref="E24:E25"/>
    <mergeCell ref="E26:E27"/>
    <mergeCell ref="L15:L16"/>
    <mergeCell ref="L17:L18"/>
    <mergeCell ref="L19:L20"/>
    <mergeCell ref="E16:E17"/>
    <mergeCell ref="E18:E19"/>
    <mergeCell ref="E20:E21"/>
    <mergeCell ref="E22:E23"/>
    <mergeCell ref="G30:G31"/>
    <mergeCell ref="G32:G33"/>
    <mergeCell ref="G34:G35"/>
    <mergeCell ref="K29:K30"/>
    <mergeCell ref="K15:K16"/>
    <mergeCell ref="K17:K18"/>
    <mergeCell ref="K19:K20"/>
    <mergeCell ref="K21:K22"/>
    <mergeCell ref="K27:K28"/>
    <mergeCell ref="G18:G19"/>
    <mergeCell ref="G20:G21"/>
    <mergeCell ref="G22:G23"/>
    <mergeCell ref="G24:G25"/>
    <mergeCell ref="G26:G27"/>
    <mergeCell ref="E5:E12"/>
    <mergeCell ref="I6:J8"/>
    <mergeCell ref="G41:K41"/>
    <mergeCell ref="D39:E39"/>
    <mergeCell ref="K40:L40"/>
    <mergeCell ref="L21:L22"/>
    <mergeCell ref="L23:L24"/>
    <mergeCell ref="L25:L26"/>
    <mergeCell ref="L27:L28"/>
    <mergeCell ref="I38:K38"/>
    <mergeCell ref="L29:L30"/>
    <mergeCell ref="K31:K32"/>
    <mergeCell ref="K33:K34"/>
    <mergeCell ref="K35:K36"/>
    <mergeCell ref="D16:D36"/>
    <mergeCell ref="G16:G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X51"/>
  <sheetViews>
    <sheetView zoomScale="98" zoomScaleNormal="98" workbookViewId="0">
      <selection activeCell="H31" sqref="H31"/>
    </sheetView>
  </sheetViews>
  <sheetFormatPr defaultRowHeight="15"/>
  <cols>
    <col min="4" max="4" width="6.7109375" style="38" bestFit="1" customWidth="1"/>
    <col min="5" max="5" width="8" bestFit="1" customWidth="1"/>
    <col min="6" max="6" width="3.28515625" bestFit="1" customWidth="1"/>
    <col min="7" max="7" width="12" bestFit="1" customWidth="1"/>
    <col min="8" max="8" width="6.42578125" bestFit="1" customWidth="1"/>
    <col min="9" max="9" width="3.5703125" customWidth="1"/>
    <col min="10" max="12" width="3" customWidth="1"/>
    <col min="13" max="13" width="10.28515625" bestFit="1" customWidth="1"/>
    <col min="14" max="14" width="7.140625" style="6" bestFit="1" customWidth="1"/>
    <col min="15" max="15" width="13.85546875" bestFit="1" customWidth="1"/>
    <col min="18" max="18" width="2.85546875" bestFit="1" customWidth="1"/>
    <col min="19" max="19" width="4.42578125" bestFit="1" customWidth="1"/>
    <col min="20" max="20" width="4.85546875" bestFit="1" customWidth="1"/>
    <col min="21" max="21" width="3.140625" customWidth="1"/>
    <col min="22" max="23" width="3.28515625" customWidth="1"/>
    <col min="24" max="24" width="3" customWidth="1"/>
  </cols>
  <sheetData>
    <row r="3" spans="4:20" ht="15.75" thickBot="1"/>
    <row r="4" spans="4:20" ht="15.75" thickBot="1">
      <c r="M4" s="123" t="s">
        <v>49</v>
      </c>
      <c r="N4" s="164"/>
      <c r="O4" s="164"/>
      <c r="P4" s="164"/>
      <c r="Q4" s="124"/>
      <c r="R4" s="90"/>
      <c r="S4" s="91"/>
      <c r="T4" s="100"/>
    </row>
    <row r="5" spans="4:20" ht="15.75" thickBot="1">
      <c r="P5" s="101"/>
    </row>
    <row r="6" spans="4:20" ht="15.75" thickBot="1">
      <c r="M6" s="174" t="s">
        <v>76</v>
      </c>
      <c r="N6" s="107">
        <v>100</v>
      </c>
      <c r="O6" s="92" t="s">
        <v>40</v>
      </c>
      <c r="P6" s="176" t="s">
        <v>77</v>
      </c>
      <c r="Q6" s="177"/>
    </row>
    <row r="7" spans="4:20">
      <c r="D7" s="97"/>
      <c r="E7" s="87"/>
      <c r="F7" s="87"/>
      <c r="G7" s="87"/>
      <c r="H7" s="92"/>
      <c r="M7" s="185"/>
      <c r="N7" s="108">
        <f>10*LOG(N6,10)</f>
        <v>20</v>
      </c>
      <c r="O7" s="94" t="s">
        <v>20</v>
      </c>
      <c r="P7" s="178"/>
      <c r="Q7" s="179"/>
    </row>
    <row r="8" spans="4:20" ht="15.75" thickBot="1">
      <c r="D8" s="99"/>
      <c r="E8" s="186" t="s">
        <v>29</v>
      </c>
      <c r="F8" s="186"/>
      <c r="G8" s="93">
        <f>3*10^8</f>
        <v>300000000</v>
      </c>
      <c r="H8" s="94" t="s">
        <v>30</v>
      </c>
      <c r="M8" s="175"/>
      <c r="N8" s="109">
        <f>N7+30</f>
        <v>50</v>
      </c>
      <c r="O8" s="96" t="s">
        <v>21</v>
      </c>
      <c r="P8" s="180"/>
      <c r="Q8" s="181"/>
    </row>
    <row r="9" spans="4:20" ht="15.75" thickBot="1">
      <c r="D9" s="99"/>
      <c r="E9" s="93"/>
      <c r="F9" s="93"/>
      <c r="G9" s="93"/>
      <c r="H9" s="94"/>
      <c r="P9" s="101"/>
    </row>
    <row r="10" spans="4:20" ht="15.75" thickBot="1">
      <c r="D10" s="99"/>
      <c r="E10" s="93"/>
      <c r="F10" s="93"/>
      <c r="G10" s="93"/>
      <c r="H10" s="94"/>
      <c r="M10" s="182" t="s">
        <v>50</v>
      </c>
      <c r="N10" s="183"/>
      <c r="O10" s="183"/>
      <c r="P10" s="183"/>
      <c r="Q10" s="184"/>
    </row>
    <row r="11" spans="4:20">
      <c r="D11" s="99"/>
      <c r="E11" s="186" t="s">
        <v>31</v>
      </c>
      <c r="F11" s="186"/>
      <c r="G11" s="93">
        <v>70</v>
      </c>
      <c r="H11" s="94" t="s">
        <v>32</v>
      </c>
      <c r="M11" s="97" t="s">
        <v>75</v>
      </c>
      <c r="N11" s="110">
        <v>8.9</v>
      </c>
      <c r="O11" s="87" t="s">
        <v>53</v>
      </c>
      <c r="P11" s="171" t="s">
        <v>41</v>
      </c>
      <c r="Q11" s="168"/>
      <c r="R11" s="165" t="s">
        <v>52</v>
      </c>
      <c r="S11" s="165">
        <v>432</v>
      </c>
      <c r="T11" s="168" t="s">
        <v>34</v>
      </c>
    </row>
    <row r="12" spans="4:20">
      <c r="D12" s="99"/>
      <c r="E12" s="93"/>
      <c r="F12" s="93"/>
      <c r="G12" s="93"/>
      <c r="H12" s="94"/>
      <c r="M12" s="99" t="s">
        <v>47</v>
      </c>
      <c r="N12" s="24">
        <v>50</v>
      </c>
      <c r="O12" s="93" t="s">
        <v>45</v>
      </c>
      <c r="P12" s="172"/>
      <c r="Q12" s="169"/>
      <c r="R12" s="166"/>
      <c r="S12" s="166"/>
      <c r="T12" s="169"/>
    </row>
    <row r="13" spans="4:20" ht="15.75" thickBot="1">
      <c r="D13" s="99"/>
      <c r="E13" s="93"/>
      <c r="F13" s="93"/>
      <c r="G13" s="93"/>
      <c r="H13" s="94"/>
      <c r="M13" s="98" t="s">
        <v>46</v>
      </c>
      <c r="N13" s="111">
        <f>N11*N12/100</f>
        <v>4.45</v>
      </c>
      <c r="O13" s="89" t="s">
        <v>48</v>
      </c>
      <c r="P13" s="173"/>
      <c r="Q13" s="170"/>
      <c r="R13" s="167"/>
      <c r="S13" s="167"/>
      <c r="T13" s="170"/>
    </row>
    <row r="14" spans="4:20" ht="15.75" thickBot="1">
      <c r="D14" s="99"/>
      <c r="E14" s="186" t="s">
        <v>33</v>
      </c>
      <c r="F14" s="186"/>
      <c r="G14" s="93">
        <f>G8/(G11*10^(-2))/(1*10^6)</f>
        <v>428.57142857142856</v>
      </c>
      <c r="H14" s="94" t="s">
        <v>34</v>
      </c>
      <c r="P14" s="101"/>
    </row>
    <row r="15" spans="4:20">
      <c r="D15" s="99"/>
      <c r="E15" s="93"/>
      <c r="F15" s="93"/>
      <c r="G15" s="93"/>
      <c r="H15" s="94"/>
      <c r="M15" s="86"/>
      <c r="N15" s="110">
        <f>N7-N13</f>
        <v>15.55</v>
      </c>
      <c r="O15" s="87" t="s">
        <v>20</v>
      </c>
      <c r="P15" s="171" t="s">
        <v>73</v>
      </c>
      <c r="Q15" s="165"/>
      <c r="R15" s="165"/>
      <c r="S15" s="165"/>
      <c r="T15" s="168"/>
    </row>
    <row r="16" spans="4:20" ht="15.75" thickBot="1">
      <c r="D16" s="99"/>
      <c r="E16" s="93"/>
      <c r="F16" s="93"/>
      <c r="G16" s="93"/>
      <c r="H16" s="94"/>
      <c r="M16" s="88"/>
      <c r="N16" s="111">
        <f>10^((N7-N13)/10)</f>
        <v>35.892193464500544</v>
      </c>
      <c r="O16" s="89" t="s">
        <v>60</v>
      </c>
      <c r="P16" s="173"/>
      <c r="Q16" s="167"/>
      <c r="R16" s="167"/>
      <c r="S16" s="167"/>
      <c r="T16" s="170"/>
    </row>
    <row r="17" spans="4:20" ht="15.75" thickBot="1">
      <c r="D17" s="99"/>
      <c r="E17" s="93"/>
      <c r="F17" s="93"/>
      <c r="G17" s="93"/>
      <c r="H17" s="94"/>
      <c r="M17" s="90"/>
      <c r="N17" s="22">
        <f>N6-N16</f>
        <v>64.107806535499464</v>
      </c>
      <c r="O17" s="91" t="s">
        <v>60</v>
      </c>
      <c r="P17" s="123" t="s">
        <v>63</v>
      </c>
      <c r="Q17" s="164"/>
      <c r="R17" s="164"/>
      <c r="S17" s="164"/>
      <c r="T17" s="124"/>
    </row>
    <row r="18" spans="4:20" ht="15.75" thickBot="1">
      <c r="D18" s="99"/>
      <c r="E18" s="93"/>
      <c r="F18" s="93"/>
      <c r="G18" s="93"/>
      <c r="H18" s="94"/>
      <c r="P18" s="101"/>
    </row>
    <row r="19" spans="4:20" ht="15.75" thickBot="1">
      <c r="D19" s="99" t="s">
        <v>35</v>
      </c>
      <c r="E19" s="93">
        <v>40</v>
      </c>
      <c r="F19" s="93" t="s">
        <v>39</v>
      </c>
      <c r="G19" s="93">
        <f>10^(E19/10)</f>
        <v>10000</v>
      </c>
      <c r="H19" s="94" t="s">
        <v>74</v>
      </c>
      <c r="M19" s="2" t="s">
        <v>44</v>
      </c>
      <c r="N19" s="22">
        <v>0.16</v>
      </c>
      <c r="O19" s="91" t="s">
        <v>43</v>
      </c>
      <c r="P19" s="123" t="s">
        <v>42</v>
      </c>
      <c r="Q19" s="124"/>
      <c r="R19" s="91"/>
      <c r="S19" s="91"/>
      <c r="T19" s="100"/>
    </row>
    <row r="20" spans="4:20" ht="15.75" thickBot="1">
      <c r="D20" s="99"/>
      <c r="E20" s="93"/>
      <c r="F20" s="93"/>
      <c r="G20" s="93"/>
      <c r="H20" s="94"/>
      <c r="P20" s="102"/>
      <c r="Q20" s="84"/>
    </row>
    <row r="21" spans="4:20" ht="15.75" thickBot="1">
      <c r="D21" s="99" t="s">
        <v>37</v>
      </c>
      <c r="E21" s="93">
        <v>1000000</v>
      </c>
      <c r="F21" s="95" t="s">
        <v>38</v>
      </c>
      <c r="G21" s="93"/>
      <c r="H21" s="94"/>
      <c r="M21" s="182" t="s">
        <v>51</v>
      </c>
      <c r="N21" s="183"/>
      <c r="O21" s="183"/>
      <c r="P21" s="183"/>
      <c r="Q21" s="184"/>
    </row>
    <row r="22" spans="4:20">
      <c r="D22" s="99" t="s">
        <v>36</v>
      </c>
      <c r="E22" s="93">
        <v>100</v>
      </c>
      <c r="F22" s="95" t="s">
        <v>38</v>
      </c>
      <c r="G22" s="93"/>
      <c r="H22" s="94"/>
      <c r="M22" s="97" t="s">
        <v>19</v>
      </c>
      <c r="N22" s="110">
        <v>8.9</v>
      </c>
      <c r="O22" s="87" t="s">
        <v>53</v>
      </c>
      <c r="P22" s="171" t="s">
        <v>41</v>
      </c>
      <c r="Q22" s="168"/>
      <c r="R22" s="165" t="s">
        <v>52</v>
      </c>
      <c r="S22" s="165">
        <v>432</v>
      </c>
      <c r="T22" s="168" t="s">
        <v>34</v>
      </c>
    </row>
    <row r="23" spans="4:20">
      <c r="D23" s="99"/>
      <c r="E23" s="93"/>
      <c r="F23" s="93"/>
      <c r="G23" s="93"/>
      <c r="H23" s="94"/>
      <c r="M23" s="99" t="s">
        <v>47</v>
      </c>
      <c r="N23" s="24">
        <v>2</v>
      </c>
      <c r="O23" s="93" t="s">
        <v>45</v>
      </c>
      <c r="P23" s="172"/>
      <c r="Q23" s="169"/>
      <c r="R23" s="166"/>
      <c r="S23" s="166"/>
      <c r="T23" s="169"/>
    </row>
    <row r="24" spans="4:20" ht="15.75" thickBot="1">
      <c r="D24" s="99"/>
      <c r="E24" s="93"/>
      <c r="F24" s="93"/>
      <c r="G24" s="93"/>
      <c r="H24" s="94"/>
      <c r="M24" s="98" t="s">
        <v>46</v>
      </c>
      <c r="N24" s="111">
        <f>N22*N23/100</f>
        <v>0.17800000000000002</v>
      </c>
      <c r="O24" s="89" t="s">
        <v>48</v>
      </c>
      <c r="P24" s="173"/>
      <c r="Q24" s="170"/>
      <c r="R24" s="167"/>
      <c r="S24" s="167"/>
      <c r="T24" s="170"/>
    </row>
    <row r="25" spans="4:20" ht="15.75" thickBot="1">
      <c r="D25" s="98"/>
      <c r="E25" s="89">
        <f>E22/(E21+E22)</f>
        <v>9.9990000999900015E-5</v>
      </c>
      <c r="F25" s="89"/>
      <c r="G25" s="89">
        <f>10*LOG(E25,10)</f>
        <v>-40.000434272768615</v>
      </c>
      <c r="H25" s="96" t="s">
        <v>48</v>
      </c>
      <c r="M25" s="89"/>
      <c r="N25" s="111"/>
      <c r="O25" s="89"/>
      <c r="P25" s="106"/>
      <c r="Q25" s="89"/>
      <c r="R25" s="89"/>
      <c r="S25" s="89"/>
      <c r="T25" s="89"/>
    </row>
    <row r="26" spans="4:20" ht="15.75" thickBot="1">
      <c r="M26" s="2" t="s">
        <v>57</v>
      </c>
      <c r="N26" s="22">
        <f>N13+N24+N19</f>
        <v>4.7880000000000003</v>
      </c>
      <c r="O26" s="91" t="s">
        <v>58</v>
      </c>
      <c r="P26" s="123" t="s">
        <v>56</v>
      </c>
      <c r="Q26" s="124"/>
      <c r="R26" s="91" t="s">
        <v>52</v>
      </c>
      <c r="S26" s="91">
        <f>S22</f>
        <v>432</v>
      </c>
      <c r="T26" s="100" t="s">
        <v>34</v>
      </c>
    </row>
    <row r="27" spans="4:20">
      <c r="M27" s="38"/>
      <c r="P27" s="103"/>
      <c r="Q27" s="85"/>
    </row>
    <row r="28" spans="4:20">
      <c r="M28" s="38"/>
      <c r="P28" s="101"/>
    </row>
    <row r="29" spans="4:20">
      <c r="M29" s="38"/>
      <c r="P29" s="101"/>
    </row>
    <row r="30" spans="4:20" ht="15.75" thickBot="1">
      <c r="M30" s="38"/>
      <c r="P30" s="101"/>
    </row>
    <row r="31" spans="4:20">
      <c r="M31" s="162" t="s">
        <v>17</v>
      </c>
      <c r="N31" s="107">
        <f>N7-N26</f>
        <v>15.212</v>
      </c>
      <c r="O31" s="92" t="s">
        <v>59</v>
      </c>
      <c r="P31" s="171" t="s">
        <v>78</v>
      </c>
      <c r="Q31" s="168"/>
    </row>
    <row r="32" spans="4:20" ht="15.75" thickBot="1">
      <c r="M32" s="163"/>
      <c r="N32" s="109">
        <f>10^(N31/10)</f>
        <v>33.204733579750695</v>
      </c>
      <c r="O32" s="96" t="s">
        <v>60</v>
      </c>
      <c r="P32" s="173"/>
      <c r="Q32" s="170"/>
    </row>
    <row r="33" spans="13:20" ht="15.75" thickBot="1">
      <c r="M33" s="38"/>
      <c r="P33" s="101"/>
    </row>
    <row r="34" spans="13:20" ht="15" customHeight="1" thickBot="1">
      <c r="M34" s="38"/>
      <c r="N34" s="107"/>
      <c r="O34" s="92"/>
      <c r="P34" s="101"/>
    </row>
    <row r="35" spans="13:20" ht="15.75" thickBot="1">
      <c r="M35" s="2" t="s">
        <v>54</v>
      </c>
      <c r="N35" s="109">
        <v>10</v>
      </c>
      <c r="O35" s="96" t="s">
        <v>48</v>
      </c>
      <c r="P35" s="164" t="s">
        <v>55</v>
      </c>
      <c r="Q35" s="124"/>
    </row>
    <row r="36" spans="13:20" ht="15.75" thickBot="1">
      <c r="M36" s="38"/>
      <c r="P36" s="101"/>
    </row>
    <row r="37" spans="13:20">
      <c r="M37" s="162" t="s">
        <v>61</v>
      </c>
      <c r="N37" s="107">
        <f>N31+N35</f>
        <v>25.212</v>
      </c>
      <c r="O37" s="92" t="s">
        <v>20</v>
      </c>
      <c r="P37" s="176" t="s">
        <v>62</v>
      </c>
      <c r="Q37" s="177"/>
    </row>
    <row r="38" spans="13:20" ht="15.75" thickBot="1">
      <c r="M38" s="163"/>
      <c r="N38" s="109">
        <f>10^(N37/10)</f>
        <v>332.04733579750689</v>
      </c>
      <c r="O38" s="96" t="s">
        <v>60</v>
      </c>
      <c r="P38" s="178"/>
      <c r="Q38" s="179"/>
    </row>
    <row r="39" spans="13:20" ht="15.75" thickBot="1">
      <c r="P39" s="180"/>
      <c r="Q39" s="181"/>
    </row>
    <row r="40" spans="13:20">
      <c r="P40" s="105"/>
    </row>
    <row r="41" spans="13:20" ht="15.75" thickBot="1">
      <c r="P41" s="105"/>
    </row>
    <row r="42" spans="13:20" ht="15.75" thickBot="1">
      <c r="M42" s="123" t="s">
        <v>64</v>
      </c>
      <c r="N42" s="164"/>
      <c r="O42" s="164"/>
      <c r="P42" s="164"/>
      <c r="Q42" s="164"/>
      <c r="R42" s="164"/>
      <c r="S42" s="164"/>
      <c r="T42" s="124"/>
    </row>
    <row r="43" spans="13:20" ht="15.75" thickBot="1">
      <c r="O43" s="104"/>
    </row>
    <row r="44" spans="13:20">
      <c r="M44" s="174" t="s">
        <v>65</v>
      </c>
      <c r="N44" s="107">
        <v>200</v>
      </c>
      <c r="O44" s="92" t="s">
        <v>66</v>
      </c>
    </row>
    <row r="45" spans="13:20" ht="15.75" thickBot="1">
      <c r="M45" s="175"/>
      <c r="N45" s="109">
        <f>N44*1.6</f>
        <v>320</v>
      </c>
      <c r="O45" s="96" t="s">
        <v>67</v>
      </c>
    </row>
    <row r="46" spans="13:20" ht="15.75" thickBot="1">
      <c r="O46" s="104"/>
    </row>
    <row r="47" spans="13:20" ht="15.75" thickBot="1">
      <c r="M47" s="2" t="s">
        <v>33</v>
      </c>
      <c r="N47" s="22">
        <f>S22</f>
        <v>432</v>
      </c>
      <c r="O47" s="100" t="s">
        <v>68</v>
      </c>
    </row>
    <row r="48" spans="13:20" ht="15.75" thickBot="1">
      <c r="M48" s="38"/>
      <c r="O48" s="104"/>
    </row>
    <row r="49" spans="13:24" ht="15.75" thickBot="1">
      <c r="M49" s="2" t="s">
        <v>69</v>
      </c>
      <c r="N49" s="22">
        <f>20*LOG(4*PI()*N45*1000*(N47*10^6)/(3*10^8),10)</f>
        <v>135.25444668874502</v>
      </c>
      <c r="O49" s="91" t="s">
        <v>48</v>
      </c>
      <c r="P49" s="123" t="s">
        <v>70</v>
      </c>
      <c r="Q49" s="164"/>
      <c r="R49" s="164"/>
      <c r="S49" s="164"/>
      <c r="T49" s="164"/>
      <c r="U49" s="164"/>
      <c r="V49" s="164"/>
      <c r="W49" s="164"/>
      <c r="X49" s="124"/>
    </row>
    <row r="50" spans="13:24" ht="15.75" thickBot="1">
      <c r="M50" s="38"/>
      <c r="O50" s="104"/>
    </row>
    <row r="51" spans="13:24" ht="15.75" thickBot="1">
      <c r="M51" s="2" t="s">
        <v>72</v>
      </c>
      <c r="N51" s="22">
        <f>N31+30-N49</f>
        <v>-90.042446688745017</v>
      </c>
      <c r="O51" s="91" t="s">
        <v>21</v>
      </c>
      <c r="P51" s="123" t="s">
        <v>71</v>
      </c>
      <c r="Q51" s="164"/>
      <c r="R51" s="164"/>
      <c r="S51" s="164"/>
      <c r="T51" s="164"/>
      <c r="U51" s="164"/>
      <c r="V51" s="124"/>
    </row>
  </sheetData>
  <mergeCells count="29">
    <mergeCell ref="E8:F8"/>
    <mergeCell ref="E11:F11"/>
    <mergeCell ref="E14:F14"/>
    <mergeCell ref="P19:Q19"/>
    <mergeCell ref="P51:V51"/>
    <mergeCell ref="P37:Q39"/>
    <mergeCell ref="P17:T17"/>
    <mergeCell ref="P15:T16"/>
    <mergeCell ref="M4:Q4"/>
    <mergeCell ref="M10:Q10"/>
    <mergeCell ref="M21:Q21"/>
    <mergeCell ref="P35:Q35"/>
    <mergeCell ref="P26:Q26"/>
    <mergeCell ref="P31:Q32"/>
    <mergeCell ref="P6:Q8"/>
    <mergeCell ref="M6:M8"/>
    <mergeCell ref="M31:M32"/>
    <mergeCell ref="M37:M38"/>
    <mergeCell ref="P49:X49"/>
    <mergeCell ref="R11:R13"/>
    <mergeCell ref="S11:S13"/>
    <mergeCell ref="T11:T13"/>
    <mergeCell ref="P11:Q13"/>
    <mergeCell ref="R22:R24"/>
    <mergeCell ref="S22:S24"/>
    <mergeCell ref="T22:T24"/>
    <mergeCell ref="P22:Q24"/>
    <mergeCell ref="M42:T42"/>
    <mergeCell ref="M44:M4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VSWR Ladder</vt:lpstr>
      <vt:lpstr>Calculation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Buchan</dc:creator>
  <cp:lastModifiedBy>Dennis Buchan</cp:lastModifiedBy>
  <dcterms:created xsi:type="dcterms:W3CDTF">2016-11-04T12:14:50Z</dcterms:created>
  <dcterms:modified xsi:type="dcterms:W3CDTF">2018-03-09T14:56:11Z</dcterms:modified>
</cp:coreProperties>
</file>