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1-5" sheetId="2" r:id="rId5"/>
    <sheet state="visible" name="11-6" sheetId="3" r:id="rId6"/>
    <sheet state="visible" name="11-7" sheetId="4" r:id="rId7"/>
    <sheet state="visible" name="11-8" sheetId="5" r:id="rId8"/>
    <sheet state="visible" name="11-13" sheetId="6" r:id="rId9"/>
    <sheet state="visible" name="11-15" sheetId="7" r:id="rId10"/>
    <sheet state="visible" name="11-26" sheetId="8" r:id="rId11"/>
    <sheet state="visible" name="11-49" sheetId="9" r:id="rId12"/>
  </sheets>
  <externalReferences>
    <externalReference r:id="rId13"/>
  </externalReferences>
  <definedNames>
    <definedName localSheetId="5" name="Compounding">'[1]5-2'!#REF!</definedName>
    <definedName localSheetId="7" name="Compounding">'[1]5-2'!#REF!</definedName>
    <definedName localSheetId="8" name="Compounding">'[1]5-2'!#REF!</definedName>
    <definedName localSheetId="2" name="Compounding">'[1]5-2'!#REF!</definedName>
    <definedName localSheetId="3" name="Compounding">'[1]5-2'!#REF!</definedName>
    <definedName name="Compounding">'[1]5-2'!#REF!</definedName>
  </definedNames>
  <calcPr/>
  <extLst>
    <ext uri="GoogleSheetsCustomDataVersion2">
      <go:sheetsCustomData xmlns:go="http://customooxmlschemas.google.com/" r:id="rId14" roundtripDataChecksum="g4XDsrUcrdbpT0cG02hdzEYeto+3uI3x0/fTwXL0HP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ID#AAABGn8kbwo
jp40    (2024-02-19 15:02:01)
Nota: se calcolate la covarianza usando la funzione di Excel, ottenete la covarianza della popolazione. Al fine di ottenere la covarianza campionaria, dovete semplicememte moltiplicare per [n/(n-1)] il risultato della formula di Excel. In Excel 2010 è stata introdotta la funzione "COVARIANZA.C" che calcola la covarianza campionaria in maniera diretta.</t>
      </text>
    </comment>
  </commentList>
  <extLst>
    <ext uri="GoogleSheetsCustomDataVersion2">
      <go:sheetsCustomData xmlns:go="http://customooxmlschemas.google.com/" r:id="rId1" roundtripDataSignature="AMtx7mhKSUXw9ABImdDPrK2RiqxRyTNwSw=="/>
    </ext>
  </extLst>
</comments>
</file>

<file path=xl/sharedStrings.xml><?xml version="1.0" encoding="utf-8"?>
<sst xmlns="http://schemas.openxmlformats.org/spreadsheetml/2006/main" count="155" uniqueCount="112">
  <si>
    <t>Problemi</t>
  </si>
  <si>
    <t>Topics</t>
  </si>
  <si>
    <t>Problem 11-5</t>
  </si>
  <si>
    <t>Expected Value &amp; Volatility &amp; Correlation</t>
  </si>
  <si>
    <t>Problem 11-6</t>
  </si>
  <si>
    <t>Problem 11-7</t>
  </si>
  <si>
    <t>Portfolio Volatility</t>
  </si>
  <si>
    <t>Problem 11-8</t>
  </si>
  <si>
    <t>Covariance</t>
  </si>
  <si>
    <t>Problem 11-13</t>
  </si>
  <si>
    <t>Problema 11-15</t>
  </si>
  <si>
    <t>Problema 11-26</t>
  </si>
  <si>
    <t>Portfolio Weights</t>
  </si>
  <si>
    <t>Problema 11-49</t>
  </si>
  <si>
    <t>Expected Yield &amp; Portfolio Beta</t>
  </si>
  <si>
    <t>Problema 11-5</t>
  </si>
  <si>
    <t>Usando i dati della seguente tabella, stimate: (a) il rendimento medio e la volatilità di ciascun titolo, (b) la covarianza tra i due titoli, (c) la correlazione.</t>
  </si>
  <si>
    <t>Anno</t>
  </si>
  <si>
    <t>Media</t>
  </si>
  <si>
    <t>Titolo A</t>
  </si>
  <si>
    <t>Titolo B</t>
  </si>
  <si>
    <t xml:space="preserve"> XA - XA medio</t>
  </si>
  <si>
    <t>XB - XB medio</t>
  </si>
  <si>
    <t>Riga 1 * Riga 2</t>
  </si>
  <si>
    <t>Somma riga 3</t>
  </si>
  <si>
    <t>a.</t>
  </si>
  <si>
    <t>Rendimento medio</t>
  </si>
  <si>
    <t>Volatilità</t>
  </si>
  <si>
    <t>b.</t>
  </si>
  <si>
    <t>Covarianza (metodo analitico)</t>
  </si>
  <si>
    <t>Covarianza (usando la funzione di Excel)</t>
  </si>
  <si>
    <t>Covarianza (usando la funzione di Excel "COVARIANZA.C")</t>
  </si>
  <si>
    <t>c.</t>
  </si>
  <si>
    <t>Correlazione (metodo analitico)</t>
  </si>
  <si>
    <t>Correlazione (Con funzione Excel)</t>
  </si>
  <si>
    <t>Problema 11-6</t>
  </si>
  <si>
    <t>Utilizzando i dati del problema 5, considerate un portafoglio composto per il 50% dal titolo A e per il 50% dal titolo B.</t>
  </si>
  <si>
    <t>Qual è il rendimento di questo portafoglio ogni anno?</t>
  </si>
  <si>
    <t>In base al risultato ottenuto nel punto (a), calcolate il rendimento medio e la volatilità del portafoglio.</t>
  </si>
  <si>
    <t>Mostrate che (i) il rendimento medio del portafoglio è uguale alla media dei rendimenti medi dei due titoli e che (ii) la volatilità del portafoglio è uguale al risultato fornito dall’Eq. 11.9.</t>
  </si>
  <si>
    <t>d.</t>
  </si>
  <si>
    <t>Spiegate perché il portafoglio ha una volatilità inferiore a quella media dei due titoli.</t>
  </si>
  <si>
    <t>Deviazione standard</t>
  </si>
  <si>
    <t>Portafoglio composto al 50% dal titolo A e al 50% dal titolo B</t>
  </si>
  <si>
    <t>Rendimento medio del portafoglio</t>
  </si>
  <si>
    <t>Volatilità del portafoglio</t>
  </si>
  <si>
    <t>Media dei rendimenti medi dei due titoli</t>
  </si>
  <si>
    <t>Volatilità usando l'Eq. 11.9</t>
  </si>
  <si>
    <t>La correlazione è inferiore a 1, quindi la volatilità del portafoglio è inferiore alla media delle volatilità dei due titoli.</t>
  </si>
  <si>
    <t>Volatilità media dei due titoli</t>
  </si>
  <si>
    <t>Problema 11-7</t>
  </si>
  <si>
    <t xml:space="preserve">
Usando le stime ottenute nel problema  5, calcolate la volatilità (deviazione standard) di un portafoglio composto per il 70% dal titolo A e per il 30% dal titolo B.
</t>
  </si>
  <si>
    <t>Frazione del titolo A</t>
  </si>
  <si>
    <t>Portafoglio</t>
  </si>
  <si>
    <t>Correlazione</t>
  </si>
  <si>
    <t>Deviazione standard del portafoglio (usando l'Eq. 11.9)</t>
  </si>
  <si>
    <t>Problema 11-8</t>
  </si>
  <si>
    <t xml:space="preserve">Usando i dati della Tabella 11.3, qual è la covarianza tra i titoli di Alaska Air Lines e Southwest Air Lines?
</t>
  </si>
  <si>
    <t>Correlazione tra Alaska e Southwest</t>
  </si>
  <si>
    <t>Deviazione standard di Alaska</t>
  </si>
  <si>
    <t>Deviazione standard di Southwest</t>
  </si>
  <si>
    <t>Covarianza tra Alaska e Southwest</t>
  </si>
  <si>
    <t>Problema 11-13</t>
  </si>
  <si>
    <t>Supponete che l’azione Tex abbia volatilità del 44% e l’azione Mex del 22%. Se Tex e Mex non sono correlati,</t>
  </si>
  <si>
    <t>Quale portafoglio composto dai due titoli ha la stessa volatilità del titolo Mex da solo?</t>
  </si>
  <si>
    <t>Quale portafoglio composto dai due titoli ha la minima volatilità possibile?</t>
  </si>
  <si>
    <t>Correlazione tra Tex e Mex</t>
  </si>
  <si>
    <t>Deviazione standard di Tex</t>
  </si>
  <si>
    <t>Deviazione standard di Mex</t>
  </si>
  <si>
    <t>Peso del titolo Tex nel portafoglio con stessa volatilità del titolo Mex</t>
  </si>
  <si>
    <t>Portafoglio con minima volatilità -peso di Tex</t>
  </si>
  <si>
    <t>Portafoglio con minima volatilità -peso di Mex</t>
  </si>
  <si>
    <t>peso di Tex</t>
  </si>
  <si>
    <t>peso di Mex</t>
  </si>
  <si>
    <t>deviazione standard del portafoglio</t>
  </si>
  <si>
    <t>minima volatilità----&gt;</t>
  </si>
  <si>
    <t>stessa volatilità di Mex-----&gt;</t>
  </si>
  <si>
    <t>Microsoft</t>
  </si>
  <si>
    <t>Alaska Air</t>
  </si>
  <si>
    <t>Ford</t>
  </si>
  <si>
    <t>Matrice di correlazione:</t>
  </si>
  <si>
    <t>Matrice di covarianza:</t>
  </si>
  <si>
    <t>Usando l'Eq. 11.12:</t>
  </si>
  <si>
    <t xml:space="preserve">Varianza media delle singole azioni: </t>
  </si>
  <si>
    <t>Covarianza media tra le azioni:</t>
  </si>
  <si>
    <t>Varianza (Eq. 11.12)</t>
  </si>
  <si>
    <t>Deviazione standard:</t>
  </si>
  <si>
    <t>Usando gli stessi dati utilizzati nel problema 23, calcolate il rendimento atteso e la volatilità di un portafoglio formato da Johnson &amp; Johnson e Walgreen Company usando un ampio intervallo di pesi per i due titoli. Riportate su un grafico cartesiano il rendimento atteso in funzione della volatilità del portafoglio. Usando la rappresentazione grafica, identificate l’intervallo di valori, relativi ai pesi del titolo Johnson &amp; Johnson, che producono efficienti combinazioni dei due titoli, arrotondando al punto percentuale.</t>
  </si>
  <si>
    <t>Correlazione tra Johnson &amp; Johnson e Walgreen Company</t>
  </si>
  <si>
    <t>E[R]</t>
  </si>
  <si>
    <t>SD[R]</t>
  </si>
  <si>
    <t>Johnson &amp; Johnson</t>
  </si>
  <si>
    <t>Walgreen Company</t>
  </si>
  <si>
    <t>Peso in Johnson &amp; Johnson</t>
  </si>
  <si>
    <t>Peso in Walgreen Company</t>
  </si>
  <si>
    <r>
      <rPr>
        <rFont val="Times New Roman"/>
        <b/>
        <color theme="1"/>
        <sz val="12.0"/>
      </rPr>
      <t>E[R</t>
    </r>
    <r>
      <rPr>
        <rFont val="Times New Roman"/>
        <b/>
        <color theme="1"/>
        <sz val="12.0"/>
        <vertAlign val="subscript"/>
      </rPr>
      <t>p</t>
    </r>
    <r>
      <rPr>
        <rFont val="Times New Roman"/>
        <b/>
        <color theme="1"/>
        <sz val="12.0"/>
      </rPr>
      <t>]</t>
    </r>
  </si>
  <si>
    <r>
      <rPr>
        <rFont val="Times New Roman"/>
        <b/>
        <color theme="1"/>
        <sz val="12.0"/>
      </rPr>
      <t>SD[R</t>
    </r>
    <r>
      <rPr>
        <rFont val="Times New Roman"/>
        <b/>
        <color theme="1"/>
        <sz val="12.0"/>
        <vertAlign val="subscript"/>
      </rPr>
      <t>p</t>
    </r>
    <r>
      <rPr>
        <rFont val="Times New Roman"/>
        <b/>
        <color theme="1"/>
        <sz val="12.0"/>
      </rPr>
      <t>]</t>
    </r>
  </si>
  <si>
    <t>Considerate un portafoglio costituito dai tre titoli seguenti:</t>
  </si>
  <si>
    <t>peso di portafoglio</t>
  </si>
  <si>
    <t>volatilità</t>
  </si>
  <si>
    <t>correlazione con il portafoglio di mercato</t>
  </si>
  <si>
    <t>HEC Corp</t>
  </si>
  <si>
    <t>Green Midget</t>
  </si>
  <si>
    <t>Alive And Well</t>
  </si>
  <si>
    <t xml:space="preserve"> La volatilità del portafoglio di mercato è del 10% e il rendimento atteso dell’8%. Il tasso privo di rischio è del 3%.</t>
  </si>
  <si>
    <t>Calcolate beta e rendimento atteso di ciascun titolo.</t>
  </si>
  <si>
    <t>Utilizzando la risposta fornita al punto (a), calcolate il rendimento atteso del portafoglio.</t>
  </si>
  <si>
    <t>Qual è il beta del portafoglio?</t>
  </si>
  <si>
    <t>Utilizzando la risposta fornita al punto (c), calcolate il rendimento atteso del portafoglio e verificate che corrisponda alla risposta fornita al punto (b).</t>
  </si>
  <si>
    <t>Titolo</t>
  </si>
  <si>
    <t>Beta</t>
  </si>
  <si>
    <t>Rendimento atteso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</si>
</sst>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&quot;$&quot;#,##0.00"/>
    <numFmt numFmtId="166" formatCode="0.00000"/>
    <numFmt numFmtId="167" formatCode="#,##0.00000_);\(#,##0.00000\)"/>
    <numFmt numFmtId="168" formatCode="0.00000%"/>
    <numFmt numFmtId="169" formatCode="#,##0.0000_);\(#,##0.0000\)"/>
    <numFmt numFmtId="170" formatCode="0.0000"/>
    <numFmt numFmtId="171" formatCode="0.000%"/>
  </numFmts>
  <fonts count="20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4.0"/>
      <color rgb="FFFFFFFF"/>
      <name val="Times New Roman"/>
    </font>
    <font>
      <b/>
      <u/>
      <sz val="10.0"/>
      <color theme="1"/>
      <name val="Arial"/>
    </font>
    <font>
      <u/>
      <sz val="14.0"/>
      <color rgb="FF0000D4"/>
      <name val="Times New Roman"/>
    </font>
    <font>
      <b/>
      <color theme="1"/>
      <name val="Calibri"/>
      <scheme val="minor"/>
    </font>
    <font>
      <b/>
      <color rgb="FF000000"/>
      <name val="Docs-Calibri"/>
    </font>
    <font>
      <sz val="10.0"/>
      <color theme="1"/>
      <name val="Arial"/>
    </font>
    <font>
      <sz val="14.0"/>
      <color theme="1"/>
      <name val="Times New Roman"/>
    </font>
    <font/>
    <font>
      <b/>
      <sz val="14.0"/>
      <color theme="1"/>
      <name val="Times New Roman"/>
    </font>
    <font>
      <sz val="14.0"/>
      <color rgb="FF006411"/>
      <name val="Times New Roman"/>
    </font>
    <font>
      <i/>
      <sz val="14.0"/>
      <color theme="1"/>
      <name val="Times New Roman"/>
    </font>
    <font>
      <b/>
      <sz val="14.0"/>
      <color rgb="FF000090"/>
      <name val="Times New Roman"/>
    </font>
    <font>
      <sz val="10.0"/>
      <color rgb="FF006411"/>
      <name val="Arial"/>
    </font>
    <font>
      <b/>
      <sz val="14.0"/>
      <color rgb="FFDD0806"/>
      <name val="Arial"/>
    </font>
    <font>
      <b/>
      <sz val="12.0"/>
      <color theme="1"/>
      <name val="Times New Roman"/>
    </font>
    <font>
      <b/>
      <sz val="12.0"/>
      <color rgb="FF000090"/>
      <name val="Times New Roman"/>
    </font>
    <font>
      <u/>
      <sz val="14.0"/>
      <color rgb="FF003366"/>
      <name val="Times New Roman"/>
    </font>
    <font>
      <sz val="14.0"/>
      <color rgb="FF003366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  <fill>
      <patternFill patternType="solid">
        <fgColor rgb="FF1FB714"/>
        <bgColor rgb="FF1FB714"/>
      </patternFill>
    </fill>
    <fill>
      <patternFill patternType="solid">
        <fgColor rgb="FFFF0000"/>
        <bgColor rgb="FFFF0000"/>
      </patternFill>
    </fill>
  </fills>
  <borders count="3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right style="thin">
        <color rgb="FF000000"/>
      </right>
      <top/>
      <bottom/>
    </border>
    <border>
      <right style="thick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top"/>
    </xf>
    <xf borderId="0" fillId="3" fontId="6" numFmtId="0" xfId="0" applyAlignment="1" applyFill="1" applyFont="1">
      <alignment horizontal="left" readingOrder="0"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top"/>
    </xf>
    <xf borderId="2" fillId="3" fontId="8" numFmtId="0" xfId="0" applyAlignment="1" applyBorder="1" applyFont="1">
      <alignment vertical="bottom"/>
    </xf>
    <xf borderId="3" fillId="3" fontId="8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5" fillId="3" fontId="8" numFmtId="0" xfId="0" applyAlignment="1" applyBorder="1" applyFont="1">
      <alignment vertical="bottom"/>
    </xf>
    <xf borderId="6" fillId="2" fontId="2" numFmtId="0" xfId="0" applyAlignment="1" applyBorder="1" applyFont="1">
      <alignment horizontal="left" vertical="bottom"/>
    </xf>
    <xf borderId="7" fillId="0" fontId="9" numFmtId="0" xfId="0" applyAlignment="1" applyBorder="1" applyFont="1">
      <alignment vertical="top"/>
    </xf>
    <xf borderId="8" fillId="0" fontId="9" numFmtId="0" xfId="0" applyAlignment="1" applyBorder="1" applyFont="1">
      <alignment vertical="top"/>
    </xf>
    <xf borderId="1" fillId="3" fontId="8" numFmtId="0" xfId="0" applyAlignment="1" applyBorder="1" applyFont="1">
      <alignment vertical="bottom"/>
    </xf>
    <xf borderId="9" fillId="3" fontId="8" numFmtId="0" xfId="0" applyAlignment="1" applyBorder="1" applyFont="1">
      <alignment vertical="bottom"/>
    </xf>
    <xf borderId="6" fillId="3" fontId="8" numFmtId="0" xfId="0" applyAlignment="1" applyBorder="1" applyFont="1">
      <alignment horizontal="left" shrinkToFit="0" vertical="center" wrapText="1"/>
    </xf>
    <xf borderId="1" fillId="3" fontId="8" numFmtId="0" xfId="0" applyAlignment="1" applyBorder="1" applyFont="1">
      <alignment shrinkToFit="0" vertical="center" wrapText="1"/>
    </xf>
    <xf borderId="5" fillId="3" fontId="7" numFmtId="0" xfId="0" applyAlignment="1" applyBorder="1" applyFont="1">
      <alignment vertical="top"/>
    </xf>
    <xf borderId="1" fillId="3" fontId="7" numFmtId="0" xfId="0" applyAlignment="1" applyBorder="1" applyFont="1">
      <alignment vertical="top"/>
    </xf>
    <xf borderId="9" fillId="3" fontId="7" numFmtId="0" xfId="0" applyAlignment="1" applyBorder="1" applyFont="1">
      <alignment vertical="top"/>
    </xf>
    <xf borderId="1" fillId="3" fontId="10" numFmtId="0" xfId="0" applyAlignment="1" applyBorder="1" applyFont="1">
      <alignment vertical="bottom"/>
    </xf>
    <xf borderId="1" fillId="3" fontId="8" numFmtId="0" xfId="0" applyAlignment="1" applyBorder="1" applyFont="1">
      <alignment horizontal="center" vertical="bottom"/>
    </xf>
    <xf borderId="10" fillId="3" fontId="10" numFmtId="0" xfId="0" applyAlignment="1" applyBorder="1" applyFont="1">
      <alignment vertical="bottom"/>
    </xf>
    <xf borderId="10" fillId="3" fontId="8" numFmtId="9" xfId="0" applyAlignment="1" applyBorder="1" applyFont="1" applyNumberFormat="1">
      <alignment horizontal="center" vertical="bottom"/>
    </xf>
    <xf borderId="10" fillId="3" fontId="8" numFmtId="164" xfId="0" applyAlignment="1" applyBorder="1" applyFont="1" applyNumberFormat="1">
      <alignment horizontal="center" vertical="bottom"/>
    </xf>
    <xf borderId="11" fillId="3" fontId="10" numFmtId="0" xfId="0" applyAlignment="1" applyBorder="1" applyFont="1">
      <alignment vertical="bottom"/>
    </xf>
    <xf borderId="11" fillId="3" fontId="8" numFmtId="9" xfId="0" applyAlignment="1" applyBorder="1" applyFont="1" applyNumberFormat="1">
      <alignment horizontal="center" vertical="bottom"/>
    </xf>
    <xf borderId="11" fillId="3" fontId="8" numFmtId="164" xfId="0" applyAlignment="1" applyBorder="1" applyFont="1" applyNumberFormat="1">
      <alignment horizontal="center" vertical="bottom"/>
    </xf>
    <xf borderId="1" fillId="3" fontId="8" numFmtId="9" xfId="0" applyAlignment="1" applyBorder="1" applyFont="1" applyNumberFormat="1">
      <alignment vertical="bottom"/>
    </xf>
    <xf borderId="1" fillId="3" fontId="8" numFmtId="165" xfId="0" applyAlignment="1" applyBorder="1" applyFont="1" applyNumberFormat="1">
      <alignment horizontal="center" vertical="bottom"/>
    </xf>
    <xf borderId="1" fillId="3" fontId="8" numFmtId="9" xfId="0" applyAlignment="1" applyBorder="1" applyFont="1" applyNumberFormat="1">
      <alignment horizontal="center" vertical="bottom"/>
    </xf>
    <xf borderId="1" fillId="3" fontId="10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vertical="bottom"/>
    </xf>
    <xf borderId="1" fillId="3" fontId="8" numFmtId="166" xfId="0" applyAlignment="1" applyBorder="1" applyFont="1" applyNumberFormat="1">
      <alignment horizontal="center" vertical="bottom"/>
    </xf>
    <xf borderId="1" fillId="3" fontId="10" numFmtId="0" xfId="0" applyAlignment="1" applyBorder="1" applyFont="1">
      <alignment horizontal="right" vertical="top"/>
    </xf>
    <xf borderId="1" fillId="3" fontId="8" numFmtId="0" xfId="0" applyAlignment="1" applyBorder="1" applyFont="1">
      <alignment vertical="top"/>
    </xf>
    <xf borderId="1" fillId="3" fontId="11" numFmtId="10" xfId="0" applyAlignment="1" applyBorder="1" applyFont="1" applyNumberFormat="1">
      <alignment vertical="center"/>
    </xf>
    <xf borderId="1" fillId="3" fontId="11" numFmtId="167" xfId="0" applyAlignment="1" applyBorder="1" applyFont="1" applyNumberFormat="1">
      <alignment vertical="center"/>
    </xf>
    <xf borderId="1" fillId="3" fontId="8" numFmtId="0" xfId="0" applyAlignment="1" applyBorder="1" applyFont="1">
      <alignment shrinkToFit="0" vertical="top" wrapText="1"/>
    </xf>
    <xf borderId="12" fillId="3" fontId="7" numFmtId="0" xfId="0" applyAlignment="1" applyBorder="1" applyFont="1">
      <alignment vertical="top"/>
    </xf>
    <xf borderId="13" fillId="3" fontId="7" numFmtId="0" xfId="0" applyAlignment="1" applyBorder="1" applyFont="1">
      <alignment vertical="top"/>
    </xf>
    <xf borderId="14" fillId="3" fontId="7" numFmtId="0" xfId="0" applyAlignment="1" applyBorder="1" applyFont="1">
      <alignment vertical="top"/>
    </xf>
    <xf borderId="1" fillId="3" fontId="10" numFmtId="0" xfId="0" applyAlignment="1" applyBorder="1" applyFont="1">
      <alignment horizontal="right" shrinkToFit="0" vertical="center" wrapText="1"/>
    </xf>
    <xf borderId="1" fillId="3" fontId="8" numFmtId="0" xfId="0" applyAlignment="1" applyBorder="1" applyFont="1">
      <alignment horizontal="left" shrinkToFit="0" vertical="center" wrapText="1"/>
    </xf>
    <xf borderId="1" fillId="3" fontId="10" numFmtId="0" xfId="0" applyAlignment="1" applyBorder="1" applyFont="1">
      <alignment horizontal="right" shrinkToFit="0" vertical="top" wrapText="1"/>
    </xf>
    <xf borderId="1" fillId="3" fontId="8" numFmtId="0" xfId="0" applyAlignment="1" applyBorder="1" applyFont="1">
      <alignment horizontal="center" shrinkToFit="0" vertical="bottom" wrapText="1"/>
    </xf>
    <xf borderId="10" fillId="3" fontId="8" numFmtId="10" xfId="0" applyAlignment="1" applyBorder="1" applyFont="1" applyNumberFormat="1">
      <alignment horizontal="center" vertical="bottom"/>
    </xf>
    <xf borderId="11" fillId="3" fontId="8" numFmtId="10" xfId="0" applyAlignment="1" applyBorder="1" applyFont="1" applyNumberFormat="1">
      <alignment horizontal="center" vertical="bottom"/>
    </xf>
    <xf borderId="1" fillId="3" fontId="8" numFmtId="0" xfId="0" applyAlignment="1" applyBorder="1" applyFont="1">
      <alignment shrinkToFit="0" vertical="bottom" wrapText="1"/>
    </xf>
    <xf borderId="1" fillId="3" fontId="8" numFmtId="10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vertical="center"/>
    </xf>
    <xf borderId="0" fillId="0" fontId="7" numFmtId="10" xfId="0" applyAlignment="1" applyFont="1" applyNumberFormat="1">
      <alignment vertical="top"/>
    </xf>
    <xf borderId="6" fillId="3" fontId="12" numFmtId="0" xfId="0" applyAlignment="1" applyBorder="1" applyFont="1">
      <alignment horizontal="left" shrinkToFit="0" vertical="top" wrapText="1"/>
    </xf>
    <xf borderId="1" fillId="3" fontId="8" numFmtId="0" xfId="0" applyAlignment="1" applyBorder="1" applyFont="1">
      <alignment horizontal="left" shrinkToFit="0" vertical="top" wrapText="1"/>
    </xf>
    <xf borderId="1" fillId="3" fontId="8" numFmtId="10" xfId="0" applyAlignment="1" applyBorder="1" applyFont="1" applyNumberFormat="1">
      <alignment horizontal="left" shrinkToFit="0" vertical="top" wrapText="1"/>
    </xf>
    <xf borderId="1" fillId="3" fontId="12" numFmtId="0" xfId="0" applyAlignment="1" applyBorder="1" applyFont="1">
      <alignment horizontal="left" shrinkToFit="0" vertical="top" wrapText="1"/>
    </xf>
    <xf borderId="15" fillId="0" fontId="9" numFmtId="0" xfId="0" applyAlignment="1" applyBorder="1" applyFont="1">
      <alignment vertical="top"/>
    </xf>
    <xf borderId="16" fillId="3" fontId="13" numFmtId="10" xfId="0" applyAlignment="1" applyBorder="1" applyFont="1" applyNumberFormat="1">
      <alignment horizontal="right" vertical="bottom"/>
    </xf>
    <xf borderId="1" fillId="3" fontId="8" numFmtId="10" xfId="0" applyAlignment="1" applyBorder="1" applyFont="1" applyNumberFormat="1">
      <alignment horizontal="center" vertical="bottom"/>
    </xf>
    <xf borderId="1" fillId="3" fontId="11" numFmtId="10" xfId="0" applyAlignment="1" applyBorder="1" applyFont="1" applyNumberFormat="1">
      <alignment horizontal="center" vertical="bottom"/>
    </xf>
    <xf borderId="1" fillId="3" fontId="11" numFmtId="168" xfId="0" applyAlignment="1" applyBorder="1" applyFont="1" applyNumberFormat="1">
      <alignment horizontal="center" vertical="bottom"/>
    </xf>
    <xf borderId="1" fillId="3" fontId="11" numFmtId="169" xfId="0" applyAlignment="1" applyBorder="1" applyFont="1" applyNumberFormat="1">
      <alignment vertical="center"/>
    </xf>
    <xf borderId="1" fillId="3" fontId="14" numFmtId="0" xfId="0" applyAlignment="1" applyBorder="1" applyFont="1">
      <alignment vertical="top"/>
    </xf>
    <xf borderId="1" fillId="3" fontId="11" numFmtId="168" xfId="0" applyAlignment="1" applyBorder="1" applyFont="1" applyNumberFormat="1">
      <alignment vertical="center"/>
    </xf>
    <xf borderId="17" fillId="3" fontId="8" numFmtId="0" xfId="0" applyAlignment="1" applyBorder="1" applyFont="1">
      <alignment vertical="bottom"/>
    </xf>
    <xf borderId="18" fillId="3" fontId="8" numFmtId="0" xfId="0" applyAlignment="1" applyBorder="1" applyFont="1">
      <alignment vertical="bottom"/>
    </xf>
    <xf borderId="19" fillId="3" fontId="8" numFmtId="0" xfId="0" applyAlignment="1" applyBorder="1" applyFont="1">
      <alignment vertical="bottom"/>
    </xf>
    <xf borderId="20" fillId="3" fontId="8" numFmtId="0" xfId="0" applyAlignment="1" applyBorder="1" applyFont="1">
      <alignment vertical="bottom"/>
    </xf>
    <xf borderId="21" fillId="3" fontId="8" numFmtId="0" xfId="0" applyAlignment="1" applyBorder="1" applyFont="1">
      <alignment vertical="bottom"/>
    </xf>
    <xf borderId="20" fillId="3" fontId="7" numFmtId="0" xfId="0" applyAlignment="1" applyBorder="1" applyFont="1">
      <alignment vertical="top"/>
    </xf>
    <xf borderId="21" fillId="3" fontId="7" numFmtId="0" xfId="0" applyAlignment="1" applyBorder="1" applyFont="1">
      <alignment vertical="top"/>
    </xf>
    <xf borderId="1" fillId="3" fontId="10" numFmtId="0" xfId="0" applyAlignment="1" applyBorder="1" applyFont="1">
      <alignment vertical="top"/>
    </xf>
    <xf borderId="16" fillId="3" fontId="13" numFmtId="39" xfId="0" applyAlignment="1" applyBorder="1" applyFont="1" applyNumberFormat="1">
      <alignment horizontal="right" vertical="bottom"/>
    </xf>
    <xf borderId="16" fillId="3" fontId="13" numFmtId="164" xfId="0" applyAlignment="1" applyBorder="1" applyFont="1" applyNumberFormat="1">
      <alignment horizontal="right" vertical="bottom"/>
    </xf>
    <xf borderId="16" fillId="3" fontId="11" numFmtId="167" xfId="0" applyAlignment="1" applyBorder="1" applyFont="1" applyNumberFormat="1">
      <alignment vertical="center"/>
    </xf>
    <xf borderId="22" fillId="3" fontId="7" numFmtId="0" xfId="0" applyAlignment="1" applyBorder="1" applyFont="1">
      <alignment vertical="top"/>
    </xf>
    <xf borderId="23" fillId="3" fontId="7" numFmtId="0" xfId="0" applyAlignment="1" applyBorder="1" applyFont="1">
      <alignment vertical="top"/>
    </xf>
    <xf borderId="24" fillId="3" fontId="7" numFmtId="0" xfId="0" applyAlignment="1" applyBorder="1" applyFont="1">
      <alignment vertical="top"/>
    </xf>
    <xf borderId="0" fillId="0" fontId="15" numFmtId="0" xfId="0" applyAlignment="1" applyFont="1">
      <alignment horizontal="center" shrinkToFit="0" vertical="center" wrapText="1"/>
    </xf>
    <xf borderId="6" fillId="3" fontId="10" numFmtId="0" xfId="0" applyAlignment="1" applyBorder="1" applyFont="1">
      <alignment horizontal="left" vertical="top"/>
    </xf>
    <xf borderId="1" fillId="3" fontId="13" numFmtId="39" xfId="0" applyAlignment="1" applyBorder="1" applyFont="1" applyNumberFormat="1">
      <alignment horizontal="right" vertical="bottom"/>
    </xf>
    <xf borderId="1" fillId="3" fontId="13" numFmtId="164" xfId="0" applyAlignment="1" applyBorder="1" applyFont="1" applyNumberFormat="1">
      <alignment horizontal="right" vertical="bottom"/>
    </xf>
    <xf borderId="0" fillId="0" fontId="8" numFmtId="9" xfId="0" applyAlignment="1" applyFont="1" applyNumberFormat="1">
      <alignment vertical="top"/>
    </xf>
    <xf borderId="1" fillId="3" fontId="7" numFmtId="167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left" shrinkToFit="0" vertical="bottom" wrapText="1"/>
    </xf>
    <xf borderId="1" fillId="3" fontId="8" numFmtId="10" xfId="0" applyAlignment="1" applyBorder="1" applyFont="1" applyNumberFormat="1">
      <alignment vertical="top"/>
    </xf>
    <xf borderId="1" fillId="3" fontId="8" numFmtId="0" xfId="0" applyAlignment="1" applyBorder="1" applyFont="1">
      <alignment vertical="center"/>
    </xf>
    <xf borderId="0" fillId="0" fontId="7" numFmtId="9" xfId="0" applyAlignment="1" applyFont="1" applyNumberFormat="1">
      <alignment vertical="top"/>
    </xf>
    <xf borderId="0" fillId="0" fontId="7" numFmtId="2" xfId="0" applyAlignment="1" applyFont="1" applyNumberFormat="1">
      <alignment vertical="top"/>
    </xf>
    <xf borderId="0" fillId="0" fontId="7" numFmtId="170" xfId="0" applyAlignment="1" applyFont="1" applyNumberFormat="1">
      <alignment vertical="top"/>
    </xf>
    <xf borderId="6" fillId="3" fontId="10" numFmtId="0" xfId="0" applyAlignment="1" applyBorder="1" applyFont="1">
      <alignment horizontal="center" shrinkToFit="0" vertical="top" wrapText="1"/>
    </xf>
    <xf borderId="25" fillId="0" fontId="9" numFmtId="0" xfId="0" applyAlignment="1" applyBorder="1" applyFont="1">
      <alignment vertical="top"/>
    </xf>
    <xf borderId="26" fillId="0" fontId="7" numFmtId="0" xfId="0" applyAlignment="1" applyBorder="1" applyFont="1">
      <alignment vertical="top"/>
    </xf>
    <xf borderId="1" fillId="3" fontId="10" numFmtId="0" xfId="0" applyAlignment="1" applyBorder="1" applyFont="1">
      <alignment shrinkToFit="0" vertical="top" wrapText="1"/>
    </xf>
    <xf borderId="1" fillId="3" fontId="13" numFmtId="39" xfId="0" applyAlignment="1" applyBorder="1" applyFont="1" applyNumberFormat="1">
      <alignment horizontal="center" vertical="bottom"/>
    </xf>
    <xf borderId="1" fillId="3" fontId="13" numFmtId="10" xfId="0" applyAlignment="1" applyBorder="1" applyFont="1" applyNumberFormat="1">
      <alignment horizontal="center" vertical="bottom"/>
    </xf>
    <xf borderId="1" fillId="3" fontId="16" numFmtId="0" xfId="0" applyAlignment="1" applyBorder="1" applyFont="1">
      <alignment horizontal="center" shrinkToFit="0" vertical="bottom" wrapText="1"/>
    </xf>
    <xf borderId="1" fillId="3" fontId="16" numFmtId="0" xfId="0" applyAlignment="1" applyBorder="1" applyFont="1">
      <alignment horizontal="center" vertical="bottom"/>
    </xf>
    <xf borderId="27" fillId="4" fontId="16" numFmtId="0" xfId="0" applyAlignment="1" applyBorder="1" applyFill="1" applyFont="1">
      <alignment shrinkToFit="0" vertical="top" wrapText="1"/>
    </xf>
    <xf borderId="10" fillId="4" fontId="16" numFmtId="0" xfId="0" applyAlignment="1" applyBorder="1" applyFont="1">
      <alignment shrinkToFit="0" vertical="top" wrapText="1"/>
    </xf>
    <xf borderId="10" fillId="4" fontId="17" numFmtId="10" xfId="0" applyAlignment="1" applyBorder="1" applyFont="1" applyNumberFormat="1">
      <alignment horizontal="center" vertical="bottom"/>
    </xf>
    <xf borderId="28" fillId="4" fontId="17" numFmtId="171" xfId="0" applyAlignment="1" applyBorder="1" applyFont="1" applyNumberFormat="1">
      <alignment horizontal="center" vertical="bottom"/>
    </xf>
    <xf borderId="29" fillId="4" fontId="16" numFmtId="0" xfId="0" applyAlignment="1" applyBorder="1" applyFont="1">
      <alignment shrinkToFit="0" vertical="top" wrapText="1"/>
    </xf>
    <xf borderId="1" fillId="4" fontId="16" numFmtId="0" xfId="0" applyAlignment="1" applyBorder="1" applyFont="1">
      <alignment shrinkToFit="0" vertical="top" wrapText="1"/>
    </xf>
    <xf borderId="1" fillId="4" fontId="17" numFmtId="10" xfId="0" applyAlignment="1" applyBorder="1" applyFont="1" applyNumberFormat="1">
      <alignment horizontal="center" vertical="bottom"/>
    </xf>
    <xf borderId="30" fillId="4" fontId="17" numFmtId="171" xfId="0" applyAlignment="1" applyBorder="1" applyFont="1" applyNumberFormat="1">
      <alignment horizontal="center" vertical="bottom"/>
    </xf>
    <xf borderId="29" fillId="5" fontId="16" numFmtId="0" xfId="0" applyAlignment="1" applyBorder="1" applyFill="1" applyFont="1">
      <alignment shrinkToFit="0" vertical="top" wrapText="1"/>
    </xf>
    <xf borderId="1" fillId="5" fontId="16" numFmtId="0" xfId="0" applyAlignment="1" applyBorder="1" applyFont="1">
      <alignment shrinkToFit="0" vertical="top" wrapText="1"/>
    </xf>
    <xf borderId="1" fillId="5" fontId="17" numFmtId="10" xfId="0" applyAlignment="1" applyBorder="1" applyFont="1" applyNumberFormat="1">
      <alignment horizontal="center" vertical="bottom"/>
    </xf>
    <xf borderId="30" fillId="5" fontId="17" numFmtId="171" xfId="0" applyAlignment="1" applyBorder="1" applyFont="1" applyNumberFormat="1">
      <alignment horizontal="center" vertical="bottom"/>
    </xf>
    <xf borderId="29" fillId="3" fontId="16" numFmtId="0" xfId="0" applyAlignment="1" applyBorder="1" applyFont="1">
      <alignment shrinkToFit="0" vertical="top" wrapText="1"/>
    </xf>
    <xf borderId="1" fillId="3" fontId="16" numFmtId="0" xfId="0" applyAlignment="1" applyBorder="1" applyFont="1">
      <alignment shrinkToFit="0" vertical="top" wrapText="1"/>
    </xf>
    <xf borderId="1" fillId="3" fontId="17" numFmtId="10" xfId="0" applyAlignment="1" applyBorder="1" applyFont="1" applyNumberFormat="1">
      <alignment horizontal="center" vertical="bottom"/>
    </xf>
    <xf borderId="30" fillId="3" fontId="17" numFmtId="171" xfId="0" applyAlignment="1" applyBorder="1" applyFont="1" applyNumberFormat="1">
      <alignment horizontal="center" vertical="bottom"/>
    </xf>
    <xf borderId="31" fillId="3" fontId="16" numFmtId="0" xfId="0" applyAlignment="1" applyBorder="1" applyFont="1">
      <alignment shrinkToFit="0" vertical="top" wrapText="1"/>
    </xf>
    <xf borderId="11" fillId="3" fontId="16" numFmtId="0" xfId="0" applyAlignment="1" applyBorder="1" applyFont="1">
      <alignment shrinkToFit="0" vertical="top" wrapText="1"/>
    </xf>
    <xf borderId="11" fillId="3" fontId="17" numFmtId="10" xfId="0" applyAlignment="1" applyBorder="1" applyFont="1" applyNumberFormat="1">
      <alignment horizontal="center" vertical="bottom"/>
    </xf>
    <xf borderId="32" fillId="3" fontId="17" numFmtId="171" xfId="0" applyAlignment="1" applyBorder="1" applyFont="1" applyNumberFormat="1">
      <alignment horizontal="center" vertical="bottom"/>
    </xf>
    <xf borderId="1" fillId="3" fontId="8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left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10" fillId="3" fontId="8" numFmtId="9" xfId="0" applyAlignment="1" applyBorder="1" applyFont="1" applyNumberFormat="1">
      <alignment horizontal="center" shrinkToFit="0" vertical="center" wrapText="1"/>
    </xf>
    <xf borderId="1" fillId="3" fontId="8" numFmtId="9" xfId="0" applyAlignment="1" applyBorder="1" applyFont="1" applyNumberFormat="1">
      <alignment horizontal="center" shrinkToFit="0" vertical="center" wrapText="1"/>
    </xf>
    <xf borderId="11" fillId="3" fontId="8" numFmtId="0" xfId="0" applyAlignment="1" applyBorder="1" applyFont="1">
      <alignment horizontal="left" shrinkToFit="0" vertical="center" wrapText="1"/>
    </xf>
    <xf borderId="11" fillId="3" fontId="8" numFmtId="2" xfId="0" applyAlignment="1" applyBorder="1" applyFont="1" applyNumberFormat="1">
      <alignment horizontal="center" shrinkToFit="0" vertical="center" wrapText="1"/>
    </xf>
    <xf borderId="11" fillId="3" fontId="8" numFmtId="9" xfId="0" applyAlignment="1" applyBorder="1" applyFont="1" applyNumberFormat="1">
      <alignment horizontal="center" shrinkToFit="0" vertical="center" wrapText="1"/>
    </xf>
    <xf borderId="11" fillId="3" fontId="8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center" shrinkToFit="0" vertical="center" wrapText="1"/>
    </xf>
    <xf borderId="1" fillId="3" fontId="11" numFmtId="2" xfId="0" applyAlignment="1" applyBorder="1" applyFont="1" applyNumberFormat="1">
      <alignment horizontal="center" vertical="bottom"/>
    </xf>
    <xf borderId="1" fillId="3" fontId="11" numFmtId="171" xfId="0" applyAlignment="1" applyBorder="1" applyFont="1" applyNumberFormat="1">
      <alignment horizontal="center" vertical="bottom"/>
    </xf>
    <xf borderId="1" fillId="3" fontId="11" numFmtId="16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Combinazioni rischio-rendimento (frontiera delle opportunità)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Combinazioni rischio-rendimento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'11-26'!$E$13:$E$33</c:f>
            </c:numRef>
          </c:xVal>
          <c:yVal>
            <c:numRef>
              <c:f>'11-26'!$D$13:$D$33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69276"/>
        <c:axId val="1637215234"/>
      </c:scatterChart>
      <c:valAx>
        <c:axId val="981469276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Volatilità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37215234"/>
        <c:majorUnit val="0.020000000000000004"/>
      </c:valAx>
      <c:valAx>
        <c:axId val="163721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Rendimento atteso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81469276"/>
        <c:majorUnit val="0.010000000000000002"/>
      </c:valAx>
    </c:plotArea>
    <c:legend>
      <c:legendPos val="r"/>
      <c:layout>
        <c:manualLayout>
          <c:xMode val="edge"/>
          <c:yMode val="edge"/>
          <c:x val="0.6745972738827012"/>
          <c:y val="0.4282832807824624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1171575</xdr:colOff>
      <xdr:row>12</xdr:row>
      <xdr:rowOff>0</xdr:rowOff>
    </xdr:from>
    <xdr:ext cx="6886575" cy="3495675"/>
    <xdr:graphicFrame>
      <xdr:nvGraphicFramePr>
        <xdr:cNvPr id="17530592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.PSF\Untitled\Documents%20and%20Settings\Nicole\My%20Documents\GreenPenQA\Jobs\Spoke&amp;Wheel\Berk_DeMarzo\Excel_Spreadsheets_Sols\XLS\chapter%205%20revision%203%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8.0"/>
    <col customWidth="1" min="4" max="4" width="25.29"/>
    <col customWidth="1" min="5" max="26" width="8.86"/>
  </cols>
  <sheetData>
    <row r="1" ht="12.75" customHeight="1"/>
    <row r="2" ht="12.75" customHeight="1">
      <c r="B2" s="1"/>
      <c r="C2" s="2" t="s">
        <v>0</v>
      </c>
      <c r="D2" s="3" t="s">
        <v>1</v>
      </c>
    </row>
    <row r="3" ht="12.75" customHeight="1">
      <c r="B3" s="1"/>
      <c r="C3" s="4"/>
    </row>
    <row r="4" ht="12.75" customHeight="1">
      <c r="B4" s="5"/>
      <c r="C4" s="6" t="s">
        <v>2</v>
      </c>
      <c r="D4" s="7" t="s">
        <v>3</v>
      </c>
    </row>
    <row r="5" ht="12.75" customHeight="1">
      <c r="B5" s="5"/>
      <c r="C5" s="6" t="s">
        <v>4</v>
      </c>
      <c r="D5" s="7" t="s">
        <v>3</v>
      </c>
    </row>
    <row r="6" ht="12.75" customHeight="1">
      <c r="B6" s="5"/>
      <c r="C6" s="6" t="s">
        <v>5</v>
      </c>
      <c r="D6" s="7" t="s">
        <v>6</v>
      </c>
    </row>
    <row r="7" ht="12.75" customHeight="1">
      <c r="B7" s="5"/>
      <c r="C7" s="6" t="s">
        <v>7</v>
      </c>
      <c r="D7" s="7" t="s">
        <v>8</v>
      </c>
    </row>
    <row r="8" ht="12.75" customHeight="1">
      <c r="B8" s="5"/>
      <c r="C8" s="6" t="s">
        <v>9</v>
      </c>
      <c r="D8" s="8" t="s">
        <v>6</v>
      </c>
    </row>
    <row r="9" ht="12.75" customHeight="1">
      <c r="B9" s="5"/>
      <c r="C9" s="6" t="s">
        <v>10</v>
      </c>
      <c r="D9" s="8" t="s">
        <v>6</v>
      </c>
    </row>
    <row r="10" ht="12.75" customHeight="1">
      <c r="B10" s="5"/>
      <c r="C10" s="6" t="s">
        <v>11</v>
      </c>
      <c r="D10" s="7" t="s">
        <v>12</v>
      </c>
    </row>
    <row r="11" ht="12.75" customHeight="1">
      <c r="B11" s="1"/>
      <c r="C11" s="6" t="s">
        <v>13</v>
      </c>
      <c r="D11" s="7" t="s">
        <v>14</v>
      </c>
    </row>
    <row r="12" ht="12.75" customHeight="1"/>
    <row r="13" ht="12.75" customHeight="1"/>
    <row r="14" ht="12.75" customHeight="1"/>
    <row r="15" ht="12.75" customHeight="1">
      <c r="E15" s="9"/>
      <c r="F15" s="9"/>
    </row>
    <row r="16" ht="12.75" customHeight="1">
      <c r="A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display="Problem 11-5" location="'11-5'!A1" ref="C4"/>
    <hyperlink display="Problem 11-6" location="'11-6'!A1" ref="C5"/>
    <hyperlink display="Problem 11-7" location="'11-7'!A1" ref="C6"/>
    <hyperlink display="Problem 11-8" location="'11-8'!A1" ref="C7"/>
    <hyperlink display="Problem 11-13" location="'11-13'!A1" ref="C8"/>
    <hyperlink display="Problema 11-15" location="'11-15'!A1" ref="C9"/>
    <hyperlink display="Problema 11-26" location="'11-26'!A1" ref="C10"/>
    <hyperlink display="Problema 11-49" location="'11-49'!A1" ref="C11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71"/>
    <col customWidth="1" min="3" max="3" width="29.71"/>
    <col customWidth="1" min="4" max="6" width="11.0"/>
    <col customWidth="1" min="7" max="7" width="14.57"/>
    <col customWidth="1" min="8" max="8" width="16.0"/>
    <col customWidth="1" min="9" max="9" width="17.86"/>
    <col customWidth="1" min="10" max="10" width="9.86"/>
    <col customWidth="1" min="11" max="26" width="8.86"/>
  </cols>
  <sheetData>
    <row r="1" ht="12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6" t="s">
        <v>15</v>
      </c>
      <c r="C2" s="17"/>
      <c r="D2" s="17"/>
      <c r="E2" s="17"/>
      <c r="F2" s="18"/>
      <c r="G2" s="16"/>
      <c r="H2" s="17"/>
      <c r="I2" s="17"/>
      <c r="J2" s="17"/>
      <c r="K2" s="18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5"/>
      <c r="B3" s="19"/>
      <c r="C3" s="19"/>
      <c r="D3" s="19"/>
      <c r="E3" s="19"/>
      <c r="F3" s="19"/>
      <c r="G3" s="19"/>
      <c r="H3" s="19"/>
      <c r="I3" s="19"/>
      <c r="J3" s="19"/>
      <c r="K3" s="20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56.25" customHeight="1">
      <c r="A4" s="15"/>
      <c r="B4" s="21" t="s">
        <v>16</v>
      </c>
      <c r="C4" s="17"/>
      <c r="D4" s="17"/>
      <c r="E4" s="17"/>
      <c r="F4" s="17"/>
      <c r="G4" s="17"/>
      <c r="H4" s="17"/>
      <c r="I4" s="18"/>
      <c r="J4" s="22"/>
      <c r="K4" s="20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23"/>
      <c r="B5" s="24"/>
      <c r="C5" s="24"/>
      <c r="D5" s="24"/>
      <c r="E5" s="24"/>
      <c r="F5" s="24"/>
      <c r="G5" s="24"/>
      <c r="H5" s="24"/>
      <c r="I5" s="24"/>
      <c r="J5" s="24"/>
      <c r="K5" s="25"/>
    </row>
    <row r="6" ht="12.75" customHeight="1">
      <c r="A6" s="23"/>
      <c r="B6" s="19"/>
      <c r="C6" s="26" t="s">
        <v>17</v>
      </c>
      <c r="D6" s="27">
        <v>2010.0</v>
      </c>
      <c r="E6" s="27">
        <v>2011.0</v>
      </c>
      <c r="F6" s="27">
        <v>2012.0</v>
      </c>
      <c r="G6" s="27">
        <v>2013.0</v>
      </c>
      <c r="H6" s="27">
        <v>2014.0</v>
      </c>
      <c r="I6" s="27">
        <v>2015.0</v>
      </c>
      <c r="J6" s="27" t="s">
        <v>18</v>
      </c>
      <c r="K6" s="20"/>
      <c r="L6" s="10"/>
    </row>
    <row r="7" ht="12.75" customHeight="1">
      <c r="A7" s="23"/>
      <c r="B7" s="24"/>
      <c r="C7" s="28" t="s">
        <v>19</v>
      </c>
      <c r="D7" s="29">
        <v>-0.1</v>
      </c>
      <c r="E7" s="29">
        <v>0.2</v>
      </c>
      <c r="F7" s="29">
        <v>0.05</v>
      </c>
      <c r="G7" s="29">
        <v>-0.05</v>
      </c>
      <c r="H7" s="29">
        <v>0.02</v>
      </c>
      <c r="I7" s="29">
        <v>0.09</v>
      </c>
      <c r="J7" s="30">
        <f t="shared" ref="J7:J8" si="1">AVERAGE(D7:I7)</f>
        <v>0.035</v>
      </c>
      <c r="K7" s="20"/>
      <c r="L7" s="10"/>
    </row>
    <row r="8" ht="12.75" customHeight="1">
      <c r="A8" s="23"/>
      <c r="B8" s="24"/>
      <c r="C8" s="31" t="s">
        <v>20</v>
      </c>
      <c r="D8" s="32">
        <v>0.21</v>
      </c>
      <c r="E8" s="32">
        <v>0.07</v>
      </c>
      <c r="F8" s="32">
        <v>0.3</v>
      </c>
      <c r="G8" s="32">
        <v>-0.03</v>
      </c>
      <c r="H8" s="32">
        <v>-0.08</v>
      </c>
      <c r="I8" s="32">
        <v>0.25</v>
      </c>
      <c r="J8" s="33">
        <f t="shared" si="1"/>
        <v>0.12</v>
      </c>
      <c r="K8" s="20"/>
      <c r="L8" s="10"/>
    </row>
    <row r="9" ht="12.75" customHeight="1">
      <c r="A9" s="23"/>
      <c r="B9" s="19"/>
      <c r="C9" s="24"/>
      <c r="D9" s="24"/>
      <c r="E9" s="24"/>
      <c r="F9" s="34"/>
      <c r="G9" s="35"/>
      <c r="H9" s="24"/>
      <c r="I9" s="36"/>
      <c r="J9" s="24"/>
      <c r="K9" s="25"/>
      <c r="L9" s="14"/>
    </row>
    <row r="10" ht="33.75" customHeight="1">
      <c r="A10" s="23"/>
      <c r="B10" s="37">
        <v>1.0</v>
      </c>
      <c r="C10" s="37" t="s">
        <v>21</v>
      </c>
      <c r="D10" s="36">
        <f t="shared" ref="D10:I10" si="2">D7-$J7</f>
        <v>-0.135</v>
      </c>
      <c r="E10" s="36">
        <f t="shared" si="2"/>
        <v>0.165</v>
      </c>
      <c r="F10" s="36">
        <f t="shared" si="2"/>
        <v>0.015</v>
      </c>
      <c r="G10" s="36">
        <f t="shared" si="2"/>
        <v>-0.085</v>
      </c>
      <c r="H10" s="36">
        <f t="shared" si="2"/>
        <v>-0.015</v>
      </c>
      <c r="I10" s="36">
        <f t="shared" si="2"/>
        <v>0.055</v>
      </c>
      <c r="J10" s="24"/>
      <c r="K10" s="25"/>
    </row>
    <row r="11" ht="36.75" customHeight="1">
      <c r="A11" s="23"/>
      <c r="B11" s="37">
        <v>2.0</v>
      </c>
      <c r="C11" s="37" t="s">
        <v>22</v>
      </c>
      <c r="D11" s="36">
        <f t="shared" ref="D11:I11" si="3">D8-$J8</f>
        <v>0.09</v>
      </c>
      <c r="E11" s="36">
        <f t="shared" si="3"/>
        <v>-0.05</v>
      </c>
      <c r="F11" s="36">
        <f t="shared" si="3"/>
        <v>0.18</v>
      </c>
      <c r="G11" s="36">
        <f t="shared" si="3"/>
        <v>-0.15</v>
      </c>
      <c r="H11" s="36">
        <f t="shared" si="3"/>
        <v>-0.2</v>
      </c>
      <c r="I11" s="36">
        <f t="shared" si="3"/>
        <v>0.13</v>
      </c>
      <c r="J11" s="24"/>
      <c r="K11" s="25"/>
    </row>
    <row r="12" ht="18.75" customHeight="1">
      <c r="A12" s="38"/>
      <c r="B12" s="37">
        <v>3.0</v>
      </c>
      <c r="C12" s="37" t="s">
        <v>23</v>
      </c>
      <c r="D12" s="39">
        <f t="shared" ref="D12:I12" si="4">D10*D11</f>
        <v>-0.01215</v>
      </c>
      <c r="E12" s="39">
        <f t="shared" si="4"/>
        <v>-0.00825</v>
      </c>
      <c r="F12" s="39">
        <f t="shared" si="4"/>
        <v>0.0027</v>
      </c>
      <c r="G12" s="39">
        <f t="shared" si="4"/>
        <v>0.01275</v>
      </c>
      <c r="H12" s="39">
        <f t="shared" si="4"/>
        <v>0.003</v>
      </c>
      <c r="I12" s="39">
        <f t="shared" si="4"/>
        <v>0.00715</v>
      </c>
      <c r="J12" s="24"/>
      <c r="K12" s="25"/>
    </row>
    <row r="13" ht="45.75" customHeight="1">
      <c r="A13" s="38"/>
      <c r="B13" s="24"/>
      <c r="C13" s="37" t="s">
        <v>24</v>
      </c>
      <c r="D13" s="39">
        <f>SUM(D12:I12)</f>
        <v>0.0052</v>
      </c>
      <c r="E13" s="39"/>
      <c r="F13" s="39"/>
      <c r="G13" s="39"/>
      <c r="H13" s="39"/>
      <c r="I13" s="39"/>
      <c r="J13" s="24"/>
      <c r="K13" s="25"/>
    </row>
    <row r="14" ht="18.75" customHeight="1">
      <c r="A14" s="38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ht="18.75" customHeight="1">
      <c r="A15" s="38"/>
      <c r="B15" s="24"/>
      <c r="C15" s="24"/>
      <c r="D15" s="24"/>
      <c r="E15" s="26" t="str">
        <f>C7</f>
        <v>Titolo A</v>
      </c>
      <c r="F15" s="26" t="str">
        <f>C8</f>
        <v>Titolo B</v>
      </c>
      <c r="G15" s="24"/>
      <c r="H15" s="24"/>
      <c r="I15" s="24"/>
      <c r="J15" s="24"/>
      <c r="K15" s="25"/>
    </row>
    <row r="16" ht="12.75" customHeight="1">
      <c r="A16" s="23"/>
      <c r="B16" s="40" t="s">
        <v>25</v>
      </c>
      <c r="C16" s="41" t="s">
        <v>26</v>
      </c>
      <c r="D16" s="24"/>
      <c r="E16" s="42">
        <f>AVERAGE(D7:I7)</f>
        <v>0.035</v>
      </c>
      <c r="F16" s="42">
        <f>AVERAGE(D8:I8)</f>
        <v>0.12</v>
      </c>
      <c r="G16" s="24"/>
      <c r="H16" s="24"/>
      <c r="I16" s="24"/>
      <c r="J16" s="24"/>
      <c r="K16" s="25"/>
    </row>
    <row r="17" ht="12.75" customHeight="1">
      <c r="A17" s="23"/>
      <c r="B17" s="40"/>
      <c r="C17" s="41" t="s">
        <v>27</v>
      </c>
      <c r="D17" s="24"/>
      <c r="E17" s="42">
        <f>STDEV(D7:I7)</f>
        <v>0.1059716943</v>
      </c>
      <c r="F17" s="42">
        <f>STDEV(D8:I8)</f>
        <v>0.1564608577</v>
      </c>
      <c r="G17" s="24"/>
      <c r="H17" s="24"/>
      <c r="I17" s="24"/>
      <c r="J17" s="24"/>
      <c r="K17" s="25"/>
    </row>
    <row r="18" ht="12.75" customHeight="1">
      <c r="A18" s="23"/>
      <c r="B18" s="40" t="s">
        <v>28</v>
      </c>
      <c r="C18" s="41" t="s">
        <v>29</v>
      </c>
      <c r="D18" s="24"/>
      <c r="E18" s="43">
        <f>D13/5</f>
        <v>0.00104</v>
      </c>
      <c r="F18" s="24"/>
      <c r="G18" s="24"/>
      <c r="H18" s="24"/>
      <c r="I18" s="24"/>
      <c r="J18" s="24"/>
      <c r="K18" s="25"/>
    </row>
    <row r="19" ht="45.75" customHeight="1">
      <c r="A19" s="23"/>
      <c r="B19" s="40"/>
      <c r="C19" s="44" t="s">
        <v>30</v>
      </c>
      <c r="D19" s="24"/>
      <c r="E19" s="43">
        <f>COVAR(D7:I7,D8:I8)*COUNT(D7:I7)/(COUNT(D7:I7)-1)</f>
        <v>0.00104</v>
      </c>
      <c r="F19" s="24"/>
      <c r="G19" s="24"/>
      <c r="H19" s="24"/>
      <c r="I19" s="24"/>
      <c r="J19" s="24"/>
      <c r="K19" s="25"/>
    </row>
    <row r="20" ht="62.25" customHeight="1">
      <c r="A20" s="23"/>
      <c r="B20" s="40"/>
      <c r="C20" s="44" t="s">
        <v>31</v>
      </c>
      <c r="D20" s="24"/>
      <c r="E20" s="43">
        <f>_xlfn.COVARIANCE.S(D7:I7,D8:I8)</f>
        <v>0.00104</v>
      </c>
      <c r="F20" s="24"/>
      <c r="G20" s="24"/>
      <c r="H20" s="24"/>
      <c r="I20" s="24"/>
      <c r="J20" s="24"/>
      <c r="K20" s="25"/>
    </row>
    <row r="21" ht="12.75" customHeight="1">
      <c r="A21" s="23"/>
      <c r="B21" s="40" t="s">
        <v>32</v>
      </c>
      <c r="C21" s="41" t="s">
        <v>33</v>
      </c>
      <c r="D21" s="24"/>
      <c r="E21" s="43">
        <f>E18/(E17*F17)</f>
        <v>0.06272457891</v>
      </c>
      <c r="F21" s="24"/>
      <c r="G21" s="24"/>
      <c r="H21" s="24"/>
      <c r="I21" s="24"/>
      <c r="J21" s="24"/>
      <c r="K21" s="25"/>
    </row>
    <row r="22" ht="12.75" customHeight="1">
      <c r="A22" s="23"/>
      <c r="B22" s="24"/>
      <c r="C22" s="44" t="s">
        <v>34</v>
      </c>
      <c r="D22" s="24"/>
      <c r="E22" s="43">
        <f>CORREL(D7:I7,D8:I8)</f>
        <v>0.06272457891</v>
      </c>
      <c r="F22" s="24"/>
      <c r="G22" s="24"/>
      <c r="H22" s="24"/>
      <c r="I22" s="24"/>
      <c r="J22" s="24"/>
      <c r="K22" s="25"/>
    </row>
    <row r="23" ht="12.7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7"/>
    </row>
    <row r="24" ht="12.75" customHeight="1">
      <c r="K24" s="10"/>
    </row>
    <row r="25" ht="12.75" customHeight="1">
      <c r="K25" s="10"/>
    </row>
    <row r="26" ht="12.75" customHeight="1">
      <c r="K26" s="10"/>
    </row>
    <row r="27" ht="12.75" customHeight="1">
      <c r="K27" s="10"/>
    </row>
    <row r="28" ht="12.75" customHeight="1">
      <c r="K28" s="10"/>
    </row>
    <row r="29" ht="12.75" customHeight="1">
      <c r="K29" s="10"/>
    </row>
    <row r="30" ht="12.75" customHeight="1">
      <c r="K30" s="10"/>
    </row>
    <row r="31" ht="12.75" customHeight="1">
      <c r="K31" s="10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F2"/>
    <mergeCell ref="G2:K2"/>
    <mergeCell ref="B4:I4"/>
  </mergeCell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57"/>
    <col customWidth="1" min="3" max="3" width="28.57"/>
    <col customWidth="1" min="4" max="4" width="10.71"/>
    <col customWidth="1" min="5" max="5" width="11.0"/>
    <col customWidth="1" min="6" max="6" width="10.86"/>
    <col customWidth="1" min="7" max="7" width="14.43"/>
    <col customWidth="1" min="8" max="8" width="15.86"/>
    <col customWidth="1" min="9" max="9" width="17.86"/>
    <col customWidth="1" min="10" max="10" width="8.86"/>
    <col customWidth="1" min="11" max="11" width="13.0"/>
    <col customWidth="1" min="12" max="26" width="8.86"/>
  </cols>
  <sheetData>
    <row r="1" ht="12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6" t="s">
        <v>35</v>
      </c>
      <c r="C2" s="17"/>
      <c r="D2" s="17"/>
      <c r="E2" s="17"/>
      <c r="F2" s="18"/>
      <c r="G2" s="16"/>
      <c r="H2" s="17"/>
      <c r="I2" s="17"/>
      <c r="J2" s="17"/>
      <c r="K2" s="17"/>
      <c r="L2" s="18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5"/>
      <c r="B3" s="19"/>
      <c r="C3" s="19"/>
      <c r="D3" s="19"/>
      <c r="E3" s="19"/>
      <c r="F3" s="19"/>
      <c r="G3" s="19"/>
      <c r="H3" s="19"/>
      <c r="I3" s="19"/>
      <c r="J3" s="19"/>
      <c r="K3" s="19"/>
      <c r="L3" s="2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56.25" customHeight="1">
      <c r="A4" s="15"/>
      <c r="B4" s="21" t="s">
        <v>36</v>
      </c>
      <c r="C4" s="17"/>
      <c r="D4" s="17"/>
      <c r="E4" s="17"/>
      <c r="F4" s="17"/>
      <c r="G4" s="17"/>
      <c r="H4" s="18"/>
      <c r="I4" s="22"/>
      <c r="J4" s="22"/>
      <c r="K4" s="22"/>
      <c r="L4" s="2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5"/>
      <c r="B5" s="48" t="s">
        <v>25</v>
      </c>
      <c r="C5" s="21" t="s">
        <v>37</v>
      </c>
      <c r="D5" s="17"/>
      <c r="E5" s="17"/>
      <c r="F5" s="17"/>
      <c r="G5" s="17"/>
      <c r="H5" s="17"/>
      <c r="I5" s="17"/>
      <c r="J5" s="18"/>
      <c r="K5" s="49"/>
      <c r="L5" s="20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5"/>
      <c r="B6" s="48" t="s">
        <v>28</v>
      </c>
      <c r="C6" s="21" t="s">
        <v>38</v>
      </c>
      <c r="D6" s="17"/>
      <c r="E6" s="17"/>
      <c r="F6" s="17"/>
      <c r="G6" s="17"/>
      <c r="H6" s="17"/>
      <c r="I6" s="18"/>
      <c r="J6" s="22"/>
      <c r="K6" s="22"/>
      <c r="L6" s="20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56.25" customHeight="1">
      <c r="A7" s="15"/>
      <c r="B7" s="50" t="s">
        <v>32</v>
      </c>
      <c r="C7" s="21" t="s">
        <v>39</v>
      </c>
      <c r="D7" s="17"/>
      <c r="E7" s="17"/>
      <c r="F7" s="17"/>
      <c r="G7" s="17"/>
      <c r="H7" s="17"/>
      <c r="I7" s="18"/>
      <c r="J7" s="22"/>
      <c r="K7" s="22"/>
      <c r="L7" s="20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5"/>
      <c r="B8" s="48" t="s">
        <v>40</v>
      </c>
      <c r="C8" s="21" t="s">
        <v>41</v>
      </c>
      <c r="D8" s="17"/>
      <c r="E8" s="17"/>
      <c r="F8" s="17"/>
      <c r="G8" s="17"/>
      <c r="H8" s="17"/>
      <c r="I8" s="18"/>
      <c r="J8" s="22"/>
      <c r="K8" s="22"/>
      <c r="L8" s="20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5"/>
    </row>
    <row r="10" ht="12.75" customHeight="1">
      <c r="A10" s="23"/>
      <c r="B10" s="19"/>
      <c r="C10" s="26" t="s">
        <v>17</v>
      </c>
      <c r="D10" s="27">
        <v>2010.0</v>
      </c>
      <c r="E10" s="27">
        <v>2011.0</v>
      </c>
      <c r="F10" s="27">
        <v>2012.0</v>
      </c>
      <c r="G10" s="27">
        <v>2013.0</v>
      </c>
      <c r="H10" s="27">
        <v>2014.0</v>
      </c>
      <c r="I10" s="27">
        <v>2015.0</v>
      </c>
      <c r="J10" s="27" t="s">
        <v>18</v>
      </c>
      <c r="K10" s="51" t="s">
        <v>42</v>
      </c>
      <c r="L10" s="20"/>
      <c r="M10" s="10"/>
    </row>
    <row r="11" ht="12.75" customHeight="1">
      <c r="A11" s="23"/>
      <c r="B11" s="24"/>
      <c r="C11" s="28" t="s">
        <v>19</v>
      </c>
      <c r="D11" s="29">
        <v>-0.1</v>
      </c>
      <c r="E11" s="29">
        <v>0.2</v>
      </c>
      <c r="F11" s="29">
        <v>0.05</v>
      </c>
      <c r="G11" s="29">
        <v>-0.05</v>
      </c>
      <c r="H11" s="29">
        <v>0.02</v>
      </c>
      <c r="I11" s="29">
        <v>0.09</v>
      </c>
      <c r="J11" s="52">
        <f t="shared" ref="J11:J12" si="1">AVERAGE(D11:I11)</f>
        <v>0.035</v>
      </c>
      <c r="K11" s="52">
        <f t="shared" ref="K11:K12" si="2">STDEV(D11:I11)</f>
        <v>0.1059716943</v>
      </c>
      <c r="L11" s="20"/>
      <c r="M11" s="10"/>
    </row>
    <row r="12" ht="12.75" customHeight="1">
      <c r="A12" s="23"/>
      <c r="B12" s="24"/>
      <c r="C12" s="31" t="s">
        <v>20</v>
      </c>
      <c r="D12" s="32">
        <v>0.21</v>
      </c>
      <c r="E12" s="32">
        <v>0.07</v>
      </c>
      <c r="F12" s="32">
        <v>0.3</v>
      </c>
      <c r="G12" s="32">
        <v>-0.03</v>
      </c>
      <c r="H12" s="32">
        <v>-0.08</v>
      </c>
      <c r="I12" s="32">
        <v>0.25</v>
      </c>
      <c r="J12" s="33">
        <f t="shared" si="1"/>
        <v>0.12</v>
      </c>
      <c r="K12" s="53">
        <f t="shared" si="2"/>
        <v>0.1564608577</v>
      </c>
      <c r="L12" s="20"/>
      <c r="M12" s="10"/>
    </row>
    <row r="13" ht="12.75" customHeight="1">
      <c r="A13" s="23"/>
      <c r="B13" s="40" t="s">
        <v>25</v>
      </c>
      <c r="C13" s="54" t="s">
        <v>43</v>
      </c>
      <c r="D13" s="55">
        <f t="shared" ref="D13:I13" si="3">0.5*D11+0.5*D12</f>
        <v>0.055</v>
      </c>
      <c r="E13" s="55">
        <f t="shared" si="3"/>
        <v>0.135</v>
      </c>
      <c r="F13" s="55">
        <f t="shared" si="3"/>
        <v>0.175</v>
      </c>
      <c r="G13" s="55">
        <f t="shared" si="3"/>
        <v>-0.04</v>
      </c>
      <c r="H13" s="55">
        <f t="shared" si="3"/>
        <v>-0.03</v>
      </c>
      <c r="I13" s="55">
        <f t="shared" si="3"/>
        <v>0.17</v>
      </c>
      <c r="J13" s="24"/>
      <c r="K13" s="24"/>
      <c r="L13" s="25"/>
      <c r="M13" s="14"/>
    </row>
    <row r="14" ht="12.75" customHeight="1">
      <c r="A14" s="23"/>
      <c r="B14" s="40" t="s">
        <v>28</v>
      </c>
      <c r="C14" s="44" t="s">
        <v>44</v>
      </c>
      <c r="D14" s="55">
        <f>AVERAGE(D13:I13)</f>
        <v>0.0775</v>
      </c>
      <c r="E14" s="42"/>
      <c r="F14" s="42"/>
      <c r="G14" s="56"/>
      <c r="H14" s="56"/>
      <c r="I14" s="56"/>
      <c r="J14" s="24"/>
      <c r="K14" s="24"/>
      <c r="L14" s="25"/>
    </row>
    <row r="15" ht="12.75" customHeight="1">
      <c r="A15" s="23"/>
      <c r="B15" s="40"/>
      <c r="C15" s="44" t="s">
        <v>45</v>
      </c>
      <c r="D15" s="55">
        <f>STDEV(D13:I13)</f>
        <v>0.09719825101</v>
      </c>
      <c r="E15" s="42"/>
      <c r="F15" s="42"/>
      <c r="G15" s="57"/>
      <c r="H15" s="56"/>
      <c r="I15" s="56"/>
      <c r="J15" s="24"/>
      <c r="K15" s="24"/>
      <c r="L15" s="25"/>
    </row>
    <row r="16" ht="12.75" customHeight="1">
      <c r="A16" s="23"/>
      <c r="B16" s="40" t="s">
        <v>32</v>
      </c>
      <c r="C16" s="44" t="s">
        <v>46</v>
      </c>
      <c r="D16" s="55">
        <f>0.5*J11+0.5*J12</f>
        <v>0.0775</v>
      </c>
      <c r="E16" s="42"/>
      <c r="F16" s="42"/>
      <c r="G16" s="56"/>
      <c r="H16" s="56"/>
      <c r="I16" s="56"/>
      <c r="J16" s="24"/>
      <c r="K16" s="24"/>
      <c r="L16" s="25"/>
    </row>
    <row r="17" ht="12.75" customHeight="1">
      <c r="A17" s="23"/>
      <c r="B17" s="40"/>
      <c r="C17" s="44" t="s">
        <v>47</v>
      </c>
      <c r="D17" s="55">
        <f>(0.5^2*K11^2+0.5^2*K12^2+2*0.5*0.5*K11*K12*CORREL(D11:I11,D12:I12))^0.5</f>
        <v>0.09719825101</v>
      </c>
      <c r="E17" s="42"/>
      <c r="F17" s="42"/>
      <c r="G17" s="56"/>
      <c r="H17" s="56"/>
      <c r="I17" s="56"/>
      <c r="J17" s="24"/>
      <c r="K17" s="24"/>
      <c r="L17" s="25"/>
    </row>
    <row r="18" ht="36.75" customHeight="1">
      <c r="A18" s="23"/>
      <c r="B18" s="40" t="s">
        <v>40</v>
      </c>
      <c r="C18" s="58" t="s">
        <v>48</v>
      </c>
      <c r="D18" s="17"/>
      <c r="E18" s="17"/>
      <c r="F18" s="17"/>
      <c r="G18" s="17"/>
      <c r="H18" s="17"/>
      <c r="I18" s="17"/>
      <c r="J18" s="17"/>
      <c r="K18" s="18"/>
      <c r="L18" s="25"/>
    </row>
    <row r="19" ht="36.75" customHeight="1">
      <c r="A19" s="23"/>
      <c r="B19" s="40"/>
      <c r="C19" s="59" t="s">
        <v>49</v>
      </c>
      <c r="D19" s="60">
        <f>AVERAGE(K11:K12)</f>
        <v>0.131216276</v>
      </c>
      <c r="E19" s="61"/>
      <c r="F19" s="61"/>
      <c r="G19" s="61"/>
      <c r="H19" s="61"/>
      <c r="I19" s="61"/>
      <c r="J19" s="61"/>
      <c r="K19" s="61"/>
      <c r="L19" s="25"/>
    </row>
    <row r="20" ht="12.75" customHeight="1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7"/>
    </row>
    <row r="21" ht="12.75" customHeight="1">
      <c r="L21" s="10"/>
    </row>
    <row r="22" ht="12.75" customHeight="1">
      <c r="L22" s="10"/>
    </row>
    <row r="23" ht="12.75" customHeight="1">
      <c r="L23" s="10"/>
    </row>
    <row r="24" ht="12.75" customHeight="1">
      <c r="L24" s="10"/>
    </row>
    <row r="25" ht="12.75" customHeight="1">
      <c r="L25" s="10"/>
    </row>
    <row r="26" ht="12.75" customHeight="1">
      <c r="L26" s="10"/>
    </row>
    <row r="27" ht="12.75" customHeight="1">
      <c r="L27" s="10"/>
    </row>
    <row r="28" ht="12.75" customHeight="1">
      <c r="L28" s="10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G2:L2"/>
    <mergeCell ref="B4:H4"/>
    <mergeCell ref="C5:J5"/>
    <mergeCell ref="C6:I6"/>
    <mergeCell ref="C7:I7"/>
    <mergeCell ref="C8:I8"/>
    <mergeCell ref="C18:K18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57"/>
    <col customWidth="1" min="3" max="3" width="23.29"/>
    <col customWidth="1" min="4" max="4" width="22.29"/>
    <col customWidth="1" min="5" max="5" width="11.0"/>
    <col customWidth="1" min="6" max="6" width="10.86"/>
    <col customWidth="1" min="7" max="7" width="14.43"/>
    <col customWidth="1" min="8" max="8" width="15.86"/>
    <col customWidth="1" min="9" max="9" width="17.86"/>
    <col customWidth="1" min="10" max="10" width="19.43"/>
    <col customWidth="1" min="11" max="11" width="13.57"/>
    <col customWidth="1" min="12" max="26" width="8.86"/>
  </cols>
  <sheetData>
    <row r="1" ht="12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6" t="s">
        <v>50</v>
      </c>
      <c r="C2" s="17"/>
      <c r="D2" s="17"/>
      <c r="E2" s="17"/>
      <c r="F2" s="18"/>
      <c r="G2" s="16"/>
      <c r="H2" s="17"/>
      <c r="I2" s="17"/>
      <c r="J2" s="17"/>
      <c r="K2" s="17"/>
      <c r="L2" s="62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5"/>
      <c r="B3" s="19"/>
      <c r="C3" s="19"/>
      <c r="D3" s="19"/>
      <c r="E3" s="19"/>
      <c r="F3" s="19"/>
      <c r="G3" s="19"/>
      <c r="H3" s="19"/>
      <c r="I3" s="19"/>
      <c r="J3" s="19"/>
      <c r="K3" s="19"/>
      <c r="L3" s="2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64.5" customHeight="1">
      <c r="A4" s="15"/>
      <c r="B4" s="21" t="s">
        <v>51</v>
      </c>
      <c r="C4" s="17"/>
      <c r="D4" s="17"/>
      <c r="E4" s="17"/>
      <c r="F4" s="17"/>
      <c r="G4" s="17"/>
      <c r="H4" s="17"/>
      <c r="I4" s="17"/>
      <c r="J4" s="18"/>
      <c r="K4" s="19"/>
      <c r="L4" s="2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5"/>
      <c r="B5" s="49"/>
      <c r="C5" s="49"/>
      <c r="D5" s="49"/>
      <c r="E5" s="49"/>
      <c r="F5" s="49"/>
      <c r="G5" s="49"/>
      <c r="H5" s="49"/>
      <c r="I5" s="49"/>
      <c r="J5" s="49"/>
      <c r="K5" s="19"/>
      <c r="L5" s="20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4.0" customHeight="1">
      <c r="A6" s="23"/>
      <c r="B6" s="24"/>
      <c r="C6" s="44" t="s">
        <v>52</v>
      </c>
      <c r="D6" s="63">
        <v>0.7</v>
      </c>
      <c r="E6" s="24"/>
      <c r="F6" s="24"/>
      <c r="G6" s="24"/>
      <c r="H6" s="24"/>
      <c r="I6" s="24"/>
      <c r="J6" s="24"/>
      <c r="K6" s="24"/>
      <c r="L6" s="25"/>
    </row>
    <row r="7" ht="12.75" customHeight="1">
      <c r="A7" s="23"/>
      <c r="B7" s="19"/>
      <c r="C7" s="26" t="s">
        <v>17</v>
      </c>
      <c r="D7" s="27">
        <v>2010.0</v>
      </c>
      <c r="E7" s="27">
        <v>2011.0</v>
      </c>
      <c r="F7" s="27">
        <v>2012.0</v>
      </c>
      <c r="G7" s="27">
        <v>2013.0</v>
      </c>
      <c r="H7" s="27">
        <v>2014.0</v>
      </c>
      <c r="I7" s="27">
        <v>2015.0</v>
      </c>
      <c r="J7" s="27" t="s">
        <v>18</v>
      </c>
      <c r="K7" s="51" t="s">
        <v>42</v>
      </c>
      <c r="L7" s="20"/>
      <c r="M7" s="10"/>
    </row>
    <row r="8" ht="12.75" customHeight="1">
      <c r="A8" s="23"/>
      <c r="B8" s="24"/>
      <c r="C8" s="26" t="s">
        <v>19</v>
      </c>
      <c r="D8" s="36">
        <v>-0.1</v>
      </c>
      <c r="E8" s="36">
        <v>0.2</v>
      </c>
      <c r="F8" s="36">
        <v>0.05</v>
      </c>
      <c r="G8" s="36">
        <v>-0.05</v>
      </c>
      <c r="H8" s="36">
        <v>0.02</v>
      </c>
      <c r="I8" s="36">
        <v>0.09</v>
      </c>
      <c r="J8" s="36">
        <f t="shared" ref="J8:J9" si="1">AVERAGE(D8:I8)</f>
        <v>0.035</v>
      </c>
      <c r="K8" s="64">
        <f t="shared" ref="K8:K9" si="2">STDEV(D8:I8)</f>
        <v>0.1059716943</v>
      </c>
      <c r="L8" s="20"/>
      <c r="M8" s="10"/>
    </row>
    <row r="9" ht="12.75" customHeight="1">
      <c r="A9" s="23"/>
      <c r="B9" s="24"/>
      <c r="C9" s="26" t="s">
        <v>20</v>
      </c>
      <c r="D9" s="36">
        <v>0.21</v>
      </c>
      <c r="E9" s="36">
        <v>0.07</v>
      </c>
      <c r="F9" s="36">
        <v>0.3</v>
      </c>
      <c r="G9" s="36">
        <v>-0.03</v>
      </c>
      <c r="H9" s="36">
        <v>-0.08</v>
      </c>
      <c r="I9" s="36">
        <v>0.25</v>
      </c>
      <c r="J9" s="36">
        <f t="shared" si="1"/>
        <v>0.12</v>
      </c>
      <c r="K9" s="64">
        <f t="shared" si="2"/>
        <v>0.1564608577</v>
      </c>
      <c r="L9" s="20"/>
      <c r="M9" s="10"/>
    </row>
    <row r="10" ht="7.5" customHeight="1">
      <c r="A10" s="23"/>
      <c r="B10" s="24"/>
      <c r="C10" s="24"/>
      <c r="D10" s="24"/>
      <c r="E10" s="24"/>
      <c r="F10" s="24"/>
      <c r="G10" s="24"/>
      <c r="H10" s="24"/>
      <c r="I10" s="24"/>
      <c r="J10" s="36"/>
      <c r="K10" s="64"/>
      <c r="L10" s="25"/>
    </row>
    <row r="11" ht="25.5" customHeight="1">
      <c r="A11" s="23"/>
      <c r="B11" s="24"/>
      <c r="C11" s="26" t="s">
        <v>53</v>
      </c>
      <c r="D11" s="64">
        <f t="shared" ref="D11:I11" si="3">$D$6*D8+(1-$D$6)*D9</f>
        <v>-0.007</v>
      </c>
      <c r="E11" s="64">
        <f t="shared" si="3"/>
        <v>0.161</v>
      </c>
      <c r="F11" s="64">
        <f t="shared" si="3"/>
        <v>0.125</v>
      </c>
      <c r="G11" s="64">
        <f t="shared" si="3"/>
        <v>-0.044</v>
      </c>
      <c r="H11" s="64">
        <f t="shared" si="3"/>
        <v>-0.01</v>
      </c>
      <c r="I11" s="64">
        <f t="shared" si="3"/>
        <v>0.138</v>
      </c>
      <c r="J11" s="65">
        <f>AVERAGE(D11:I11)</f>
        <v>0.0605</v>
      </c>
      <c r="K11" s="66">
        <f>STDEV(D11:I11)</f>
        <v>0.09023691041</v>
      </c>
      <c r="L11" s="25"/>
    </row>
    <row r="12" ht="12.75" customHeight="1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5"/>
    </row>
    <row r="13" ht="12.75" customHeight="1">
      <c r="A13" s="23"/>
      <c r="B13" s="24"/>
      <c r="C13" s="44" t="s">
        <v>54</v>
      </c>
      <c r="D13" s="67">
        <f>CORREL(D8:I8,D9:I9)</f>
        <v>0.06272457891</v>
      </c>
      <c r="E13" s="24"/>
      <c r="F13" s="68"/>
      <c r="G13" s="68"/>
      <c r="H13" s="24"/>
      <c r="I13" s="24"/>
      <c r="J13" s="24"/>
      <c r="K13" s="24"/>
      <c r="L13" s="25"/>
    </row>
    <row r="14" ht="12.75" customHeight="1">
      <c r="A14" s="23"/>
      <c r="B14" s="24"/>
      <c r="C14" s="44" t="s">
        <v>55</v>
      </c>
      <c r="D14" s="69">
        <f>(D6^2*K8^2+(1-D6)^2*K9^2+2*D6*(1-D6)*K8*K9*D13)^0.5</f>
        <v>0.09023691041</v>
      </c>
      <c r="E14" s="24"/>
      <c r="F14" s="68"/>
      <c r="G14" s="68"/>
      <c r="H14" s="24"/>
      <c r="I14" s="24"/>
      <c r="J14" s="24"/>
      <c r="K14" s="24"/>
      <c r="L14" s="25"/>
    </row>
    <row r="15" ht="12.75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F2"/>
    <mergeCell ref="G2:L2"/>
    <mergeCell ref="B4:J4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0"/>
    <col customWidth="1" min="3" max="3" width="53.14"/>
    <col customWidth="1" min="4" max="4" width="10.57"/>
    <col customWidth="1" min="5" max="26" width="8.86"/>
  </cols>
  <sheetData>
    <row r="1" ht="12.75" customHeight="1">
      <c r="A1" s="70"/>
      <c r="B1" s="71"/>
      <c r="C1" s="71"/>
      <c r="D1" s="71"/>
      <c r="E1" s="71"/>
      <c r="F1" s="71"/>
      <c r="G1" s="71"/>
      <c r="H1" s="7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73"/>
      <c r="B2" s="16" t="s">
        <v>56</v>
      </c>
      <c r="C2" s="17"/>
      <c r="D2" s="17"/>
      <c r="E2" s="17"/>
      <c r="F2" s="18"/>
      <c r="G2" s="2"/>
      <c r="H2" s="7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73"/>
      <c r="B3" s="19"/>
      <c r="C3" s="19"/>
      <c r="D3" s="19"/>
      <c r="E3" s="19"/>
      <c r="F3" s="19"/>
      <c r="G3" s="19"/>
      <c r="H3" s="7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36.75" customHeight="1">
      <c r="A4" s="73"/>
      <c r="B4" s="21" t="s">
        <v>57</v>
      </c>
      <c r="C4" s="17"/>
      <c r="D4" s="17"/>
      <c r="E4" s="17"/>
      <c r="F4" s="17"/>
      <c r="G4" s="18"/>
      <c r="H4" s="7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75"/>
      <c r="B5" s="24"/>
      <c r="C5" s="24"/>
      <c r="D5" s="24"/>
      <c r="E5" s="24"/>
      <c r="F5" s="24"/>
      <c r="G5" s="24"/>
      <c r="H5" s="76"/>
    </row>
    <row r="6" ht="12.75" customHeight="1">
      <c r="A6" s="75"/>
      <c r="B6" s="24"/>
      <c r="C6" s="77" t="s">
        <v>58</v>
      </c>
      <c r="D6" s="78">
        <v>0.39</v>
      </c>
      <c r="E6" s="24"/>
      <c r="F6" s="24"/>
      <c r="G6" s="24"/>
      <c r="H6" s="76"/>
    </row>
    <row r="7" ht="12.75" customHeight="1">
      <c r="A7" s="75"/>
      <c r="B7" s="24"/>
      <c r="C7" s="77" t="s">
        <v>59</v>
      </c>
      <c r="D7" s="79">
        <v>0.37</v>
      </c>
      <c r="E7" s="24"/>
      <c r="F7" s="24"/>
      <c r="G7" s="24"/>
      <c r="H7" s="76"/>
    </row>
    <row r="8" ht="12.75" customHeight="1">
      <c r="A8" s="75"/>
      <c r="B8" s="24"/>
      <c r="C8" s="77" t="s">
        <v>60</v>
      </c>
      <c r="D8" s="79">
        <v>0.31</v>
      </c>
      <c r="E8" s="24"/>
      <c r="F8" s="24"/>
      <c r="G8" s="24"/>
      <c r="H8" s="76"/>
    </row>
    <row r="9" ht="12.75" customHeight="1">
      <c r="A9" s="75"/>
      <c r="B9" s="24"/>
      <c r="C9" s="24"/>
      <c r="D9" s="24"/>
      <c r="E9" s="24"/>
      <c r="F9" s="24"/>
      <c r="G9" s="24"/>
      <c r="H9" s="76"/>
    </row>
    <row r="10" ht="12.75" customHeight="1">
      <c r="A10" s="75"/>
      <c r="B10" s="24"/>
      <c r="C10" s="41" t="s">
        <v>61</v>
      </c>
      <c r="D10" s="80">
        <f>PRODUCT(D6:D8)</f>
        <v>0.044733</v>
      </c>
      <c r="E10" s="24"/>
      <c r="F10" s="24"/>
      <c r="G10" s="24"/>
      <c r="H10" s="76"/>
    </row>
    <row r="11" ht="12.75" customHeight="1">
      <c r="A11" s="81"/>
      <c r="B11" s="82"/>
      <c r="C11" s="82"/>
      <c r="D11" s="82"/>
      <c r="E11" s="82"/>
      <c r="F11" s="82"/>
      <c r="G11" s="82"/>
      <c r="H11" s="83"/>
    </row>
    <row r="12" ht="12.75" customHeight="1"/>
    <row r="13" ht="12.75" customHeight="1"/>
    <row r="14" ht="12.75" customHeight="1"/>
    <row r="15" ht="12.75" customHeight="1">
      <c r="C15" s="8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F2"/>
    <mergeCell ref="B4:G4"/>
    <mergeCell ref="C15:C19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0"/>
    <col customWidth="1" min="3" max="3" width="37.43"/>
    <col customWidth="1" min="4" max="4" width="8.86"/>
    <col customWidth="1" min="5" max="5" width="11.57"/>
    <col customWidth="1" min="6" max="6" width="14.0"/>
    <col customWidth="1" min="7" max="7" width="42.71"/>
    <col customWidth="1" min="8" max="8" width="7.29"/>
    <col customWidth="1" min="9" max="26" width="8.86"/>
  </cols>
  <sheetData>
    <row r="1" ht="12.75" customHeight="1">
      <c r="A1" s="11"/>
      <c r="B1" s="12"/>
      <c r="C1" s="12"/>
      <c r="D1" s="12"/>
      <c r="E1" s="12"/>
      <c r="F1" s="12"/>
      <c r="G1" s="12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6" t="s">
        <v>62</v>
      </c>
      <c r="C2" s="17"/>
      <c r="D2" s="17"/>
      <c r="E2" s="17"/>
      <c r="F2" s="18"/>
      <c r="G2" s="2"/>
      <c r="H2" s="20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5"/>
      <c r="B3" s="19"/>
      <c r="C3" s="19"/>
      <c r="D3" s="19"/>
      <c r="E3" s="19"/>
      <c r="F3" s="19"/>
      <c r="G3" s="19"/>
      <c r="H3" s="20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36.75" customHeight="1">
      <c r="A4" s="15"/>
      <c r="B4" s="21" t="s">
        <v>63</v>
      </c>
      <c r="C4" s="17"/>
      <c r="D4" s="17"/>
      <c r="E4" s="17"/>
      <c r="F4" s="17"/>
      <c r="G4" s="18"/>
      <c r="H4" s="20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5"/>
      <c r="B5" s="48" t="s">
        <v>25</v>
      </c>
      <c r="C5" s="21" t="s">
        <v>64</v>
      </c>
      <c r="D5" s="17"/>
      <c r="E5" s="17"/>
      <c r="F5" s="17"/>
      <c r="G5" s="18"/>
      <c r="H5" s="20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5"/>
      <c r="B6" s="48" t="s">
        <v>28</v>
      </c>
      <c r="C6" s="21" t="s">
        <v>65</v>
      </c>
      <c r="D6" s="17"/>
      <c r="E6" s="17"/>
      <c r="F6" s="17"/>
      <c r="G6" s="18"/>
      <c r="H6" s="20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23"/>
      <c r="B7" s="24"/>
      <c r="C7" s="24"/>
      <c r="D7" s="24"/>
      <c r="E7" s="24"/>
      <c r="F7" s="24"/>
      <c r="G7" s="24"/>
      <c r="H7" s="25"/>
    </row>
    <row r="8" ht="12.75" customHeight="1">
      <c r="A8" s="23"/>
      <c r="B8" s="24"/>
      <c r="C8" s="85" t="s">
        <v>66</v>
      </c>
      <c r="D8" s="17"/>
      <c r="E8" s="18"/>
      <c r="F8" s="86">
        <v>0.0</v>
      </c>
      <c r="G8" s="24"/>
      <c r="H8" s="25"/>
    </row>
    <row r="9" ht="12.75" customHeight="1">
      <c r="A9" s="23"/>
      <c r="B9" s="24"/>
      <c r="C9" s="85" t="s">
        <v>67</v>
      </c>
      <c r="D9" s="17"/>
      <c r="E9" s="18"/>
      <c r="F9" s="87">
        <v>0.44</v>
      </c>
      <c r="G9" s="24"/>
      <c r="H9" s="25"/>
    </row>
    <row r="10" ht="12.75" customHeight="1">
      <c r="A10" s="23"/>
      <c r="B10" s="24"/>
      <c r="C10" s="85" t="s">
        <v>68</v>
      </c>
      <c r="D10" s="17"/>
      <c r="E10" s="18"/>
      <c r="F10" s="87">
        <v>0.22</v>
      </c>
      <c r="G10" s="24"/>
      <c r="H10" s="25"/>
    </row>
    <row r="11" ht="12.75" customHeight="1">
      <c r="A11" s="23"/>
      <c r="B11" s="24"/>
      <c r="C11" s="24"/>
      <c r="D11" s="24"/>
      <c r="E11" s="24"/>
      <c r="F11" s="24"/>
      <c r="G11" s="24"/>
      <c r="H11" s="25"/>
    </row>
    <row r="12" ht="12.75" customHeight="1">
      <c r="A12" s="23"/>
      <c r="B12" s="50" t="s">
        <v>25</v>
      </c>
      <c r="C12" s="59" t="s">
        <v>69</v>
      </c>
      <c r="D12" s="88">
        <f>(0.08+SQRT(0.08^2))/(2*0.2)</f>
        <v>0.4</v>
      </c>
      <c r="E12" s="89"/>
      <c r="F12" s="24"/>
      <c r="G12" s="24"/>
      <c r="H12" s="25"/>
    </row>
    <row r="13" ht="12.75" customHeight="1">
      <c r="A13" s="23"/>
      <c r="B13" s="50" t="s">
        <v>28</v>
      </c>
      <c r="C13" s="59" t="s">
        <v>70</v>
      </c>
      <c r="D13" s="88">
        <f>(F10^2)/(F10^2+F9^2)</f>
        <v>0.2</v>
      </c>
      <c r="E13" s="24"/>
      <c r="F13" s="24"/>
      <c r="G13" s="24"/>
      <c r="H13" s="25"/>
    </row>
    <row r="14" ht="12.75" customHeight="1">
      <c r="A14" s="23"/>
      <c r="B14" s="50"/>
      <c r="C14" s="59" t="s">
        <v>71</v>
      </c>
      <c r="D14" s="88">
        <f>1-D13</f>
        <v>0.8</v>
      </c>
      <c r="E14" s="24"/>
      <c r="F14" s="24"/>
      <c r="G14" s="24"/>
      <c r="H14" s="25"/>
    </row>
    <row r="15" ht="12.75" customHeight="1">
      <c r="A15" s="23"/>
      <c r="B15" s="24"/>
      <c r="C15" s="24"/>
      <c r="D15" s="24"/>
      <c r="E15" s="24"/>
      <c r="F15" s="24"/>
      <c r="G15" s="24"/>
      <c r="H15" s="25"/>
    </row>
    <row r="16" ht="12.75" customHeight="1">
      <c r="A16" s="23"/>
      <c r="B16" s="24"/>
      <c r="C16" s="24"/>
      <c r="D16" s="24"/>
      <c r="E16" s="24"/>
      <c r="F16" s="24"/>
      <c r="G16" s="24"/>
      <c r="H16" s="25"/>
    </row>
    <row r="17" ht="60.0" customHeight="1">
      <c r="A17" s="23"/>
      <c r="B17" s="24"/>
      <c r="C17" s="24"/>
      <c r="D17" s="90" t="s">
        <v>72</v>
      </c>
      <c r="E17" s="90" t="s">
        <v>73</v>
      </c>
      <c r="F17" s="59" t="s">
        <v>74</v>
      </c>
      <c r="G17" s="24"/>
      <c r="H17" s="25"/>
    </row>
    <row r="18" ht="12.75" customHeight="1">
      <c r="A18" s="23"/>
      <c r="B18" s="24"/>
      <c r="C18" s="24"/>
      <c r="D18" s="90">
        <v>0.0</v>
      </c>
      <c r="E18" s="90">
        <f t="shared" ref="E18:E28" si="1">1-D18</f>
        <v>1</v>
      </c>
      <c r="F18" s="91">
        <f t="shared" ref="F18:F28" si="2">(D18^2*$F$9^2+E18^2*$F$10^2)^0.5</f>
        <v>0.22</v>
      </c>
      <c r="G18" s="24"/>
      <c r="H18" s="25"/>
    </row>
    <row r="19" ht="12.75" customHeight="1">
      <c r="A19" s="23"/>
      <c r="B19" s="24"/>
      <c r="C19" s="24"/>
      <c r="D19" s="90">
        <f t="shared" ref="D19:D28" si="3">D18+0.1</f>
        <v>0.1</v>
      </c>
      <c r="E19" s="90">
        <f t="shared" si="1"/>
        <v>0.9</v>
      </c>
      <c r="F19" s="91">
        <f t="shared" si="2"/>
        <v>0.2028299781</v>
      </c>
      <c r="G19" s="24"/>
      <c r="H19" s="25"/>
    </row>
    <row r="20" ht="12.75" customHeight="1">
      <c r="A20" s="23"/>
      <c r="B20" s="24"/>
      <c r="C20" s="92" t="s">
        <v>75</v>
      </c>
      <c r="D20" s="90">
        <f t="shared" si="3"/>
        <v>0.2</v>
      </c>
      <c r="E20" s="90">
        <f t="shared" si="1"/>
        <v>0.8</v>
      </c>
      <c r="F20" s="91">
        <f t="shared" si="2"/>
        <v>0.196773982</v>
      </c>
      <c r="G20" s="24"/>
      <c r="H20" s="25"/>
    </row>
    <row r="21" ht="12.75" customHeight="1">
      <c r="A21" s="23"/>
      <c r="B21" s="24"/>
      <c r="C21" s="24"/>
      <c r="D21" s="90">
        <f t="shared" si="3"/>
        <v>0.3</v>
      </c>
      <c r="E21" s="90">
        <f t="shared" si="1"/>
        <v>0.7</v>
      </c>
      <c r="F21" s="91">
        <f t="shared" si="2"/>
        <v>0.2028299781</v>
      </c>
      <c r="G21" s="24"/>
      <c r="H21" s="25"/>
    </row>
    <row r="22" ht="12.75" customHeight="1">
      <c r="A22" s="23"/>
      <c r="B22" s="24"/>
      <c r="C22" s="92" t="s">
        <v>76</v>
      </c>
      <c r="D22" s="90">
        <f t="shared" si="3"/>
        <v>0.4</v>
      </c>
      <c r="E22" s="90">
        <f t="shared" si="1"/>
        <v>0.6</v>
      </c>
      <c r="F22" s="91">
        <f t="shared" si="2"/>
        <v>0.22</v>
      </c>
      <c r="G22" s="24"/>
      <c r="H22" s="25"/>
    </row>
    <row r="23" ht="12.75" customHeight="1">
      <c r="A23" s="23"/>
      <c r="B23" s="24"/>
      <c r="C23" s="24"/>
      <c r="D23" s="90">
        <f t="shared" si="3"/>
        <v>0.5</v>
      </c>
      <c r="E23" s="90">
        <f t="shared" si="1"/>
        <v>0.5</v>
      </c>
      <c r="F23" s="91">
        <f t="shared" si="2"/>
        <v>0.2459674775</v>
      </c>
      <c r="G23" s="24"/>
      <c r="H23" s="25"/>
    </row>
    <row r="24" ht="12.75" customHeight="1">
      <c r="A24" s="23"/>
      <c r="B24" s="24"/>
      <c r="D24" s="90">
        <f t="shared" si="3"/>
        <v>0.6</v>
      </c>
      <c r="E24" s="90">
        <f t="shared" si="1"/>
        <v>0.4</v>
      </c>
      <c r="F24" s="91">
        <f t="shared" si="2"/>
        <v>0.2782804341</v>
      </c>
      <c r="G24" s="24"/>
      <c r="H24" s="25"/>
    </row>
    <row r="25" ht="12.75" customHeight="1">
      <c r="A25" s="23"/>
      <c r="B25" s="24"/>
      <c r="C25" s="24"/>
      <c r="D25" s="90">
        <f t="shared" si="3"/>
        <v>0.7</v>
      </c>
      <c r="E25" s="90">
        <f t="shared" si="1"/>
        <v>0.3</v>
      </c>
      <c r="F25" s="91">
        <f t="shared" si="2"/>
        <v>0.3149920634</v>
      </c>
      <c r="G25" s="24"/>
      <c r="H25" s="25"/>
    </row>
    <row r="26" ht="12.75" customHeight="1">
      <c r="A26" s="23"/>
      <c r="B26" s="24"/>
      <c r="D26" s="90">
        <f t="shared" si="3"/>
        <v>0.8</v>
      </c>
      <c r="E26" s="90">
        <f t="shared" si="1"/>
        <v>0.2</v>
      </c>
      <c r="F26" s="91">
        <f t="shared" si="2"/>
        <v>0.3547393409</v>
      </c>
      <c r="G26" s="24"/>
      <c r="H26" s="25"/>
    </row>
    <row r="27" ht="12.75" customHeight="1">
      <c r="A27" s="23"/>
      <c r="B27" s="24"/>
      <c r="C27" s="24"/>
      <c r="D27" s="90">
        <f t="shared" si="3"/>
        <v>0.9</v>
      </c>
      <c r="E27" s="90">
        <f t="shared" si="1"/>
        <v>0.1</v>
      </c>
      <c r="F27" s="91">
        <f t="shared" si="2"/>
        <v>0.3966106403</v>
      </c>
      <c r="G27" s="24"/>
      <c r="H27" s="25"/>
    </row>
    <row r="28" ht="12.75" customHeight="1">
      <c r="A28" s="23"/>
      <c r="B28" s="24"/>
      <c r="C28" s="10"/>
      <c r="D28" s="90">
        <f t="shared" si="3"/>
        <v>1</v>
      </c>
      <c r="E28" s="90">
        <f t="shared" si="1"/>
        <v>0</v>
      </c>
      <c r="F28" s="91">
        <f t="shared" si="2"/>
        <v>0.44</v>
      </c>
      <c r="G28" s="24"/>
      <c r="H28" s="25"/>
    </row>
    <row r="29" ht="12.75" customHeight="1">
      <c r="A29" s="45"/>
      <c r="B29" s="46"/>
      <c r="C29" s="46"/>
      <c r="D29" s="46"/>
      <c r="E29" s="46"/>
      <c r="F29" s="46"/>
      <c r="G29" s="46"/>
      <c r="H29" s="47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2:F2"/>
    <mergeCell ref="B4:G4"/>
    <mergeCell ref="C5:G5"/>
    <mergeCell ref="C6:G6"/>
    <mergeCell ref="C8:E8"/>
    <mergeCell ref="C9:E9"/>
    <mergeCell ref="C10:E10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4.14"/>
    <col customWidth="1" min="5" max="5" width="9.43"/>
    <col customWidth="1" min="6" max="6" width="11.43"/>
    <col customWidth="1" min="7" max="7" width="7.71"/>
    <col customWidth="1" min="8" max="26" width="8.71"/>
  </cols>
  <sheetData>
    <row r="1" ht="12.75" customHeight="1"/>
    <row r="2" ht="12.75" customHeight="1">
      <c r="A2" s="1" t="s">
        <v>27</v>
      </c>
      <c r="E2" s="1" t="s">
        <v>77</v>
      </c>
      <c r="F2" s="1" t="s">
        <v>78</v>
      </c>
      <c r="G2" s="1" t="s">
        <v>79</v>
      </c>
    </row>
    <row r="3" ht="12.75" customHeight="1">
      <c r="A3" s="1"/>
      <c r="E3" s="93">
        <v>0.33</v>
      </c>
      <c r="F3" s="93">
        <v>0.37</v>
      </c>
      <c r="G3" s="93">
        <v>0.5</v>
      </c>
    </row>
    <row r="4" ht="12.75" customHeight="1">
      <c r="A4" s="1" t="s">
        <v>80</v>
      </c>
      <c r="D4" s="1" t="s">
        <v>77</v>
      </c>
      <c r="E4" s="94">
        <v>1.0</v>
      </c>
      <c r="F4" s="94">
        <v>0.21</v>
      </c>
      <c r="G4" s="94">
        <v>0.27</v>
      </c>
    </row>
    <row r="5" ht="12.75" customHeight="1">
      <c r="D5" s="1" t="s">
        <v>78</v>
      </c>
      <c r="E5" s="94">
        <v>0.21</v>
      </c>
      <c r="F5" s="94">
        <v>1.0</v>
      </c>
      <c r="G5" s="94">
        <v>0.15</v>
      </c>
    </row>
    <row r="6" ht="12.75" customHeight="1">
      <c r="D6" s="1" t="s">
        <v>79</v>
      </c>
      <c r="E6" s="94">
        <v>0.27</v>
      </c>
      <c r="F6" s="94">
        <v>0.15</v>
      </c>
      <c r="G6" s="94">
        <v>1.0</v>
      </c>
    </row>
    <row r="7" ht="12.75" customHeight="1"/>
    <row r="8" ht="12.75" customHeight="1"/>
    <row r="9" ht="12.75" customHeight="1">
      <c r="A9" s="1"/>
      <c r="E9" s="1" t="s">
        <v>77</v>
      </c>
      <c r="F9" s="1" t="s">
        <v>78</v>
      </c>
      <c r="G9" s="1" t="s">
        <v>79</v>
      </c>
    </row>
    <row r="10" ht="12.75" customHeight="1">
      <c r="A10" s="1" t="s">
        <v>81</v>
      </c>
      <c r="D10" s="1" t="s">
        <v>77</v>
      </c>
      <c r="E10" s="95">
        <f>E3*E3</f>
        <v>0.1089</v>
      </c>
      <c r="F10" s="95">
        <f>F4*F3*E3</f>
        <v>0.025641</v>
      </c>
      <c r="G10" s="95">
        <f>G4*E3*G3</f>
        <v>0.04455</v>
      </c>
    </row>
    <row r="11" ht="12.75" customHeight="1">
      <c r="D11" s="1" t="s">
        <v>78</v>
      </c>
      <c r="E11" s="95">
        <f>F10</f>
        <v>0.025641</v>
      </c>
      <c r="F11" s="95">
        <f>F3*F3</f>
        <v>0.1369</v>
      </c>
      <c r="G11" s="95">
        <f>G5*F3*G3</f>
        <v>0.02775</v>
      </c>
    </row>
    <row r="12" ht="12.75" customHeight="1">
      <c r="D12" s="1" t="s">
        <v>79</v>
      </c>
      <c r="E12" s="95">
        <f>G10</f>
        <v>0.04455</v>
      </c>
      <c r="F12" s="95">
        <f>G11</f>
        <v>0.02775</v>
      </c>
      <c r="G12" s="95">
        <f>G3*G3</f>
        <v>0.25</v>
      </c>
    </row>
    <row r="13" ht="12.75" customHeight="1"/>
    <row r="14" ht="12.75" customHeight="1">
      <c r="A14" s="10" t="s">
        <v>82</v>
      </c>
      <c r="D14" s="1" t="s">
        <v>83</v>
      </c>
      <c r="E14" s="95">
        <f>AVERAGE(E10,F11,G12)</f>
        <v>0.1652666667</v>
      </c>
    </row>
    <row r="15" ht="12.75" customHeight="1">
      <c r="D15" s="1" t="s">
        <v>84</v>
      </c>
      <c r="E15" s="95">
        <f>AVERAGE(F10,G10,E11,G11,E12,F12)</f>
        <v>0.032647</v>
      </c>
    </row>
    <row r="16" ht="12.75" customHeight="1"/>
    <row r="17" ht="12.75" customHeight="1">
      <c r="D17" s="1" t="s">
        <v>85</v>
      </c>
      <c r="E17" s="95">
        <f>1/3*E14+(1-1/3)*E15</f>
        <v>0.07685355556</v>
      </c>
    </row>
    <row r="18" ht="12.75" customHeight="1">
      <c r="D18" s="1" t="s">
        <v>86</v>
      </c>
      <c r="E18" s="57">
        <f>E17^0.5</f>
        <v>0.2772247384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9.43"/>
    <col customWidth="1" min="3" max="3" width="16.71"/>
    <col customWidth="1" min="4" max="4" width="16.14"/>
    <col customWidth="1" min="5" max="5" width="23.71"/>
    <col customWidth="1" min="6" max="6" width="18.29"/>
    <col customWidth="1" min="7" max="7" width="41.71"/>
    <col customWidth="1" min="8" max="26" width="8.86"/>
  </cols>
  <sheetData>
    <row r="1" ht="12.75" customHeight="1">
      <c r="A1" s="70"/>
      <c r="B1" s="71"/>
      <c r="C1" s="71"/>
      <c r="D1" s="71"/>
      <c r="E1" s="71"/>
      <c r="F1" s="71"/>
      <c r="G1" s="71"/>
      <c r="H1" s="7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73"/>
      <c r="B2" s="16" t="s">
        <v>11</v>
      </c>
      <c r="C2" s="17"/>
      <c r="D2" s="17"/>
      <c r="E2" s="17"/>
      <c r="F2" s="18"/>
      <c r="G2" s="2"/>
      <c r="H2" s="7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73"/>
      <c r="B3" s="19"/>
      <c r="C3" s="19"/>
      <c r="D3" s="19"/>
      <c r="E3" s="19"/>
      <c r="F3" s="19"/>
      <c r="G3" s="19"/>
      <c r="H3" s="7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6.75" customHeight="1">
      <c r="A4" s="73"/>
      <c r="B4" s="21" t="s">
        <v>87</v>
      </c>
      <c r="C4" s="17"/>
      <c r="D4" s="17"/>
      <c r="E4" s="17"/>
      <c r="F4" s="17"/>
      <c r="G4" s="18"/>
      <c r="H4" s="7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75"/>
      <c r="B5" s="24"/>
      <c r="C5" s="24"/>
      <c r="D5" s="24"/>
      <c r="E5" s="24"/>
      <c r="F5" s="24"/>
      <c r="G5" s="24"/>
      <c r="H5" s="76"/>
    </row>
    <row r="6" ht="18.75" customHeight="1">
      <c r="A6" s="75"/>
      <c r="B6" s="96" t="s">
        <v>88</v>
      </c>
      <c r="C6" s="17"/>
      <c r="D6" s="17"/>
      <c r="E6" s="97"/>
      <c r="F6" s="78">
        <v>0.21</v>
      </c>
      <c r="G6" s="24"/>
      <c r="H6" s="98"/>
    </row>
    <row r="7" ht="12.75" customHeight="1">
      <c r="A7" s="75"/>
      <c r="B7" s="24"/>
      <c r="C7" s="99"/>
      <c r="D7" s="86"/>
      <c r="E7" s="24"/>
      <c r="F7" s="24"/>
      <c r="G7" s="24"/>
      <c r="H7" s="76"/>
    </row>
    <row r="8" ht="12.75" customHeight="1">
      <c r="A8" s="75"/>
      <c r="B8" s="99"/>
      <c r="C8" s="100" t="s">
        <v>89</v>
      </c>
      <c r="D8" s="100" t="s">
        <v>90</v>
      </c>
      <c r="E8" s="24"/>
      <c r="F8" s="24"/>
      <c r="G8" s="24"/>
      <c r="H8" s="76"/>
    </row>
    <row r="9" ht="12.75" customHeight="1">
      <c r="A9" s="75"/>
      <c r="B9" s="99" t="s">
        <v>91</v>
      </c>
      <c r="C9" s="101">
        <v>0.069</v>
      </c>
      <c r="D9" s="101">
        <v>0.179</v>
      </c>
      <c r="E9" s="24"/>
      <c r="F9" s="24"/>
      <c r="G9" s="24"/>
      <c r="H9" s="76"/>
    </row>
    <row r="10" ht="12.75" customHeight="1">
      <c r="A10" s="75"/>
      <c r="B10" s="99" t="s">
        <v>92</v>
      </c>
      <c r="C10" s="101">
        <v>0.096</v>
      </c>
      <c r="D10" s="101">
        <v>0.216</v>
      </c>
      <c r="E10" s="24"/>
      <c r="F10" s="24"/>
      <c r="G10" s="24"/>
      <c r="H10" s="76"/>
    </row>
    <row r="11" ht="12.75" customHeight="1">
      <c r="A11" s="75"/>
      <c r="B11" s="24"/>
      <c r="C11" s="99"/>
      <c r="D11" s="101"/>
      <c r="E11" s="101"/>
      <c r="F11" s="24"/>
      <c r="G11" s="24"/>
      <c r="H11" s="76"/>
    </row>
    <row r="12" ht="36.75" customHeight="1">
      <c r="A12" s="75"/>
      <c r="B12" s="102" t="s">
        <v>93</v>
      </c>
      <c r="C12" s="102" t="s">
        <v>94</v>
      </c>
      <c r="D12" s="103" t="s">
        <v>95</v>
      </c>
      <c r="E12" s="103" t="s">
        <v>96</v>
      </c>
      <c r="F12" s="24"/>
      <c r="G12" s="24"/>
      <c r="H12" s="76"/>
    </row>
    <row r="13" ht="12.75" customHeight="1">
      <c r="A13" s="75"/>
      <c r="B13" s="104">
        <v>0.0</v>
      </c>
      <c r="C13" s="105">
        <f t="shared" ref="C13:C33" si="1">1-B13</f>
        <v>1</v>
      </c>
      <c r="D13" s="106">
        <f t="shared" ref="D13:D33" si="2">B13*$C$9+C13*$C$10</f>
        <v>0.096</v>
      </c>
      <c r="E13" s="107">
        <f t="shared" ref="E13:E33" si="3">(B13^2*$D$9^2+C13^2*$D$10^2+2*B13*C13*$D$9*$D$10*$F$6)^0.5</f>
        <v>0.216</v>
      </c>
      <c r="F13" s="24"/>
      <c r="G13" s="24"/>
      <c r="H13" s="76"/>
    </row>
    <row r="14" ht="12.75" customHeight="1">
      <c r="A14" s="75"/>
      <c r="B14" s="108">
        <f t="shared" ref="B14:B25" si="4">B13+0.05</f>
        <v>0.05</v>
      </c>
      <c r="C14" s="109">
        <f t="shared" si="1"/>
        <v>0.95</v>
      </c>
      <c r="D14" s="110">
        <f t="shared" si="2"/>
        <v>0.09465</v>
      </c>
      <c r="E14" s="111">
        <f t="shared" si="3"/>
        <v>0.2072642982</v>
      </c>
      <c r="F14" s="24"/>
      <c r="G14" s="24"/>
      <c r="H14" s="76"/>
    </row>
    <row r="15" ht="12.75" customHeight="1">
      <c r="A15" s="75"/>
      <c r="B15" s="108">
        <f t="shared" si="4"/>
        <v>0.1</v>
      </c>
      <c r="C15" s="109">
        <f t="shared" si="1"/>
        <v>0.9</v>
      </c>
      <c r="D15" s="110">
        <f t="shared" si="2"/>
        <v>0.0933</v>
      </c>
      <c r="E15" s="111">
        <f t="shared" si="3"/>
        <v>0.1989303124</v>
      </c>
      <c r="F15" s="24"/>
      <c r="G15" s="24"/>
      <c r="H15" s="76"/>
    </row>
    <row r="16" ht="12.75" customHeight="1">
      <c r="A16" s="75"/>
      <c r="B16" s="108">
        <f t="shared" si="4"/>
        <v>0.15</v>
      </c>
      <c r="C16" s="109">
        <f t="shared" si="1"/>
        <v>0.85</v>
      </c>
      <c r="D16" s="110">
        <f t="shared" si="2"/>
        <v>0.09195</v>
      </c>
      <c r="E16" s="111">
        <f t="shared" si="3"/>
        <v>0.1910506208</v>
      </c>
      <c r="F16" s="24"/>
      <c r="G16" s="24"/>
      <c r="H16" s="76"/>
    </row>
    <row r="17" ht="12.75" customHeight="1">
      <c r="A17" s="75"/>
      <c r="B17" s="108">
        <f t="shared" si="4"/>
        <v>0.2</v>
      </c>
      <c r="C17" s="109">
        <f t="shared" si="1"/>
        <v>0.8</v>
      </c>
      <c r="D17" s="110">
        <f t="shared" si="2"/>
        <v>0.0906</v>
      </c>
      <c r="E17" s="111">
        <f t="shared" si="3"/>
        <v>0.1836836977</v>
      </c>
      <c r="F17" s="24"/>
      <c r="G17" s="24"/>
      <c r="H17" s="76"/>
    </row>
    <row r="18" ht="12.75" customHeight="1">
      <c r="A18" s="75"/>
      <c r="B18" s="108">
        <f t="shared" si="4"/>
        <v>0.25</v>
      </c>
      <c r="C18" s="109">
        <f t="shared" si="1"/>
        <v>0.75</v>
      </c>
      <c r="D18" s="110">
        <f t="shared" si="2"/>
        <v>0.08925</v>
      </c>
      <c r="E18" s="111">
        <f t="shared" si="3"/>
        <v>0.1768936192</v>
      </c>
      <c r="F18" s="24"/>
      <c r="G18" s="24"/>
      <c r="H18" s="76"/>
    </row>
    <row r="19" ht="12.75" customHeight="1">
      <c r="A19" s="75"/>
      <c r="B19" s="108">
        <f t="shared" si="4"/>
        <v>0.3</v>
      </c>
      <c r="C19" s="109">
        <f t="shared" si="1"/>
        <v>0.7</v>
      </c>
      <c r="D19" s="110">
        <f t="shared" si="2"/>
        <v>0.0879</v>
      </c>
      <c r="E19" s="111">
        <f t="shared" si="3"/>
        <v>0.1707492161</v>
      </c>
      <c r="F19" s="24"/>
      <c r="G19" s="24"/>
      <c r="H19" s="76"/>
    </row>
    <row r="20" ht="12.75" customHeight="1">
      <c r="A20" s="75"/>
      <c r="B20" s="108">
        <f t="shared" si="4"/>
        <v>0.35</v>
      </c>
      <c r="C20" s="109">
        <f t="shared" si="1"/>
        <v>0.65</v>
      </c>
      <c r="D20" s="110">
        <f t="shared" si="2"/>
        <v>0.08655</v>
      </c>
      <c r="E20" s="111">
        <f t="shared" si="3"/>
        <v>0.165322496</v>
      </c>
      <c r="F20" s="24"/>
      <c r="G20" s="24"/>
      <c r="H20" s="76"/>
    </row>
    <row r="21" ht="12.75" customHeight="1">
      <c r="A21" s="75"/>
      <c r="B21" s="108">
        <f t="shared" si="4"/>
        <v>0.4</v>
      </c>
      <c r="C21" s="109">
        <f t="shared" si="1"/>
        <v>0.6</v>
      </c>
      <c r="D21" s="110">
        <f t="shared" si="2"/>
        <v>0.0852</v>
      </c>
      <c r="E21" s="111">
        <f t="shared" si="3"/>
        <v>0.1606861886</v>
      </c>
      <c r="F21" s="24"/>
      <c r="G21" s="24"/>
      <c r="H21" s="76"/>
    </row>
    <row r="22" ht="12.75" customHeight="1">
      <c r="A22" s="75"/>
      <c r="B22" s="108">
        <f t="shared" si="4"/>
        <v>0.45</v>
      </c>
      <c r="C22" s="109">
        <f t="shared" si="1"/>
        <v>0.55</v>
      </c>
      <c r="D22" s="110">
        <f t="shared" si="2"/>
        <v>0.08385</v>
      </c>
      <c r="E22" s="111">
        <f t="shared" si="3"/>
        <v>0.1569103735</v>
      </c>
      <c r="F22" s="24"/>
      <c r="G22" s="24"/>
      <c r="H22" s="76"/>
    </row>
    <row r="23" ht="12.75" customHeight="1">
      <c r="A23" s="75"/>
      <c r="B23" s="108">
        <f t="shared" si="4"/>
        <v>0.5</v>
      </c>
      <c r="C23" s="109">
        <f t="shared" si="1"/>
        <v>0.5</v>
      </c>
      <c r="D23" s="110">
        <f t="shared" si="2"/>
        <v>0.0825</v>
      </c>
      <c r="E23" s="111">
        <f t="shared" si="3"/>
        <v>0.1540583331</v>
      </c>
      <c r="F23" s="24"/>
      <c r="G23" s="24"/>
      <c r="H23" s="76"/>
    </row>
    <row r="24" ht="12.75" customHeight="1">
      <c r="A24" s="75"/>
      <c r="B24" s="108">
        <f t="shared" si="4"/>
        <v>0.55</v>
      </c>
      <c r="C24" s="109">
        <f t="shared" si="1"/>
        <v>0.45</v>
      </c>
      <c r="D24" s="110">
        <f t="shared" si="2"/>
        <v>0.08115</v>
      </c>
      <c r="E24" s="111">
        <f t="shared" si="3"/>
        <v>0.1521820137</v>
      </c>
      <c r="F24" s="24"/>
      <c r="G24" s="24"/>
      <c r="H24" s="76"/>
    </row>
    <row r="25" ht="12.75" customHeight="1">
      <c r="A25" s="75"/>
      <c r="B25" s="108">
        <f t="shared" si="4"/>
        <v>0.6</v>
      </c>
      <c r="C25" s="109">
        <f t="shared" si="1"/>
        <v>0.4</v>
      </c>
      <c r="D25" s="110">
        <f t="shared" si="2"/>
        <v>0.0798</v>
      </c>
      <c r="E25" s="111">
        <f t="shared" si="3"/>
        <v>0.1513177161</v>
      </c>
      <c r="F25" s="24"/>
      <c r="G25" s="24"/>
      <c r="H25" s="76"/>
    </row>
    <row r="26" ht="12.75" customHeight="1">
      <c r="A26" s="75"/>
      <c r="B26" s="112">
        <v>0.617</v>
      </c>
      <c r="C26" s="113">
        <f t="shared" si="1"/>
        <v>0.383</v>
      </c>
      <c r="D26" s="114">
        <f t="shared" si="2"/>
        <v>0.079341</v>
      </c>
      <c r="E26" s="115">
        <f t="shared" si="3"/>
        <v>0.1512580715</v>
      </c>
      <c r="F26" s="24"/>
      <c r="G26" s="24"/>
      <c r="H26" s="76"/>
    </row>
    <row r="27" ht="12.75" customHeight="1">
      <c r="A27" s="75"/>
      <c r="B27" s="116">
        <v>0.65</v>
      </c>
      <c r="C27" s="117">
        <f t="shared" si="1"/>
        <v>0.35</v>
      </c>
      <c r="D27" s="118">
        <f t="shared" si="2"/>
        <v>0.07845</v>
      </c>
      <c r="E27" s="119">
        <f t="shared" si="3"/>
        <v>0.1514827637</v>
      </c>
      <c r="F27" s="24"/>
      <c r="G27" s="24"/>
      <c r="H27" s="76"/>
    </row>
    <row r="28" ht="12.75" customHeight="1">
      <c r="A28" s="75"/>
      <c r="B28" s="116">
        <f t="shared" ref="B28:B33" si="5">B27+0.05</f>
        <v>0.7</v>
      </c>
      <c r="C28" s="117">
        <f t="shared" si="1"/>
        <v>0.3</v>
      </c>
      <c r="D28" s="118">
        <f t="shared" si="2"/>
        <v>0.0771</v>
      </c>
      <c r="E28" s="119">
        <f t="shared" si="3"/>
        <v>0.1526738183</v>
      </c>
      <c r="F28" s="24"/>
      <c r="G28" s="24"/>
      <c r="H28" s="76"/>
    </row>
    <row r="29" ht="12.75" customHeight="1">
      <c r="A29" s="75"/>
      <c r="B29" s="116">
        <f t="shared" si="5"/>
        <v>0.75</v>
      </c>
      <c r="C29" s="117">
        <f t="shared" si="1"/>
        <v>0.25</v>
      </c>
      <c r="D29" s="118">
        <f t="shared" si="2"/>
        <v>0.07575</v>
      </c>
      <c r="E29" s="119">
        <f t="shared" si="3"/>
        <v>0.1548672092</v>
      </c>
      <c r="F29" s="24"/>
      <c r="G29" s="24"/>
      <c r="H29" s="76"/>
    </row>
    <row r="30" ht="12.75" customHeight="1">
      <c r="A30" s="75"/>
      <c r="B30" s="116">
        <f t="shared" si="5"/>
        <v>0.8</v>
      </c>
      <c r="C30" s="117">
        <f t="shared" si="1"/>
        <v>0.2</v>
      </c>
      <c r="D30" s="118">
        <f t="shared" si="2"/>
        <v>0.0744</v>
      </c>
      <c r="E30" s="119">
        <f t="shared" si="3"/>
        <v>0.1580212036</v>
      </c>
      <c r="F30" s="24"/>
      <c r="G30" s="24"/>
      <c r="H30" s="76"/>
    </row>
    <row r="31" ht="12.75" customHeight="1">
      <c r="A31" s="75"/>
      <c r="B31" s="116">
        <f t="shared" si="5"/>
        <v>0.85</v>
      </c>
      <c r="C31" s="117">
        <f t="shared" si="1"/>
        <v>0.15</v>
      </c>
      <c r="D31" s="118">
        <f t="shared" si="2"/>
        <v>0.07305</v>
      </c>
      <c r="E31" s="119">
        <f t="shared" si="3"/>
        <v>0.1620797325</v>
      </c>
      <c r="F31" s="24"/>
      <c r="G31" s="24"/>
      <c r="H31" s="76"/>
    </row>
    <row r="32" ht="12.75" customHeight="1">
      <c r="A32" s="75"/>
      <c r="B32" s="116">
        <f t="shared" si="5"/>
        <v>0.9</v>
      </c>
      <c r="C32" s="117">
        <f t="shared" si="1"/>
        <v>0.1</v>
      </c>
      <c r="D32" s="118">
        <f t="shared" si="2"/>
        <v>0.0717</v>
      </c>
      <c r="E32" s="119">
        <f t="shared" si="3"/>
        <v>0.1669768523</v>
      </c>
      <c r="F32" s="24"/>
      <c r="G32" s="24"/>
      <c r="H32" s="76"/>
    </row>
    <row r="33" ht="12.75" customHeight="1">
      <c r="A33" s="75"/>
      <c r="B33" s="120">
        <f t="shared" si="5"/>
        <v>0.95</v>
      </c>
      <c r="C33" s="121">
        <f t="shared" si="1"/>
        <v>0.05</v>
      </c>
      <c r="D33" s="122">
        <f t="shared" si="2"/>
        <v>0.07035</v>
      </c>
      <c r="E33" s="123">
        <f t="shared" si="3"/>
        <v>0.1726412155</v>
      </c>
      <c r="F33" s="24"/>
      <c r="G33" s="24"/>
      <c r="H33" s="76"/>
    </row>
    <row r="34" ht="12.75" customHeight="1">
      <c r="A34" s="81"/>
      <c r="B34" s="82"/>
      <c r="C34" s="82"/>
      <c r="D34" s="82"/>
      <c r="E34" s="82"/>
      <c r="F34" s="82"/>
      <c r="G34" s="82"/>
      <c r="H34" s="8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F2"/>
    <mergeCell ref="B4:G4"/>
    <mergeCell ref="B6:E6"/>
  </mergeCell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9.43"/>
    <col customWidth="1" min="3" max="3" width="20.29"/>
    <col customWidth="1" min="4" max="4" width="16.14"/>
    <col customWidth="1" min="5" max="5" width="25.71"/>
    <col customWidth="1" min="6" max="6" width="18.29"/>
    <col customWidth="1" min="7" max="7" width="41.71"/>
    <col customWidth="1" min="8" max="26" width="8.86"/>
  </cols>
  <sheetData>
    <row r="1" ht="12.75" customHeight="1">
      <c r="A1" s="70"/>
      <c r="B1" s="71"/>
      <c r="C1" s="71"/>
      <c r="D1" s="71"/>
      <c r="E1" s="71"/>
      <c r="F1" s="71"/>
      <c r="G1" s="71"/>
      <c r="H1" s="7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73"/>
      <c r="B2" s="16" t="s">
        <v>13</v>
      </c>
      <c r="C2" s="17"/>
      <c r="D2" s="17"/>
      <c r="E2" s="17"/>
      <c r="F2" s="18"/>
      <c r="G2" s="2"/>
      <c r="H2" s="7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73"/>
      <c r="B3" s="19"/>
      <c r="C3" s="19"/>
      <c r="D3" s="19"/>
      <c r="E3" s="19"/>
      <c r="F3" s="19"/>
      <c r="G3" s="19"/>
      <c r="H3" s="7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73"/>
      <c r="B4" s="21" t="s">
        <v>97</v>
      </c>
      <c r="C4" s="17"/>
      <c r="D4" s="17"/>
      <c r="E4" s="17"/>
      <c r="F4" s="17"/>
      <c r="G4" s="18"/>
      <c r="H4" s="7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73"/>
      <c r="B5" s="49"/>
      <c r="C5" s="49"/>
      <c r="D5" s="49"/>
      <c r="E5" s="49"/>
      <c r="F5" s="49"/>
      <c r="G5" s="49"/>
      <c r="H5" s="7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73"/>
      <c r="B6" s="49"/>
      <c r="C6" s="51" t="s">
        <v>98</v>
      </c>
      <c r="D6" s="51" t="s">
        <v>99</v>
      </c>
      <c r="E6" s="124" t="s">
        <v>100</v>
      </c>
      <c r="F6" s="49"/>
      <c r="G6" s="49"/>
      <c r="H6" s="7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73"/>
      <c r="B7" s="125" t="s">
        <v>101</v>
      </c>
      <c r="C7" s="126">
        <v>0.26</v>
      </c>
      <c r="D7" s="127">
        <v>0.13</v>
      </c>
      <c r="E7" s="126">
        <v>0.35</v>
      </c>
      <c r="F7" s="49"/>
      <c r="G7" s="49"/>
      <c r="H7" s="7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73"/>
      <c r="B8" s="49" t="s">
        <v>102</v>
      </c>
      <c r="C8" s="124">
        <v>0.29</v>
      </c>
      <c r="D8" s="128">
        <v>0.28</v>
      </c>
      <c r="E8" s="124">
        <v>0.52</v>
      </c>
      <c r="F8" s="49"/>
      <c r="G8" s="49"/>
      <c r="H8" s="7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8.75" customHeight="1">
      <c r="A9" s="73"/>
      <c r="B9" s="129" t="s">
        <v>103</v>
      </c>
      <c r="C9" s="130">
        <v>0.45</v>
      </c>
      <c r="D9" s="131">
        <v>0.11</v>
      </c>
      <c r="E9" s="132">
        <v>0.54</v>
      </c>
      <c r="F9" s="49"/>
      <c r="G9" s="49"/>
      <c r="H9" s="7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8.75" customHeight="1">
      <c r="A10" s="73"/>
      <c r="B10" s="49"/>
      <c r="C10" s="49"/>
      <c r="D10" s="49"/>
      <c r="E10" s="49"/>
      <c r="F10" s="49"/>
      <c r="G10" s="49"/>
      <c r="H10" s="7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8.75" customHeight="1">
      <c r="A11" s="73"/>
      <c r="B11" s="21" t="s">
        <v>104</v>
      </c>
      <c r="C11" s="17"/>
      <c r="D11" s="17"/>
      <c r="E11" s="17"/>
      <c r="F11" s="17"/>
      <c r="G11" s="18"/>
      <c r="H11" s="7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8.75" customHeight="1">
      <c r="A12" s="73"/>
      <c r="B12" s="48" t="s">
        <v>25</v>
      </c>
      <c r="C12" s="21" t="s">
        <v>105</v>
      </c>
      <c r="D12" s="17"/>
      <c r="E12" s="17"/>
      <c r="F12" s="17"/>
      <c r="G12" s="18"/>
      <c r="H12" s="7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8.75" customHeight="1">
      <c r="A13" s="73"/>
      <c r="B13" s="48" t="s">
        <v>28</v>
      </c>
      <c r="C13" s="21" t="s">
        <v>106</v>
      </c>
      <c r="D13" s="17"/>
      <c r="E13" s="17"/>
      <c r="F13" s="17"/>
      <c r="G13" s="18"/>
      <c r="H13" s="7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8.75" customHeight="1">
      <c r="A14" s="73"/>
      <c r="B14" s="48" t="s">
        <v>32</v>
      </c>
      <c r="C14" s="21" t="s">
        <v>107</v>
      </c>
      <c r="D14" s="17"/>
      <c r="E14" s="17"/>
      <c r="F14" s="17"/>
      <c r="G14" s="18"/>
      <c r="H14" s="7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40.5" customHeight="1">
      <c r="A15" s="73"/>
      <c r="B15" s="50" t="s">
        <v>40</v>
      </c>
      <c r="C15" s="21" t="s">
        <v>108</v>
      </c>
      <c r="D15" s="17"/>
      <c r="E15" s="17"/>
      <c r="F15" s="17"/>
      <c r="G15" s="18"/>
      <c r="H15" s="7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8.75" customHeight="1">
      <c r="A16" s="73"/>
      <c r="B16" s="48"/>
      <c r="C16" s="49"/>
      <c r="D16" s="49"/>
      <c r="E16" s="49"/>
      <c r="F16" s="49"/>
      <c r="G16" s="49"/>
      <c r="H16" s="7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8.75" customHeight="1">
      <c r="A17" s="73"/>
      <c r="B17" s="48" t="s">
        <v>25</v>
      </c>
      <c r="C17" s="133" t="s">
        <v>109</v>
      </c>
      <c r="D17" s="133" t="s">
        <v>110</v>
      </c>
      <c r="E17" s="133" t="s">
        <v>111</v>
      </c>
      <c r="F17" s="49"/>
      <c r="G17" s="49"/>
      <c r="H17" s="7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8.75" customHeight="1">
      <c r="A18" s="73"/>
      <c r="B18" s="49"/>
      <c r="C18" s="134" t="str">
        <f t="shared" ref="C18:C20" si="1">B7</f>
        <v>HEC Corp</v>
      </c>
      <c r="D18" s="135">
        <f t="shared" ref="D18:D20" si="2">E7*D7/0.1</f>
        <v>0.455</v>
      </c>
      <c r="E18" s="65">
        <f t="shared" ref="E18:E20" si="3">0.03+D18*(0.08-0.03)</f>
        <v>0.05275</v>
      </c>
      <c r="F18" s="49"/>
      <c r="G18" s="49"/>
      <c r="H18" s="7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8.75" customHeight="1">
      <c r="A19" s="75"/>
      <c r="B19" s="24"/>
      <c r="C19" s="134" t="str">
        <f t="shared" si="1"/>
        <v>Green Midget</v>
      </c>
      <c r="D19" s="135">
        <f t="shared" si="2"/>
        <v>1.456</v>
      </c>
      <c r="E19" s="65">
        <f t="shared" si="3"/>
        <v>0.1028</v>
      </c>
      <c r="F19" s="24"/>
      <c r="G19" s="24"/>
      <c r="H19" s="76"/>
    </row>
    <row r="20" ht="18.75" customHeight="1">
      <c r="A20" s="75"/>
      <c r="B20" s="24"/>
      <c r="C20" s="134" t="str">
        <f t="shared" si="1"/>
        <v>Alive And Well</v>
      </c>
      <c r="D20" s="135">
        <f t="shared" si="2"/>
        <v>0.594</v>
      </c>
      <c r="E20" s="65">
        <f t="shared" si="3"/>
        <v>0.0597</v>
      </c>
      <c r="F20" s="24"/>
      <c r="G20" s="24"/>
      <c r="H20" s="76"/>
    </row>
    <row r="21" ht="18.75" customHeight="1">
      <c r="A21" s="75"/>
      <c r="B21" s="48" t="s">
        <v>28</v>
      </c>
      <c r="C21" s="136">
        <f>SUMPRODUCT(C7:C9,E18:E20)</f>
        <v>0.070392</v>
      </c>
      <c r="D21" s="124"/>
      <c r="E21" s="24"/>
      <c r="F21" s="24"/>
      <c r="G21" s="24"/>
      <c r="H21" s="76"/>
    </row>
    <row r="22" ht="18.75" customHeight="1">
      <c r="A22" s="75"/>
      <c r="B22" s="48" t="s">
        <v>32</v>
      </c>
      <c r="C22" s="137">
        <f>SUMPRODUCT(C7:C9,D18:D20)</f>
        <v>0.80784</v>
      </c>
      <c r="D22" s="124"/>
      <c r="E22" s="24"/>
      <c r="F22" s="24"/>
      <c r="G22" s="24"/>
      <c r="H22" s="76"/>
    </row>
    <row r="23" ht="18.75" customHeight="1">
      <c r="A23" s="75"/>
      <c r="B23" s="48" t="s">
        <v>40</v>
      </c>
      <c r="C23" s="136">
        <f>0.03+C22*(0.08-0.03)</f>
        <v>0.070392</v>
      </c>
      <c r="D23" s="124"/>
      <c r="E23" s="24"/>
      <c r="F23" s="24"/>
      <c r="G23" s="24"/>
      <c r="H23" s="76"/>
    </row>
    <row r="24" ht="18.75" customHeight="1">
      <c r="A24" s="75"/>
      <c r="B24" s="24"/>
      <c r="C24" s="49"/>
      <c r="D24" s="124"/>
      <c r="E24" s="24"/>
      <c r="F24" s="24"/>
      <c r="G24" s="24"/>
      <c r="H24" s="76"/>
    </row>
    <row r="25" ht="12.0" customHeight="1">
      <c r="A25" s="81"/>
      <c r="B25" s="82"/>
      <c r="C25" s="82"/>
      <c r="D25" s="82"/>
      <c r="E25" s="82"/>
      <c r="F25" s="82"/>
      <c r="G25" s="82"/>
      <c r="H25" s="83"/>
    </row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2:F2"/>
    <mergeCell ref="B4:G4"/>
    <mergeCell ref="B11:G11"/>
    <mergeCell ref="C12:G12"/>
    <mergeCell ref="C13:G13"/>
    <mergeCell ref="C14:G14"/>
    <mergeCell ref="C15:G15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2006-10-08T23:06:41Z</dcterms:created>
  <dc:creator>jp40</dc:creator>
</cp:coreProperties>
</file>