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/>
  <mc:AlternateContent xmlns:mc="http://schemas.openxmlformats.org/markup-compatibility/2006">
    <mc:Choice Requires="x15">
      <x15ac:absPath xmlns:x15ac="http://schemas.microsoft.com/office/spreadsheetml/2010/11/ac" url="C:\Users\Ottorino Morresi\Dropbox\BDM - vol2_2018\Berk_2017_18_bozza2\"/>
    </mc:Choice>
  </mc:AlternateContent>
  <bookViews>
    <workbookView xWindow="0" yWindow="0" windowWidth="28800" windowHeight="12210" xr2:uid="{00000000-000D-0000-FFFF-FFFF00000000}"/>
  </bookViews>
  <sheets>
    <sheet name="Soluzioni" sheetId="2" r:id="rId1"/>
    <sheet name="Rendiconti finanziari" sheetId="3" r:id="rId2"/>
  </sheets>
  <calcPr calcId="171027" concurrentCalc="0"/>
</workbook>
</file>

<file path=xl/calcChain.xml><?xml version="1.0" encoding="utf-8"?>
<calcChain xmlns="http://schemas.openxmlformats.org/spreadsheetml/2006/main">
  <c r="E18" i="3" l="1"/>
  <c r="F18" i="3"/>
  <c r="G18" i="3"/>
  <c r="C32" i="2"/>
  <c r="D24" i="2"/>
  <c r="E24" i="2"/>
  <c r="C24" i="2"/>
  <c r="E22" i="2"/>
  <c r="D22" i="2"/>
  <c r="C22" i="2"/>
  <c r="C26" i="2"/>
  <c r="C28" i="2"/>
  <c r="D26" i="2"/>
  <c r="D28" i="2"/>
  <c r="E26" i="2"/>
  <c r="E28" i="2"/>
  <c r="C30" i="2"/>
  <c r="C11" i="2"/>
  <c r="E8" i="2"/>
  <c r="F8" i="2"/>
  <c r="C18" i="2"/>
  <c r="G8" i="2"/>
  <c r="H8" i="2"/>
  <c r="C38" i="2"/>
  <c r="C34" i="2"/>
  <c r="I8" i="2"/>
  <c r="J8" i="2"/>
  <c r="K8" i="2"/>
  <c r="L8" i="2"/>
  <c r="M8" i="2"/>
  <c r="C36" i="2"/>
  <c r="C40" i="2"/>
  <c r="L42" i="2"/>
  <c r="L43" i="2"/>
  <c r="K42" i="2"/>
  <c r="M45" i="2"/>
  <c r="M59" i="2"/>
  <c r="K43" i="2"/>
  <c r="L59" i="2"/>
  <c r="J42" i="2"/>
  <c r="J43" i="2"/>
  <c r="I42" i="2"/>
  <c r="K59" i="2"/>
  <c r="L45" i="2"/>
  <c r="M57" i="2"/>
  <c r="M61" i="2"/>
  <c r="M46" i="2"/>
  <c r="K45" i="2"/>
  <c r="L57" i="2"/>
  <c r="L61" i="2"/>
  <c r="L46" i="2"/>
  <c r="I43" i="2"/>
  <c r="H42" i="2"/>
  <c r="J45" i="2"/>
  <c r="J59" i="2"/>
  <c r="H43" i="2"/>
  <c r="I59" i="2"/>
  <c r="G42" i="2"/>
  <c r="K57" i="2"/>
  <c r="K61" i="2"/>
  <c r="K46" i="2"/>
  <c r="G43" i="2"/>
  <c r="F42" i="2"/>
  <c r="H59" i="2"/>
  <c r="I45" i="2"/>
  <c r="J57" i="2"/>
  <c r="J61" i="2"/>
  <c r="J46" i="2"/>
  <c r="H45" i="2"/>
  <c r="I57" i="2"/>
  <c r="I61" i="2"/>
  <c r="I46" i="2"/>
  <c r="F43" i="2"/>
  <c r="E42" i="2"/>
  <c r="G45" i="2"/>
  <c r="G59" i="2"/>
  <c r="D42" i="2"/>
  <c r="E43" i="2"/>
  <c r="H57" i="2"/>
  <c r="H61" i="2"/>
  <c r="H46" i="2"/>
  <c r="F45" i="2"/>
  <c r="F59" i="2"/>
  <c r="C42" i="2"/>
  <c r="C43" i="2"/>
  <c r="D43" i="2"/>
  <c r="G57" i="2"/>
  <c r="G61" i="2"/>
  <c r="G46" i="2"/>
  <c r="D59" i="2"/>
  <c r="E45" i="2"/>
  <c r="E59" i="2"/>
  <c r="C59" i="2"/>
  <c r="C61" i="2"/>
  <c r="D45" i="2"/>
  <c r="F57" i="2"/>
  <c r="F61" i="2"/>
  <c r="F46" i="2"/>
  <c r="D57" i="2"/>
  <c r="D61" i="2"/>
  <c r="D46" i="2"/>
  <c r="E57" i="2"/>
  <c r="E61" i="2"/>
  <c r="E46" i="2"/>
  <c r="C63" i="2"/>
  <c r="C48" i="2"/>
  <c r="C50" i="2"/>
  <c r="C52" i="2"/>
</calcChain>
</file>

<file path=xl/sharedStrings.xml><?xml version="1.0" encoding="utf-8"?>
<sst xmlns="http://schemas.openxmlformats.org/spreadsheetml/2006/main" count="242" uniqueCount="121">
  <si>
    <t>Interest Expense</t>
  </si>
  <si>
    <t>Minority Interest</t>
  </si>
  <si>
    <t>Assets</t>
  </si>
  <si>
    <t>Total Assets</t>
  </si>
  <si>
    <t>Liabilities</t>
  </si>
  <si>
    <t>Total Liabilities</t>
  </si>
  <si>
    <t>1c</t>
  </si>
  <si>
    <t>Beta</t>
  </si>
  <si>
    <t>3aii</t>
  </si>
  <si>
    <t>3b</t>
  </si>
  <si>
    <t>3bii</t>
  </si>
  <si>
    <t>3biii</t>
  </si>
  <si>
    <t>3c</t>
  </si>
  <si>
    <t>3ci</t>
  </si>
  <si>
    <t>3cii</t>
  </si>
  <si>
    <t>3ciii</t>
  </si>
  <si>
    <t>3civ</t>
  </si>
  <si>
    <t>3d</t>
  </si>
  <si>
    <t>3e</t>
  </si>
  <si>
    <t>Total Revenue</t>
  </si>
  <si>
    <t>Other Current Assets</t>
  </si>
  <si>
    <t>Total Current Assets</t>
  </si>
  <si>
    <t>Accounts Payable</t>
  </si>
  <si>
    <t>Other Current Liabilities</t>
  </si>
  <si>
    <t>Total Current Liabilities</t>
  </si>
  <si>
    <t>Long Term Debt</t>
  </si>
  <si>
    <t>Retained Earnings</t>
  </si>
  <si>
    <t>Treasury Stock</t>
  </si>
  <si>
    <t>Period Ending</t>
  </si>
  <si>
    <t>Cost of Revenue</t>
  </si>
  <si>
    <t>Gross Profit</t>
  </si>
  <si>
    <t>Operating Expenses</t>
  </si>
  <si>
    <t>Research Development</t>
  </si>
  <si>
    <t xml:space="preserve"> -  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</si>
  <si>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</si>
  <si>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</si>
  <si>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</si>
  <si>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</si>
  <si>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</si>
  <si>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</si>
  <si>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</si>
  <si>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</si>
  <si>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Income Before Tax</t>
  </si>
  <si>
    <t>Income Tax Expense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</si>
  <si>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</si>
  <si>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</si>
  <si>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</si>
  <si>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</si>
  <si>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</si>
  <si>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</si>
  <si>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</si>
  <si>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</si>
  <si>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</si>
  <si>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Current Assets</t>
  </si>
  <si>
    <t>Cash And Cash Equivalents</t>
  </si>
  <si>
    <t>Short Term Investments</t>
  </si>
  <si>
    <t>Net Receivables</t>
  </si>
  <si>
    <t>Inventory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</si>
  <si>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</si>
  <si>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</si>
  <si>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</si>
  <si>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</si>
  <si>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</si>
  <si>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</si>
  <si>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</si>
  <si>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Current Liabilities</t>
  </si>
  <si>
    <t>Short/Current Long Term Debt</t>
  </si>
  <si>
    <t>Other Liabilities</t>
  </si>
  <si>
    <t>Deferred Long Term Liability Charges</t>
  </si>
  <si>
    <t>Negative Goodwill</t>
  </si>
  <si>
    <t>Stockholders' Equity</t>
  </si>
  <si>
    <t>Misc Stocks Options Warrants</t>
  </si>
  <si>
    <t>Redeemable Preferred Stock</t>
  </si>
  <si>
    <t>Preferred Stock</t>
  </si>
  <si>
    <t>Common Stock</t>
  </si>
  <si>
    <t>Capital Surplus</t>
  </si>
  <si>
    <t>Other Stockholder Equity</t>
  </si>
  <si>
    <t>Total Stockholder Equity</t>
  </si>
  <si>
    <t>Net Tangible Assets</t>
  </si>
  <si>
    <t>Diluted Weighted Average Shares (Millions)</t>
  </si>
  <si>
    <t>Mar 31, 2015</t>
  </si>
  <si>
    <t>Mar 31, 2014</t>
  </si>
  <si>
    <t>Mar 31, 2013</t>
  </si>
  <si>
    <t xml:space="preserve">-  </t>
  </si>
  <si>
    <t>AA-</t>
  </si>
  <si>
    <t>Soluzioni per il caso di studio del Capitolo 18</t>
  </si>
  <si>
    <t>Prezzo per azione</t>
  </si>
  <si>
    <t>Anno</t>
  </si>
  <si>
    <t>FCF</t>
  </si>
  <si>
    <t>YTM--Costo del debito</t>
  </si>
  <si>
    <t>Rating medio</t>
  </si>
  <si>
    <t>Assumete un beta del debito pari a:</t>
  </si>
  <si>
    <t>Tasso dei titoli di stato USA a 10 anni (privi di rischio)</t>
  </si>
  <si>
    <t>Costo del capitale proprio</t>
  </si>
  <si>
    <t>Debito netto</t>
  </si>
  <si>
    <t>Enterprise Value (EV)</t>
  </si>
  <si>
    <t>Debito / EV</t>
  </si>
  <si>
    <t>Debito / EV obiettivo</t>
  </si>
  <si>
    <t>Aliquota fiscale</t>
  </si>
  <si>
    <t>WACC dopo le imposte</t>
  </si>
  <si>
    <t>VAN con metodo WACC</t>
  </si>
  <si>
    <t>WACC ante-imposte</t>
  </si>
  <si>
    <t>Valore unlevered</t>
  </si>
  <si>
    <t>Valore levered</t>
  </si>
  <si>
    <t>Capacità di debito</t>
  </si>
  <si>
    <t xml:space="preserve">   Interessi</t>
  </si>
  <si>
    <t xml:space="preserve">   Scudo fiscale interessi</t>
  </si>
  <si>
    <t>VA dello scudo fiscale interessi</t>
  </si>
  <si>
    <t>VAN con metodo VAM</t>
  </si>
  <si>
    <t>Metodo FTE</t>
  </si>
  <si>
    <t>Interessi dopo le imposte</t>
  </si>
  <si>
    <t>Variazione indebitamento netto</t>
  </si>
  <si>
    <t>Flussi di cassa disponibili per gli azionisti (FCFE)</t>
  </si>
  <si>
    <t>VAN con metodo FTE</t>
  </si>
  <si>
    <t>Tutte le cifre eccetto i dati azionari sono espresse in milioni di dollari</t>
  </si>
  <si>
    <t>Tasso di crescita</t>
  </si>
  <si>
    <t>Conto economico</t>
  </si>
  <si>
    <t>(in migliaia di dollari)</t>
  </si>
  <si>
    <t>Aliquote fiscali</t>
  </si>
  <si>
    <t>Stato patrimoniale</t>
  </si>
  <si>
    <t>Valore di mercato del capitale proprio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</si>
</sst>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&quot;$&quot;#,##0.00_);[Red]\(&quot;$&quot;#,##0.00\)"/>
    <numFmt numFmtId="166" formatCode="0.000%"/>
    <numFmt numFmtId="167" formatCode="0.0000%"/>
    <numFmt numFmtId="168" formatCode="#,##0.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0">
    <xf numFmtId="0" fontId="0" fillId="0" borderId="0" xfId="0"/>
    <xf numFmtId="4" fontId="0" fillId="0" borderId="0" xfId="0" applyNumberFormat="1"/>
    <xf numFmtId="0" fontId="1" fillId="0" borderId="0" xfId="0" applyFont="1"/>
    <xf numFmtId="9" fontId="0" fillId="0" borderId="0" xfId="0" applyNumberFormat="1"/>
    <xf numFmtId="38" fontId="0" fillId="0" borderId="0" xfId="0" applyNumberFormat="1"/>
    <xf numFmtId="10" fontId="0" fillId="0" borderId="0" xfId="0" applyNumberFormat="1"/>
    <xf numFmtId="40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0" fontId="0" fillId="2" borderId="0" xfId="0" applyNumberFormat="1" applyFill="1"/>
    <xf numFmtId="17" fontId="4" fillId="0" borderId="0" xfId="1" applyNumberFormat="1" applyFont="1"/>
    <xf numFmtId="0" fontId="3" fillId="0" borderId="0" xfId="0" applyFont="1"/>
    <xf numFmtId="3" fontId="0" fillId="0" borderId="0" xfId="0" applyNumberFormat="1"/>
    <xf numFmtId="168" fontId="0" fillId="0" borderId="0" xfId="0" applyNumberFormat="1"/>
    <xf numFmtId="0" fontId="0" fillId="0" borderId="0" xfId="0" applyFont="1"/>
    <xf numFmtId="0" fontId="1" fillId="3" borderId="0" xfId="0" applyFont="1" applyFill="1"/>
    <xf numFmtId="2" fontId="0" fillId="0" borderId="0" xfId="0" applyNumberFormat="1"/>
  </cellXfs>
  <cellStyles count="3">
    <cellStyle name="Normal 2" xfId="1" xr:uid="{00000000-0005-0000-0000-000000000000}"/>
    <cellStyle name="Normal 3" xfId="2" xr:uid="{00000000-0005-0000-0000-000001000000}"/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C12" sqref="C12"/>
    </sheetView>
  </sheetViews>
  <sheetFormatPr defaultColWidth="8.85546875" defaultRowHeight="12.75" x14ac:dyDescent="0.2"/>
  <cols>
    <col min="1" max="1" width="4.42578125" style="2" customWidth="1"/>
    <col min="2" max="2" width="57.85546875" bestFit="1" customWidth="1"/>
    <col min="3" max="3" width="13" customWidth="1"/>
    <col min="4" max="4" width="14.7109375" customWidth="1"/>
    <col min="5" max="5" width="11" bestFit="1" customWidth="1"/>
    <col min="6" max="6" width="10.42578125" customWidth="1"/>
    <col min="7" max="9" width="10.5703125" bestFit="1" customWidth="1"/>
    <col min="10" max="10" width="10.28515625" customWidth="1"/>
    <col min="11" max="11" width="9.7109375" customWidth="1"/>
    <col min="12" max="12" width="10.85546875" customWidth="1"/>
    <col min="13" max="13" width="10.5703125" bestFit="1" customWidth="1"/>
  </cols>
  <sheetData>
    <row r="1" spans="1:13" x14ac:dyDescent="0.2">
      <c r="A1" s="2" t="s">
        <v>85</v>
      </c>
      <c r="D1" s="14" t="s">
        <v>114</v>
      </c>
    </row>
    <row r="3" spans="1:13" x14ac:dyDescent="0.2">
      <c r="C3" t="s">
        <v>80</v>
      </c>
      <c r="D3" t="s">
        <v>81</v>
      </c>
      <c r="E3" t="s">
        <v>82</v>
      </c>
      <c r="F3" s="13"/>
    </row>
    <row r="4" spans="1:13" x14ac:dyDescent="0.2">
      <c r="A4" s="2" t="s">
        <v>6</v>
      </c>
      <c r="B4" t="s">
        <v>86</v>
      </c>
      <c r="C4">
        <v>139.88999999999999</v>
      </c>
      <c r="D4">
        <v>112.9</v>
      </c>
      <c r="E4">
        <v>102.64</v>
      </c>
    </row>
    <row r="6" spans="1:13" x14ac:dyDescent="0.2">
      <c r="A6" s="2">
        <v>2</v>
      </c>
      <c r="D6" s="14" t="s">
        <v>115</v>
      </c>
      <c r="E6" s="3">
        <v>0.1</v>
      </c>
      <c r="G6" s="3">
        <v>0.05</v>
      </c>
    </row>
    <row r="7" spans="1:13" x14ac:dyDescent="0.2">
      <c r="B7" t="s">
        <v>87</v>
      </c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</row>
    <row r="8" spans="1:13" x14ac:dyDescent="0.2">
      <c r="B8" t="s">
        <v>88</v>
      </c>
      <c r="C8" s="4">
        <v>-1500</v>
      </c>
      <c r="D8" s="4">
        <v>220</v>
      </c>
      <c r="E8" s="4">
        <f>D8*(1+$E$6)</f>
        <v>242.00000000000003</v>
      </c>
      <c r="F8" s="4">
        <f>E8*(1+$E$6)</f>
        <v>266.20000000000005</v>
      </c>
      <c r="G8" s="4">
        <f>F8*(1+$G$6)</f>
        <v>279.51000000000005</v>
      </c>
      <c r="H8" s="4">
        <f t="shared" ref="H8:M8" si="0">G8*(1+$G$6)</f>
        <v>293.48550000000006</v>
      </c>
      <c r="I8" s="4">
        <f t="shared" si="0"/>
        <v>308.15977500000008</v>
      </c>
      <c r="J8" s="4">
        <f t="shared" si="0"/>
        <v>323.5677637500001</v>
      </c>
      <c r="K8" s="4">
        <f t="shared" si="0"/>
        <v>339.74615193750014</v>
      </c>
      <c r="L8" s="4">
        <f t="shared" si="0"/>
        <v>356.73345953437519</v>
      </c>
      <c r="M8" s="4">
        <f t="shared" si="0"/>
        <v>374.57013251109396</v>
      </c>
    </row>
    <row r="10" spans="1:13" x14ac:dyDescent="0.2">
      <c r="A10" s="2">
        <v>3</v>
      </c>
    </row>
    <row r="11" spans="1:13" x14ac:dyDescent="0.2">
      <c r="A11" s="2" t="s">
        <v>8</v>
      </c>
      <c r="B11" s="14" t="s">
        <v>89</v>
      </c>
      <c r="C11" s="10">
        <f>C15+C13*0.045</f>
        <v>1.7299999999999999E-2</v>
      </c>
    </row>
    <row r="12" spans="1:13" x14ac:dyDescent="0.2">
      <c r="B12" s="14" t="s">
        <v>90</v>
      </c>
      <c r="C12" s="17" t="s">
        <v>84</v>
      </c>
    </row>
    <row r="13" spans="1:13" x14ac:dyDescent="0.2">
      <c r="B13" s="14" t="s">
        <v>91</v>
      </c>
      <c r="C13" s="14">
        <v>0</v>
      </c>
    </row>
    <row r="14" spans="1:13" x14ac:dyDescent="0.2">
      <c r="A14" s="2" t="s">
        <v>9</v>
      </c>
    </row>
    <row r="15" spans="1:13" x14ac:dyDescent="0.2">
      <c r="A15" s="2" t="s">
        <v>9</v>
      </c>
      <c r="B15" t="s">
        <v>92</v>
      </c>
      <c r="C15" s="5">
        <v>1.7299999999999999E-2</v>
      </c>
    </row>
    <row r="16" spans="1:13" x14ac:dyDescent="0.2">
      <c r="A16" s="2" t="s">
        <v>10</v>
      </c>
      <c r="B16" t="s">
        <v>7</v>
      </c>
      <c r="C16">
        <v>0.57999999999999996</v>
      </c>
    </row>
    <row r="18" spans="1:6" x14ac:dyDescent="0.2">
      <c r="A18" s="2" t="s">
        <v>11</v>
      </c>
      <c r="B18" t="s">
        <v>93</v>
      </c>
      <c r="C18" s="11">
        <f>C15+C16*0.045</f>
        <v>4.3399999999999994E-2</v>
      </c>
    </row>
    <row r="20" spans="1:6" x14ac:dyDescent="0.2">
      <c r="A20" s="2" t="s">
        <v>12</v>
      </c>
    </row>
    <row r="21" spans="1:6" x14ac:dyDescent="0.2">
      <c r="C21" t="s">
        <v>80</v>
      </c>
      <c r="D21" t="s">
        <v>81</v>
      </c>
      <c r="E21" t="s">
        <v>82</v>
      </c>
      <c r="F21" s="13"/>
    </row>
    <row r="22" spans="1:6" x14ac:dyDescent="0.2">
      <c r="A22" s="2" t="s">
        <v>13</v>
      </c>
      <c r="B22" t="s">
        <v>94</v>
      </c>
      <c r="C22" s="16">
        <f>('Rendiconti finanziari'!B50+'Rendiconti finanziari'!B53-'Rendiconti finanziari'!B33-'Rendiconti finanziari'!B34)/1000</f>
        <v>122367</v>
      </c>
      <c r="D22" s="16">
        <f>('Rendiconti finanziari'!C50+'Rendiconti finanziari'!C53-'Rendiconti finanziari'!C33-'Rendiconti finanziari'!C34)/1000</f>
        <v>125306</v>
      </c>
      <c r="E22" s="16">
        <f>('Rendiconti finanziari'!D50+'Rendiconti finanziari'!D53-'Rendiconti finanziari'!D33-'Rendiconti finanziari'!D34)/1000</f>
        <v>122986</v>
      </c>
      <c r="F22" s="1"/>
    </row>
    <row r="24" spans="1:6" x14ac:dyDescent="0.2">
      <c r="A24" s="2" t="s">
        <v>14</v>
      </c>
      <c r="B24" s="14" t="s">
        <v>120</v>
      </c>
      <c r="C24" s="6">
        <f>C4*'Rendiconti finanziari'!B72</f>
        <v>444403.95089999994</v>
      </c>
      <c r="D24" s="6">
        <f>D4*'Rendiconti finanziari'!C72</f>
        <v>357867.033</v>
      </c>
      <c r="E24" s="6">
        <f>E4*'Rendiconti finanziari'!D72</f>
        <v>326067.77840000001</v>
      </c>
      <c r="F24" s="6"/>
    </row>
    <row r="26" spans="1:6" x14ac:dyDescent="0.2">
      <c r="A26" s="2" t="s">
        <v>15</v>
      </c>
      <c r="B26" t="s">
        <v>95</v>
      </c>
      <c r="C26" s="1">
        <f>C22+C24</f>
        <v>566770.95089999994</v>
      </c>
      <c r="D26" s="1">
        <f>D22+D24</f>
        <v>483173.033</v>
      </c>
      <c r="E26" s="1">
        <f>E22+E24</f>
        <v>449053.77840000001</v>
      </c>
      <c r="F26" s="1"/>
    </row>
    <row r="28" spans="1:6" x14ac:dyDescent="0.2">
      <c r="A28" s="2" t="s">
        <v>16</v>
      </c>
      <c r="B28" t="s">
        <v>96</v>
      </c>
      <c r="C28" s="5">
        <f>C22/C26</f>
        <v>0.21590203203902419</v>
      </c>
      <c r="D28" s="5">
        <f>D22/D26</f>
        <v>0.25933980466993489</v>
      </c>
      <c r="E28" s="5">
        <f>E22/E26</f>
        <v>0.2738781097404524</v>
      </c>
    </row>
    <row r="30" spans="1:6" x14ac:dyDescent="0.2">
      <c r="B30" t="s">
        <v>97</v>
      </c>
      <c r="C30" s="12">
        <f>AVERAGE(C28:E28)</f>
        <v>0.24970664881647051</v>
      </c>
    </row>
    <row r="31" spans="1:6" x14ac:dyDescent="0.2">
      <c r="C31" s="5"/>
    </row>
    <row r="32" spans="1:6" x14ac:dyDescent="0.2">
      <c r="A32" s="2" t="s">
        <v>17</v>
      </c>
      <c r="B32" t="s">
        <v>98</v>
      </c>
      <c r="C32" s="12">
        <f>AVERAGE('Rendiconti finanziari'!E18:G18)</f>
        <v>0.33880950337395194</v>
      </c>
    </row>
    <row r="34" spans="1:13" x14ac:dyDescent="0.2">
      <c r="A34" s="2" t="s">
        <v>18</v>
      </c>
      <c r="B34" s="14" t="s">
        <v>99</v>
      </c>
      <c r="C34" s="12">
        <f>(1-C30)*C18+C30*C11*(1-C32)</f>
        <v>3.5419024813718107E-2</v>
      </c>
    </row>
    <row r="36" spans="1:13" x14ac:dyDescent="0.2">
      <c r="A36" s="2">
        <v>4</v>
      </c>
      <c r="B36" s="18" t="s">
        <v>100</v>
      </c>
      <c r="C36" s="9">
        <f>NPV(C34,D8:M8)+C8</f>
        <v>953.91360848287786</v>
      </c>
    </row>
    <row r="38" spans="1:13" x14ac:dyDescent="0.2">
      <c r="A38" s="2">
        <v>5</v>
      </c>
      <c r="B38" s="14" t="s">
        <v>101</v>
      </c>
      <c r="C38" s="5">
        <f>(1-C30)*C18+C30*C11</f>
        <v>3.6882656465890111E-2</v>
      </c>
    </row>
    <row r="40" spans="1:13" x14ac:dyDescent="0.2">
      <c r="B40" s="14" t="s">
        <v>102</v>
      </c>
      <c r="C40" s="8">
        <f>NPV(C38,D8:M8)</f>
        <v>2434.3573340616476</v>
      </c>
    </row>
    <row r="42" spans="1:13" x14ac:dyDescent="0.2">
      <c r="B42" s="14" t="s">
        <v>103</v>
      </c>
      <c r="C42" s="4">
        <f t="shared" ref="C42:J42" si="1">(D8+D42)/(1+$C$34)</f>
        <v>2453.9136084828779</v>
      </c>
      <c r="D42" s="4">
        <f t="shared" si="1"/>
        <v>2320.8288354724532</v>
      </c>
      <c r="E42" s="4">
        <f t="shared" si="1"/>
        <v>2161.0303295844442</v>
      </c>
      <c r="F42" s="4">
        <f t="shared" si="1"/>
        <v>1971.3719164511929</v>
      </c>
      <c r="G42" s="4">
        <f t="shared" si="1"/>
        <v>1761.6859872770447</v>
      </c>
      <c r="H42" s="4">
        <f t="shared" si="1"/>
        <v>1530.5976869743897</v>
      </c>
      <c r="I42" s="4">
        <f t="shared" si="1"/>
        <v>1276.650189429155</v>
      </c>
      <c r="J42" s="4">
        <f t="shared" si="1"/>
        <v>998.30013041698408</v>
      </c>
      <c r="K42" s="4">
        <f>(L8+L42)/(1+$C$34)</f>
        <v>693.91279557026121</v>
      </c>
      <c r="L42" s="4">
        <f>M8/(1+$C$34)</f>
        <v>361.75705056074548</v>
      </c>
    </row>
    <row r="43" spans="1:13" x14ac:dyDescent="0.2">
      <c r="B43" s="14" t="s">
        <v>104</v>
      </c>
      <c r="C43" s="4">
        <f>C42*$C$30</f>
        <v>612.75854365939188</v>
      </c>
      <c r="D43" s="4">
        <f t="shared" ref="D43:L43" si="2">D42*$C$30</f>
        <v>579.52639098245811</v>
      </c>
      <c r="E43" s="4">
        <f t="shared" si="2"/>
        <v>539.62364159128435</v>
      </c>
      <c r="F43" s="4">
        <f t="shared" si="2"/>
        <v>492.26467482793043</v>
      </c>
      <c r="G43" s="4">
        <f t="shared" si="2"/>
        <v>439.90470414988613</v>
      </c>
      <c r="H43" s="4">
        <f t="shared" si="2"/>
        <v>382.20041910061599</v>
      </c>
      <c r="I43" s="4">
        <f t="shared" si="2"/>
        <v>318.78804051326654</v>
      </c>
      <c r="J43" s="4">
        <f t="shared" si="2"/>
        <v>249.28218007947055</v>
      </c>
      <c r="K43" s="4">
        <f t="shared" si="2"/>
        <v>173.27463875271852</v>
      </c>
      <c r="L43" s="4">
        <f t="shared" si="2"/>
        <v>90.333140781254244</v>
      </c>
    </row>
    <row r="45" spans="1:13" x14ac:dyDescent="0.2">
      <c r="B45" t="s">
        <v>105</v>
      </c>
      <c r="D45" s="6">
        <f>C43*$C$11</f>
        <v>10.600722805307479</v>
      </c>
      <c r="E45" s="6">
        <f t="shared" ref="E45:M45" si="3">D43*$C$11</f>
        <v>10.025806563996525</v>
      </c>
      <c r="F45" s="6">
        <f t="shared" si="3"/>
        <v>9.3354889995292183</v>
      </c>
      <c r="G45" s="6">
        <f t="shared" si="3"/>
        <v>8.516178874523197</v>
      </c>
      <c r="H45" s="6">
        <f t="shared" si="3"/>
        <v>7.6103513817930297</v>
      </c>
      <c r="I45" s="6">
        <f t="shared" si="3"/>
        <v>6.6120672504406564</v>
      </c>
      <c r="J45" s="6">
        <f t="shared" si="3"/>
        <v>5.5150331008795108</v>
      </c>
      <c r="K45" s="6">
        <f t="shared" si="3"/>
        <v>4.31258171537484</v>
      </c>
      <c r="L45" s="6">
        <f t="shared" si="3"/>
        <v>2.9976512504220301</v>
      </c>
      <c r="M45" s="6">
        <f t="shared" si="3"/>
        <v>1.5627633355156985</v>
      </c>
    </row>
    <row r="46" spans="1:13" x14ac:dyDescent="0.2">
      <c r="B46" t="s">
        <v>106</v>
      </c>
      <c r="D46" s="6">
        <f>D45*$C$32</f>
        <v>3.5916256290711535</v>
      </c>
      <c r="E46" s="6">
        <f t="shared" ref="E46:M46" si="4">E45*$C$32</f>
        <v>3.3968385428709702</v>
      </c>
      <c r="F46" s="6">
        <f t="shared" si="4"/>
        <v>3.1629523916834859</v>
      </c>
      <c r="G46" s="6">
        <f t="shared" si="4"/>
        <v>2.8853623351209454</v>
      </c>
      <c r="H46" s="6">
        <f t="shared" si="4"/>
        <v>2.5784593721665652</v>
      </c>
      <c r="I46" s="6">
        <f t="shared" si="4"/>
        <v>2.2402312213969706</v>
      </c>
      <c r="J46" s="6">
        <f t="shared" si="4"/>
        <v>1.8685456259998932</v>
      </c>
      <c r="K46" s="6">
        <f t="shared" si="4"/>
        <v>1.4611436692457354</v>
      </c>
      <c r="L46" s="6">
        <f t="shared" si="4"/>
        <v>1.0156327314437941</v>
      </c>
      <c r="M46" s="6">
        <f t="shared" si="4"/>
        <v>0.52947906959709445</v>
      </c>
    </row>
    <row r="48" spans="1:13" x14ac:dyDescent="0.2">
      <c r="B48" t="s">
        <v>107</v>
      </c>
      <c r="C48" s="7">
        <f>NPV(C38,D46:M46)</f>
        <v>19.55627442122864</v>
      </c>
    </row>
    <row r="50" spans="2:13" x14ac:dyDescent="0.2">
      <c r="B50" t="s">
        <v>103</v>
      </c>
      <c r="C50" s="7">
        <f>C40+C48</f>
        <v>2453.9136084828765</v>
      </c>
    </row>
    <row r="52" spans="2:13" x14ac:dyDescent="0.2">
      <c r="B52" s="18" t="s">
        <v>108</v>
      </c>
      <c r="C52" s="9">
        <f>C50+C8</f>
        <v>953.9136084828765</v>
      </c>
    </row>
    <row r="55" spans="2:13" x14ac:dyDescent="0.2">
      <c r="B55" s="2" t="s">
        <v>109</v>
      </c>
    </row>
    <row r="57" spans="2:13" x14ac:dyDescent="0.2">
      <c r="B57" s="14" t="s">
        <v>110</v>
      </c>
      <c r="D57" s="19">
        <f>D45*(1-$C$32)</f>
        <v>7.0090971762363248</v>
      </c>
      <c r="E57" s="19">
        <f t="shared" ref="E57:M57" si="5">E45*(1-$C$32)</f>
        <v>6.6289680211255542</v>
      </c>
      <c r="F57" s="19">
        <f t="shared" si="5"/>
        <v>6.172536607845732</v>
      </c>
      <c r="G57" s="19">
        <f t="shared" si="5"/>
        <v>5.6308165394022511</v>
      </c>
      <c r="H57" s="19">
        <f t="shared" si="5"/>
        <v>5.0318920096264641</v>
      </c>
      <c r="I57" s="19">
        <f t="shared" si="5"/>
        <v>4.3718360290436857</v>
      </c>
      <c r="J57" s="19">
        <f t="shared" si="5"/>
        <v>3.6464874748796174</v>
      </c>
      <c r="K57" s="19">
        <f t="shared" si="5"/>
        <v>2.8514380461291045</v>
      </c>
      <c r="L57" s="19">
        <f t="shared" si="5"/>
        <v>1.9820185189782358</v>
      </c>
      <c r="M57" s="19">
        <f t="shared" si="5"/>
        <v>1.0332842659186039</v>
      </c>
    </row>
    <row r="59" spans="2:13" x14ac:dyDescent="0.2">
      <c r="B59" s="14" t="s">
        <v>111</v>
      </c>
      <c r="C59" s="4">
        <f>C43</f>
        <v>612.75854365939188</v>
      </c>
      <c r="D59" s="4">
        <f>D43-C43</f>
        <v>-33.232152676933765</v>
      </c>
      <c r="E59" s="4">
        <f t="shared" ref="E59:M59" si="6">E43-D43</f>
        <v>-39.902749391173757</v>
      </c>
      <c r="F59" s="4">
        <f t="shared" si="6"/>
        <v>-47.358966763353919</v>
      </c>
      <c r="G59" s="4">
        <f t="shared" si="6"/>
        <v>-52.359970678044306</v>
      </c>
      <c r="H59" s="4">
        <f t="shared" si="6"/>
        <v>-57.70428504927014</v>
      </c>
      <c r="I59" s="4">
        <f t="shared" si="6"/>
        <v>-63.412378587349451</v>
      </c>
      <c r="J59" s="4">
        <f t="shared" si="6"/>
        <v>-69.505860433795988</v>
      </c>
      <c r="K59" s="4">
        <f t="shared" si="6"/>
        <v>-76.007541326752033</v>
      </c>
      <c r="L59" s="4">
        <f t="shared" si="6"/>
        <v>-82.941497971464273</v>
      </c>
      <c r="M59" s="4">
        <f t="shared" si="6"/>
        <v>-90.333140781254244</v>
      </c>
    </row>
    <row r="61" spans="2:13" x14ac:dyDescent="0.2">
      <c r="B61" s="14" t="s">
        <v>112</v>
      </c>
      <c r="C61" s="4">
        <f>C8-C57+C59</f>
        <v>-887.24145634060812</v>
      </c>
      <c r="D61" s="4">
        <f t="shared" ref="D61:M61" si="7">D8-D57+D59</f>
        <v>179.7587501468299</v>
      </c>
      <c r="E61" s="4">
        <f t="shared" si="7"/>
        <v>195.46828258770071</v>
      </c>
      <c r="F61" s="4">
        <f t="shared" si="7"/>
        <v>212.66849662880037</v>
      </c>
      <c r="G61" s="4">
        <f t="shared" si="7"/>
        <v>221.5192127825535</v>
      </c>
      <c r="H61" s="4">
        <f t="shared" si="7"/>
        <v>230.74932294110346</v>
      </c>
      <c r="I61" s="4">
        <f t="shared" si="7"/>
        <v>240.37556038360697</v>
      </c>
      <c r="J61" s="4">
        <f t="shared" si="7"/>
        <v>250.41541584132449</v>
      </c>
      <c r="K61" s="4">
        <f t="shared" si="7"/>
        <v>260.88717256461905</v>
      </c>
      <c r="L61" s="4">
        <f t="shared" si="7"/>
        <v>271.80994304393266</v>
      </c>
      <c r="M61" s="4">
        <f t="shared" si="7"/>
        <v>283.20370746392109</v>
      </c>
    </row>
    <row r="63" spans="2:13" x14ac:dyDescent="0.2">
      <c r="B63" s="18" t="s">
        <v>113</v>
      </c>
      <c r="C63" s="9">
        <f>NPV(C18,D61:M61)+C61</f>
        <v>953.91360848287616</v>
      </c>
    </row>
    <row r="65" spans="2:2" x14ac:dyDescent="0.2">
      <c r="B65" s="14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workbookViewId="0">
      <selection activeCell="E18" sqref="E18"/>
    </sheetView>
  </sheetViews>
  <sheetFormatPr defaultColWidth="8.85546875" defaultRowHeight="12.75" x14ac:dyDescent="0.2"/>
  <cols>
    <col min="1" max="1" width="33.140625" bestFit="1" customWidth="1"/>
    <col min="2" max="2" width="11.140625" bestFit="1" customWidth="1"/>
    <col min="3" max="3" width="11" bestFit="1" customWidth="1"/>
    <col min="4" max="4" width="11.140625" bestFit="1" customWidth="1"/>
    <col min="8" max="10" width="10.42578125" bestFit="1" customWidth="1"/>
  </cols>
  <sheetData>
    <row r="1" spans="1:4" x14ac:dyDescent="0.2">
      <c r="A1" s="2" t="s">
        <v>116</v>
      </c>
      <c r="B1" s="14" t="s">
        <v>117</v>
      </c>
    </row>
    <row r="2" spans="1:4" x14ac:dyDescent="0.2">
      <c r="A2" t="s">
        <v>28</v>
      </c>
      <c r="B2" t="s">
        <v>80</v>
      </c>
      <c r="C2" t="s">
        <v>81</v>
      </c>
      <c r="D2" t="s">
        <v>82</v>
      </c>
    </row>
    <row r="3" spans="1:4" x14ac:dyDescent="0.2">
      <c r="A3" t="s">
        <v>19</v>
      </c>
      <c r="B3" s="15">
        <v>227096000</v>
      </c>
      <c r="C3" s="15">
        <v>249472000</v>
      </c>
      <c r="D3" s="15">
        <v>234289000</v>
      </c>
    </row>
    <row r="4" spans="1:4" x14ac:dyDescent="0.2">
      <c r="A4" t="s">
        <v>29</v>
      </c>
      <c r="B4" s="15">
        <v>182128000</v>
      </c>
      <c r="C4" s="15">
        <v>201982000</v>
      </c>
      <c r="D4" s="15">
        <v>197940000</v>
      </c>
    </row>
    <row r="5" spans="1:4" x14ac:dyDescent="0.2">
      <c r="A5" t="s">
        <v>30</v>
      </c>
      <c r="B5" s="15">
        <v>44968000</v>
      </c>
      <c r="C5" s="15">
        <v>47490000</v>
      </c>
      <c r="D5" s="15">
        <v>36349000</v>
      </c>
    </row>
    <row r="6" spans="1:4" x14ac:dyDescent="0.2">
      <c r="A6" t="s">
        <v>31</v>
      </c>
    </row>
    <row r="7" spans="1:4" x14ac:dyDescent="0.2">
      <c r="A7" t="s">
        <v>32</v>
      </c>
      <c r="B7" t="s">
        <v>33</v>
      </c>
      <c r="C7" t="s">
        <v>33</v>
      </c>
      <c r="D7" t="s">
        <v>33</v>
      </c>
    </row>
    <row r="8" spans="1:4" x14ac:dyDescent="0.2">
      <c r="A8" t="s">
        <v>34</v>
      </c>
      <c r="B8" s="15">
        <v>22033000</v>
      </c>
      <c r="C8" s="15">
        <v>25233000</v>
      </c>
      <c r="D8" s="15">
        <v>22323000</v>
      </c>
    </row>
    <row r="9" spans="1:4" x14ac:dyDescent="0.2">
      <c r="A9" t="s">
        <v>35</v>
      </c>
      <c r="B9" t="s">
        <v>33</v>
      </c>
      <c r="C9" t="s">
        <v>33</v>
      </c>
      <c r="D9" t="s">
        <v>33</v>
      </c>
    </row>
    <row r="10" spans="1:4" x14ac:dyDescent="0.2">
      <c r="A10" t="s">
        <v>36</v>
      </c>
      <c r="B10" t="s">
        <v>33</v>
      </c>
      <c r="C10" t="s">
        <v>33</v>
      </c>
      <c r="D10" t="s">
        <v>33</v>
      </c>
    </row>
    <row r="11" spans="1:4" x14ac:dyDescent="0.2">
      <c r="A11" t="s">
        <v>37</v>
      </c>
      <c r="B11" t="s">
        <v>33</v>
      </c>
      <c r="C11" t="s">
        <v>33</v>
      </c>
      <c r="D11" t="s">
        <v>33</v>
      </c>
    </row>
    <row r="12" spans="1:4" x14ac:dyDescent="0.2">
      <c r="A12" t="s">
        <v>38</v>
      </c>
      <c r="B12" s="15">
        <v>22936000</v>
      </c>
      <c r="C12" s="15">
        <v>22257000</v>
      </c>
      <c r="D12" s="15">
        <v>14026000</v>
      </c>
    </row>
    <row r="13" spans="1:4" x14ac:dyDescent="0.2">
      <c r="A13" t="s">
        <v>39</v>
      </c>
    </row>
    <row r="14" spans="1:4" x14ac:dyDescent="0.2">
      <c r="A14" t="s">
        <v>40</v>
      </c>
      <c r="B14" s="15">
        <v>1377000</v>
      </c>
      <c r="C14" s="15">
        <v>1637000</v>
      </c>
      <c r="D14" s="15">
        <v>1123000</v>
      </c>
    </row>
    <row r="15" spans="1:4" x14ac:dyDescent="0.2">
      <c r="A15" t="s">
        <v>41</v>
      </c>
      <c r="B15" s="15">
        <v>24313000</v>
      </c>
      <c r="C15" s="15">
        <v>23894000</v>
      </c>
      <c r="D15" s="15">
        <v>15149000</v>
      </c>
    </row>
    <row r="16" spans="1:4" x14ac:dyDescent="0.2">
      <c r="A16" t="s">
        <v>0</v>
      </c>
      <c r="B16" s="15">
        <v>191000</v>
      </c>
      <c r="C16" s="15">
        <v>191000</v>
      </c>
      <c r="D16" s="15">
        <v>244000</v>
      </c>
    </row>
    <row r="17" spans="1:10" x14ac:dyDescent="0.2">
      <c r="A17" t="s">
        <v>42</v>
      </c>
      <c r="B17" s="15">
        <v>24122000</v>
      </c>
      <c r="C17" s="15">
        <v>23703000</v>
      </c>
      <c r="D17" s="15">
        <v>14905000</v>
      </c>
      <c r="E17" s="2" t="s">
        <v>118</v>
      </c>
    </row>
    <row r="18" spans="1:10" x14ac:dyDescent="0.2">
      <c r="A18" t="s">
        <v>43</v>
      </c>
      <c r="B18" s="15">
        <v>7450000</v>
      </c>
      <c r="C18" s="15">
        <v>7456000</v>
      </c>
      <c r="D18" s="15">
        <v>5858000</v>
      </c>
      <c r="E18">
        <f>B18/B17</f>
        <v>0.30884669596219216</v>
      </c>
      <c r="F18">
        <f>C18/C17</f>
        <v>0.31455933848036116</v>
      </c>
      <c r="G18">
        <f>D18/D17</f>
        <v>0.39302247567930226</v>
      </c>
    </row>
    <row r="19" spans="1:10" x14ac:dyDescent="0.2">
      <c r="A19" t="s">
        <v>1</v>
      </c>
      <c r="B19" s="15">
        <v>-1122000</v>
      </c>
      <c r="C19" s="15">
        <v>-1636000</v>
      </c>
      <c r="D19" s="15">
        <v>-1288000</v>
      </c>
    </row>
    <row r="20" spans="1:10" x14ac:dyDescent="0.2">
      <c r="A20" t="s">
        <v>44</v>
      </c>
      <c r="B20" s="15">
        <v>18122000</v>
      </c>
      <c r="C20" s="15">
        <v>17703000</v>
      </c>
      <c r="D20" s="15">
        <v>10217000</v>
      </c>
    </row>
    <row r="21" spans="1:10" x14ac:dyDescent="0.2">
      <c r="A21" t="s">
        <v>45</v>
      </c>
    </row>
    <row r="22" spans="1:10" x14ac:dyDescent="0.2">
      <c r="A22" t="s">
        <v>46</v>
      </c>
      <c r="B22" t="s">
        <v>33</v>
      </c>
      <c r="C22" t="s">
        <v>33</v>
      </c>
      <c r="D22" t="s">
        <v>33</v>
      </c>
    </row>
    <row r="23" spans="1:10" x14ac:dyDescent="0.2">
      <c r="A23" t="s">
        <v>47</v>
      </c>
      <c r="B23" t="s">
        <v>33</v>
      </c>
      <c r="C23" t="s">
        <v>33</v>
      </c>
      <c r="D23" t="s">
        <v>33</v>
      </c>
    </row>
    <row r="24" spans="1:10" x14ac:dyDescent="0.2">
      <c r="A24" t="s">
        <v>48</v>
      </c>
      <c r="B24" t="s">
        <v>33</v>
      </c>
      <c r="C24" t="s">
        <v>33</v>
      </c>
      <c r="D24" t="s">
        <v>33</v>
      </c>
    </row>
    <row r="25" spans="1:10" x14ac:dyDescent="0.2">
      <c r="A25" t="s">
        <v>49</v>
      </c>
      <c r="B25" t="s">
        <v>33</v>
      </c>
      <c r="C25" t="s">
        <v>33</v>
      </c>
      <c r="D25" t="s">
        <v>33</v>
      </c>
    </row>
    <row r="26" spans="1:10" x14ac:dyDescent="0.2">
      <c r="A26" t="s">
        <v>50</v>
      </c>
      <c r="B26" s="15">
        <v>18122000</v>
      </c>
      <c r="C26" s="15">
        <v>17703000</v>
      </c>
      <c r="D26" s="15">
        <v>10217000</v>
      </c>
    </row>
    <row r="27" spans="1:10" x14ac:dyDescent="0.2">
      <c r="A27" t="s">
        <v>51</v>
      </c>
      <c r="B27" t="s">
        <v>33</v>
      </c>
      <c r="C27" t="s">
        <v>33</v>
      </c>
      <c r="D27" t="s">
        <v>33</v>
      </c>
    </row>
    <row r="28" spans="1:10" x14ac:dyDescent="0.2">
      <c r="A28" t="s">
        <v>52</v>
      </c>
      <c r="B28" s="15">
        <v>18122000</v>
      </c>
      <c r="C28" s="15">
        <v>17703000</v>
      </c>
      <c r="D28" s="15">
        <v>10217000</v>
      </c>
    </row>
    <row r="30" spans="1:10" x14ac:dyDescent="0.2">
      <c r="A30" s="2" t="s">
        <v>119</v>
      </c>
      <c r="B30" s="14" t="s">
        <v>117</v>
      </c>
    </row>
    <row r="31" spans="1:10" x14ac:dyDescent="0.2">
      <c r="A31" t="s">
        <v>2</v>
      </c>
      <c r="G31" t="s">
        <v>53</v>
      </c>
    </row>
    <row r="32" spans="1:10" x14ac:dyDescent="0.2">
      <c r="A32" t="s">
        <v>53</v>
      </c>
      <c r="G32" t="s">
        <v>54</v>
      </c>
      <c r="H32" s="15">
        <v>19050000</v>
      </c>
      <c r="I32" s="15">
        <v>19820000</v>
      </c>
      <c r="J32" s="15">
        <v>18246000</v>
      </c>
    </row>
    <row r="33" spans="1:10" x14ac:dyDescent="0.2">
      <c r="A33" t="s">
        <v>54</v>
      </c>
      <c r="B33" s="15">
        <v>19050000</v>
      </c>
      <c r="C33" s="15">
        <v>19820000</v>
      </c>
      <c r="D33" s="15">
        <v>18246000</v>
      </c>
      <c r="G33" t="s">
        <v>55</v>
      </c>
      <c r="H33" s="15">
        <v>24444000</v>
      </c>
      <c r="I33" s="15">
        <v>21625000</v>
      </c>
      <c r="J33" s="15">
        <v>16484000</v>
      </c>
    </row>
    <row r="34" spans="1:10" x14ac:dyDescent="0.2">
      <c r="A34" t="s">
        <v>55</v>
      </c>
      <c r="B34" s="15">
        <v>24444000</v>
      </c>
      <c r="C34" s="15">
        <v>21625000</v>
      </c>
      <c r="D34" s="15">
        <v>16484000</v>
      </c>
      <c r="G34" t="s">
        <v>56</v>
      </c>
      <c r="H34" s="15">
        <v>81530000</v>
      </c>
      <c r="I34" s="15">
        <v>86253000</v>
      </c>
      <c r="J34" s="15">
        <v>87831000</v>
      </c>
    </row>
    <row r="35" spans="1:10" x14ac:dyDescent="0.2">
      <c r="A35" t="s">
        <v>56</v>
      </c>
      <c r="B35" s="15">
        <v>81530000</v>
      </c>
      <c r="C35" s="15">
        <v>86253000</v>
      </c>
      <c r="D35" s="15">
        <v>87831000</v>
      </c>
      <c r="G35" t="s">
        <v>57</v>
      </c>
      <c r="H35" s="15">
        <v>17825000</v>
      </c>
      <c r="I35" s="15">
        <v>18398000</v>
      </c>
      <c r="J35" s="15">
        <v>18219000</v>
      </c>
    </row>
    <row r="36" spans="1:10" x14ac:dyDescent="0.2">
      <c r="A36" t="s">
        <v>57</v>
      </c>
      <c r="B36" s="15">
        <v>17825000</v>
      </c>
      <c r="C36" s="15">
        <v>18398000</v>
      </c>
      <c r="D36" s="15">
        <v>18219000</v>
      </c>
      <c r="G36" t="s">
        <v>20</v>
      </c>
      <c r="H36" s="15">
        <v>6716000</v>
      </c>
      <c r="I36" s="15">
        <v>6525000</v>
      </c>
      <c r="J36" s="15">
        <v>5596000</v>
      </c>
    </row>
    <row r="37" spans="1:10" x14ac:dyDescent="0.2">
      <c r="A37" t="s">
        <v>20</v>
      </c>
      <c r="B37" s="15">
        <v>6716000</v>
      </c>
      <c r="C37" s="15">
        <v>6525000</v>
      </c>
      <c r="D37" s="15">
        <v>5596000</v>
      </c>
      <c r="G37" t="s">
        <v>21</v>
      </c>
      <c r="H37" s="15">
        <v>149563000</v>
      </c>
      <c r="I37" s="15">
        <v>152621000</v>
      </c>
      <c r="J37" s="15">
        <v>146375000</v>
      </c>
    </row>
    <row r="38" spans="1:10" x14ac:dyDescent="0.2">
      <c r="A38" t="s">
        <v>21</v>
      </c>
      <c r="B38" s="15">
        <v>149563000</v>
      </c>
      <c r="C38" s="15">
        <v>152621000</v>
      </c>
      <c r="D38" s="15">
        <v>146375000</v>
      </c>
      <c r="G38" t="s">
        <v>58</v>
      </c>
      <c r="H38" s="15">
        <v>163197000</v>
      </c>
      <c r="I38" s="15">
        <v>168395000</v>
      </c>
      <c r="J38" s="15">
        <v>151605000</v>
      </c>
    </row>
    <row r="39" spans="1:10" x14ac:dyDescent="0.2">
      <c r="A39" t="s">
        <v>58</v>
      </c>
      <c r="B39" s="15">
        <v>163197000</v>
      </c>
      <c r="C39" s="15">
        <v>168395000</v>
      </c>
      <c r="D39" s="15">
        <v>151605000</v>
      </c>
      <c r="G39" t="s">
        <v>59</v>
      </c>
      <c r="H39" s="15">
        <v>77513000</v>
      </c>
      <c r="I39" s="15">
        <v>74198000</v>
      </c>
      <c r="J39" s="15">
        <v>72750000</v>
      </c>
    </row>
    <row r="40" spans="1:10" x14ac:dyDescent="0.2">
      <c r="A40" t="s">
        <v>59</v>
      </c>
      <c r="B40" s="15">
        <v>77513000</v>
      </c>
      <c r="C40" s="15">
        <v>74198000</v>
      </c>
      <c r="D40" s="15">
        <v>72750000</v>
      </c>
      <c r="G40" t="s">
        <v>60</v>
      </c>
      <c r="H40" t="s">
        <v>83</v>
      </c>
      <c r="I40" t="s">
        <v>83</v>
      </c>
      <c r="J40" t="s">
        <v>83</v>
      </c>
    </row>
    <row r="41" spans="1:10" x14ac:dyDescent="0.2">
      <c r="A41" t="s">
        <v>60</v>
      </c>
      <c r="B41" t="s">
        <v>33</v>
      </c>
      <c r="C41" t="s">
        <v>33</v>
      </c>
      <c r="D41" t="s">
        <v>33</v>
      </c>
      <c r="G41" t="s">
        <v>61</v>
      </c>
      <c r="H41" t="s">
        <v>83</v>
      </c>
      <c r="I41" t="s">
        <v>83</v>
      </c>
      <c r="J41" t="s">
        <v>83</v>
      </c>
    </row>
    <row r="42" spans="1:10" x14ac:dyDescent="0.2">
      <c r="A42" t="s">
        <v>61</v>
      </c>
      <c r="B42" t="s">
        <v>33</v>
      </c>
      <c r="C42" t="s">
        <v>33</v>
      </c>
      <c r="D42" t="s">
        <v>33</v>
      </c>
      <c r="G42" t="s">
        <v>62</v>
      </c>
      <c r="H42" t="s">
        <v>83</v>
      </c>
      <c r="I42" t="s">
        <v>83</v>
      </c>
      <c r="J42" t="s">
        <v>83</v>
      </c>
    </row>
    <row r="43" spans="1:10" x14ac:dyDescent="0.2">
      <c r="A43" t="s">
        <v>62</v>
      </c>
      <c r="B43" t="s">
        <v>33</v>
      </c>
      <c r="C43" t="s">
        <v>33</v>
      </c>
      <c r="D43" t="s">
        <v>33</v>
      </c>
      <c r="G43" t="s">
        <v>63</v>
      </c>
      <c r="H43" s="15">
        <v>7725000</v>
      </c>
      <c r="I43" s="15">
        <v>7150000</v>
      </c>
      <c r="J43" s="15">
        <v>6051000</v>
      </c>
    </row>
    <row r="44" spans="1:10" x14ac:dyDescent="0.2">
      <c r="A44" t="s">
        <v>63</v>
      </c>
      <c r="B44" s="15">
        <v>7725000</v>
      </c>
      <c r="C44" s="15">
        <v>7150000</v>
      </c>
      <c r="D44" s="15">
        <v>6051000</v>
      </c>
      <c r="G44" t="s">
        <v>64</v>
      </c>
      <c r="H44" t="s">
        <v>83</v>
      </c>
      <c r="I44" t="s">
        <v>83</v>
      </c>
      <c r="J44" t="s">
        <v>83</v>
      </c>
    </row>
    <row r="45" spans="1:10" x14ac:dyDescent="0.2">
      <c r="A45" t="s">
        <v>64</v>
      </c>
      <c r="B45" t="s">
        <v>33</v>
      </c>
      <c r="C45" t="s">
        <v>33</v>
      </c>
      <c r="D45" t="s">
        <v>33</v>
      </c>
      <c r="G45" t="s">
        <v>3</v>
      </c>
      <c r="H45" s="15">
        <v>397997000</v>
      </c>
      <c r="I45" s="15">
        <v>402364000</v>
      </c>
      <c r="J45" s="15">
        <v>376781000</v>
      </c>
    </row>
    <row r="46" spans="1:10" x14ac:dyDescent="0.2">
      <c r="A46" t="s">
        <v>3</v>
      </c>
      <c r="B46" s="15">
        <v>397997000</v>
      </c>
      <c r="C46" s="15">
        <v>402364000</v>
      </c>
      <c r="D46" s="15">
        <v>376781000</v>
      </c>
      <c r="G46" t="s">
        <v>4</v>
      </c>
    </row>
    <row r="47" spans="1:10" x14ac:dyDescent="0.2">
      <c r="A47" t="s">
        <v>4</v>
      </c>
      <c r="G47" t="s">
        <v>65</v>
      </c>
    </row>
    <row r="48" spans="1:10" x14ac:dyDescent="0.2">
      <c r="A48" t="s">
        <v>65</v>
      </c>
      <c r="G48" t="s">
        <v>22</v>
      </c>
      <c r="H48" s="15">
        <v>45262000</v>
      </c>
      <c r="I48" s="15">
        <v>49728000</v>
      </c>
      <c r="J48" s="15">
        <v>47311000</v>
      </c>
    </row>
    <row r="49" spans="1:10" x14ac:dyDescent="0.2">
      <c r="A49" t="s">
        <v>22</v>
      </c>
      <c r="B49" s="15">
        <v>45262000</v>
      </c>
      <c r="C49" s="15">
        <v>49728000</v>
      </c>
      <c r="D49" s="15">
        <v>47311000</v>
      </c>
      <c r="G49" t="s">
        <v>66</v>
      </c>
      <c r="H49" s="15">
        <v>82356000</v>
      </c>
      <c r="I49" s="15">
        <v>83759000</v>
      </c>
      <c r="J49" s="15">
        <v>79799000</v>
      </c>
    </row>
    <row r="50" spans="1:10" x14ac:dyDescent="0.2">
      <c r="A50" t="s">
        <v>66</v>
      </c>
      <c r="B50" s="15">
        <v>82356000</v>
      </c>
      <c r="C50" s="15">
        <v>83759000</v>
      </c>
      <c r="D50" s="15">
        <v>79799000</v>
      </c>
      <c r="G50" t="s">
        <v>23</v>
      </c>
      <c r="H50" s="15">
        <v>9397000</v>
      </c>
      <c r="I50" s="15">
        <v>9065000</v>
      </c>
      <c r="J50" s="15">
        <v>10002000</v>
      </c>
    </row>
    <row r="51" spans="1:10" x14ac:dyDescent="0.2">
      <c r="A51" t="s">
        <v>23</v>
      </c>
      <c r="B51" s="15">
        <v>9397000</v>
      </c>
      <c r="C51" s="15">
        <v>9065000</v>
      </c>
      <c r="D51" s="15">
        <v>10002000</v>
      </c>
      <c r="G51" t="s">
        <v>24</v>
      </c>
      <c r="H51" s="15">
        <v>137015000</v>
      </c>
      <c r="I51" s="15">
        <v>142552000</v>
      </c>
      <c r="J51" s="15">
        <v>137112000</v>
      </c>
    </row>
    <row r="52" spans="1:10" x14ac:dyDescent="0.2">
      <c r="A52" t="s">
        <v>24</v>
      </c>
      <c r="B52" s="15">
        <v>137015000</v>
      </c>
      <c r="C52" s="15">
        <v>142552000</v>
      </c>
      <c r="D52" s="15">
        <v>137112000</v>
      </c>
      <c r="G52" t="s">
        <v>25</v>
      </c>
      <c r="H52" s="15">
        <v>83505000</v>
      </c>
      <c r="I52" s="15">
        <v>82992000</v>
      </c>
      <c r="J52" s="15">
        <v>77917000</v>
      </c>
    </row>
    <row r="53" spans="1:10" x14ac:dyDescent="0.2">
      <c r="A53" t="s">
        <v>25</v>
      </c>
      <c r="B53" s="15">
        <v>83505000</v>
      </c>
      <c r="C53" s="15">
        <v>82992000</v>
      </c>
      <c r="D53" s="15">
        <v>77917000</v>
      </c>
      <c r="G53" t="s">
        <v>67</v>
      </c>
      <c r="H53" s="15">
        <v>11158000</v>
      </c>
      <c r="I53" s="15">
        <v>11449000</v>
      </c>
      <c r="J53" s="15">
        <v>11406000</v>
      </c>
    </row>
    <row r="54" spans="1:10" x14ac:dyDescent="0.2">
      <c r="A54" t="s">
        <v>67</v>
      </c>
      <c r="B54" s="15">
        <v>11158000</v>
      </c>
      <c r="C54" s="15">
        <v>11449000</v>
      </c>
      <c r="D54" s="15">
        <v>11406000</v>
      </c>
      <c r="G54" t="s">
        <v>68</v>
      </c>
      <c r="H54" s="15">
        <v>19166000</v>
      </c>
      <c r="I54" s="15">
        <v>17593000</v>
      </c>
      <c r="J54" s="15">
        <v>14717000</v>
      </c>
    </row>
    <row r="55" spans="1:10" x14ac:dyDescent="0.2">
      <c r="A55" t="s">
        <v>68</v>
      </c>
      <c r="B55" s="15">
        <v>19166000</v>
      </c>
      <c r="C55" s="15">
        <v>17593000</v>
      </c>
      <c r="D55" s="15">
        <v>14717000</v>
      </c>
      <c r="G55" t="s">
        <v>1</v>
      </c>
      <c r="H55" s="15">
        <v>7164000</v>
      </c>
      <c r="I55" s="15">
        <v>7281000</v>
      </c>
      <c r="J55" s="15">
        <v>6635000</v>
      </c>
    </row>
    <row r="56" spans="1:10" x14ac:dyDescent="0.2">
      <c r="A56" t="s">
        <v>1</v>
      </c>
      <c r="B56" s="15">
        <v>7164000</v>
      </c>
      <c r="C56" s="15">
        <v>7281000</v>
      </c>
      <c r="D56" s="15">
        <v>6635000</v>
      </c>
      <c r="G56" t="s">
        <v>69</v>
      </c>
      <c r="H56" t="s">
        <v>83</v>
      </c>
      <c r="I56" t="s">
        <v>83</v>
      </c>
      <c r="J56" t="s">
        <v>83</v>
      </c>
    </row>
    <row r="57" spans="1:10" x14ac:dyDescent="0.2">
      <c r="A57" t="s">
        <v>69</v>
      </c>
      <c r="B57" t="s">
        <v>33</v>
      </c>
      <c r="C57" t="s">
        <v>33</v>
      </c>
      <c r="D57" t="s">
        <v>33</v>
      </c>
      <c r="G57" t="s">
        <v>5</v>
      </c>
      <c r="H57" s="15">
        <v>258008000</v>
      </c>
      <c r="I57" s="15">
        <v>261866000</v>
      </c>
      <c r="J57" s="15">
        <v>241152000</v>
      </c>
    </row>
    <row r="58" spans="1:10" x14ac:dyDescent="0.2">
      <c r="A58" t="s">
        <v>5</v>
      </c>
      <c r="B58" s="15">
        <v>258008000</v>
      </c>
      <c r="C58" s="15">
        <v>261866000</v>
      </c>
      <c r="D58" s="15">
        <v>241152000</v>
      </c>
      <c r="G58" t="s">
        <v>70</v>
      </c>
    </row>
    <row r="59" spans="1:10" x14ac:dyDescent="0.2">
      <c r="A59" t="s">
        <v>70</v>
      </c>
      <c r="G59" t="s">
        <v>71</v>
      </c>
      <c r="H59" t="s">
        <v>83</v>
      </c>
      <c r="I59" t="s">
        <v>83</v>
      </c>
      <c r="J59" t="s">
        <v>83</v>
      </c>
    </row>
    <row r="60" spans="1:10" x14ac:dyDescent="0.2">
      <c r="A60" t="s">
        <v>71</v>
      </c>
      <c r="B60" t="s">
        <v>33</v>
      </c>
      <c r="C60" t="s">
        <v>33</v>
      </c>
      <c r="D60" t="s">
        <v>33</v>
      </c>
      <c r="G60" t="s">
        <v>72</v>
      </c>
      <c r="H60" t="s">
        <v>83</v>
      </c>
      <c r="I60" t="s">
        <v>83</v>
      </c>
      <c r="J60" t="s">
        <v>83</v>
      </c>
    </row>
    <row r="61" spans="1:10" x14ac:dyDescent="0.2">
      <c r="A61" t="s">
        <v>72</v>
      </c>
      <c r="B61" t="s">
        <v>33</v>
      </c>
      <c r="C61" t="s">
        <v>33</v>
      </c>
      <c r="D61" t="s">
        <v>33</v>
      </c>
      <c r="G61" t="s">
        <v>73</v>
      </c>
      <c r="H61" t="s">
        <v>83</v>
      </c>
      <c r="I61" t="s">
        <v>83</v>
      </c>
      <c r="J61" t="s">
        <v>83</v>
      </c>
    </row>
    <row r="62" spans="1:10" x14ac:dyDescent="0.2">
      <c r="A62" t="s">
        <v>73</v>
      </c>
      <c r="B62" t="s">
        <v>33</v>
      </c>
      <c r="C62" t="s">
        <v>33</v>
      </c>
      <c r="D62" t="s">
        <v>33</v>
      </c>
      <c r="G62" t="s">
        <v>74</v>
      </c>
      <c r="H62" s="15">
        <v>3311000</v>
      </c>
      <c r="I62" s="15">
        <v>3855000</v>
      </c>
      <c r="J62" s="15">
        <v>4216000</v>
      </c>
    </row>
    <row r="63" spans="1:10" x14ac:dyDescent="0.2">
      <c r="A63" t="s">
        <v>74</v>
      </c>
      <c r="B63" s="15">
        <v>3311000</v>
      </c>
      <c r="C63" s="15">
        <v>3855000</v>
      </c>
      <c r="D63" s="15">
        <v>4216000</v>
      </c>
      <c r="G63" t="s">
        <v>26</v>
      </c>
      <c r="H63" s="15">
        <v>130014000</v>
      </c>
      <c r="I63" s="15">
        <v>137071000</v>
      </c>
      <c r="J63" s="15">
        <v>134741000</v>
      </c>
    </row>
    <row r="64" spans="1:10" x14ac:dyDescent="0.2">
      <c r="A64" t="s">
        <v>26</v>
      </c>
      <c r="B64" s="15">
        <v>130014000</v>
      </c>
      <c r="C64" s="15">
        <v>137071000</v>
      </c>
      <c r="D64" s="15">
        <v>134741000</v>
      </c>
      <c r="G64" t="s">
        <v>27</v>
      </c>
      <c r="H64" s="15">
        <v>-10219000</v>
      </c>
      <c r="I64" s="15">
        <v>-10911000</v>
      </c>
      <c r="J64" s="15">
        <v>-12032000</v>
      </c>
    </row>
    <row r="65" spans="1:10" x14ac:dyDescent="0.2">
      <c r="A65" t="s">
        <v>27</v>
      </c>
      <c r="B65" s="15">
        <v>-10219000</v>
      </c>
      <c r="C65" s="15">
        <v>-10911000</v>
      </c>
      <c r="D65" s="15">
        <v>-12032000</v>
      </c>
      <c r="G65" t="s">
        <v>75</v>
      </c>
      <c r="H65" s="15">
        <v>4562000</v>
      </c>
      <c r="I65" s="15">
        <v>5353000</v>
      </c>
      <c r="J65" s="15">
        <v>5851000</v>
      </c>
    </row>
    <row r="66" spans="1:10" x14ac:dyDescent="0.2">
      <c r="A66" t="s">
        <v>75</v>
      </c>
      <c r="B66" s="15">
        <v>4562000</v>
      </c>
      <c r="C66" s="15">
        <v>5353000</v>
      </c>
      <c r="D66" s="15">
        <v>5851000</v>
      </c>
      <c r="G66" t="s">
        <v>76</v>
      </c>
      <c r="H66" s="15">
        <v>12321000</v>
      </c>
      <c r="I66" s="15">
        <v>5129000</v>
      </c>
      <c r="J66" s="15">
        <v>-3782000</v>
      </c>
    </row>
    <row r="67" spans="1:10" x14ac:dyDescent="0.2">
      <c r="A67" t="s">
        <v>76</v>
      </c>
      <c r="B67" s="15">
        <v>12321000</v>
      </c>
      <c r="C67" s="15">
        <v>5129000</v>
      </c>
      <c r="D67" s="15">
        <v>-3782000</v>
      </c>
      <c r="G67" t="s">
        <v>77</v>
      </c>
      <c r="H67" s="15">
        <v>139989000</v>
      </c>
      <c r="I67" s="15">
        <v>140498000</v>
      </c>
      <c r="J67" s="15">
        <v>128994000</v>
      </c>
    </row>
    <row r="68" spans="1:10" x14ac:dyDescent="0.2">
      <c r="A68" t="s">
        <v>77</v>
      </c>
      <c r="B68" s="15">
        <v>139989000</v>
      </c>
      <c r="C68" s="15">
        <v>140498000</v>
      </c>
      <c r="D68" s="15">
        <v>128994000</v>
      </c>
      <c r="G68" t="s">
        <v>78</v>
      </c>
      <c r="H68" s="15">
        <v>139989000</v>
      </c>
      <c r="I68" s="15">
        <v>140498000</v>
      </c>
      <c r="J68" s="15">
        <v>128994000</v>
      </c>
    </row>
    <row r="69" spans="1:10" x14ac:dyDescent="0.2">
      <c r="A69" t="s">
        <v>78</v>
      </c>
      <c r="B69" s="15">
        <v>139989000</v>
      </c>
      <c r="C69" s="15">
        <v>140498000</v>
      </c>
      <c r="D69" s="15">
        <v>128994000</v>
      </c>
    </row>
    <row r="72" spans="1:10" x14ac:dyDescent="0.2">
      <c r="A72" t="s">
        <v>79</v>
      </c>
      <c r="B72" s="1">
        <v>3176.81</v>
      </c>
      <c r="C72" s="1">
        <v>3169.77</v>
      </c>
      <c r="D72" s="1">
        <v>3176.81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Soluzioni</vt:lpstr>
      <vt:lpstr>Rendiconti finanziari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vl13</dc:creator>
  <cp:lastModifiedBy>Ottorino Morresi</cp:lastModifiedBy>
  <dcterms:created xsi:type="dcterms:W3CDTF">2006-12-12T18:16:36Z</dcterms:created>
  <dcterms:modified xsi:type="dcterms:W3CDTF">2018-03-02T16:52:09Z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196149932</vt:i4>
  </property>
  <property fmtid="{D5CDD505-2E9C-101B-9397-08002B2CF9AE}" pid="3" name="_EmailSubject">
    <vt:lpwstr>chapter 18 data case solutions</vt:lpwstr>
  </property>
  <property fmtid="{D5CDD505-2E9C-101B-9397-08002B2CF9AE}" pid="4" name="_AuthorEmail">
    <vt:lpwstr>Kay.Ueno@aw.com</vt:lpwstr>
  </property>
  <property fmtid="{D5CDD505-2E9C-101B-9397-08002B2CF9AE}" pid="5" name="_AuthorEmailDisplayName">
    <vt:lpwstr>Ueno, Kay</vt:lpwstr>
  </property>
  <property fmtid="{D5CDD505-2E9C-101B-9397-08002B2CF9AE}" pid="6" name="_ReviewingToolsShownOnce">
    <vt:lpwstr/>
  </property>
</Properties>
</file>