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9-19" sheetId="2" r:id="rId5"/>
    <sheet state="visible" name="9-21" sheetId="3" r:id="rId6"/>
    <sheet state="visible" name="9-22" sheetId="4" r:id="rId7"/>
    <sheet state="visible" name="9-25" sheetId="5" r:id="rId8"/>
    <sheet state="visible" name="9-26" sheetId="6" r:id="rId9"/>
    <sheet state="visible" name="9-27" sheetId="7" r:id="rId10"/>
    <sheet state="visible" name="9-28; 9-29" sheetId="8" r:id="rId11"/>
    <sheet state="visible" name="Tabella 9-1" sheetId="9" r:id="rId12"/>
  </sheets>
  <externalReferences>
    <externalReference r:id="rId13"/>
  </externalReferences>
  <definedNames>
    <definedName name="Compounding">'[1]5-2'!#REF!</definedName>
  </definedNames>
  <calcPr/>
  <extLst>
    <ext uri="GoogleSheetsCustomDataVersion2">
      <go:sheetsCustomData xmlns:go="http://customooxmlschemas.google.com/" r:id="rId14" roundtripDataChecksum="czVT3xj2jjuhUwshRWBbEbWQQmb/gEUpdwVwEDd/6Kw="/>
    </ext>
  </extLst>
</workbook>
</file>

<file path=xl/comments1.xml><?xml version="1.0" encoding="utf-8"?>
<comments xmlns:r="http://schemas.openxmlformats.org/officeDocument/2006/relationships" xmlns="http://schemas.openxmlformats.org/spreadsheetml/2006/main">
  <authors>
    <author/>
  </authors>
  <commentList>
    <comment authorId="0" ref="B67">
      <text>
        <t xml:space="preserve">======
ID#AAABG5-v2Vg
jp40    (2024-02-19 14:13:54)
Nota Excel: i punti b, c e d possono essere svolti anche in tabelle a doppia entrata per vedere gli effetti che avrebbe un cambiamento simultaneo di due grandezze. Vedete successivamente.
Per variazioni contemporanee di più di due variabili, sono necessari programmi aggiuntivi.</t>
      </text>
    </comment>
  </commentList>
  <extLst>
    <ext uri="GoogleSheetsCustomDataVersion2">
      <go:sheetsCustomData xmlns:go="http://customooxmlschemas.google.com/" r:id="rId1" roundtripDataSignature="AMtx7mjRvlAhIBMroIYoo5iWDBdwLh9X4Q=="/>
    </ext>
  </extLst>
</comments>
</file>

<file path=xl/comments2.xml><?xml version="1.0" encoding="utf-8"?>
<comments xmlns:r="http://schemas.openxmlformats.org/officeDocument/2006/relationships" xmlns="http://schemas.openxmlformats.org/spreadsheetml/2006/main">
  <authors>
    <author/>
  </authors>
  <commentList>
    <comment authorId="0" ref="L20">
      <text>
        <t xml:space="preserve">======
ID#AAABG5-v2Vk
jp40    (2024-02-19 14:13:54)
Nota: le celle che calcolano il tasso di crescita futuro devono essere una funzione del tasso di crescita iniziale. Altrimenti, solo il tasso di crescita iniziale subirà una variazione nella tabella dei dati.</t>
      </text>
    </comment>
  </commentList>
  <extLst>
    <ext uri="GoogleSheetsCustomDataVersion2">
      <go:sheetsCustomData xmlns:go="http://customooxmlschemas.google.com/" r:id="rId1" roundtripDataSignature="AMtx7mjGkHW25H6QEqKKjoBuy6oLfcpgLQ=="/>
    </ext>
  </extLst>
</comments>
</file>

<file path=xl/sharedStrings.xml><?xml version="1.0" encoding="utf-8"?>
<sst xmlns="http://schemas.openxmlformats.org/spreadsheetml/2006/main" count="347" uniqueCount="191">
  <si>
    <t>Problemi</t>
  </si>
  <si>
    <t>Topics</t>
  </si>
  <si>
    <t>Problema 9-19</t>
  </si>
  <si>
    <t>Enterprise Value</t>
  </si>
  <si>
    <t>Problema 9-21</t>
  </si>
  <si>
    <t>FCF</t>
  </si>
  <si>
    <t>Problema 9-22</t>
  </si>
  <si>
    <t>Price</t>
  </si>
  <si>
    <t>Problema 9-25</t>
  </si>
  <si>
    <t>EPS</t>
  </si>
  <si>
    <t>Problema 9-26</t>
  </si>
  <si>
    <t>Multiples</t>
  </si>
  <si>
    <t>Problema 9-27</t>
  </si>
  <si>
    <t>Problema 9-28</t>
  </si>
  <si>
    <t>Tabella 9-1</t>
  </si>
  <si>
    <t>Data</t>
  </si>
  <si>
    <t>Si prevede che Heavy Metal Corporation genererà i seguenti flussi di cassa nei prossimi cinque anni:</t>
  </si>
  <si>
    <t>Anno</t>
  </si>
  <si>
    <t>FCF (milioni di $)</t>
  </si>
  <si>
    <t>Dopo i cinque anni, si prevede che il tasso di crescita dei flussi di cassa si collochi nella media di settore, pari al 4,3% annuo. Usando il modello dei flussi di cassa scontati, dato un costo medio ponderato del capitale pari al 14,4%, stimate:</t>
  </si>
  <si>
    <t>a.</t>
  </si>
  <si>
    <r>
      <rPr>
        <rFont val="Times New Roman"/>
        <color theme="1"/>
        <sz val="14.0"/>
      </rPr>
      <t>Il valore complessivo (</t>
    </r>
    <r>
      <rPr>
        <rFont val="Times New Roman"/>
        <i/>
        <color theme="1"/>
        <sz val="14.0"/>
      </rPr>
      <t>enterprise value</t>
    </r>
    <r>
      <rPr>
        <rFont val="Times New Roman"/>
        <color theme="1"/>
        <sz val="14.0"/>
      </rPr>
      <t>) di Heavy Metal.</t>
    </r>
  </si>
  <si>
    <t>b.</t>
  </si>
  <si>
    <t>Il prezzo del titolo Heavy Metal, ipotizzando che l’azienda non abbia liquidità in eccesso, che abbia un debito di 280 milioni di $ e 35 milioni di azioni in circolazione.</t>
  </si>
  <si>
    <t>Costo del capitale</t>
  </si>
  <si>
    <t>Tasso di crescita a lungo termine</t>
  </si>
  <si>
    <t>Valore terminale</t>
  </si>
  <si>
    <t>Flusso di cassa totale</t>
  </si>
  <si>
    <t>Debito</t>
  </si>
  <si>
    <t>Valore del capitale proprio</t>
  </si>
  <si>
    <t>Numero di azioni in circolazione</t>
  </si>
  <si>
    <t>Prezzo dell'azione Heavy Metal</t>
  </si>
  <si>
    <t>Sora Industries ha 61 milioni di azioni in circolazione, 121 milioni di $ di debiti, 49 milioni di $ di liquidità in cassa e la distribuzione prevista dei flussi di cassa per i prossimi quattro anni riportata nella tabella seguente.</t>
  </si>
  <si>
    <t>Previsione degli utili e dei FCF (milioni di $)</t>
  </si>
  <si>
    <t>Ricavi di vendita</t>
  </si>
  <si>
    <t>Tasso di crescita rispetto all'anno precedente</t>
  </si>
  <si>
    <t>Costo del venduto</t>
  </si>
  <si>
    <t>Utile lordo</t>
  </si>
  <si>
    <t>Spese generali, di vendita e amm.ve</t>
  </si>
  <si>
    <t>Ammortamenti</t>
  </si>
  <si>
    <t>EBIT</t>
  </si>
  <si>
    <t>Meno: imposte al 40%</t>
  </si>
  <si>
    <t>Più: ammortamenti</t>
  </si>
  <si>
    <t>Meno: spese in conto capitale</t>
  </si>
  <si>
    <t>Meno: incremento del CCN</t>
  </si>
  <si>
    <t>Flusso di cassa</t>
  </si>
  <si>
    <t>Supponete che i ricavi e i flussi di cassa di Sora siano previsti in crescita del 5,7% annuo, dopo l’anno 4. Se il costo medio ponderato del capitale dell’azienda è pari all'11%, qual è il valore dell’azione Sora in base a queste informazioni?</t>
  </si>
  <si>
    <t>Si è assunto che il costo del venduto sia pari al 67% delle vendite. Se il costo del venduto fosse pari al 70% delle vendite, come stimereste la variazione nel valore dell’azione?</t>
  </si>
  <si>
    <t>c.</t>
  </si>
  <si>
    <t>Riprendete le ipotesi fatte al punto (a) e supponete che Sora possa mantenere un costo del venduto pari al 67% delle vendite. Tuttavia, ora, supponete che Sora riduca le spese di vendita, generali e amministrative dal 20% delle vendite al 16%. Quale stima fornireste ora per il prezzo dell’azione? (Supponete che non vi siano altre variazioni di spesa, a parte le imposte.)</t>
  </si>
  <si>
    <t>d.</t>
  </si>
  <si>
    <t>Il fabbisogno di capitale circolante netto è stato stimato al 18% delle vendite, corrispondente al livello dell’anno 0. Se l’impresa è in grado di ridurre tale fabbisogno al 12% delle vendite a partire dall’anno 1, mantenendo costanti le altre ipotesi fatte al punto (a), quale stima fornireste per il prezzo delle azioni? (Suggerimento: questa variazione avrà il massimo impatto sul flusso di cassa dell’impresa all’anno 1.)</t>
  </si>
  <si>
    <t>Costo del venduto come percetuale delle vendite</t>
  </si>
  <si>
    <t>Spese di vendita, generali e amm.ve come percentuale delle vendite</t>
  </si>
  <si>
    <t>Capitale circolante netto (CCN) come percentuale delle vendite</t>
  </si>
  <si>
    <t>Ammontare iniziale del CCN</t>
  </si>
  <si>
    <t>Liquidità</t>
  </si>
  <si>
    <t>Enterprise value</t>
  </si>
  <si>
    <t>Prezzo per azione</t>
  </si>
  <si>
    <t>Costo del venduto come percentuale delle vendite</t>
  </si>
  <si>
    <t>Prezzo dell'azione</t>
  </si>
  <si>
    <t>Situazione di partenza: 67%</t>
  </si>
  <si>
    <t>Situazione di partenza: 20%</t>
  </si>
  <si>
    <t>CCN come percentuale delle vendite</t>
  </si>
  <si>
    <t>Situazione di partenza: 18%</t>
  </si>
  <si>
    <t>Estensione: variazione contemporanea del costo del venduto e delle spese di vendita, generali e amm.ve</t>
  </si>
  <si>
    <t>Estensione: variazione contemporanea del costo del venduto e del CCN</t>
  </si>
  <si>
    <t>Estensione: variazione contemporanea del CCN e delle spese di vendita, generali e amm.ve</t>
  </si>
  <si>
    <t>Considerate la valutazione di Kenneth Cole Productions riportata nell’Esempio 9.7.</t>
  </si>
  <si>
    <t xml:space="preserve">Prevedete che il tasso di crescita iniziale dei ricavi di KCP sarà compreso tra il 4% e l’11% (con una riduzione costante della crescita che arriverà al 4% nel 2011). Quale intervallo di prezzi per l’azione KCP è coerente con queste previsioni? </t>
  </si>
  <si>
    <t>Prevedete che l’EBIT iniziale sarà compreso tra il 7% e il 10% delle vendite. Quale intervallo di prezzi dell'azione è coerente con queste previsioni (dato un tasso di crescita iniziale dei ricavi del 9%)?</t>
  </si>
  <si>
    <t>Prevedete che il costo medio ponderato del capitale sarà compreso tra il 10% e il 12%. Quale intervallo di prezzi è coerente con queste previsioni (dati un tasso di crescita iniziale dei ricavi e un’incidenza dell’EBIT sui ricavi del 9%)?</t>
  </si>
  <si>
    <t>Quale intervallo di prezzi è coerente, se le stime descritte nei punti (a), (b) e (c) vengono modificate contemporaneamente?</t>
  </si>
  <si>
    <t>Kenneth Cole Productions</t>
  </si>
  <si>
    <t>Previsione dei FCF (milioni di $)</t>
  </si>
  <si>
    <t xml:space="preserve">EBIT </t>
  </si>
  <si>
    <t>dei ricavi</t>
  </si>
  <si>
    <t>Meno: imposte</t>
  </si>
  <si>
    <t>dell'EBIT</t>
  </si>
  <si>
    <t>Meno:  Investimenti netti</t>
  </si>
  <si>
    <t>della variazione dei ricavi</t>
  </si>
  <si>
    <t>VA dei flussi di cassa</t>
  </si>
  <si>
    <t>Se il tasso di crescita iniziale delle vendite varia tra il 4 e l'11%, il prezzo delle azioni varierà tra:</t>
  </si>
  <si>
    <t>e</t>
  </si>
  <si>
    <t>Se il rapporto tra EBIT e ricavi varia tra il 7 e il 10%, il prezzo delle azioni varierà tra:</t>
  </si>
  <si>
    <t>Se il costo medio ponderato del capitale varia tra il 10% e il 12%, il prezzo delle azioni varierà tra:</t>
  </si>
  <si>
    <t>Se variano tutte e tre le grandezze precedenti, il prezzo delle azioni varierà tra:</t>
  </si>
  <si>
    <t>Tasso di crescita iniziale dei ricavi</t>
  </si>
  <si>
    <t>EBIT/Ricavi</t>
  </si>
  <si>
    <t>WACC</t>
  </si>
  <si>
    <t>Scenario di partenza</t>
  </si>
  <si>
    <t>Scenario più sfavorevole:</t>
  </si>
  <si>
    <t>Tasso di crescita iniziale delle vendite = 4%; EBIT/Ricavi = 7%; WACC = 12%:</t>
  </si>
  <si>
    <t>Scenario più favorevole:</t>
  </si>
  <si>
    <t>Tasso di crescita iniziale delle vendite = 11%; EBIT/Ricavi = 10%; WACC = 10%:</t>
  </si>
  <si>
    <t>Supponete che nel gennaio 2006 Kenneth Cole Productions abbia un EPS di $1,67 e un valore contabile del capitale proprio di $12,17 per azione.</t>
  </si>
  <si>
    <t>Valore contabile del capitale proprio per azione</t>
  </si>
  <si>
    <t>Usando il multiplo P/E medio della Tabella 9.1, stimate il prezzo dell’azione KCP.</t>
  </si>
  <si>
    <t>Quale intervallo di prezzi stimereste in base ai valori massimo e minimo del multiplo P/E riportati nella Tabella 9.1?</t>
  </si>
  <si>
    <t>Intervallo</t>
  </si>
  <si>
    <t>Massimo</t>
  </si>
  <si>
    <t>Minimo</t>
  </si>
  <si>
    <t>Usando il valore medio per il multiplo price-to-book value della Tabella 9.1, stimate il prezzo dell’azione KCP.</t>
  </si>
  <si>
    <t>Quale intervallo di prezzi stimereste in base ai valori massimo e minimo del multiplo price-to-book value della Tabella 9.1?</t>
  </si>
  <si>
    <t>Supponete che nel gennaio 2006 Kenneth Cole Productions abbia realizzato vendite per 531 milioni di $ e un EBITDA di 51,30 milioni di $. Inoltre, supponete che abbia liquidità in eccesso per 107 milioni di $, debiti per 3,3 milioni di $ e 23 milioni di azioni in circolazione.</t>
  </si>
  <si>
    <t>Vendite</t>
  </si>
  <si>
    <t>EBITDA</t>
  </si>
  <si>
    <t>Debiti</t>
  </si>
  <si>
    <t>Azioni in circolazione</t>
  </si>
  <si>
    <t>Usando il valore medio del multiplo Enterprise Value/Vendite della Tabella 9.1, stimate il prezzo dell’azione KCP.</t>
  </si>
  <si>
    <t>Quale intervallo di prezzi stimereste in base ai valori massimo e minimo del multiplo Enterprise Value/Vendite della Tabella 9.1?</t>
  </si>
  <si>
    <t>Usando il valore medio del multiplo Enterprise Value/EBITDA della Tabella 9.1, stimate il prezzo dell’azione KCP.</t>
  </si>
  <si>
    <t>Quale intervallo di prezzi stimereste in base ai valori massimo e minimo del multiplo Enterprise Value/EBITDA della Tabella 9.1?</t>
  </si>
  <si>
    <t>Oltre alle calzature, Kenneth Cole Productions progetta e vende borse, abbigliamento ed altri accessori. Decidete, perciò, di prendere in considerazione aziende comparabili anche al di fuori del settore calzaturiero.</t>
  </si>
  <si>
    <t>Dati di Kenneth Cole Productions</t>
  </si>
  <si>
    <t>Supponete che Fossil Inc. abbia un Enterprise Value/EBITDA di 11,08 e un P/E di 17,09. Quale stima fornireste per il prezzo dell’azione KCP, usando ognuno di questi multipli, in base ai dati disponibili nei problemi 25 e 26?</t>
  </si>
  <si>
    <t>Fossil</t>
  </si>
  <si>
    <t>Multiplo</t>
  </si>
  <si>
    <t>Prezzo</t>
  </si>
  <si>
    <t xml:space="preserve">EV/EBITDA </t>
  </si>
  <si>
    <t xml:space="preserve">P/E </t>
  </si>
  <si>
    <t>Supponete che Tommy Hilfiger Corporation abbia un Enterprise Value/EBITDA di 7,07 e un P/E di 17,36. Quale stima fornireste per il prezzo dell’azione KCP, usando ognuno di questi multipli, in base ai dati disponibili nei problemi 25 e 26?</t>
  </si>
  <si>
    <t>Tommy Hilfiger</t>
  </si>
  <si>
    <t>Considerate i dati riportati nella tabella seguente per il settore aereo al dicembre 2015 (EV=enterprise value; B = valore contabile del capitale proprio per azione). Discutete l’utilità dell’impiego dei multipli per la valutazione di imprese di questo settore.</t>
  </si>
  <si>
    <t>Impresa</t>
  </si>
  <si>
    <t>Capitalizzazione</t>
  </si>
  <si>
    <t>EV</t>
  </si>
  <si>
    <t>EV/Vendite</t>
  </si>
  <si>
    <t>EV/EBITDA</t>
  </si>
  <si>
    <t>EV/EBIT</t>
  </si>
  <si>
    <t>P/E</t>
  </si>
  <si>
    <t>P/B</t>
  </si>
  <si>
    <t>Delta Air Lines (DAL)</t>
  </si>
  <si>
    <t>American Airlines (AAL)</t>
  </si>
  <si>
    <t xml:space="preserve">United Continental (UAL) </t>
  </si>
  <si>
    <t xml:space="preserve">Southwest Airlines (LUV) </t>
  </si>
  <si>
    <t xml:space="preserve">Alaska Air (ALK) </t>
  </si>
  <si>
    <t xml:space="preserve">JetBlue Airways (JBLU) </t>
  </si>
  <si>
    <t xml:space="preserve">SkyWest (SKYW) </t>
  </si>
  <si>
    <t xml:space="preserve">Hawaiian (HA) </t>
  </si>
  <si>
    <t>Media</t>
  </si>
  <si>
    <t>Mediana</t>
  </si>
  <si>
    <t>Valore massimo</t>
  </si>
  <si>
    <t>Valore minimo</t>
  </si>
  <si>
    <t>Deviazione standard</t>
  </si>
  <si>
    <t>Problema 9-29</t>
  </si>
  <si>
    <t>VENDITE</t>
  </si>
  <si>
    <t>E</t>
  </si>
  <si>
    <t>B</t>
  </si>
  <si>
    <t>I valori sono stati ottenuti dividendo EV o capitalizzazione per il valore del relativo multiplo di Hawaiian</t>
  </si>
  <si>
    <t>I valori sono stati ottenuti moltiplicando i dati di Hawaiian ottenuti in precedenza per il multiplo mediano</t>
  </si>
  <si>
    <t>Capitalizzazione implicita nell'EV</t>
  </si>
  <si>
    <t>La capitalizzazione implicita è stata ottenuta sottraendo dall'EV calcolato in precedenza la differenza tra EV e capitalizzazione di Hawaiian</t>
  </si>
  <si>
    <t>Azioni in circolazione di Hawaiian</t>
  </si>
  <si>
    <t>milioni</t>
  </si>
  <si>
    <t xml:space="preserve">Tutti i multipli mostrano un ampio range di valori, suggerendo che la profittabilità e la crescita variano notevolmente tra le imprese del campione. </t>
  </si>
  <si>
    <t>Tutto ciò rende problematico l'uso dei multipli.</t>
  </si>
  <si>
    <t>Tabella 9.1</t>
  </si>
  <si>
    <t>Prezzi delle azioni e multipli del settore delle calzature, gennaio 2006</t>
  </si>
  <si>
    <t>Codice</t>
  </si>
  <si>
    <t>Nome</t>
  </si>
  <si>
    <t>Prezzo dell'azione ($)</t>
  </si>
  <si>
    <t>Capitalizzazione di mercato (milioni di $)</t>
  </si>
  <si>
    <t>Enterprise value (milioni di $)</t>
  </si>
  <si>
    <t>Price/Book value</t>
  </si>
  <si>
    <t>Enterprise Value/Vendite</t>
  </si>
  <si>
    <t>Enterprise value/EBITDA</t>
  </si>
  <si>
    <t>NKE</t>
  </si>
  <si>
    <t>Nike</t>
  </si>
  <si>
    <t>PMMAY</t>
  </si>
  <si>
    <t>Puma AG</t>
  </si>
  <si>
    <t>RBK</t>
  </si>
  <si>
    <t>Reebok</t>
  </si>
  <si>
    <t>WWW</t>
  </si>
  <si>
    <t>Wolverine World Wide</t>
  </si>
  <si>
    <t>BWS</t>
  </si>
  <si>
    <t>Brown Shoe</t>
  </si>
  <si>
    <t>SKX</t>
  </si>
  <si>
    <t>Sketchers</t>
  </si>
  <si>
    <t>SRR</t>
  </si>
  <si>
    <t>Stride Rite</t>
  </si>
  <si>
    <t>DECK</t>
  </si>
  <si>
    <t>Deckers Outdoor</t>
  </si>
  <si>
    <t>WEYS</t>
  </si>
  <si>
    <t>Weco Group</t>
  </si>
  <si>
    <t>RCKY</t>
  </si>
  <si>
    <t>Tocky Shoes &amp; Boots</t>
  </si>
  <si>
    <t>DFZ</t>
  </si>
  <si>
    <t>R.G. Barry Corp.</t>
  </si>
  <si>
    <t>BOOT</t>
  </si>
  <si>
    <t>LaCross Footwear</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</si>
</sst>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409]#,##0.00_ ;\-[$$-409]#,##0.00\ "/>
    <numFmt numFmtId="165" formatCode="0.0_);\(0.0\)"/>
    <numFmt numFmtId="166" formatCode="0.0%"/>
    <numFmt numFmtId="167" formatCode="0.000%"/>
    <numFmt numFmtId="168" formatCode="0.0"/>
    <numFmt numFmtId="169" formatCode="_(* #,##0_);_(* \(#,##0\);_(* &quot;-&quot;??_);_(@_)"/>
  </numFmts>
  <fonts count="20">
    <font>
      <sz val="10.0"/>
      <color rgb="FF000000"/>
      <name val="Calibri"/>
      <scheme val="minor"/>
    </font>
    <font>
      <b/>
      <sz val="14.0"/>
      <color rgb="FFFFFFFF"/>
      <name val="Times New Roman"/>
    </font>
    <font>
      <b/>
      <sz val="10.0"/>
      <color theme="1"/>
      <name val="Arial"/>
    </font>
    <font>
      <u/>
      <sz val="14.0"/>
      <color rgb="FF0000D4"/>
      <name val="Times New Roman"/>
    </font>
    <font>
      <b/>
      <color theme="1"/>
      <name val="Calibri"/>
      <scheme val="minor"/>
    </font>
    <font>
      <u/>
      <sz val="14.0"/>
      <color rgb="FF0000FF"/>
      <name val="Times New Roman"/>
    </font>
    <font>
      <sz val="10.0"/>
      <color theme="1"/>
      <name val="Arial"/>
    </font>
    <font>
      <sz val="14.0"/>
      <color theme="1"/>
      <name val="Times New Roman"/>
    </font>
    <font/>
    <font>
      <b/>
      <sz val="14.0"/>
      <color theme="1"/>
      <name val="Times New Roman"/>
    </font>
    <font>
      <b/>
      <sz val="14.0"/>
      <color rgb="FF000090"/>
      <name val="Times New Roman"/>
    </font>
    <font>
      <sz val="14.0"/>
      <color rgb="FF006411"/>
      <name val="Times New Roman"/>
    </font>
    <font>
      <sz val="10.0"/>
      <color rgb="FF006411"/>
      <name val="Arial"/>
    </font>
    <font>
      <sz val="14.0"/>
      <color rgb="FF808080"/>
      <name val="Times New Roman"/>
    </font>
    <font>
      <sz val="12.0"/>
      <color theme="1"/>
      <name val="Times New Roman"/>
    </font>
    <font>
      <i/>
      <sz val="14.0"/>
      <color theme="1"/>
      <name val="Times New Roman"/>
    </font>
    <font>
      <i/>
      <sz val="12.0"/>
      <color theme="1"/>
      <name val="Times New Roman"/>
    </font>
    <font>
      <sz val="14.0"/>
      <color rgb="FFDD0806"/>
      <name val="Times New Roman"/>
    </font>
    <font>
      <u/>
      <sz val="10.0"/>
      <color theme="1"/>
      <name val="Arial"/>
    </font>
    <font>
      <b/>
      <sz val="12.0"/>
      <color theme="1"/>
      <name val="Times New Roman"/>
    </font>
  </fonts>
  <fills count="6">
    <fill>
      <patternFill patternType="none"/>
    </fill>
    <fill>
      <patternFill patternType="lightGray"/>
    </fill>
    <fill>
      <patternFill patternType="solid">
        <fgColor rgb="FF000090"/>
        <bgColor rgb="FF000090"/>
      </patternFill>
    </fill>
    <fill>
      <patternFill patternType="solid">
        <fgColor rgb="FFFFFFFF"/>
        <bgColor rgb="FFFFFFFF"/>
      </patternFill>
    </fill>
    <fill>
      <patternFill patternType="solid">
        <fgColor rgb="FFFFFF00"/>
        <bgColor rgb="FFFFFF00"/>
      </patternFill>
    </fill>
    <fill>
      <patternFill patternType="solid">
        <fgColor rgb="FFC0C0C0"/>
        <bgColor rgb="FFC0C0C0"/>
      </patternFill>
    </fill>
  </fills>
  <borders count="62">
    <border/>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top/>
      <bottom/>
    </border>
    <border>
      <top/>
      <bottom/>
    </border>
    <border>
      <right/>
      <top/>
      <bottom/>
    </border>
    <border>
      <left/>
      <right style="thick">
        <color rgb="FF000000"/>
      </right>
      <top/>
      <bottom/>
    </border>
    <border>
      <left/>
      <right/>
      <top/>
      <bottom style="thin">
        <color rgb="FF000000"/>
      </bottom>
    </border>
    <border>
      <left style="thin">
        <color rgb="FF000000"/>
      </left>
      <right style="thin">
        <color rgb="FF000000"/>
      </right>
      <top style="thin">
        <color rgb="FF000000"/>
      </top>
      <bottom style="thin">
        <color rgb="FF000000"/>
      </bottom>
    </border>
    <border>
      <left/>
      <right/>
      <top/>
    </border>
    <border>
      <left/>
      <right/>
      <top style="thin">
        <color rgb="FF000000"/>
      </top>
      <bottom style="thin">
        <color rgb="FF000000"/>
      </bottom>
    </border>
    <border>
      <left/>
      <right/>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right style="thin">
        <color rgb="FF000000"/>
      </right>
      <top/>
      <bottom style="thin">
        <color rgb="FF000000"/>
      </bottom>
    </border>
    <border>
      <left style="thin">
        <color rgb="FF000000"/>
      </left>
      <right/>
      <top/>
      <bottom style="thin">
        <color rgb="FF000000"/>
      </bottom>
    </border>
    <border>
      <left/>
      <right style="thin">
        <color rgb="FF000000"/>
      </right>
      <top/>
    </border>
    <border>
      <left/>
      <right style="thin">
        <color rgb="FF000000"/>
      </right>
      <bottom/>
    </border>
    <border>
      <left/>
      <right/>
    </border>
    <border>
      <left style="thin">
        <color rgb="FF000000"/>
      </left>
      <top style="thin">
        <color rgb="FF000000"/>
      </top>
      <bottom/>
    </border>
    <border>
      <right/>
      <top style="thin">
        <color rgb="FF000000"/>
      </top>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top/>
    </border>
    <border>
      <top/>
    </border>
    <border>
      <right style="thin">
        <color rgb="FF000000"/>
      </right>
      <top/>
    </border>
    <border>
      <left/>
      <bottom/>
    </border>
    <border>
      <bottom/>
    </border>
    <border>
      <right style="thin">
        <color rgb="FF000000"/>
      </right>
      <bottom/>
    </border>
    <border>
      <left style="thin">
        <color rgb="FF000000"/>
      </left>
      <right style="thin">
        <color rgb="FF000000"/>
      </right>
      <top/>
      <bottom/>
    </border>
    <border>
      <left style="thin">
        <color rgb="FF000000"/>
      </left>
      <right/>
      <top style="thin">
        <color rgb="FF000000"/>
      </top>
      <bottom style="thin">
        <color rgb="FF000000"/>
      </bottom>
    </border>
    <border>
      <right/>
      <top/>
    </border>
    <border>
      <right/>
      <bottom/>
    </border>
    <border>
      <left/>
      <top/>
      <bottom style="thin">
        <color rgb="FF000000"/>
      </bottom>
    </border>
    <border>
      <right/>
      <top/>
      <bottom style="thin">
        <color rgb="FF000000"/>
      </bottom>
    </border>
    <border>
      <left style="thin">
        <color rgb="FF000000"/>
      </left>
      <top/>
      <bottom/>
    </border>
    <border>
      <right style="thick">
        <color rgb="FF000000"/>
      </right>
      <top/>
      <bottom/>
    </border>
    <border>
      <top/>
      <bottom style="thin">
        <color rgb="FF000000"/>
      </bottom>
    </border>
    <border>
      <left style="thick">
        <color rgb="FF000000"/>
      </left>
      <top style="thick">
        <color rgb="FF000000"/>
      </top>
      <bottom style="thin">
        <color rgb="FF000000"/>
      </bottom>
    </border>
    <border>
      <right/>
      <top style="thick">
        <color rgb="FF000000"/>
      </top>
      <bottom style="thin">
        <color rgb="FF000000"/>
      </bottom>
    </border>
    <border>
      <left/>
      <top style="medium">
        <color rgb="FF000000"/>
      </top>
      <bottom style="thin">
        <color rgb="FF000000"/>
      </bottom>
    </border>
    <border>
      <right/>
      <top style="medium">
        <color rgb="FF000000"/>
      </top>
      <bottom style="thin">
        <color rgb="FF000000"/>
      </bottom>
    </border>
    <border>
      <left/>
      <right style="medium">
        <color rgb="FF000000"/>
      </right>
      <top style="medium">
        <color rgb="FF000000"/>
      </top>
      <bottom style="thin">
        <color rgb="FF000000"/>
      </bottom>
    </border>
    <border>
      <left style="thick">
        <color rgb="FF000000"/>
      </left>
      <right/>
      <top style="thin">
        <color rgb="FF000000"/>
      </top>
      <bottom style="thin">
        <color rgb="FF000000"/>
      </bottom>
    </border>
    <border>
      <left/>
      <right style="medium">
        <color rgb="FF000000"/>
      </right>
      <top style="thin">
        <color rgb="FF000000"/>
      </top>
      <bottom style="thin">
        <color rgb="FF000000"/>
      </bottom>
    </border>
    <border>
      <left style="thick">
        <color rgb="FF000000"/>
      </left>
      <right/>
      <top/>
      <bottom style="thin">
        <color rgb="FF000000"/>
      </bottom>
    </border>
    <border>
      <left/>
      <right style="medium">
        <color rgb="FF000000"/>
      </right>
      <top/>
      <bottom style="thin">
        <color rgb="FF000000"/>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207">
    <xf borderId="0" fillId="0" fontId="0" numFmtId="0" xfId="0" applyAlignment="1" applyFont="1">
      <alignment readingOrder="0" shrinkToFit="0" vertical="top" wrapText="0"/>
    </xf>
    <xf borderId="1" fillId="2" fontId="1" numFmtId="0" xfId="0" applyAlignment="1" applyBorder="1" applyFill="1" applyFont="1">
      <alignment vertical="bottom"/>
    </xf>
    <xf borderId="1" fillId="2" fontId="1" numFmtId="0" xfId="0" applyAlignment="1" applyBorder="1" applyFont="1">
      <alignment readingOrder="0" vertical="bottom"/>
    </xf>
    <xf borderId="0" fillId="0" fontId="2" numFmtId="0" xfId="0" applyAlignment="1" applyFont="1">
      <alignment shrinkToFit="0" vertical="bottom" wrapText="1"/>
    </xf>
    <xf borderId="0" fillId="0" fontId="3" numFmtId="0" xfId="0" applyAlignment="1" applyFont="1">
      <alignment horizontal="left" shrinkToFit="0" vertical="bottom" wrapText="1"/>
    </xf>
    <xf borderId="0" fillId="0" fontId="4" numFmtId="0" xfId="0" applyAlignment="1" applyFont="1">
      <alignment readingOrder="0" vertical="top"/>
    </xf>
    <xf borderId="0" fillId="0" fontId="5" numFmtId="0" xfId="0" applyAlignment="1" applyFont="1">
      <alignment horizontal="left" readingOrder="0" shrinkToFit="0" vertical="bottom" wrapText="1"/>
    </xf>
    <xf borderId="0" fillId="0" fontId="6" numFmtId="0" xfId="0" applyAlignment="1" applyFont="1">
      <alignment vertical="bottom"/>
    </xf>
    <xf borderId="0" fillId="0" fontId="6" numFmtId="0" xfId="0" applyAlignment="1" applyFont="1">
      <alignment vertical="top"/>
    </xf>
    <xf borderId="2" fillId="3" fontId="7" numFmtId="0" xfId="0" applyAlignment="1" applyBorder="1" applyFill="1" applyFont="1">
      <alignment vertical="bottom"/>
    </xf>
    <xf borderId="3" fillId="3" fontId="7" numFmtId="0" xfId="0" applyAlignment="1" applyBorder="1" applyFont="1">
      <alignment vertical="bottom"/>
    </xf>
    <xf borderId="4" fillId="3" fontId="7" numFmtId="0" xfId="0" applyAlignment="1" applyBorder="1" applyFont="1">
      <alignment vertical="bottom"/>
    </xf>
    <xf borderId="0" fillId="0" fontId="7" numFmtId="0" xfId="0" applyAlignment="1" applyFont="1">
      <alignment vertical="bottom"/>
    </xf>
    <xf borderId="5" fillId="3" fontId="7" numFmtId="0" xfId="0" applyAlignment="1" applyBorder="1" applyFont="1">
      <alignment vertical="bottom"/>
    </xf>
    <xf borderId="6" fillId="2" fontId="1" numFmtId="0" xfId="0" applyAlignment="1" applyBorder="1" applyFont="1">
      <alignment horizontal="left" vertical="bottom"/>
    </xf>
    <xf borderId="7" fillId="0" fontId="8" numFmtId="0" xfId="0" applyAlignment="1" applyBorder="1" applyFont="1">
      <alignment vertical="top"/>
    </xf>
    <xf borderId="8" fillId="0" fontId="8" numFmtId="0" xfId="0" applyAlignment="1" applyBorder="1" applyFont="1">
      <alignment vertical="top"/>
    </xf>
    <xf borderId="1" fillId="2" fontId="7" numFmtId="0" xfId="0" applyAlignment="1" applyBorder="1" applyFont="1">
      <alignment vertical="bottom"/>
    </xf>
    <xf borderId="9" fillId="3" fontId="7" numFmtId="0" xfId="0" applyAlignment="1" applyBorder="1" applyFont="1">
      <alignment vertical="bottom"/>
    </xf>
    <xf borderId="1" fillId="3" fontId="7" numFmtId="0" xfId="0" applyAlignment="1" applyBorder="1" applyFont="1">
      <alignment vertical="bottom"/>
    </xf>
    <xf borderId="6" fillId="3" fontId="7" numFmtId="0" xfId="0" applyAlignment="1" applyBorder="1" applyFont="1">
      <alignment horizontal="left" shrinkToFit="0" vertical="center" wrapText="1"/>
    </xf>
    <xf borderId="1" fillId="3" fontId="7" numFmtId="0" xfId="0" applyAlignment="1" applyBorder="1" applyFont="1">
      <alignment horizontal="center" vertical="bottom"/>
    </xf>
    <xf borderId="6" fillId="3" fontId="7" numFmtId="0" xfId="0" applyAlignment="1" applyBorder="1" applyFont="1">
      <alignment horizontal="center" vertical="bottom"/>
    </xf>
    <xf borderId="1" fillId="3" fontId="7" numFmtId="0" xfId="0" applyAlignment="1" applyBorder="1" applyFont="1">
      <alignment shrinkToFit="0" vertical="bottom" wrapText="1"/>
    </xf>
    <xf borderId="1" fillId="3" fontId="6" numFmtId="0" xfId="0" applyAlignment="1" applyBorder="1" applyFont="1">
      <alignment vertical="top"/>
    </xf>
    <xf borderId="10" fillId="3" fontId="9" numFmtId="0" xfId="0" applyAlignment="1" applyBorder="1" applyFont="1">
      <alignment vertical="bottom"/>
    </xf>
    <xf borderId="10" fillId="3" fontId="9" numFmtId="0" xfId="0" applyAlignment="1" applyBorder="1" applyFont="1">
      <alignment horizontal="center" vertical="bottom"/>
    </xf>
    <xf borderId="1" fillId="3" fontId="9" numFmtId="0" xfId="0" applyAlignment="1" applyBorder="1" applyFont="1">
      <alignment horizontal="center" vertical="bottom"/>
    </xf>
    <xf borderId="1" fillId="3" fontId="9" numFmtId="0" xfId="0" applyAlignment="1" applyBorder="1" applyFont="1">
      <alignment vertical="bottom"/>
    </xf>
    <xf borderId="1" fillId="3" fontId="7" numFmtId="10" xfId="0" applyAlignment="1" applyBorder="1" applyFont="1" applyNumberFormat="1">
      <alignment horizontal="center" vertical="bottom"/>
    </xf>
    <xf borderId="1" fillId="3" fontId="7" numFmtId="0" xfId="0" applyAlignment="1" applyBorder="1" applyFont="1">
      <alignment horizontal="left" vertical="bottom"/>
    </xf>
    <xf borderId="5" fillId="3" fontId="2" numFmtId="0" xfId="0" applyAlignment="1" applyBorder="1" applyFont="1">
      <alignment vertical="top"/>
    </xf>
    <xf borderId="9" fillId="3" fontId="6" numFmtId="0" xfId="0" applyAlignment="1" applyBorder="1" applyFont="1">
      <alignment vertical="top"/>
    </xf>
    <xf borderId="1" fillId="3" fontId="9" numFmtId="0" xfId="0" applyAlignment="1" applyBorder="1" applyFont="1">
      <alignment horizontal="right" vertical="top"/>
    </xf>
    <xf borderId="6" fillId="3" fontId="7" numFmtId="0" xfId="0" applyAlignment="1" applyBorder="1" applyFont="1">
      <alignment horizontal="left" shrinkToFit="0" vertical="bottom" wrapText="1"/>
    </xf>
    <xf borderId="5" fillId="3" fontId="6" numFmtId="0" xfId="0" applyAlignment="1" applyBorder="1" applyFont="1">
      <alignment vertical="top"/>
    </xf>
    <xf borderId="1" fillId="3" fontId="9" numFmtId="0" xfId="0" applyAlignment="1" applyBorder="1" applyFont="1">
      <alignment horizontal="left" vertical="bottom"/>
    </xf>
    <xf borderId="11" fillId="3" fontId="10" numFmtId="10" xfId="0" applyAlignment="1" applyBorder="1" applyFont="1" applyNumberFormat="1">
      <alignment vertical="bottom"/>
    </xf>
    <xf borderId="1" fillId="3" fontId="2" numFmtId="0" xfId="0" applyAlignment="1" applyBorder="1" applyFont="1">
      <alignment vertical="top"/>
    </xf>
    <xf borderId="11" fillId="3" fontId="10" numFmtId="39" xfId="0" applyAlignment="1" applyBorder="1" applyFont="1" applyNumberFormat="1">
      <alignment vertical="bottom"/>
    </xf>
    <xf borderId="1" fillId="3" fontId="10" numFmtId="39" xfId="0" applyAlignment="1" applyBorder="1" applyFont="1" applyNumberFormat="1">
      <alignment vertical="bottom"/>
    </xf>
    <xf borderId="11" fillId="3" fontId="11" numFmtId="39" xfId="0" applyAlignment="1" applyBorder="1" applyFont="1" applyNumberFormat="1">
      <alignment vertical="center"/>
    </xf>
    <xf borderId="1" fillId="3" fontId="12" numFmtId="0" xfId="0" applyAlignment="1" applyBorder="1" applyFont="1">
      <alignment vertical="top"/>
    </xf>
    <xf borderId="12" fillId="3" fontId="7" numFmtId="0" xfId="0" applyAlignment="1" applyBorder="1" applyFont="1">
      <alignment horizontal="left" shrinkToFit="0" vertical="bottom" wrapText="1"/>
    </xf>
    <xf borderId="13" fillId="3" fontId="12" numFmtId="0" xfId="0" applyAlignment="1" applyBorder="1" applyFont="1">
      <alignment vertical="top"/>
    </xf>
    <xf borderId="14" fillId="0" fontId="8" numFmtId="0" xfId="0" applyAlignment="1" applyBorder="1" applyFont="1">
      <alignment vertical="top"/>
    </xf>
    <xf borderId="11" fillId="3" fontId="11" numFmtId="0" xfId="0" applyAlignment="1" applyBorder="1" applyFont="1">
      <alignment vertical="center"/>
    </xf>
    <xf borderId="11" fillId="3" fontId="11" numFmtId="164" xfId="0" applyAlignment="1" applyBorder="1" applyFont="1" applyNumberFormat="1">
      <alignment vertical="center"/>
    </xf>
    <xf borderId="15" fillId="3" fontId="6" numFmtId="0" xfId="0" applyAlignment="1" applyBorder="1" applyFont="1">
      <alignment vertical="top"/>
    </xf>
    <xf borderId="16" fillId="3" fontId="6" numFmtId="0" xfId="0" applyAlignment="1" applyBorder="1" applyFont="1">
      <alignment vertical="top"/>
    </xf>
    <xf borderId="17" fillId="3" fontId="6" numFmtId="0" xfId="0" applyAlignment="1" applyBorder="1" applyFont="1">
      <alignment vertical="top"/>
    </xf>
    <xf borderId="18" fillId="3" fontId="7" numFmtId="0" xfId="0" applyAlignment="1" applyBorder="1" applyFont="1">
      <alignment vertical="bottom"/>
    </xf>
    <xf borderId="19" fillId="3" fontId="7" numFmtId="0" xfId="0" applyAlignment="1" applyBorder="1" applyFont="1">
      <alignment horizontal="center" vertical="bottom"/>
    </xf>
    <xf borderId="20" fillId="3" fontId="7" numFmtId="0" xfId="0" applyAlignment="1" applyBorder="1" applyFont="1">
      <alignment horizontal="center" vertical="bottom"/>
    </xf>
    <xf borderId="18" fillId="3" fontId="7" numFmtId="0" xfId="0" applyAlignment="1" applyBorder="1" applyFont="1">
      <alignment horizontal="left" vertical="bottom"/>
    </xf>
    <xf borderId="19" fillId="3" fontId="9" numFmtId="0" xfId="0" applyAlignment="1" applyBorder="1" applyFont="1">
      <alignment horizontal="left" vertical="bottom"/>
    </xf>
    <xf borderId="19" fillId="3" fontId="2" numFmtId="0" xfId="0" applyAlignment="1" applyBorder="1" applyFont="1">
      <alignment horizontal="left" vertical="bottom"/>
    </xf>
    <xf borderId="19" fillId="3" fontId="2" numFmtId="0" xfId="0" applyAlignment="1" applyBorder="1" applyFont="1">
      <alignment vertical="bottom"/>
    </xf>
    <xf borderId="20" fillId="3" fontId="2" numFmtId="0" xfId="0" applyAlignment="1" applyBorder="1" applyFont="1">
      <alignment vertical="bottom"/>
    </xf>
    <xf borderId="21" fillId="3" fontId="13" numFmtId="0" xfId="0" applyAlignment="1" applyBorder="1" applyFont="1">
      <alignment vertical="bottom"/>
    </xf>
    <xf borderId="1" fillId="3" fontId="2" numFmtId="0" xfId="0" applyAlignment="1" applyBorder="1" applyFont="1">
      <alignment vertical="bottom"/>
    </xf>
    <xf borderId="1" fillId="3" fontId="14" numFmtId="165" xfId="0" applyAlignment="1" applyBorder="1" applyFont="1" applyNumberFormat="1">
      <alignment vertical="bottom"/>
    </xf>
    <xf borderId="22" fillId="3" fontId="14" numFmtId="165" xfId="0" applyAlignment="1" applyBorder="1" applyFont="1" applyNumberFormat="1">
      <alignment vertical="bottom"/>
    </xf>
    <xf borderId="1" fillId="3" fontId="15" numFmtId="0" xfId="0" applyAlignment="1" applyBorder="1" applyFont="1">
      <alignment horizontal="left" vertical="bottom"/>
    </xf>
    <xf borderId="1" fillId="3" fontId="16" numFmtId="166" xfId="0" applyAlignment="1" applyBorder="1" applyFont="1" applyNumberFormat="1">
      <alignment vertical="bottom"/>
    </xf>
    <xf borderId="22" fillId="3" fontId="16" numFmtId="166" xfId="0" applyAlignment="1" applyBorder="1" applyFont="1" applyNumberFormat="1">
      <alignment vertical="bottom"/>
    </xf>
    <xf borderId="10" fillId="3" fontId="7" numFmtId="0" xfId="0" applyAlignment="1" applyBorder="1" applyFont="1">
      <alignment vertical="bottom"/>
    </xf>
    <xf borderId="10" fillId="3" fontId="2" numFmtId="0" xfId="0" applyAlignment="1" applyBorder="1" applyFont="1">
      <alignment vertical="bottom"/>
    </xf>
    <xf borderId="10" fillId="3" fontId="14" numFmtId="165" xfId="0" applyAlignment="1" applyBorder="1" applyFont="1" applyNumberFormat="1">
      <alignment vertical="bottom"/>
    </xf>
    <xf borderId="23" fillId="3" fontId="14" numFmtId="165" xfId="0" applyAlignment="1" applyBorder="1" applyFont="1" applyNumberFormat="1">
      <alignment vertical="bottom"/>
    </xf>
    <xf borderId="19" fillId="3" fontId="7" numFmtId="0" xfId="0" applyAlignment="1" applyBorder="1" applyFont="1">
      <alignment vertical="bottom"/>
    </xf>
    <xf borderId="19" fillId="3" fontId="14" numFmtId="165" xfId="0" applyAlignment="1" applyBorder="1" applyFont="1" applyNumberFormat="1">
      <alignment vertical="bottom"/>
    </xf>
    <xf borderId="20" fillId="3" fontId="14" numFmtId="165" xfId="0" applyAlignment="1" applyBorder="1" applyFont="1" applyNumberFormat="1">
      <alignment vertical="bottom"/>
    </xf>
    <xf borderId="24" fillId="3" fontId="13" numFmtId="0" xfId="0" applyAlignment="1" applyBorder="1" applyFont="1">
      <alignment vertical="bottom"/>
    </xf>
    <xf borderId="5" fillId="3" fontId="2" numFmtId="0" xfId="0" applyAlignment="1" applyBorder="1" applyFont="1">
      <alignment vertical="bottom"/>
    </xf>
    <xf borderId="25" fillId="3" fontId="9" numFmtId="0" xfId="0" applyAlignment="1" applyBorder="1" applyFont="1">
      <alignment horizontal="left" shrinkToFit="0" vertical="bottom" wrapText="1"/>
    </xf>
    <xf borderId="13" fillId="3" fontId="10" numFmtId="10" xfId="0" applyAlignment="1" applyBorder="1" applyFont="1" applyNumberFormat="1">
      <alignment vertical="bottom"/>
    </xf>
    <xf borderId="26" fillId="0" fontId="8" numFmtId="0" xfId="0" applyAlignment="1" applyBorder="1" applyFont="1">
      <alignment vertical="top"/>
    </xf>
    <xf borderId="12" fillId="3" fontId="9" numFmtId="0" xfId="0" applyAlignment="1" applyBorder="1" applyFont="1">
      <alignment horizontal="left" shrinkToFit="0" vertical="bottom" wrapText="1"/>
    </xf>
    <xf borderId="1" fillId="3" fontId="10" numFmtId="10" xfId="0" applyAlignment="1" applyBorder="1" applyFont="1" applyNumberFormat="1">
      <alignment vertical="bottom"/>
    </xf>
    <xf borderId="27" fillId="0" fontId="8" numFmtId="0" xfId="0" applyAlignment="1" applyBorder="1" applyFont="1">
      <alignment vertical="top"/>
    </xf>
    <xf borderId="19" fillId="3" fontId="10" numFmtId="10" xfId="0" applyAlignment="1" applyBorder="1" applyFont="1" applyNumberFormat="1">
      <alignment vertical="bottom"/>
    </xf>
    <xf borderId="10" fillId="3" fontId="10" numFmtId="39" xfId="0" applyAlignment="1" applyBorder="1" applyFont="1" applyNumberFormat="1">
      <alignment vertical="bottom"/>
    </xf>
    <xf borderId="11" fillId="3" fontId="10" numFmtId="0" xfId="0" applyAlignment="1" applyBorder="1" applyFont="1">
      <alignment vertical="bottom"/>
    </xf>
    <xf borderId="13" fillId="3" fontId="2" numFmtId="0" xfId="0" applyAlignment="1" applyBorder="1" applyFont="1">
      <alignment vertical="bottom"/>
    </xf>
    <xf borderId="13" fillId="3" fontId="14" numFmtId="165" xfId="0" applyAlignment="1" applyBorder="1" applyFont="1" applyNumberFormat="1">
      <alignment vertical="bottom"/>
    </xf>
    <xf borderId="21" fillId="3" fontId="6" numFmtId="0" xfId="0" applyAlignment="1" applyBorder="1" applyFont="1">
      <alignment vertical="top"/>
    </xf>
    <xf borderId="22" fillId="3" fontId="10" numFmtId="39" xfId="0" applyAlignment="1" applyBorder="1" applyFont="1" applyNumberFormat="1">
      <alignment vertical="bottom"/>
    </xf>
    <xf borderId="24" fillId="3" fontId="6" numFmtId="0" xfId="0" applyAlignment="1" applyBorder="1" applyFont="1">
      <alignment vertical="top"/>
    </xf>
    <xf borderId="23" fillId="3" fontId="10" numFmtId="39" xfId="0" applyAlignment="1" applyBorder="1" applyFont="1" applyNumberFormat="1">
      <alignment vertical="bottom"/>
    </xf>
    <xf borderId="1" fillId="3" fontId="6" numFmtId="4" xfId="0" applyAlignment="1" applyBorder="1" applyFont="1" applyNumberFormat="1">
      <alignment horizontal="right" vertical="bottom"/>
    </xf>
    <xf borderId="1" fillId="3" fontId="15" numFmtId="0" xfId="0" applyAlignment="1" applyBorder="1" applyFont="1">
      <alignment vertical="bottom"/>
    </xf>
    <xf borderId="1" fillId="3" fontId="2" numFmtId="0" xfId="0" applyAlignment="1" applyBorder="1" applyFont="1">
      <alignment horizontal="right" vertical="top"/>
    </xf>
    <xf borderId="11" fillId="4" fontId="11" numFmtId="39" xfId="0" applyAlignment="1" applyBorder="1" applyFill="1" applyFont="1" applyNumberFormat="1">
      <alignment vertical="center"/>
    </xf>
    <xf borderId="1" fillId="3" fontId="17" numFmtId="39" xfId="0" applyAlignment="1" applyBorder="1" applyFont="1" applyNumberFormat="1">
      <alignment vertical="center"/>
    </xf>
    <xf borderId="11" fillId="4" fontId="11" numFmtId="10" xfId="0" applyAlignment="1" applyBorder="1" applyFont="1" applyNumberFormat="1">
      <alignment vertical="top"/>
    </xf>
    <xf borderId="9" fillId="3" fontId="2" numFmtId="0" xfId="0" applyAlignment="1" applyBorder="1" applyFont="1">
      <alignment vertical="bottom"/>
    </xf>
    <xf borderId="11" fillId="3" fontId="11" numFmtId="10" xfId="0" applyAlignment="1" applyBorder="1" applyFont="1" applyNumberFormat="1">
      <alignment vertical="top"/>
    </xf>
    <xf borderId="1" fillId="3" fontId="6" numFmtId="10" xfId="0" applyAlignment="1" applyBorder="1" applyFont="1" applyNumberFormat="1">
      <alignment vertical="bottom"/>
    </xf>
    <xf borderId="1" fillId="3" fontId="6" numFmtId="4" xfId="0" applyAlignment="1" applyBorder="1" applyFont="1" applyNumberFormat="1">
      <alignment vertical="bottom"/>
    </xf>
    <xf borderId="1" fillId="3" fontId="17" numFmtId="10" xfId="0" applyAlignment="1" applyBorder="1" applyFont="1" applyNumberFormat="1">
      <alignment vertical="top"/>
    </xf>
    <xf borderId="1" fillId="3" fontId="7" numFmtId="0" xfId="0" applyAlignment="1" applyBorder="1" applyFont="1">
      <alignment horizontal="left" shrinkToFit="0" vertical="center" wrapText="1"/>
    </xf>
    <xf borderId="1" fillId="3" fontId="7" numFmtId="0" xfId="0" applyAlignment="1" applyBorder="1" applyFont="1">
      <alignment horizontal="left" shrinkToFit="0" vertical="bottom" wrapText="1"/>
    </xf>
    <xf borderId="1" fillId="3" fontId="6" numFmtId="0" xfId="0" applyAlignment="1" applyBorder="1" applyFont="1">
      <alignment horizontal="left" vertical="top"/>
    </xf>
    <xf borderId="28" fillId="3" fontId="7" numFmtId="0" xfId="0" applyAlignment="1" applyBorder="1" applyFont="1">
      <alignment horizontal="left" vertical="bottom"/>
    </xf>
    <xf borderId="29" fillId="0" fontId="8" numFmtId="0" xfId="0" applyAlignment="1" applyBorder="1" applyFont="1">
      <alignment vertical="top"/>
    </xf>
    <xf borderId="21" fillId="3" fontId="7" numFmtId="0" xfId="0" applyAlignment="1" applyBorder="1" applyFont="1">
      <alignment vertical="bottom"/>
    </xf>
    <xf borderId="1" fillId="3" fontId="7" numFmtId="165" xfId="0" applyAlignment="1" applyBorder="1" applyFont="1" applyNumberFormat="1">
      <alignment vertical="bottom"/>
    </xf>
    <xf borderId="22" fillId="3" fontId="7" numFmtId="165" xfId="0" applyAlignment="1" applyBorder="1" applyFont="1" applyNumberFormat="1">
      <alignment vertical="bottom"/>
    </xf>
    <xf borderId="19" fillId="3" fontId="6" numFmtId="0" xfId="0" applyAlignment="1" applyBorder="1" applyFont="1">
      <alignment vertical="top"/>
    </xf>
    <xf borderId="19" fillId="3" fontId="7" numFmtId="165" xfId="0" applyAlignment="1" applyBorder="1" applyFont="1" applyNumberFormat="1">
      <alignment vertical="bottom"/>
    </xf>
    <xf borderId="20" fillId="3" fontId="7" numFmtId="165" xfId="0" applyAlignment="1" applyBorder="1" applyFont="1" applyNumberFormat="1">
      <alignment vertical="bottom"/>
    </xf>
    <xf borderId="22" fillId="3" fontId="6" numFmtId="0" xfId="0" applyAlignment="1" applyBorder="1" applyFont="1">
      <alignment vertical="top"/>
    </xf>
    <xf borderId="30" fillId="3" fontId="11" numFmtId="39" xfId="0" applyAlignment="1" applyBorder="1" applyFont="1" applyNumberFormat="1">
      <alignment vertical="center"/>
    </xf>
    <xf borderId="13" fillId="3" fontId="7" numFmtId="0" xfId="0" applyAlignment="1" applyBorder="1" applyFont="1">
      <alignment vertical="bottom"/>
    </xf>
    <xf borderId="13" fillId="3" fontId="6" numFmtId="0" xfId="0" applyAlignment="1" applyBorder="1" applyFont="1">
      <alignment vertical="top"/>
    </xf>
    <xf borderId="31" fillId="3" fontId="6" numFmtId="0" xfId="0" applyAlignment="1" applyBorder="1" applyFont="1">
      <alignment vertical="top"/>
    </xf>
    <xf borderId="32" fillId="3" fontId="11" numFmtId="0" xfId="0" applyAlignment="1" applyBorder="1" applyFont="1">
      <alignment vertical="center"/>
    </xf>
    <xf borderId="10" fillId="3" fontId="6" numFmtId="0" xfId="0" applyAlignment="1" applyBorder="1" applyFont="1">
      <alignment vertical="top"/>
    </xf>
    <xf borderId="23" fillId="3" fontId="6" numFmtId="0" xfId="0" applyAlignment="1" applyBorder="1" applyFont="1">
      <alignment vertical="top"/>
    </xf>
    <xf borderId="12" fillId="3" fontId="9" numFmtId="0" xfId="0" applyAlignment="1" applyBorder="1" applyFont="1">
      <alignment horizontal="right" vertical="top"/>
    </xf>
    <xf borderId="33" fillId="3" fontId="7" numFmtId="0" xfId="0" applyAlignment="1" applyBorder="1" applyFont="1">
      <alignment horizontal="left" shrinkToFit="0" vertical="bottom" wrapText="1"/>
    </xf>
    <xf borderId="34" fillId="0" fontId="8" numFmtId="0" xfId="0" applyAlignment="1" applyBorder="1" applyFont="1">
      <alignment vertical="top"/>
    </xf>
    <xf borderId="35" fillId="0" fontId="8" numFmtId="0" xfId="0" applyAlignment="1" applyBorder="1" applyFont="1">
      <alignment vertical="top"/>
    </xf>
    <xf borderId="36" fillId="0" fontId="8" numFmtId="0" xfId="0" applyAlignment="1" applyBorder="1" applyFont="1">
      <alignment vertical="top"/>
    </xf>
    <xf borderId="37" fillId="0" fontId="8" numFmtId="0" xfId="0" applyAlignment="1" applyBorder="1" applyFont="1">
      <alignment vertical="top"/>
    </xf>
    <xf borderId="38" fillId="0" fontId="8" numFmtId="0" xfId="0" applyAlignment="1" applyBorder="1" applyFont="1">
      <alignment vertical="top"/>
    </xf>
    <xf borderId="39" fillId="3" fontId="7" numFmtId="0" xfId="0" applyAlignment="1" applyBorder="1" applyFont="1">
      <alignment horizontal="center" vertical="bottom"/>
    </xf>
    <xf borderId="1" fillId="3" fontId="2" numFmtId="0" xfId="0" applyAlignment="1" applyBorder="1" applyFont="1">
      <alignment horizontal="center" shrinkToFit="0" vertical="bottom" wrapText="1"/>
    </xf>
    <xf borderId="19" fillId="3" fontId="17" numFmtId="39" xfId="0" applyAlignment="1" applyBorder="1" applyFont="1" applyNumberFormat="1">
      <alignment vertical="center"/>
    </xf>
    <xf borderId="10" fillId="3" fontId="17" numFmtId="39" xfId="0" applyAlignment="1" applyBorder="1" applyFont="1" applyNumberFormat="1">
      <alignment vertical="center"/>
    </xf>
    <xf borderId="32" fillId="3" fontId="11" numFmtId="39" xfId="0" applyAlignment="1" applyBorder="1" applyFont="1" applyNumberFormat="1">
      <alignment vertical="center"/>
    </xf>
    <xf borderId="5" fillId="3" fontId="2" numFmtId="0" xfId="0" applyAlignment="1" applyBorder="1" applyFont="1">
      <alignment horizontal="right" vertical="top"/>
    </xf>
    <xf borderId="6" fillId="3" fontId="7" numFmtId="0" xfId="0" applyAlignment="1" applyBorder="1" applyFont="1">
      <alignment horizontal="center" shrinkToFit="0" vertical="bottom" wrapText="1"/>
    </xf>
    <xf borderId="1" fillId="3" fontId="2" numFmtId="0" xfId="0" applyAlignment="1" applyBorder="1" applyFont="1">
      <alignment shrinkToFit="0" vertical="bottom" wrapText="1"/>
    </xf>
    <xf borderId="40" fillId="3" fontId="10" numFmtId="10" xfId="0" applyAlignment="1" applyBorder="1" applyFont="1" applyNumberFormat="1">
      <alignment vertical="bottom"/>
    </xf>
    <xf borderId="1" fillId="3" fontId="7" numFmtId="10" xfId="0" applyAlignment="1" applyBorder="1" applyFont="1" applyNumberFormat="1">
      <alignment vertical="bottom"/>
    </xf>
    <xf borderId="20" fillId="3" fontId="7" numFmtId="10" xfId="0" applyAlignment="1" applyBorder="1" applyFont="1" applyNumberFormat="1">
      <alignment vertical="bottom"/>
    </xf>
    <xf borderId="22" fillId="3" fontId="7" numFmtId="10" xfId="0" applyAlignment="1" applyBorder="1" applyFont="1" applyNumberFormat="1">
      <alignment vertical="bottom"/>
    </xf>
    <xf borderId="1" fillId="3" fontId="6" numFmtId="10" xfId="0" applyAlignment="1" applyBorder="1" applyFont="1" applyNumberFormat="1">
      <alignment vertical="top"/>
    </xf>
    <xf borderId="1" fillId="3" fontId="6" numFmtId="167" xfId="0" applyAlignment="1" applyBorder="1" applyFont="1" applyNumberFormat="1">
      <alignment vertical="top"/>
    </xf>
    <xf borderId="23" fillId="3" fontId="7" numFmtId="10" xfId="0" applyAlignment="1" applyBorder="1" applyFont="1" applyNumberFormat="1">
      <alignment vertical="bottom"/>
    </xf>
    <xf borderId="22" fillId="3" fontId="9" numFmtId="10" xfId="0" applyAlignment="1" applyBorder="1" applyFont="1" applyNumberFormat="1">
      <alignment vertical="bottom"/>
    </xf>
    <xf borderId="31" fillId="3" fontId="14" numFmtId="165" xfId="0" applyAlignment="1" applyBorder="1" applyFont="1" applyNumberFormat="1">
      <alignment vertical="bottom"/>
    </xf>
    <xf borderId="6" fillId="3" fontId="9" numFmtId="10" xfId="0" applyAlignment="1" applyBorder="1" applyFont="1" applyNumberFormat="1">
      <alignment horizontal="left" vertical="bottom"/>
    </xf>
    <xf borderId="19" fillId="3" fontId="6" numFmtId="4" xfId="0" applyAlignment="1" applyBorder="1" applyFont="1" applyNumberFormat="1">
      <alignment vertical="bottom"/>
    </xf>
    <xf borderId="6" fillId="3" fontId="9" numFmtId="10" xfId="0" applyAlignment="1" applyBorder="1" applyFont="1" applyNumberFormat="1">
      <alignment horizontal="center" vertical="bottom"/>
    </xf>
    <xf borderId="1" fillId="3" fontId="9" numFmtId="10" xfId="0" applyAlignment="1" applyBorder="1" applyFont="1" applyNumberFormat="1">
      <alignment vertical="bottom"/>
    </xf>
    <xf borderId="1" fillId="3" fontId="9" numFmtId="10" xfId="0" applyAlignment="1" applyBorder="1" applyFont="1" applyNumberFormat="1">
      <alignment horizontal="center" vertical="bottom"/>
    </xf>
    <xf borderId="6" fillId="3" fontId="7" numFmtId="10" xfId="0" applyAlignment="1" applyBorder="1" applyFont="1" applyNumberFormat="1">
      <alignment horizontal="left" vertical="bottom"/>
    </xf>
    <xf borderId="1" fillId="3" fontId="7" numFmtId="0" xfId="0" applyAlignment="1" applyBorder="1" applyFont="1">
      <alignment vertical="top"/>
    </xf>
    <xf borderId="1" fillId="3" fontId="7" numFmtId="4" xfId="0" applyAlignment="1" applyBorder="1" applyFont="1" applyNumberFormat="1">
      <alignment horizontal="center" vertical="top"/>
    </xf>
    <xf borderId="1" fillId="3" fontId="7" numFmtId="0" xfId="0" applyAlignment="1" applyBorder="1" applyFont="1">
      <alignment horizontal="center" vertical="top"/>
    </xf>
    <xf borderId="1" fillId="3" fontId="7" numFmtId="168" xfId="0" applyAlignment="1" applyBorder="1" applyFont="1" applyNumberFormat="1">
      <alignment horizontal="center" vertical="top"/>
    </xf>
    <xf borderId="1" fillId="3" fontId="7" numFmtId="2" xfId="0" applyAlignment="1" applyBorder="1" applyFont="1" applyNumberFormat="1">
      <alignment horizontal="center" vertical="top"/>
    </xf>
    <xf borderId="1" fillId="3" fontId="7" numFmtId="168" xfId="0" applyAlignment="1" applyBorder="1" applyFont="1" applyNumberFormat="1">
      <alignment vertical="top"/>
    </xf>
    <xf borderId="1" fillId="3" fontId="18" numFmtId="0" xfId="0" applyAlignment="1" applyBorder="1" applyFont="1">
      <alignment vertical="top"/>
    </xf>
    <xf borderId="1" fillId="3" fontId="11" numFmtId="39" xfId="0" applyAlignment="1" applyBorder="1" applyFont="1" applyNumberFormat="1">
      <alignment vertical="center"/>
    </xf>
    <xf borderId="33" fillId="3" fontId="7" numFmtId="2" xfId="0" applyAlignment="1" applyBorder="1" applyFont="1" applyNumberFormat="1">
      <alignment horizontal="center" shrinkToFit="0" vertical="top" wrapText="1"/>
    </xf>
    <xf borderId="41" fillId="0" fontId="8" numFmtId="0" xfId="0" applyAlignment="1" applyBorder="1" applyFont="1">
      <alignment vertical="top"/>
    </xf>
    <xf borderId="42" fillId="0" fontId="8" numFmtId="0" xfId="0" applyAlignment="1" applyBorder="1" applyFont="1">
      <alignment vertical="top"/>
    </xf>
    <xf borderId="6" fillId="3" fontId="9" numFmtId="0" xfId="0" applyAlignment="1" applyBorder="1" applyFont="1">
      <alignment horizontal="center" vertical="bottom"/>
    </xf>
    <xf borderId="43" fillId="3" fontId="9" numFmtId="0" xfId="0" applyAlignment="1" applyBorder="1" applyFont="1">
      <alignment horizontal="center" vertical="bottom"/>
    </xf>
    <xf borderId="44" fillId="0" fontId="8" numFmtId="0" xfId="0" applyAlignment="1" applyBorder="1" applyFont="1">
      <alignment vertical="top"/>
    </xf>
    <xf borderId="19" fillId="3" fontId="7" numFmtId="4" xfId="0" applyAlignment="1" applyBorder="1" applyFont="1" applyNumberFormat="1">
      <alignment horizontal="center" vertical="top"/>
    </xf>
    <xf borderId="20" fillId="3" fontId="7" numFmtId="4" xfId="0" applyAlignment="1" applyBorder="1" applyFont="1" applyNumberFormat="1">
      <alignment horizontal="center" vertical="top"/>
    </xf>
    <xf borderId="45" fillId="3" fontId="7" numFmtId="2" xfId="0" applyAlignment="1" applyBorder="1" applyFont="1" applyNumberFormat="1">
      <alignment horizontal="center" shrinkToFit="0" vertical="top" wrapText="1"/>
    </xf>
    <xf borderId="46" fillId="0" fontId="8" numFmtId="0" xfId="0" applyAlignment="1" applyBorder="1" applyFont="1">
      <alignment vertical="top"/>
    </xf>
    <xf borderId="47" fillId="0" fontId="8" numFmtId="0" xfId="0" applyAlignment="1" applyBorder="1" applyFont="1">
      <alignment vertical="top"/>
    </xf>
    <xf borderId="1" fillId="3" fontId="7" numFmtId="2" xfId="0" applyAlignment="1" applyBorder="1" applyFont="1" applyNumberFormat="1">
      <alignment shrinkToFit="0" vertical="top" wrapText="1"/>
    </xf>
    <xf borderId="18" fillId="3" fontId="7" numFmtId="4" xfId="0" applyAlignment="1" applyBorder="1" applyFont="1" applyNumberFormat="1">
      <alignment horizontal="center" vertical="top"/>
    </xf>
    <xf borderId="6" fillId="3" fontId="7" numFmtId="2" xfId="0" applyAlignment="1" applyBorder="1" applyFont="1" applyNumberFormat="1">
      <alignment horizontal="center" shrinkToFit="0" vertical="top" wrapText="1"/>
    </xf>
    <xf borderId="1" fillId="3" fontId="7" numFmtId="0" xfId="0" applyAlignment="1" applyBorder="1" applyFont="1">
      <alignment shrinkToFit="0" vertical="top" wrapText="1"/>
    </xf>
    <xf borderId="1" fillId="3" fontId="7" numFmtId="2" xfId="0" applyAlignment="1" applyBorder="1" applyFont="1" applyNumberFormat="1">
      <alignment horizontal="center" shrinkToFit="0" vertical="top" wrapText="1"/>
    </xf>
    <xf borderId="1" fillId="3" fontId="9" numFmtId="0" xfId="0" applyAlignment="1" applyBorder="1" applyFont="1">
      <alignment shrinkToFit="0" vertical="top" wrapText="1"/>
    </xf>
    <xf borderId="1" fillId="3" fontId="9" numFmtId="4" xfId="0" applyAlignment="1" applyBorder="1" applyFont="1" applyNumberFormat="1">
      <alignment horizontal="center" vertical="top"/>
    </xf>
    <xf borderId="0" fillId="0" fontId="15" numFmtId="0" xfId="0" applyAlignment="1" applyFont="1">
      <alignment vertical="top"/>
    </xf>
    <xf borderId="6" fillId="3" fontId="15" numFmtId="0" xfId="0" applyAlignment="1" applyBorder="1" applyFont="1">
      <alignment horizontal="left" shrinkToFit="0" vertical="bottom" wrapText="1"/>
    </xf>
    <xf borderId="48" fillId="2" fontId="1" numFmtId="0" xfId="0" applyAlignment="1" applyBorder="1" applyFont="1">
      <alignment horizontal="left" vertical="bottom"/>
    </xf>
    <xf borderId="49" fillId="0" fontId="8" numFmtId="0" xfId="0" applyAlignment="1" applyBorder="1" applyFont="1">
      <alignment vertical="top"/>
    </xf>
    <xf borderId="50" fillId="2" fontId="1" numFmtId="0" xfId="0" applyAlignment="1" applyBorder="1" applyFont="1">
      <alignment horizontal="left" vertical="bottom"/>
    </xf>
    <xf borderId="51" fillId="0" fontId="8" numFmtId="0" xfId="0" applyAlignment="1" applyBorder="1" applyFont="1">
      <alignment vertical="top"/>
    </xf>
    <xf borderId="52" fillId="2" fontId="1" numFmtId="0" xfId="0" applyAlignment="1" applyBorder="1" applyFont="1">
      <alignment horizontal="left" vertical="bottom"/>
    </xf>
    <xf borderId="53" fillId="5" fontId="19" numFmtId="0" xfId="0" applyAlignment="1" applyBorder="1" applyFill="1" applyFont="1">
      <alignment vertical="top"/>
    </xf>
    <xf borderId="13" fillId="5" fontId="19" numFmtId="0" xfId="0" applyAlignment="1" applyBorder="1" applyFont="1">
      <alignment vertical="top"/>
    </xf>
    <xf borderId="13" fillId="5" fontId="6" numFmtId="0" xfId="0" applyAlignment="1" applyBorder="1" applyFont="1">
      <alignment vertical="top"/>
    </xf>
    <xf borderId="54" fillId="5" fontId="6" numFmtId="0" xfId="0" applyAlignment="1" applyBorder="1" applyFont="1">
      <alignment vertical="top"/>
    </xf>
    <xf borderId="0" fillId="0" fontId="6" numFmtId="0" xfId="0" applyAlignment="1" applyFont="1">
      <alignment shrinkToFit="0" vertical="top" wrapText="1"/>
    </xf>
    <xf borderId="55" fillId="5" fontId="14" numFmtId="0" xfId="0" applyAlignment="1" applyBorder="1" applyFont="1">
      <alignment shrinkToFit="0" vertical="top" wrapText="1"/>
    </xf>
    <xf borderId="10" fillId="5" fontId="14" numFmtId="0" xfId="0" applyAlignment="1" applyBorder="1" applyFont="1">
      <alignment shrinkToFit="0" vertical="top" wrapText="1"/>
    </xf>
    <xf borderId="10" fillId="5" fontId="14" numFmtId="0" xfId="0" applyAlignment="1" applyBorder="1" applyFont="1">
      <alignment horizontal="center" shrinkToFit="0" vertical="top" wrapText="1"/>
    </xf>
    <xf borderId="56" fillId="5" fontId="14" numFmtId="0" xfId="0" applyAlignment="1" applyBorder="1" applyFont="1">
      <alignment shrinkToFit="0" vertical="top" wrapText="1"/>
    </xf>
    <xf borderId="57" fillId="3" fontId="19" numFmtId="0" xfId="0" applyAlignment="1" applyBorder="1" applyFont="1">
      <alignment vertical="top"/>
    </xf>
    <xf borderId="1" fillId="3" fontId="14" numFmtId="0" xfId="0" applyAlignment="1" applyBorder="1" applyFont="1">
      <alignment shrinkToFit="0" vertical="top" wrapText="1"/>
    </xf>
    <xf borderId="1" fillId="3" fontId="14" numFmtId="0" xfId="0" applyAlignment="1" applyBorder="1" applyFont="1">
      <alignment vertical="top"/>
    </xf>
    <xf borderId="1" fillId="3" fontId="14" numFmtId="169" xfId="0" applyAlignment="1" applyBorder="1" applyFont="1" applyNumberFormat="1">
      <alignment vertical="top"/>
    </xf>
    <xf borderId="58" fillId="3" fontId="14" numFmtId="0" xfId="0" applyAlignment="1" applyBorder="1" applyFont="1">
      <alignment vertical="top"/>
    </xf>
    <xf borderId="57" fillId="3" fontId="2" numFmtId="0" xfId="0" applyAlignment="1" applyBorder="1" applyFont="1">
      <alignment vertical="top"/>
    </xf>
    <xf borderId="1" fillId="3" fontId="14" numFmtId="2" xfId="0" applyAlignment="1" applyBorder="1" applyFont="1" applyNumberFormat="1">
      <alignment vertical="top"/>
    </xf>
    <xf borderId="58" fillId="3" fontId="14" numFmtId="2" xfId="0" applyAlignment="1" applyBorder="1" applyFont="1" applyNumberFormat="1">
      <alignment vertical="top"/>
    </xf>
    <xf borderId="1" fillId="3" fontId="14" numFmtId="9" xfId="0" applyAlignment="1" applyBorder="1" applyFont="1" applyNumberFormat="1">
      <alignment vertical="top"/>
    </xf>
    <xf borderId="58" fillId="3" fontId="14" numFmtId="9" xfId="0" applyAlignment="1" applyBorder="1" applyFont="1" applyNumberFormat="1">
      <alignment vertical="top"/>
    </xf>
    <xf borderId="59" fillId="3" fontId="2" numFmtId="0" xfId="0" applyAlignment="1" applyBorder="1" applyFont="1">
      <alignment vertical="top"/>
    </xf>
    <xf borderId="60" fillId="3" fontId="14" numFmtId="0" xfId="0" applyAlignment="1" applyBorder="1" applyFont="1">
      <alignment vertical="top"/>
    </xf>
    <xf borderId="16" fillId="3" fontId="14" numFmtId="0" xfId="0" applyAlignment="1" applyBorder="1" applyFont="1">
      <alignment vertical="top"/>
    </xf>
    <xf borderId="60" fillId="3" fontId="14" numFmtId="9" xfId="0" applyAlignment="1" applyBorder="1" applyFont="1" applyNumberFormat="1">
      <alignment vertical="top"/>
    </xf>
    <xf borderId="61" fillId="3" fontId="14" numFmtId="9" xfId="0" applyAlignment="1" applyBorder="1" applyFont="1" applyNumberFormat="1">
      <alignment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PSF\Untitled\Documents%20and%20Settings\Nicole\My%20Documents\GreenPenQA\Jobs\Spoke&amp;Wheel\Berk_DeMarzo\Excel_Spreadsheets_Sols\XLS\chapter%205%20revision%203%20.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ntents"/>
      <sheetName val="5-2"/>
      <sheetName val="5-3"/>
      <sheetName val="5-7"/>
      <sheetName val="5-14"/>
      <sheetName val="5-15"/>
      <sheetName val="5-17"/>
      <sheetName val="5-18"/>
      <sheetName val="5-25"/>
      <sheetName val="5-26"/>
      <sheetName val="5-27"/>
      <sheetName val="5-28"/>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86"/>
    <col customWidth="1" min="3" max="3" width="28.0"/>
    <col customWidth="1" min="4" max="26" width="8.86"/>
  </cols>
  <sheetData>
    <row r="1" ht="12.75" customHeight="1"/>
    <row r="2" ht="12.75" customHeight="1">
      <c r="C2" s="1" t="s">
        <v>0</v>
      </c>
      <c r="D2" s="2" t="s">
        <v>1</v>
      </c>
    </row>
    <row r="3" ht="12.75" customHeight="1">
      <c r="C3" s="3"/>
    </row>
    <row r="4" ht="12.75" customHeight="1">
      <c r="C4" s="4" t="s">
        <v>2</v>
      </c>
      <c r="D4" s="5" t="s">
        <v>3</v>
      </c>
    </row>
    <row r="5" ht="12.75" customHeight="1">
      <c r="C5" s="4" t="s">
        <v>4</v>
      </c>
      <c r="D5" s="5" t="s">
        <v>5</v>
      </c>
    </row>
    <row r="6" ht="12.75" customHeight="1">
      <c r="C6" s="4" t="s">
        <v>6</v>
      </c>
      <c r="D6" s="5" t="s">
        <v>7</v>
      </c>
    </row>
    <row r="7" ht="12.75" customHeight="1">
      <c r="C7" s="4" t="s">
        <v>8</v>
      </c>
      <c r="D7" s="5" t="s">
        <v>9</v>
      </c>
    </row>
    <row r="8" ht="12.75" customHeight="1">
      <c r="C8" s="4" t="s">
        <v>10</v>
      </c>
      <c r="D8" s="5" t="s">
        <v>11</v>
      </c>
    </row>
    <row r="9" ht="12.75" customHeight="1">
      <c r="C9" s="4" t="s">
        <v>12</v>
      </c>
      <c r="D9" s="5" t="s">
        <v>11</v>
      </c>
    </row>
    <row r="10" ht="12.75" customHeight="1">
      <c r="C10" s="6" t="s">
        <v>13</v>
      </c>
      <c r="D10" s="5" t="s">
        <v>11</v>
      </c>
    </row>
    <row r="11" ht="12.75" customHeight="1">
      <c r="C11" s="4" t="s">
        <v>14</v>
      </c>
      <c r="D11" s="5" t="s">
        <v>15</v>
      </c>
    </row>
    <row r="12" ht="12.75" customHeight="1"/>
    <row r="13" ht="12.75" customHeight="1"/>
    <row r="14" ht="12.75" customHeight="1"/>
    <row r="15" ht="12.75" customHeight="1">
      <c r="F15" s="7"/>
    </row>
    <row r="16" ht="12.75" customHeight="1">
      <c r="A16" s="7"/>
      <c r="F16" s="7"/>
      <c r="G16" s="7"/>
      <c r="H16" s="7"/>
      <c r="I16" s="7"/>
      <c r="J16" s="7"/>
      <c r="K16" s="7"/>
      <c r="L16" s="7"/>
      <c r="M16" s="7"/>
      <c r="N16" s="7"/>
      <c r="O16" s="7"/>
      <c r="P16" s="7"/>
      <c r="Q16" s="7"/>
      <c r="R16" s="7"/>
      <c r="S16" s="7"/>
      <c r="T16" s="7"/>
      <c r="U16" s="7"/>
      <c r="V16" s="7"/>
      <c r="W16" s="7"/>
      <c r="X16" s="7"/>
      <c r="Y16" s="7"/>
      <c r="Z16" s="7"/>
    </row>
    <row r="17" ht="12.75" customHeight="1">
      <c r="A17" s="7"/>
      <c r="F17" s="7"/>
      <c r="G17" s="7"/>
      <c r="H17" s="7"/>
      <c r="I17" s="7"/>
      <c r="J17" s="7"/>
      <c r="K17" s="7"/>
      <c r="L17" s="7"/>
      <c r="M17" s="7"/>
      <c r="N17" s="7"/>
      <c r="O17" s="7"/>
      <c r="P17" s="7"/>
      <c r="Q17" s="7"/>
      <c r="R17" s="7"/>
      <c r="S17" s="7"/>
      <c r="T17" s="7"/>
      <c r="U17" s="7"/>
      <c r="V17" s="7"/>
      <c r="W17" s="7"/>
      <c r="X17" s="7"/>
      <c r="Y17" s="7"/>
      <c r="Z17" s="7"/>
    </row>
    <row r="18" ht="12.75" customHeight="1">
      <c r="A18" s="7"/>
      <c r="F18" s="7"/>
      <c r="G18" s="7"/>
      <c r="H18" s="7"/>
      <c r="I18" s="7"/>
      <c r="J18" s="7"/>
      <c r="K18" s="7"/>
      <c r="L18" s="7"/>
      <c r="M18" s="7"/>
      <c r="N18" s="7"/>
      <c r="O18" s="7"/>
      <c r="P18" s="7"/>
      <c r="Q18" s="7"/>
      <c r="R18" s="7"/>
      <c r="S18" s="7"/>
      <c r="T18" s="7"/>
      <c r="U18" s="7"/>
      <c r="V18" s="7"/>
      <c r="W18" s="7"/>
      <c r="X18" s="7"/>
      <c r="Y18" s="7"/>
      <c r="Z18" s="7"/>
    </row>
    <row r="19" ht="12.75" customHeight="1">
      <c r="A19" s="7"/>
      <c r="F19" s="7"/>
      <c r="G19" s="7"/>
      <c r="H19" s="7"/>
      <c r="I19" s="7"/>
      <c r="J19" s="7"/>
      <c r="K19" s="7"/>
      <c r="L19" s="7"/>
      <c r="M19" s="7"/>
      <c r="N19" s="7"/>
      <c r="O19" s="7"/>
      <c r="P19" s="7"/>
      <c r="Q19" s="7"/>
      <c r="R19" s="7"/>
      <c r="S19" s="7"/>
      <c r="T19" s="7"/>
      <c r="U19" s="7"/>
      <c r="V19" s="7"/>
      <c r="W19" s="7"/>
      <c r="X19" s="7"/>
      <c r="Y19" s="7"/>
      <c r="Z19" s="7"/>
    </row>
    <row r="20" ht="12.75" customHeight="1">
      <c r="A20" s="7"/>
      <c r="F20" s="7"/>
      <c r="G20" s="7"/>
      <c r="H20" s="7"/>
      <c r="I20" s="7"/>
      <c r="J20" s="7"/>
      <c r="K20" s="7"/>
      <c r="L20" s="7"/>
      <c r="M20" s="7"/>
      <c r="N20" s="7"/>
      <c r="O20" s="7"/>
      <c r="P20" s="7"/>
      <c r="Q20" s="7"/>
      <c r="R20" s="7"/>
      <c r="S20" s="7"/>
      <c r="T20" s="7"/>
      <c r="U20" s="7"/>
      <c r="V20" s="7"/>
      <c r="W20" s="7"/>
      <c r="X20" s="7"/>
      <c r="Y20" s="7"/>
      <c r="Z20" s="7"/>
    </row>
    <row r="21" ht="12.75" customHeight="1">
      <c r="A21" s="7"/>
      <c r="F21" s="7"/>
      <c r="G21" s="7"/>
      <c r="H21" s="7"/>
      <c r="I21" s="7"/>
      <c r="J21" s="7"/>
      <c r="K21" s="7"/>
      <c r="L21" s="7"/>
      <c r="M21" s="7"/>
      <c r="N21" s="7"/>
      <c r="O21" s="7"/>
      <c r="P21" s="7"/>
      <c r="Q21" s="7"/>
      <c r="R21" s="7"/>
      <c r="S21" s="7"/>
      <c r="T21" s="7"/>
      <c r="U21" s="7"/>
      <c r="V21" s="7"/>
      <c r="W21" s="7"/>
      <c r="X21" s="7"/>
      <c r="Y21" s="7"/>
      <c r="Z21" s="7"/>
    </row>
    <row r="22" ht="12.75" customHeight="1">
      <c r="A22" s="7"/>
      <c r="F22" s="7"/>
      <c r="G22" s="7"/>
      <c r="H22" s="7"/>
      <c r="I22" s="7"/>
      <c r="J22" s="7"/>
      <c r="K22" s="7"/>
      <c r="L22" s="7"/>
      <c r="M22" s="7"/>
      <c r="N22" s="7"/>
      <c r="O22" s="7"/>
      <c r="P22" s="7"/>
      <c r="Q22" s="7"/>
      <c r="R22" s="7"/>
      <c r="S22" s="7"/>
      <c r="T22" s="7"/>
      <c r="U22" s="7"/>
      <c r="V22" s="7"/>
      <c r="W22" s="7"/>
      <c r="X22" s="7"/>
      <c r="Y22" s="7"/>
      <c r="Z22" s="7"/>
    </row>
    <row r="23" ht="12.75" customHeight="1">
      <c r="A23" s="7"/>
      <c r="F23" s="7"/>
      <c r="G23" s="7"/>
      <c r="H23" s="7"/>
      <c r="I23" s="7"/>
      <c r="J23" s="7"/>
      <c r="K23" s="7"/>
      <c r="L23" s="7"/>
      <c r="M23" s="7"/>
      <c r="N23" s="7"/>
      <c r="O23" s="7"/>
      <c r="P23" s="7"/>
      <c r="Q23" s="7"/>
      <c r="R23" s="7"/>
      <c r="S23" s="7"/>
      <c r="T23" s="7"/>
      <c r="U23" s="7"/>
      <c r="V23" s="7"/>
      <c r="W23" s="7"/>
      <c r="X23" s="7"/>
      <c r="Y23" s="7"/>
      <c r="Z23" s="7"/>
    </row>
    <row r="24" ht="12.75" customHeight="1">
      <c r="A24" s="7"/>
      <c r="F24" s="7"/>
      <c r="G24" s="7"/>
      <c r="H24" s="7"/>
      <c r="I24" s="7"/>
      <c r="J24" s="7"/>
      <c r="K24" s="7"/>
      <c r="L24" s="7"/>
      <c r="M24" s="7"/>
      <c r="N24" s="7"/>
      <c r="O24" s="7"/>
      <c r="P24" s="7"/>
      <c r="Q24" s="7"/>
      <c r="R24" s="7"/>
      <c r="S24" s="7"/>
      <c r="T24" s="7"/>
      <c r="U24" s="7"/>
      <c r="V24" s="7"/>
      <c r="W24" s="7"/>
      <c r="X24" s="7"/>
      <c r="Y24" s="7"/>
      <c r="Z24" s="7"/>
    </row>
    <row r="25" ht="12.75" customHeight="1">
      <c r="A25" s="7"/>
      <c r="F25" s="7"/>
      <c r="G25" s="7"/>
      <c r="H25" s="7"/>
      <c r="I25" s="7"/>
      <c r="J25" s="7"/>
      <c r="K25" s="7"/>
      <c r="L25" s="7"/>
      <c r="M25" s="7"/>
      <c r="N25" s="7"/>
      <c r="O25" s="7"/>
      <c r="P25" s="7"/>
      <c r="Q25" s="7"/>
      <c r="R25" s="7"/>
      <c r="S25" s="7"/>
      <c r="T25" s="7"/>
      <c r="U25" s="7"/>
      <c r="V25" s="7"/>
      <c r="W25" s="7"/>
      <c r="X25" s="7"/>
      <c r="Y25" s="7"/>
      <c r="Z25" s="7"/>
    </row>
    <row r="26" ht="12.75" customHeight="1">
      <c r="A26" s="8"/>
      <c r="F26" s="8"/>
      <c r="G26" s="8"/>
      <c r="H26" s="8"/>
      <c r="I26" s="8"/>
      <c r="J26" s="8"/>
      <c r="K26" s="8"/>
      <c r="L26" s="8"/>
      <c r="M26" s="8"/>
      <c r="N26" s="8"/>
      <c r="O26" s="8"/>
      <c r="P26" s="8"/>
      <c r="Q26" s="8"/>
      <c r="R26" s="8"/>
      <c r="S26" s="8"/>
      <c r="T26" s="8"/>
      <c r="U26" s="8"/>
      <c r="V26" s="8"/>
      <c r="W26" s="8"/>
      <c r="X26" s="8"/>
      <c r="Y26" s="8"/>
      <c r="Z26" s="8"/>
    </row>
    <row r="27" ht="12.75" customHeight="1">
      <c r="A27" s="8"/>
      <c r="F27" s="8"/>
      <c r="G27" s="8"/>
      <c r="H27" s="8"/>
      <c r="I27" s="8"/>
      <c r="J27" s="8"/>
      <c r="K27" s="8"/>
      <c r="L27" s="8"/>
      <c r="M27" s="8"/>
      <c r="N27" s="8"/>
      <c r="O27" s="8"/>
      <c r="P27" s="8"/>
      <c r="Q27" s="8"/>
      <c r="R27" s="8"/>
      <c r="S27" s="8"/>
      <c r="T27" s="8"/>
      <c r="U27" s="8"/>
      <c r="V27" s="8"/>
      <c r="W27" s="8"/>
      <c r="X27" s="8"/>
      <c r="Y27" s="8"/>
      <c r="Z27" s="8"/>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display="Problema 9-19" location="'9-19'!A1" ref="C4"/>
    <hyperlink display="Problema 9-21" location="'9-21'!A1" ref="C5"/>
    <hyperlink display="Problema 9-22" location="'9-22'!A1" ref="C6"/>
    <hyperlink display="Problema 9-25" location="'9-25'!A1" ref="C7"/>
    <hyperlink display="Problema 9-26" location="'9-26'!A1" ref="C8"/>
    <hyperlink display="Problema 9-27" location="'9-27'!A1" ref="C9"/>
    <hyperlink display="Problema 9-28" location="'9-28; 9-29'!A1" ref="C10"/>
    <hyperlink display="Tabella 9-1" location="'Tabella 9-1'!A1" ref="C11"/>
  </hyperlink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3"/>
    <col customWidth="1" min="3" max="3" width="40.86"/>
    <col customWidth="1" min="4" max="4" width="10.29"/>
    <col customWidth="1" min="5" max="6" width="8.86"/>
    <col customWidth="1" min="7" max="8" width="10.0"/>
    <col customWidth="1" min="9" max="26" width="8.86"/>
  </cols>
  <sheetData>
    <row r="1" ht="12.75" customHeight="1">
      <c r="A1" s="9"/>
      <c r="B1" s="10"/>
      <c r="C1" s="10"/>
      <c r="D1" s="10"/>
      <c r="E1" s="10"/>
      <c r="F1" s="10"/>
      <c r="G1" s="10"/>
      <c r="H1" s="10"/>
      <c r="I1" s="10"/>
      <c r="J1" s="10"/>
      <c r="K1" s="10"/>
      <c r="L1" s="11"/>
      <c r="M1" s="12"/>
      <c r="N1" s="12"/>
      <c r="O1" s="12"/>
      <c r="P1" s="12"/>
      <c r="Q1" s="12"/>
      <c r="R1" s="12"/>
      <c r="S1" s="12"/>
      <c r="T1" s="12"/>
      <c r="U1" s="12"/>
      <c r="V1" s="12"/>
      <c r="W1" s="12"/>
      <c r="X1" s="12"/>
      <c r="Y1" s="12"/>
      <c r="Z1" s="12"/>
    </row>
    <row r="2" ht="12.75" customHeight="1">
      <c r="A2" s="13"/>
      <c r="B2" s="14" t="s">
        <v>2</v>
      </c>
      <c r="C2" s="15"/>
      <c r="D2" s="15"/>
      <c r="E2" s="15"/>
      <c r="F2" s="16"/>
      <c r="G2" s="1"/>
      <c r="H2" s="17"/>
      <c r="I2" s="17"/>
      <c r="J2" s="17"/>
      <c r="K2" s="17"/>
      <c r="L2" s="18"/>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9"/>
      <c r="L3" s="18"/>
      <c r="M3" s="12"/>
      <c r="N3" s="12"/>
      <c r="O3" s="12"/>
      <c r="P3" s="12"/>
      <c r="Q3" s="12"/>
      <c r="R3" s="12"/>
      <c r="S3" s="12"/>
      <c r="T3" s="12"/>
      <c r="U3" s="12"/>
      <c r="V3" s="12"/>
      <c r="W3" s="12"/>
      <c r="X3" s="12"/>
      <c r="Y3" s="12"/>
      <c r="Z3" s="12"/>
    </row>
    <row r="4" ht="45.0" customHeight="1">
      <c r="A4" s="13"/>
      <c r="B4" s="20" t="s">
        <v>16</v>
      </c>
      <c r="C4" s="15"/>
      <c r="D4" s="15"/>
      <c r="E4" s="15"/>
      <c r="F4" s="15"/>
      <c r="G4" s="15"/>
      <c r="H4" s="15"/>
      <c r="I4" s="15"/>
      <c r="J4" s="15"/>
      <c r="K4" s="16"/>
      <c r="L4" s="18"/>
      <c r="M4" s="12"/>
      <c r="N4" s="12"/>
      <c r="O4" s="12"/>
      <c r="P4" s="12"/>
      <c r="Q4" s="12"/>
      <c r="R4" s="12"/>
      <c r="S4" s="12"/>
      <c r="T4" s="12"/>
      <c r="U4" s="12"/>
      <c r="V4" s="12"/>
      <c r="W4" s="12"/>
      <c r="X4" s="12"/>
      <c r="Y4" s="12"/>
      <c r="Z4" s="12"/>
    </row>
    <row r="5" ht="12.75" customHeight="1">
      <c r="A5" s="13"/>
      <c r="B5" s="19"/>
      <c r="C5" s="19"/>
      <c r="D5" s="19"/>
      <c r="E5" s="21"/>
      <c r="F5" s="22"/>
      <c r="G5" s="16"/>
      <c r="H5" s="23"/>
      <c r="I5" s="23"/>
      <c r="J5" s="19"/>
      <c r="K5" s="19"/>
      <c r="L5" s="18"/>
      <c r="M5" s="12"/>
      <c r="N5" s="12"/>
      <c r="O5" s="12"/>
      <c r="P5" s="12"/>
      <c r="Q5" s="12"/>
      <c r="R5" s="12"/>
      <c r="S5" s="12"/>
      <c r="T5" s="12"/>
      <c r="U5" s="12"/>
      <c r="V5" s="12"/>
      <c r="W5" s="12"/>
      <c r="X5" s="12"/>
      <c r="Y5" s="12"/>
      <c r="Z5" s="12"/>
    </row>
    <row r="6" ht="12.75" customHeight="1">
      <c r="A6" s="13"/>
      <c r="B6" s="24"/>
      <c r="C6" s="25" t="s">
        <v>17</v>
      </c>
      <c r="D6" s="26">
        <v>1.0</v>
      </c>
      <c r="E6" s="26">
        <v>2.0</v>
      </c>
      <c r="F6" s="26">
        <v>3.0</v>
      </c>
      <c r="G6" s="26">
        <v>4.0</v>
      </c>
      <c r="H6" s="26">
        <v>5.0</v>
      </c>
      <c r="I6" s="27"/>
      <c r="J6" s="24"/>
      <c r="K6" s="24"/>
      <c r="L6" s="18"/>
    </row>
    <row r="7" ht="12.75" customHeight="1">
      <c r="A7" s="13"/>
      <c r="B7" s="24"/>
      <c r="C7" s="28" t="s">
        <v>18</v>
      </c>
      <c r="D7" s="21">
        <v>51.3</v>
      </c>
      <c r="E7" s="21">
        <v>69.7</v>
      </c>
      <c r="F7" s="21">
        <v>79.5</v>
      </c>
      <c r="G7" s="21">
        <v>74.3</v>
      </c>
      <c r="H7" s="21">
        <v>82.7</v>
      </c>
      <c r="I7" s="29"/>
      <c r="J7" s="24"/>
      <c r="K7" s="24"/>
      <c r="L7" s="18"/>
    </row>
    <row r="8" ht="12.75" customHeight="1">
      <c r="A8" s="13"/>
      <c r="B8" s="19"/>
      <c r="C8" s="30"/>
      <c r="D8" s="21"/>
      <c r="E8" s="21"/>
      <c r="F8" s="21"/>
      <c r="G8" s="21"/>
      <c r="H8" s="21"/>
      <c r="I8" s="21"/>
      <c r="J8" s="24"/>
      <c r="K8" s="24"/>
      <c r="L8" s="18"/>
    </row>
    <row r="9" ht="57.0" customHeight="1">
      <c r="A9" s="13"/>
      <c r="B9" s="20" t="s">
        <v>19</v>
      </c>
      <c r="C9" s="15"/>
      <c r="D9" s="15"/>
      <c r="E9" s="15"/>
      <c r="F9" s="15"/>
      <c r="G9" s="15"/>
      <c r="H9" s="15"/>
      <c r="I9" s="15"/>
      <c r="J9" s="15"/>
      <c r="K9" s="16"/>
      <c r="L9" s="18"/>
      <c r="M9" s="12"/>
      <c r="N9" s="12"/>
      <c r="O9" s="12"/>
      <c r="P9" s="12"/>
      <c r="Q9" s="12"/>
      <c r="R9" s="12"/>
      <c r="S9" s="12"/>
      <c r="T9" s="12"/>
      <c r="U9" s="12"/>
      <c r="V9" s="12"/>
      <c r="W9" s="12"/>
      <c r="X9" s="12"/>
      <c r="Y9" s="12"/>
      <c r="Z9" s="12"/>
    </row>
    <row r="10" ht="12.75" customHeight="1">
      <c r="A10" s="31"/>
      <c r="B10" s="24"/>
      <c r="C10" s="24"/>
      <c r="D10" s="24"/>
      <c r="E10" s="24"/>
      <c r="F10" s="24"/>
      <c r="G10" s="24"/>
      <c r="H10" s="24"/>
      <c r="I10" s="24"/>
      <c r="J10" s="24"/>
      <c r="K10" s="24"/>
      <c r="L10" s="32"/>
    </row>
    <row r="11" ht="18.75" customHeight="1">
      <c r="A11" s="13"/>
      <c r="B11" s="33" t="s">
        <v>20</v>
      </c>
      <c r="C11" s="34" t="s">
        <v>21</v>
      </c>
      <c r="D11" s="15"/>
      <c r="E11" s="15"/>
      <c r="F11" s="15"/>
      <c r="G11" s="15"/>
      <c r="H11" s="15"/>
      <c r="I11" s="15"/>
      <c r="J11" s="15"/>
      <c r="K11" s="16"/>
      <c r="L11" s="32"/>
    </row>
    <row r="12" ht="7.5" customHeight="1">
      <c r="A12" s="35"/>
      <c r="B12" s="24"/>
      <c r="C12" s="24"/>
      <c r="D12" s="24"/>
      <c r="E12" s="24"/>
      <c r="F12" s="24"/>
      <c r="G12" s="24"/>
      <c r="H12" s="24"/>
      <c r="I12" s="24"/>
      <c r="J12" s="24"/>
      <c r="K12" s="24"/>
      <c r="L12" s="32"/>
    </row>
    <row r="13" ht="37.5" customHeight="1">
      <c r="A13" s="13"/>
      <c r="B13" s="33" t="s">
        <v>22</v>
      </c>
      <c r="C13" s="34" t="s">
        <v>23</v>
      </c>
      <c r="D13" s="15"/>
      <c r="E13" s="15"/>
      <c r="F13" s="15"/>
      <c r="G13" s="15"/>
      <c r="H13" s="15"/>
      <c r="I13" s="15"/>
      <c r="J13" s="15"/>
      <c r="K13" s="16"/>
      <c r="L13" s="32"/>
    </row>
    <row r="14" ht="12.75" customHeight="1">
      <c r="A14" s="35"/>
      <c r="B14" s="24"/>
      <c r="C14" s="24"/>
      <c r="D14" s="24"/>
      <c r="E14" s="24"/>
      <c r="F14" s="24"/>
      <c r="G14" s="24"/>
      <c r="H14" s="24"/>
      <c r="I14" s="24"/>
      <c r="J14" s="24"/>
      <c r="K14" s="24"/>
      <c r="L14" s="32"/>
    </row>
    <row r="15" ht="12.75" customHeight="1">
      <c r="A15" s="35"/>
      <c r="B15" s="24"/>
      <c r="C15" s="36" t="s">
        <v>24</v>
      </c>
      <c r="D15" s="37">
        <v>0.144</v>
      </c>
      <c r="E15" s="24"/>
      <c r="F15" s="24"/>
      <c r="G15" s="24"/>
      <c r="H15" s="24"/>
      <c r="I15" s="24"/>
      <c r="J15" s="24"/>
      <c r="K15" s="24"/>
      <c r="L15" s="32"/>
    </row>
    <row r="16" ht="12.75" customHeight="1">
      <c r="A16" s="35"/>
      <c r="B16" s="24"/>
      <c r="C16" s="36" t="s">
        <v>25</v>
      </c>
      <c r="D16" s="37">
        <v>0.043</v>
      </c>
      <c r="E16" s="24"/>
      <c r="F16" s="24"/>
      <c r="G16" s="24"/>
      <c r="H16" s="24"/>
      <c r="I16" s="24"/>
      <c r="J16" s="24"/>
      <c r="K16" s="24"/>
      <c r="L16" s="32"/>
    </row>
    <row r="17" ht="12.75" customHeight="1">
      <c r="A17" s="35"/>
      <c r="B17" s="24"/>
      <c r="C17" s="38"/>
      <c r="D17" s="24"/>
      <c r="E17" s="24"/>
      <c r="F17" s="24"/>
      <c r="G17" s="24"/>
      <c r="H17" s="24"/>
      <c r="I17" s="24"/>
      <c r="J17" s="24"/>
      <c r="K17" s="24"/>
      <c r="L17" s="32"/>
    </row>
    <row r="18" ht="12.75" customHeight="1">
      <c r="A18" s="35"/>
      <c r="B18" s="24"/>
      <c r="C18" s="25" t="s">
        <v>17</v>
      </c>
      <c r="D18" s="26">
        <v>1.0</v>
      </c>
      <c r="E18" s="26">
        <v>2.0</v>
      </c>
      <c r="F18" s="26">
        <v>3.0</v>
      </c>
      <c r="G18" s="26">
        <v>4.0</v>
      </c>
      <c r="H18" s="26">
        <v>5.0</v>
      </c>
      <c r="I18" s="24"/>
      <c r="J18" s="24"/>
      <c r="K18" s="24"/>
      <c r="L18" s="32"/>
    </row>
    <row r="19" ht="12.75" customHeight="1">
      <c r="A19" s="35"/>
      <c r="B19" s="24"/>
      <c r="C19" s="36" t="s">
        <v>18</v>
      </c>
      <c r="D19" s="39">
        <v>51.3</v>
      </c>
      <c r="E19" s="39">
        <v>69.7</v>
      </c>
      <c r="F19" s="39">
        <v>79.5</v>
      </c>
      <c r="G19" s="39">
        <v>74.3</v>
      </c>
      <c r="H19" s="39">
        <v>82.7</v>
      </c>
      <c r="I19" s="24"/>
      <c r="J19" s="24"/>
      <c r="K19" s="24"/>
      <c r="L19" s="32"/>
    </row>
    <row r="20" ht="12.75" customHeight="1">
      <c r="A20" s="35"/>
      <c r="B20" s="24"/>
      <c r="C20" s="36" t="s">
        <v>26</v>
      </c>
      <c r="D20" s="38"/>
      <c r="E20" s="38"/>
      <c r="F20" s="38"/>
      <c r="G20" s="39">
        <f>H19/(D15-D16)</f>
        <v>818.8118812</v>
      </c>
      <c r="H20" s="40"/>
      <c r="I20" s="24"/>
      <c r="J20" s="24"/>
      <c r="K20" s="24"/>
      <c r="L20" s="32"/>
    </row>
    <row r="21" ht="12.75" customHeight="1">
      <c r="A21" s="35"/>
      <c r="B21" s="24"/>
      <c r="C21" s="36" t="s">
        <v>27</v>
      </c>
      <c r="D21" s="39">
        <f t="shared" ref="D21:G21" si="1">SUM(D19:D20)</f>
        <v>51.3</v>
      </c>
      <c r="E21" s="39">
        <f t="shared" si="1"/>
        <v>69.7</v>
      </c>
      <c r="F21" s="39">
        <f t="shared" si="1"/>
        <v>79.5</v>
      </c>
      <c r="G21" s="39">
        <f t="shared" si="1"/>
        <v>893.1118812</v>
      </c>
      <c r="H21" s="40"/>
      <c r="I21" s="24"/>
      <c r="J21" s="24"/>
      <c r="K21" s="24"/>
      <c r="L21" s="32"/>
    </row>
    <row r="22" ht="12.75" customHeight="1">
      <c r="A22" s="35"/>
      <c r="B22" s="24"/>
      <c r="C22" s="38"/>
      <c r="D22" s="24"/>
      <c r="E22" s="24"/>
      <c r="F22" s="24"/>
      <c r="G22" s="24"/>
      <c r="H22" s="24"/>
      <c r="I22" s="24"/>
      <c r="J22" s="24"/>
      <c r="K22" s="24"/>
      <c r="L22" s="32"/>
    </row>
    <row r="23" ht="12.75" customHeight="1">
      <c r="A23" s="35"/>
      <c r="B23" s="33" t="s">
        <v>20</v>
      </c>
      <c r="C23" s="30" t="s">
        <v>3</v>
      </c>
      <c r="D23" s="41">
        <f t="array" ref="D23">NPV(D15,D21:H21)</f>
        <v>672.6363927</v>
      </c>
      <c r="E23" s="24"/>
      <c r="F23" s="24"/>
      <c r="G23" s="24"/>
      <c r="H23" s="24"/>
      <c r="I23" s="24"/>
      <c r="J23" s="24"/>
      <c r="K23" s="24"/>
      <c r="L23" s="32"/>
    </row>
    <row r="24" ht="12.75" customHeight="1">
      <c r="A24" s="35"/>
      <c r="B24" s="33"/>
      <c r="C24" s="38"/>
      <c r="D24" s="42"/>
      <c r="E24" s="24"/>
      <c r="F24" s="24"/>
      <c r="G24" s="24"/>
      <c r="H24" s="24"/>
      <c r="I24" s="24"/>
      <c r="J24" s="24"/>
      <c r="K24" s="24"/>
      <c r="L24" s="32"/>
    </row>
    <row r="25" ht="12.75" customHeight="1">
      <c r="A25" s="35"/>
      <c r="B25" s="33" t="s">
        <v>22</v>
      </c>
      <c r="C25" s="30" t="s">
        <v>28</v>
      </c>
      <c r="D25" s="41">
        <v>280.0</v>
      </c>
      <c r="E25" s="24"/>
      <c r="F25" s="24"/>
      <c r="G25" s="24"/>
      <c r="H25" s="24"/>
      <c r="I25" s="24"/>
      <c r="J25" s="24"/>
      <c r="K25" s="24"/>
      <c r="L25" s="32"/>
    </row>
    <row r="26" ht="12.75" customHeight="1">
      <c r="A26" s="35"/>
      <c r="B26" s="24"/>
      <c r="C26" s="30" t="s">
        <v>29</v>
      </c>
      <c r="D26" s="41">
        <f>D23-D25</f>
        <v>392.6363927</v>
      </c>
      <c r="E26" s="24"/>
      <c r="F26" s="24"/>
      <c r="G26" s="24"/>
      <c r="H26" s="24"/>
      <c r="I26" s="24"/>
      <c r="J26" s="24"/>
      <c r="K26" s="24"/>
      <c r="L26" s="32"/>
    </row>
    <row r="27" ht="20.25" customHeight="1">
      <c r="A27" s="35"/>
      <c r="B27" s="24"/>
      <c r="C27" s="43" t="s">
        <v>30</v>
      </c>
      <c r="D27" s="44"/>
      <c r="E27" s="24"/>
      <c r="F27" s="24"/>
      <c r="G27" s="24"/>
      <c r="H27" s="24"/>
      <c r="I27" s="24"/>
      <c r="J27" s="24"/>
      <c r="K27" s="24"/>
      <c r="L27" s="32"/>
    </row>
    <row r="28" ht="12.75" customHeight="1">
      <c r="A28" s="35"/>
      <c r="B28" s="24"/>
      <c r="C28" s="45"/>
      <c r="D28" s="46">
        <v>35.0</v>
      </c>
      <c r="E28" s="24"/>
      <c r="F28" s="24"/>
      <c r="G28" s="24"/>
      <c r="H28" s="24"/>
      <c r="I28" s="24"/>
      <c r="J28" s="24"/>
      <c r="K28" s="24"/>
      <c r="L28" s="32"/>
    </row>
    <row r="29" ht="12.75" customHeight="1">
      <c r="A29" s="35"/>
      <c r="B29" s="24"/>
      <c r="C29" s="30" t="s">
        <v>31</v>
      </c>
      <c r="D29" s="47">
        <f>D26/D28</f>
        <v>11.21818265</v>
      </c>
      <c r="E29" s="24"/>
      <c r="F29" s="24"/>
      <c r="G29" s="24"/>
      <c r="H29" s="24"/>
      <c r="I29" s="24"/>
      <c r="J29" s="24"/>
      <c r="K29" s="24"/>
      <c r="L29" s="32"/>
    </row>
    <row r="30" ht="12.75" customHeight="1">
      <c r="A30" s="48"/>
      <c r="B30" s="49"/>
      <c r="C30" s="49"/>
      <c r="D30" s="49"/>
      <c r="E30" s="49"/>
      <c r="F30" s="49"/>
      <c r="G30" s="49"/>
      <c r="H30" s="49"/>
      <c r="I30" s="49"/>
      <c r="J30" s="49"/>
      <c r="K30" s="49"/>
      <c r="L30" s="50"/>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2:F2"/>
    <mergeCell ref="B4:K4"/>
    <mergeCell ref="F5:G5"/>
    <mergeCell ref="B9:K9"/>
    <mergeCell ref="C11:K11"/>
    <mergeCell ref="C13:K13"/>
    <mergeCell ref="C27:C28"/>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71"/>
    <col customWidth="1" min="3" max="3" width="44.43"/>
    <col customWidth="1" min="4" max="4" width="13.86"/>
    <col customWidth="1" min="5" max="5" width="10.14"/>
    <col customWidth="1" min="6" max="7" width="10.0"/>
    <col customWidth="1" min="8" max="8" width="13.71"/>
    <col customWidth="1" min="9" max="11" width="10.0"/>
    <col customWidth="1" min="12" max="26" width="8.86"/>
  </cols>
  <sheetData>
    <row r="1" ht="12.75" customHeight="1">
      <c r="A1" s="9"/>
      <c r="B1" s="10"/>
      <c r="C1" s="10"/>
      <c r="D1" s="10"/>
      <c r="E1" s="10"/>
      <c r="F1" s="10"/>
      <c r="G1" s="10"/>
      <c r="H1" s="10"/>
      <c r="I1" s="10"/>
      <c r="J1" s="10"/>
      <c r="K1" s="10"/>
      <c r="L1" s="11"/>
      <c r="M1" s="12"/>
      <c r="N1" s="12"/>
      <c r="O1" s="12"/>
      <c r="P1" s="12"/>
      <c r="Q1" s="12"/>
      <c r="R1" s="12"/>
      <c r="S1" s="12"/>
      <c r="T1" s="12"/>
      <c r="U1" s="12"/>
      <c r="V1" s="12"/>
      <c r="W1" s="12"/>
      <c r="X1" s="12"/>
      <c r="Y1" s="12"/>
      <c r="Z1" s="12"/>
    </row>
    <row r="2" ht="12.75" customHeight="1">
      <c r="A2" s="13"/>
      <c r="B2" s="14" t="s">
        <v>4</v>
      </c>
      <c r="C2" s="15"/>
      <c r="D2" s="15"/>
      <c r="E2" s="15"/>
      <c r="F2" s="16"/>
      <c r="G2" s="1"/>
      <c r="H2" s="17"/>
      <c r="I2" s="17"/>
      <c r="J2" s="17"/>
      <c r="K2" s="17"/>
      <c r="L2" s="18"/>
      <c r="M2" s="12"/>
      <c r="N2" s="12"/>
      <c r="O2" s="12"/>
      <c r="P2" s="12"/>
      <c r="Q2" s="12"/>
      <c r="R2" s="12"/>
      <c r="S2" s="12"/>
      <c r="T2" s="12"/>
      <c r="U2" s="12"/>
      <c r="V2" s="12"/>
      <c r="W2" s="12"/>
      <c r="X2" s="12"/>
      <c r="Y2" s="12"/>
      <c r="Z2" s="12"/>
    </row>
    <row r="3" ht="12.75" customHeight="1">
      <c r="A3" s="13"/>
      <c r="B3" s="19"/>
      <c r="C3" s="19"/>
      <c r="D3" s="19"/>
      <c r="E3" s="19"/>
      <c r="F3" s="19"/>
      <c r="G3" s="19"/>
      <c r="H3" s="19"/>
      <c r="I3" s="19"/>
      <c r="J3" s="19"/>
      <c r="K3" s="19"/>
      <c r="L3" s="18"/>
      <c r="M3" s="12"/>
      <c r="N3" s="12"/>
      <c r="O3" s="12"/>
      <c r="P3" s="12"/>
      <c r="Q3" s="12"/>
      <c r="R3" s="12"/>
      <c r="S3" s="12"/>
      <c r="T3" s="12"/>
      <c r="U3" s="12"/>
      <c r="V3" s="12"/>
      <c r="W3" s="12"/>
      <c r="X3" s="12"/>
      <c r="Y3" s="12"/>
      <c r="Z3" s="12"/>
    </row>
    <row r="4" ht="45.0" customHeight="1">
      <c r="A4" s="13"/>
      <c r="B4" s="20" t="s">
        <v>32</v>
      </c>
      <c r="C4" s="15"/>
      <c r="D4" s="15"/>
      <c r="E4" s="15"/>
      <c r="F4" s="15"/>
      <c r="G4" s="15"/>
      <c r="H4" s="15"/>
      <c r="I4" s="15"/>
      <c r="J4" s="15"/>
      <c r="K4" s="16"/>
      <c r="L4" s="18"/>
      <c r="M4" s="12"/>
      <c r="N4" s="12"/>
      <c r="O4" s="12"/>
      <c r="P4" s="12"/>
      <c r="Q4" s="12"/>
      <c r="R4" s="12"/>
      <c r="S4" s="12"/>
      <c r="T4" s="12"/>
      <c r="U4" s="12"/>
      <c r="V4" s="12"/>
      <c r="W4" s="12"/>
      <c r="X4" s="12"/>
      <c r="Y4" s="12"/>
      <c r="Z4" s="12"/>
    </row>
    <row r="5" ht="19.5" customHeight="1">
      <c r="A5" s="13"/>
      <c r="B5" s="19"/>
      <c r="C5" s="19"/>
      <c r="D5" s="19"/>
      <c r="E5" s="21"/>
      <c r="F5" s="22"/>
      <c r="G5" s="16"/>
      <c r="H5" s="23"/>
      <c r="I5" s="23"/>
      <c r="J5" s="19"/>
      <c r="K5" s="19"/>
      <c r="L5" s="18"/>
      <c r="M5" s="12"/>
      <c r="N5" s="12"/>
      <c r="O5" s="12"/>
      <c r="P5" s="12"/>
      <c r="Q5" s="12"/>
      <c r="R5" s="12"/>
      <c r="S5" s="12"/>
      <c r="T5" s="12"/>
      <c r="U5" s="12"/>
      <c r="V5" s="12"/>
      <c r="W5" s="12"/>
      <c r="X5" s="12"/>
      <c r="Y5" s="12"/>
      <c r="Z5" s="12"/>
    </row>
    <row r="6" ht="12.75" customHeight="1">
      <c r="A6" s="35"/>
      <c r="B6" s="24"/>
      <c r="C6" s="24"/>
      <c r="D6" s="51" t="s">
        <v>17</v>
      </c>
      <c r="E6" s="52">
        <v>0.0</v>
      </c>
      <c r="F6" s="52">
        <v>1.0</v>
      </c>
      <c r="G6" s="52">
        <v>2.0</v>
      </c>
      <c r="H6" s="52">
        <v>3.0</v>
      </c>
      <c r="I6" s="53">
        <v>4.0</v>
      </c>
      <c r="J6" s="24"/>
      <c r="K6" s="24"/>
      <c r="L6" s="32"/>
    </row>
    <row r="7" ht="12.75" customHeight="1">
      <c r="A7" s="35"/>
      <c r="B7" s="54" t="s">
        <v>33</v>
      </c>
      <c r="C7" s="55"/>
      <c r="D7" s="56"/>
      <c r="E7" s="57"/>
      <c r="F7" s="57"/>
      <c r="G7" s="57"/>
      <c r="H7" s="57"/>
      <c r="I7" s="58"/>
      <c r="J7" s="24"/>
      <c r="K7" s="24"/>
      <c r="L7" s="32"/>
    </row>
    <row r="8" ht="12.75" customHeight="1">
      <c r="A8" s="35"/>
      <c r="B8" s="59">
        <v>1.0</v>
      </c>
      <c r="C8" s="19" t="s">
        <v>34</v>
      </c>
      <c r="D8" s="60"/>
      <c r="E8" s="61">
        <v>433.0</v>
      </c>
      <c r="F8" s="61">
        <v>468.0</v>
      </c>
      <c r="G8" s="61">
        <v>516.0</v>
      </c>
      <c r="H8" s="61">
        <v>547.0</v>
      </c>
      <c r="I8" s="62">
        <v>574.3</v>
      </c>
      <c r="J8" s="24"/>
      <c r="K8" s="24"/>
      <c r="L8" s="32"/>
    </row>
    <row r="9" ht="12.75" customHeight="1">
      <c r="A9" s="35"/>
      <c r="B9" s="59">
        <v>2.0</v>
      </c>
      <c r="C9" s="63" t="s">
        <v>35</v>
      </c>
      <c r="D9" s="60"/>
      <c r="E9" s="60"/>
      <c r="F9" s="64">
        <f t="shared" ref="F9:I9" si="1">F8/E8-1</f>
        <v>0.08083140878</v>
      </c>
      <c r="G9" s="64">
        <f t="shared" si="1"/>
        <v>0.1025641026</v>
      </c>
      <c r="H9" s="64">
        <f t="shared" si="1"/>
        <v>0.06007751938</v>
      </c>
      <c r="I9" s="65">
        <f t="shared" si="1"/>
        <v>0.04990859232</v>
      </c>
      <c r="J9" s="24"/>
      <c r="K9" s="24"/>
      <c r="L9" s="32"/>
    </row>
    <row r="10" ht="12.75" customHeight="1">
      <c r="A10" s="35"/>
      <c r="B10" s="59">
        <v>3.0</v>
      </c>
      <c r="C10" s="66" t="s">
        <v>36</v>
      </c>
      <c r="D10" s="67"/>
      <c r="E10" s="67"/>
      <c r="F10" s="68">
        <f t="shared" ref="F10:I10" si="2">-$D$32*F8</f>
        <v>-313.56</v>
      </c>
      <c r="G10" s="68">
        <f t="shared" si="2"/>
        <v>-345.72</v>
      </c>
      <c r="H10" s="68">
        <f t="shared" si="2"/>
        <v>-366.49</v>
      </c>
      <c r="I10" s="69">
        <f t="shared" si="2"/>
        <v>-384.781</v>
      </c>
      <c r="J10" s="24"/>
      <c r="K10" s="24"/>
      <c r="L10" s="32"/>
    </row>
    <row r="11" ht="12.75" customHeight="1">
      <c r="A11" s="35"/>
      <c r="B11" s="59">
        <v>4.0</v>
      </c>
      <c r="C11" s="70" t="s">
        <v>37</v>
      </c>
      <c r="D11" s="57"/>
      <c r="E11" s="57"/>
      <c r="F11" s="71">
        <f t="shared" ref="F11:I11" si="3">F8+F10</f>
        <v>154.44</v>
      </c>
      <c r="G11" s="71">
        <f t="shared" si="3"/>
        <v>170.28</v>
      </c>
      <c r="H11" s="71">
        <f t="shared" si="3"/>
        <v>180.51</v>
      </c>
      <c r="I11" s="72">
        <f t="shared" si="3"/>
        <v>189.519</v>
      </c>
      <c r="J11" s="24"/>
      <c r="K11" s="24"/>
      <c r="L11" s="32"/>
    </row>
    <row r="12" ht="12.75" customHeight="1">
      <c r="A12" s="35"/>
      <c r="B12" s="59">
        <v>5.0</v>
      </c>
      <c r="C12" s="19" t="s">
        <v>38</v>
      </c>
      <c r="D12" s="60"/>
      <c r="E12" s="60"/>
      <c r="F12" s="61">
        <f t="shared" ref="F12:I12" si="4">-F8*$D$35</f>
        <v>-93.6</v>
      </c>
      <c r="G12" s="61">
        <f t="shared" si="4"/>
        <v>-103.2</v>
      </c>
      <c r="H12" s="61">
        <f t="shared" si="4"/>
        <v>-109.4</v>
      </c>
      <c r="I12" s="62">
        <f t="shared" si="4"/>
        <v>-114.86</v>
      </c>
      <c r="J12" s="24"/>
      <c r="K12" s="24"/>
      <c r="L12" s="32"/>
    </row>
    <row r="13" ht="12.75" customHeight="1">
      <c r="A13" s="35"/>
      <c r="B13" s="59">
        <v>6.0</v>
      </c>
      <c r="C13" s="66" t="s">
        <v>39</v>
      </c>
      <c r="D13" s="67"/>
      <c r="E13" s="67"/>
      <c r="F13" s="68">
        <v>-7.0</v>
      </c>
      <c r="G13" s="68">
        <v>-7.5</v>
      </c>
      <c r="H13" s="68">
        <v>-9.0</v>
      </c>
      <c r="I13" s="69">
        <v>-9.5</v>
      </c>
      <c r="J13" s="24"/>
      <c r="K13" s="24"/>
      <c r="L13" s="32"/>
    </row>
    <row r="14" ht="12.75" customHeight="1">
      <c r="A14" s="35"/>
      <c r="B14" s="59">
        <v>7.0</v>
      </c>
      <c r="C14" s="70" t="s">
        <v>40</v>
      </c>
      <c r="D14" s="57"/>
      <c r="E14" s="57"/>
      <c r="F14" s="71">
        <f t="shared" ref="F14:I14" si="5">F11+F12+F13</f>
        <v>53.84</v>
      </c>
      <c r="G14" s="71">
        <f t="shared" si="5"/>
        <v>59.58</v>
      </c>
      <c r="H14" s="71">
        <f t="shared" si="5"/>
        <v>62.11</v>
      </c>
      <c r="I14" s="72">
        <f t="shared" si="5"/>
        <v>65.159</v>
      </c>
      <c r="J14" s="24"/>
      <c r="K14" s="24"/>
      <c r="L14" s="32"/>
    </row>
    <row r="15" ht="12.75" customHeight="1">
      <c r="A15" s="35"/>
      <c r="B15" s="59">
        <v>8.0</v>
      </c>
      <c r="C15" s="19" t="s">
        <v>41</v>
      </c>
      <c r="D15" s="60"/>
      <c r="E15" s="60"/>
      <c r="F15" s="61">
        <f t="shared" ref="F15:I15" si="6">-0.4*F14</f>
        <v>-21.536</v>
      </c>
      <c r="G15" s="61">
        <f t="shared" si="6"/>
        <v>-23.832</v>
      </c>
      <c r="H15" s="61">
        <f t="shared" si="6"/>
        <v>-24.844</v>
      </c>
      <c r="I15" s="62">
        <f t="shared" si="6"/>
        <v>-26.0636</v>
      </c>
      <c r="J15" s="24"/>
      <c r="K15" s="24"/>
      <c r="L15" s="32"/>
    </row>
    <row r="16" ht="12.75" customHeight="1">
      <c r="A16" s="35"/>
      <c r="B16" s="59">
        <v>9.0</v>
      </c>
      <c r="C16" s="19" t="s">
        <v>42</v>
      </c>
      <c r="D16" s="60"/>
      <c r="E16" s="60"/>
      <c r="F16" s="61">
        <f t="shared" ref="F16:I16" si="7">-F13</f>
        <v>7</v>
      </c>
      <c r="G16" s="61">
        <f t="shared" si="7"/>
        <v>7.5</v>
      </c>
      <c r="H16" s="61">
        <f t="shared" si="7"/>
        <v>9</v>
      </c>
      <c r="I16" s="62">
        <f t="shared" si="7"/>
        <v>9.5</v>
      </c>
      <c r="J16" s="24"/>
      <c r="K16" s="24"/>
      <c r="L16" s="32"/>
    </row>
    <row r="17" ht="12.75" customHeight="1">
      <c r="A17" s="35"/>
      <c r="B17" s="59">
        <v>10.0</v>
      </c>
      <c r="C17" s="19" t="s">
        <v>43</v>
      </c>
      <c r="D17" s="60"/>
      <c r="E17" s="60"/>
      <c r="F17" s="61">
        <v>-7.7</v>
      </c>
      <c r="G17" s="61">
        <v>-10.0</v>
      </c>
      <c r="H17" s="61">
        <v>-9.9</v>
      </c>
      <c r="I17" s="62">
        <v>-10.4</v>
      </c>
      <c r="J17" s="24"/>
      <c r="K17" s="24"/>
      <c r="L17" s="32"/>
    </row>
    <row r="18" ht="12.75" customHeight="1">
      <c r="A18" s="35"/>
      <c r="B18" s="59">
        <v>11.0</v>
      </c>
      <c r="C18" s="66" t="s">
        <v>44</v>
      </c>
      <c r="D18" s="67"/>
      <c r="E18" s="67"/>
      <c r="F18" s="68">
        <f t="shared" ref="F18:I18" si="8">($D$37*E8)-($D$37*F8)</f>
        <v>-6.3</v>
      </c>
      <c r="G18" s="68">
        <f t="shared" si="8"/>
        <v>-8.64</v>
      </c>
      <c r="H18" s="68">
        <f t="shared" si="8"/>
        <v>-5.58</v>
      </c>
      <c r="I18" s="69">
        <f t="shared" si="8"/>
        <v>-4.914</v>
      </c>
      <c r="J18" s="24"/>
      <c r="K18" s="24"/>
      <c r="L18" s="32"/>
    </row>
    <row r="19" ht="12.75" customHeight="1">
      <c r="A19" s="35"/>
      <c r="B19" s="73">
        <v>12.0</v>
      </c>
      <c r="C19" s="66" t="s">
        <v>45</v>
      </c>
      <c r="D19" s="67"/>
      <c r="E19" s="67"/>
      <c r="F19" s="68">
        <f t="shared" ref="F19:I19" si="9">F14+F15+F16+F17+F18</f>
        <v>25.304</v>
      </c>
      <c r="G19" s="68">
        <f t="shared" si="9"/>
        <v>24.608</v>
      </c>
      <c r="H19" s="68">
        <f t="shared" si="9"/>
        <v>30.786</v>
      </c>
      <c r="I19" s="69">
        <f t="shared" si="9"/>
        <v>33.2814</v>
      </c>
      <c r="J19" s="24"/>
      <c r="K19" s="24"/>
      <c r="L19" s="32"/>
    </row>
    <row r="20" ht="12.75" customHeight="1">
      <c r="A20" s="74"/>
      <c r="B20" s="24"/>
      <c r="C20" s="24"/>
      <c r="D20" s="24"/>
      <c r="E20" s="24"/>
      <c r="F20" s="24"/>
      <c r="G20" s="24"/>
      <c r="H20" s="24"/>
      <c r="I20" s="24"/>
      <c r="J20" s="24"/>
      <c r="K20" s="24"/>
      <c r="L20" s="32"/>
    </row>
    <row r="21" ht="39.75" customHeight="1">
      <c r="A21" s="13"/>
      <c r="B21" s="33" t="s">
        <v>20</v>
      </c>
      <c r="C21" s="34" t="s">
        <v>46</v>
      </c>
      <c r="D21" s="15"/>
      <c r="E21" s="15"/>
      <c r="F21" s="15"/>
      <c r="G21" s="15"/>
      <c r="H21" s="15"/>
      <c r="I21" s="15"/>
      <c r="J21" s="15"/>
      <c r="K21" s="16"/>
      <c r="L21" s="32"/>
    </row>
    <row r="22" ht="7.5" customHeight="1">
      <c r="A22" s="35"/>
      <c r="B22" s="24"/>
      <c r="C22" s="24"/>
      <c r="D22" s="24"/>
      <c r="E22" s="24"/>
      <c r="F22" s="24"/>
      <c r="G22" s="24"/>
      <c r="H22" s="24"/>
      <c r="I22" s="24"/>
      <c r="J22" s="24"/>
      <c r="K22" s="24"/>
      <c r="L22" s="32"/>
    </row>
    <row r="23" ht="36.0" customHeight="1">
      <c r="A23" s="13"/>
      <c r="B23" s="33" t="s">
        <v>22</v>
      </c>
      <c r="C23" s="34" t="s">
        <v>47</v>
      </c>
      <c r="D23" s="15"/>
      <c r="E23" s="15"/>
      <c r="F23" s="15"/>
      <c r="G23" s="15"/>
      <c r="H23" s="15"/>
      <c r="I23" s="15"/>
      <c r="J23" s="15"/>
      <c r="K23" s="16"/>
      <c r="L23" s="32"/>
    </row>
    <row r="24" ht="7.5" customHeight="1">
      <c r="A24" s="35"/>
      <c r="B24" s="24"/>
      <c r="C24" s="24"/>
      <c r="D24" s="24"/>
      <c r="E24" s="24"/>
      <c r="F24" s="24"/>
      <c r="G24" s="24"/>
      <c r="H24" s="24"/>
      <c r="I24" s="24"/>
      <c r="J24" s="24"/>
      <c r="K24" s="24"/>
      <c r="L24" s="32"/>
    </row>
    <row r="25" ht="84.0" customHeight="1">
      <c r="A25" s="13"/>
      <c r="B25" s="33" t="s">
        <v>48</v>
      </c>
      <c r="C25" s="34" t="s">
        <v>49</v>
      </c>
      <c r="D25" s="15"/>
      <c r="E25" s="15"/>
      <c r="F25" s="15"/>
      <c r="G25" s="15"/>
      <c r="H25" s="15"/>
      <c r="I25" s="15"/>
      <c r="J25" s="15"/>
      <c r="K25" s="16"/>
      <c r="L25" s="32"/>
    </row>
    <row r="26" ht="11.25" customHeight="1">
      <c r="A26" s="35"/>
      <c r="B26" s="24"/>
      <c r="C26" s="24"/>
      <c r="D26" s="24"/>
      <c r="E26" s="24"/>
      <c r="F26" s="24"/>
      <c r="G26" s="24"/>
      <c r="H26" s="24"/>
      <c r="I26" s="24"/>
      <c r="J26" s="24"/>
      <c r="K26" s="24"/>
      <c r="L26" s="32"/>
    </row>
    <row r="27" ht="84.75" customHeight="1">
      <c r="A27" s="13"/>
      <c r="B27" s="33" t="s">
        <v>50</v>
      </c>
      <c r="C27" s="34" t="s">
        <v>51</v>
      </c>
      <c r="D27" s="15"/>
      <c r="E27" s="15"/>
      <c r="F27" s="15"/>
      <c r="G27" s="15"/>
      <c r="H27" s="15"/>
      <c r="I27" s="15"/>
      <c r="J27" s="15"/>
      <c r="K27" s="16"/>
      <c r="L27" s="32"/>
    </row>
    <row r="28" ht="12.75" customHeight="1">
      <c r="A28" s="35"/>
      <c r="B28" s="24"/>
      <c r="C28" s="24"/>
      <c r="D28" s="24"/>
      <c r="E28" s="24"/>
      <c r="F28" s="24"/>
      <c r="G28" s="24"/>
      <c r="H28" s="24"/>
      <c r="I28" s="24"/>
      <c r="J28" s="24"/>
      <c r="K28" s="24"/>
      <c r="L28" s="32"/>
    </row>
    <row r="29" ht="12.75" customHeight="1">
      <c r="A29" s="35"/>
      <c r="B29" s="24"/>
      <c r="C29" s="36" t="s">
        <v>24</v>
      </c>
      <c r="D29" s="37">
        <v>0.11</v>
      </c>
      <c r="E29" s="24"/>
      <c r="F29" s="24"/>
      <c r="G29" s="24"/>
      <c r="H29" s="24"/>
      <c r="I29" s="24"/>
      <c r="J29" s="24"/>
      <c r="K29" s="24"/>
      <c r="L29" s="32"/>
    </row>
    <row r="30" ht="12.75" customHeight="1">
      <c r="A30" s="35"/>
      <c r="B30" s="24"/>
      <c r="C30" s="36" t="s">
        <v>25</v>
      </c>
      <c r="D30" s="37">
        <v>0.057</v>
      </c>
      <c r="E30" s="24"/>
      <c r="F30" s="24"/>
      <c r="G30" s="24"/>
      <c r="H30" s="24"/>
      <c r="I30" s="24"/>
      <c r="J30" s="24"/>
      <c r="K30" s="24"/>
      <c r="L30" s="32"/>
    </row>
    <row r="31" ht="12.75" customHeight="1">
      <c r="A31" s="35"/>
      <c r="B31" s="24"/>
      <c r="C31" s="75" t="s">
        <v>52</v>
      </c>
      <c r="D31" s="76"/>
      <c r="E31" s="24"/>
      <c r="F31" s="24"/>
      <c r="G31" s="24"/>
      <c r="H31" s="24"/>
      <c r="I31" s="24"/>
      <c r="J31" s="24"/>
      <c r="K31" s="24"/>
      <c r="L31" s="32"/>
    </row>
    <row r="32" ht="12.75" customHeight="1">
      <c r="A32" s="35"/>
      <c r="B32" s="24"/>
      <c r="C32" s="77"/>
      <c r="D32" s="37">
        <v>0.67</v>
      </c>
      <c r="E32" s="24"/>
      <c r="F32" s="24"/>
      <c r="G32" s="24"/>
      <c r="H32" s="24"/>
      <c r="I32" s="24"/>
      <c r="J32" s="24"/>
      <c r="K32" s="24"/>
      <c r="L32" s="32"/>
    </row>
    <row r="33" ht="12.75" customHeight="1">
      <c r="A33" s="35"/>
      <c r="B33" s="24"/>
      <c r="C33" s="78" t="s">
        <v>53</v>
      </c>
      <c r="D33" s="79"/>
      <c r="E33" s="24"/>
      <c r="F33" s="24"/>
      <c r="G33" s="24"/>
      <c r="H33" s="24"/>
      <c r="I33" s="24"/>
      <c r="J33" s="24"/>
      <c r="K33" s="24"/>
      <c r="L33" s="32"/>
    </row>
    <row r="34" ht="12.75" customHeight="1">
      <c r="A34" s="35"/>
      <c r="B34" s="24"/>
      <c r="C34" s="80"/>
      <c r="D34" s="79"/>
      <c r="E34" s="24"/>
      <c r="F34" s="24"/>
      <c r="G34" s="24"/>
      <c r="H34" s="24"/>
      <c r="I34" s="24"/>
      <c r="J34" s="24"/>
      <c r="K34" s="24"/>
      <c r="L34" s="32"/>
    </row>
    <row r="35" ht="12.75" customHeight="1">
      <c r="A35" s="35"/>
      <c r="B35" s="24"/>
      <c r="C35" s="45"/>
      <c r="D35" s="37">
        <v>0.2</v>
      </c>
      <c r="E35" s="24"/>
      <c r="F35" s="24"/>
      <c r="G35" s="24"/>
      <c r="H35" s="24"/>
      <c r="I35" s="24"/>
      <c r="J35" s="24"/>
      <c r="K35" s="24"/>
      <c r="L35" s="32"/>
    </row>
    <row r="36" ht="12.75" customHeight="1">
      <c r="A36" s="35"/>
      <c r="B36" s="24"/>
      <c r="C36" s="75" t="s">
        <v>54</v>
      </c>
      <c r="D36" s="76"/>
      <c r="E36" s="24"/>
      <c r="F36" s="24"/>
      <c r="G36" s="24"/>
      <c r="H36" s="24"/>
      <c r="I36" s="24"/>
      <c r="J36" s="24"/>
      <c r="K36" s="24"/>
      <c r="L36" s="32"/>
    </row>
    <row r="37" ht="12.75" customHeight="1">
      <c r="A37" s="35"/>
      <c r="B37" s="24"/>
      <c r="C37" s="77"/>
      <c r="D37" s="37">
        <v>0.18</v>
      </c>
      <c r="E37" s="24"/>
      <c r="F37" s="24"/>
      <c r="G37" s="24"/>
      <c r="H37" s="24"/>
      <c r="I37" s="24"/>
      <c r="J37" s="24"/>
      <c r="K37" s="24"/>
      <c r="L37" s="32"/>
    </row>
    <row r="38" ht="22.5" customHeight="1">
      <c r="A38" s="35"/>
      <c r="B38" s="24"/>
      <c r="C38" s="78" t="s">
        <v>55</v>
      </c>
      <c r="D38" s="81"/>
      <c r="E38" s="24"/>
      <c r="F38" s="24"/>
      <c r="G38" s="24"/>
      <c r="H38" s="24"/>
      <c r="I38" s="24"/>
      <c r="J38" s="24"/>
      <c r="K38" s="24"/>
      <c r="L38" s="32"/>
    </row>
    <row r="39" ht="12.75" customHeight="1">
      <c r="A39" s="35"/>
      <c r="B39" s="24"/>
      <c r="C39" s="45"/>
      <c r="D39" s="82">
        <f>0.18*E46</f>
        <v>77.94</v>
      </c>
      <c r="E39" s="24"/>
      <c r="F39" s="24"/>
      <c r="G39" s="24"/>
      <c r="H39" s="24"/>
      <c r="I39" s="24"/>
      <c r="J39" s="24"/>
      <c r="K39" s="24"/>
      <c r="L39" s="32"/>
    </row>
    <row r="40" ht="12.75" customHeight="1">
      <c r="A40" s="35"/>
      <c r="B40" s="24"/>
      <c r="C40" s="36" t="s">
        <v>30</v>
      </c>
      <c r="D40" s="83">
        <v>61.0</v>
      </c>
      <c r="E40" s="24"/>
      <c r="F40" s="24"/>
      <c r="G40" s="24"/>
      <c r="H40" s="24"/>
      <c r="I40" s="24"/>
      <c r="J40" s="24"/>
      <c r="K40" s="24"/>
      <c r="L40" s="32"/>
    </row>
    <row r="41" ht="12.75" customHeight="1">
      <c r="A41" s="35"/>
      <c r="B41" s="24"/>
      <c r="C41" s="36" t="s">
        <v>28</v>
      </c>
      <c r="D41" s="39">
        <v>121.0</v>
      </c>
      <c r="E41" s="24"/>
      <c r="F41" s="24"/>
      <c r="G41" s="24"/>
      <c r="H41" s="24"/>
      <c r="I41" s="24"/>
      <c r="J41" s="24"/>
      <c r="K41" s="24"/>
      <c r="L41" s="32"/>
    </row>
    <row r="42" ht="12.75" customHeight="1">
      <c r="A42" s="35"/>
      <c r="B42" s="24"/>
      <c r="C42" s="36" t="s">
        <v>56</v>
      </c>
      <c r="D42" s="39">
        <v>49.0</v>
      </c>
      <c r="E42" s="24"/>
      <c r="F42" s="24"/>
      <c r="G42" s="24"/>
      <c r="H42" s="24"/>
      <c r="I42" s="24"/>
      <c r="J42" s="24"/>
      <c r="K42" s="24"/>
      <c r="L42" s="32"/>
    </row>
    <row r="43" ht="12.75" customHeight="1">
      <c r="A43" s="35"/>
      <c r="B43" s="24"/>
      <c r="C43" s="36"/>
      <c r="D43" s="40"/>
      <c r="E43" s="24"/>
      <c r="F43" s="24"/>
      <c r="G43" s="24"/>
      <c r="H43" s="24"/>
      <c r="I43" s="24"/>
      <c r="J43" s="24"/>
      <c r="K43" s="24"/>
      <c r="L43" s="32"/>
    </row>
    <row r="44" ht="12.75" customHeight="1">
      <c r="A44" s="35"/>
      <c r="B44" s="24"/>
      <c r="C44" s="24"/>
      <c r="D44" s="51" t="s">
        <v>17</v>
      </c>
      <c r="E44" s="52">
        <v>0.0</v>
      </c>
      <c r="F44" s="52">
        <v>1.0</v>
      </c>
      <c r="G44" s="52">
        <v>2.0</v>
      </c>
      <c r="H44" s="52">
        <v>3.0</v>
      </c>
      <c r="I44" s="53">
        <v>4.0</v>
      </c>
      <c r="J44" s="24"/>
      <c r="K44" s="24"/>
      <c r="L44" s="32"/>
    </row>
    <row r="45" ht="12.75" customHeight="1">
      <c r="A45" s="35"/>
      <c r="B45" s="54" t="s">
        <v>33</v>
      </c>
      <c r="C45" s="55"/>
      <c r="D45" s="56"/>
      <c r="E45" s="57"/>
      <c r="F45" s="57"/>
      <c r="G45" s="57"/>
      <c r="H45" s="57"/>
      <c r="I45" s="58"/>
      <c r="J45" s="24"/>
      <c r="K45" s="24"/>
      <c r="L45" s="32"/>
    </row>
    <row r="46" ht="12.75" customHeight="1">
      <c r="A46" s="35"/>
      <c r="B46" s="59">
        <v>1.0</v>
      </c>
      <c r="C46" s="19" t="s">
        <v>34</v>
      </c>
      <c r="D46" s="60"/>
      <c r="E46" s="39">
        <v>433.0</v>
      </c>
      <c r="F46" s="39">
        <v>468.0</v>
      </c>
      <c r="G46" s="39">
        <v>516.0</v>
      </c>
      <c r="H46" s="39">
        <v>547.0</v>
      </c>
      <c r="I46" s="39">
        <v>574.3</v>
      </c>
      <c r="J46" s="24"/>
      <c r="K46" s="24"/>
      <c r="L46" s="32"/>
    </row>
    <row r="47" ht="12.75" customHeight="1">
      <c r="A47" s="35"/>
      <c r="B47" s="59">
        <v>2.0</v>
      </c>
      <c r="C47" s="63" t="s">
        <v>35</v>
      </c>
      <c r="D47" s="60"/>
      <c r="E47" s="60"/>
      <c r="F47" s="64">
        <f t="shared" ref="F47:I47" si="10">F46/E46-1</f>
        <v>0.08083140878</v>
      </c>
      <c r="G47" s="64">
        <f t="shared" si="10"/>
        <v>0.1025641026</v>
      </c>
      <c r="H47" s="64">
        <f t="shared" si="10"/>
        <v>0.06007751938</v>
      </c>
      <c r="I47" s="65">
        <f t="shared" si="10"/>
        <v>0.04990859232</v>
      </c>
      <c r="J47" s="24"/>
      <c r="K47" s="24"/>
      <c r="L47" s="32"/>
    </row>
    <row r="48" ht="12.75" customHeight="1">
      <c r="A48" s="35"/>
      <c r="B48" s="59">
        <v>3.0</v>
      </c>
      <c r="C48" s="66" t="s">
        <v>36</v>
      </c>
      <c r="D48" s="60"/>
      <c r="E48" s="60"/>
      <c r="F48" s="61">
        <f t="shared" ref="F48:I48" si="11">-$D$32*F46</f>
        <v>-313.56</v>
      </c>
      <c r="G48" s="68">
        <f t="shared" si="11"/>
        <v>-345.72</v>
      </c>
      <c r="H48" s="68">
        <f t="shared" si="11"/>
        <v>-366.49</v>
      </c>
      <c r="I48" s="69">
        <f t="shared" si="11"/>
        <v>-384.781</v>
      </c>
      <c r="J48" s="24"/>
      <c r="K48" s="24"/>
      <c r="L48" s="32"/>
    </row>
    <row r="49" ht="12.75" customHeight="1">
      <c r="A49" s="35"/>
      <c r="B49" s="59">
        <v>4.0</v>
      </c>
      <c r="C49" s="70" t="s">
        <v>37</v>
      </c>
      <c r="D49" s="57"/>
      <c r="E49" s="57"/>
      <c r="F49" s="71">
        <f t="shared" ref="F49:I49" si="12">F46+F48</f>
        <v>154.44</v>
      </c>
      <c r="G49" s="71">
        <f t="shared" si="12"/>
        <v>170.28</v>
      </c>
      <c r="H49" s="71">
        <f t="shared" si="12"/>
        <v>180.51</v>
      </c>
      <c r="I49" s="72">
        <f t="shared" si="12"/>
        <v>189.519</v>
      </c>
      <c r="J49" s="24"/>
      <c r="K49" s="24"/>
      <c r="L49" s="32"/>
    </row>
    <row r="50" ht="12.75" customHeight="1">
      <c r="A50" s="35"/>
      <c r="B50" s="59">
        <v>5.0</v>
      </c>
      <c r="C50" s="19" t="s">
        <v>38</v>
      </c>
      <c r="D50" s="60"/>
      <c r="E50" s="60"/>
      <c r="F50" s="61">
        <f t="shared" ref="F50:I50" si="13">-F46*$D$35</f>
        <v>-93.6</v>
      </c>
      <c r="G50" s="61">
        <f t="shared" si="13"/>
        <v>-103.2</v>
      </c>
      <c r="H50" s="61">
        <f t="shared" si="13"/>
        <v>-109.4</v>
      </c>
      <c r="I50" s="62">
        <f t="shared" si="13"/>
        <v>-114.86</v>
      </c>
      <c r="J50" s="24"/>
      <c r="K50" s="24"/>
      <c r="L50" s="32"/>
    </row>
    <row r="51" ht="12.75" customHeight="1">
      <c r="A51" s="35"/>
      <c r="B51" s="59">
        <v>6.0</v>
      </c>
      <c r="C51" s="66" t="s">
        <v>39</v>
      </c>
      <c r="D51" s="67"/>
      <c r="E51" s="67"/>
      <c r="F51" s="68">
        <v>-7.0</v>
      </c>
      <c r="G51" s="68">
        <v>-7.5</v>
      </c>
      <c r="H51" s="68">
        <v>-9.0</v>
      </c>
      <c r="I51" s="69">
        <v>-9.5</v>
      </c>
      <c r="J51" s="24"/>
      <c r="K51" s="24"/>
      <c r="L51" s="32"/>
    </row>
    <row r="52" ht="12.75" customHeight="1">
      <c r="A52" s="35"/>
      <c r="B52" s="59">
        <v>7.0</v>
      </c>
      <c r="C52" s="70" t="s">
        <v>40</v>
      </c>
      <c r="D52" s="60"/>
      <c r="E52" s="60"/>
      <c r="F52" s="61">
        <f t="shared" ref="F52:I52" si="14">F49+F50+F51</f>
        <v>53.84</v>
      </c>
      <c r="G52" s="71">
        <f t="shared" si="14"/>
        <v>59.58</v>
      </c>
      <c r="H52" s="71">
        <f t="shared" si="14"/>
        <v>62.11</v>
      </c>
      <c r="I52" s="72">
        <f t="shared" si="14"/>
        <v>65.159</v>
      </c>
      <c r="J52" s="24"/>
      <c r="K52" s="24"/>
      <c r="L52" s="32"/>
    </row>
    <row r="53" ht="12.75" customHeight="1">
      <c r="A53" s="35"/>
      <c r="B53" s="59">
        <v>8.0</v>
      </c>
      <c r="C53" s="19" t="s">
        <v>41</v>
      </c>
      <c r="D53" s="60"/>
      <c r="E53" s="60"/>
      <c r="F53" s="61">
        <f t="shared" ref="F53:I53" si="15">-0.4*F52</f>
        <v>-21.536</v>
      </c>
      <c r="G53" s="61">
        <f t="shared" si="15"/>
        <v>-23.832</v>
      </c>
      <c r="H53" s="61">
        <f t="shared" si="15"/>
        <v>-24.844</v>
      </c>
      <c r="I53" s="62">
        <f t="shared" si="15"/>
        <v>-26.0636</v>
      </c>
      <c r="J53" s="24"/>
      <c r="K53" s="24"/>
      <c r="L53" s="32"/>
    </row>
    <row r="54" ht="12.75" customHeight="1">
      <c r="A54" s="35"/>
      <c r="B54" s="59">
        <v>9.0</v>
      </c>
      <c r="C54" s="19" t="s">
        <v>42</v>
      </c>
      <c r="D54" s="60"/>
      <c r="E54" s="60"/>
      <c r="F54" s="61">
        <f t="shared" ref="F54:I54" si="16">-F51</f>
        <v>7</v>
      </c>
      <c r="G54" s="61">
        <f t="shared" si="16"/>
        <v>7.5</v>
      </c>
      <c r="H54" s="61">
        <f t="shared" si="16"/>
        <v>9</v>
      </c>
      <c r="I54" s="62">
        <f t="shared" si="16"/>
        <v>9.5</v>
      </c>
      <c r="J54" s="24"/>
      <c r="K54" s="24"/>
      <c r="L54" s="32"/>
    </row>
    <row r="55" ht="12.75" customHeight="1">
      <c r="A55" s="35"/>
      <c r="B55" s="59">
        <v>10.0</v>
      </c>
      <c r="C55" s="19" t="s">
        <v>43</v>
      </c>
      <c r="D55" s="60"/>
      <c r="E55" s="60"/>
      <c r="F55" s="61">
        <v>-7.7</v>
      </c>
      <c r="G55" s="61">
        <v>-10.0</v>
      </c>
      <c r="H55" s="61">
        <v>-9.9</v>
      </c>
      <c r="I55" s="62">
        <v>-10.4</v>
      </c>
      <c r="J55" s="24"/>
      <c r="K55" s="24"/>
      <c r="L55" s="32"/>
    </row>
    <row r="56" ht="12.75" customHeight="1">
      <c r="A56" s="35"/>
      <c r="B56" s="59">
        <v>11.0</v>
      </c>
      <c r="C56" s="66" t="s">
        <v>44</v>
      </c>
      <c r="D56" s="60"/>
      <c r="E56" s="60"/>
      <c r="F56" s="61">
        <f>D39-($D$37*F46)</f>
        <v>-6.3</v>
      </c>
      <c r="G56" s="68">
        <f t="shared" ref="G56:I56" si="17">($D$37*F46)-($D$37*G46)</f>
        <v>-8.64</v>
      </c>
      <c r="H56" s="68">
        <f t="shared" si="17"/>
        <v>-5.58</v>
      </c>
      <c r="I56" s="69">
        <f t="shared" si="17"/>
        <v>-4.914</v>
      </c>
      <c r="J56" s="24"/>
      <c r="K56" s="24"/>
      <c r="L56" s="32"/>
    </row>
    <row r="57" ht="12.75" customHeight="1">
      <c r="A57" s="35"/>
      <c r="B57" s="73">
        <v>12.0</v>
      </c>
      <c r="C57" s="66" t="s">
        <v>45</v>
      </c>
      <c r="D57" s="84"/>
      <c r="E57" s="84"/>
      <c r="F57" s="85">
        <f t="shared" ref="F57:I57" si="18">F52+F53+F54+F55+F56</f>
        <v>25.304</v>
      </c>
      <c r="G57" s="68">
        <f t="shared" si="18"/>
        <v>24.608</v>
      </c>
      <c r="H57" s="68">
        <f t="shared" si="18"/>
        <v>30.786</v>
      </c>
      <c r="I57" s="69">
        <f t="shared" si="18"/>
        <v>33.2814</v>
      </c>
      <c r="J57" s="24"/>
      <c r="K57" s="24"/>
      <c r="L57" s="32"/>
    </row>
    <row r="58" ht="12.75" customHeight="1">
      <c r="A58" s="35"/>
      <c r="B58" s="86"/>
      <c r="C58" s="19" t="s">
        <v>26</v>
      </c>
      <c r="D58" s="60"/>
      <c r="E58" s="60"/>
      <c r="F58" s="40"/>
      <c r="G58" s="40"/>
      <c r="H58" s="40"/>
      <c r="I58" s="87">
        <f>I57*(1+D30)/(D29-D30)</f>
        <v>663.7441472</v>
      </c>
      <c r="J58" s="24"/>
      <c r="K58" s="24"/>
      <c r="L58" s="32"/>
    </row>
    <row r="59" ht="12.75" customHeight="1">
      <c r="A59" s="35"/>
      <c r="B59" s="88"/>
      <c r="C59" s="66" t="s">
        <v>27</v>
      </c>
      <c r="D59" s="67"/>
      <c r="E59" s="67"/>
      <c r="F59" s="82">
        <f t="shared" ref="F59:I59" si="19">SUM(F57:F58)</f>
        <v>25.304</v>
      </c>
      <c r="G59" s="82">
        <f t="shared" si="19"/>
        <v>24.608</v>
      </c>
      <c r="H59" s="82">
        <f t="shared" si="19"/>
        <v>30.786</v>
      </c>
      <c r="I59" s="89">
        <f t="shared" si="19"/>
        <v>697.0255472</v>
      </c>
      <c r="J59" s="24"/>
      <c r="K59" s="24"/>
      <c r="L59" s="32"/>
    </row>
    <row r="60" ht="12.75" customHeight="1">
      <c r="A60" s="35"/>
      <c r="B60" s="24"/>
      <c r="C60" s="60"/>
      <c r="D60" s="90"/>
      <c r="E60" s="24"/>
      <c r="F60" s="24"/>
      <c r="G60" s="24"/>
      <c r="H60" s="24"/>
      <c r="I60" s="24"/>
      <c r="J60" s="24"/>
      <c r="K60" s="24"/>
      <c r="L60" s="32"/>
    </row>
    <row r="61" ht="12.75" customHeight="1">
      <c r="A61" s="35"/>
      <c r="B61" s="33" t="s">
        <v>20</v>
      </c>
      <c r="C61" s="91" t="s">
        <v>57</v>
      </c>
      <c r="D61" s="41">
        <f t="array" ref="D61">NPV($D$29,F59:I59)</f>
        <v>524.4315768</v>
      </c>
      <c r="E61" s="24"/>
      <c r="F61" s="24"/>
      <c r="G61" s="24"/>
      <c r="H61" s="24"/>
      <c r="I61" s="24"/>
      <c r="J61" s="24"/>
      <c r="K61" s="24"/>
      <c r="L61" s="32"/>
    </row>
    <row r="62" ht="12.75" customHeight="1">
      <c r="A62" s="35"/>
      <c r="B62" s="33"/>
      <c r="C62" s="19" t="s">
        <v>56</v>
      </c>
      <c r="D62" s="39">
        <f>D42</f>
        <v>49</v>
      </c>
      <c r="E62" s="24"/>
      <c r="F62" s="24"/>
      <c r="G62" s="24"/>
      <c r="H62" s="24"/>
      <c r="I62" s="24"/>
      <c r="J62" s="24"/>
      <c r="K62" s="24"/>
      <c r="L62" s="32"/>
    </row>
    <row r="63" ht="12.75" customHeight="1">
      <c r="A63" s="35"/>
      <c r="B63" s="33"/>
      <c r="C63" s="19" t="s">
        <v>28</v>
      </c>
      <c r="D63" s="39">
        <f>D41</f>
        <v>121</v>
      </c>
      <c r="E63" s="24"/>
      <c r="F63" s="24"/>
      <c r="G63" s="24"/>
      <c r="H63" s="24"/>
      <c r="I63" s="24"/>
      <c r="J63" s="24"/>
      <c r="K63" s="24"/>
      <c r="L63" s="32"/>
    </row>
    <row r="64" ht="12.75" customHeight="1">
      <c r="A64" s="35"/>
      <c r="B64" s="33"/>
      <c r="C64" s="19" t="s">
        <v>30</v>
      </c>
      <c r="D64" s="39">
        <f>D40</f>
        <v>61</v>
      </c>
      <c r="E64" s="24"/>
      <c r="F64" s="24"/>
      <c r="G64" s="24"/>
      <c r="H64" s="24"/>
      <c r="I64" s="24"/>
      <c r="J64" s="24"/>
      <c r="K64" s="24"/>
      <c r="L64" s="32"/>
    </row>
    <row r="65" ht="12.75" customHeight="1">
      <c r="A65" s="35"/>
      <c r="B65" s="92"/>
      <c r="C65" s="19" t="s">
        <v>58</v>
      </c>
      <c r="D65" s="93">
        <f>(D61+D62-D63)/D64</f>
        <v>7.416911095</v>
      </c>
      <c r="E65" s="24"/>
      <c r="F65" s="24"/>
      <c r="G65" s="24"/>
      <c r="H65" s="24"/>
      <c r="I65" s="24"/>
      <c r="J65" s="24"/>
      <c r="K65" s="24"/>
      <c r="L65" s="32"/>
    </row>
    <row r="66" ht="7.5" customHeight="1">
      <c r="A66" s="35"/>
      <c r="B66" s="92"/>
      <c r="C66" s="19"/>
      <c r="D66" s="94"/>
      <c r="E66" s="24"/>
      <c r="F66" s="24"/>
      <c r="G66" s="24"/>
      <c r="H66" s="24"/>
      <c r="I66" s="24"/>
      <c r="J66" s="24"/>
      <c r="K66" s="24"/>
      <c r="L66" s="32"/>
    </row>
    <row r="67" ht="39.75" customHeight="1">
      <c r="A67" s="35"/>
      <c r="B67" s="33" t="s">
        <v>22</v>
      </c>
      <c r="C67" s="23" t="s">
        <v>59</v>
      </c>
      <c r="D67" s="19" t="s">
        <v>60</v>
      </c>
      <c r="E67" s="24"/>
      <c r="F67" s="24"/>
      <c r="G67" s="24"/>
      <c r="H67" s="24"/>
      <c r="I67" s="24"/>
      <c r="J67" s="24"/>
      <c r="K67" s="24"/>
      <c r="L67" s="32"/>
    </row>
    <row r="68" ht="12.75" customHeight="1">
      <c r="A68" s="35"/>
      <c r="B68" s="92"/>
      <c r="C68" s="19" t="s">
        <v>61</v>
      </c>
      <c r="D68" s="41">
        <f>D65</f>
        <v>7.416911095</v>
      </c>
      <c r="E68" s="24"/>
      <c r="F68" s="24"/>
      <c r="G68" s="24"/>
      <c r="H68" s="24"/>
      <c r="I68" s="24"/>
      <c r="J68" s="24"/>
      <c r="K68" s="24"/>
      <c r="L68" s="32"/>
    </row>
    <row r="69" ht="12.75" customHeight="1">
      <c r="A69" s="35"/>
      <c r="B69" s="92"/>
      <c r="C69" s="95">
        <v>0.7</v>
      </c>
      <c r="D69" s="93">
        <v>4.712939314643756</v>
      </c>
      <c r="E69" s="24"/>
      <c r="F69" s="24"/>
      <c r="G69" s="24"/>
      <c r="H69" s="24"/>
      <c r="I69" s="24"/>
      <c r="J69" s="24"/>
      <c r="K69" s="24"/>
      <c r="L69" s="32"/>
    </row>
    <row r="70" ht="7.5" customHeight="1">
      <c r="A70" s="35"/>
      <c r="B70" s="92"/>
      <c r="C70" s="19"/>
      <c r="D70" s="94"/>
      <c r="E70" s="24"/>
      <c r="F70" s="24"/>
      <c r="G70" s="24"/>
      <c r="H70" s="24"/>
      <c r="I70" s="24"/>
      <c r="J70" s="24"/>
      <c r="K70" s="24"/>
      <c r="L70" s="32"/>
    </row>
    <row r="71" ht="12.75" customHeight="1">
      <c r="A71" s="35"/>
      <c r="B71" s="33" t="s">
        <v>48</v>
      </c>
      <c r="C71" s="23" t="s">
        <v>53</v>
      </c>
      <c r="D71" s="19" t="s">
        <v>60</v>
      </c>
      <c r="E71" s="24"/>
      <c r="F71" s="24"/>
      <c r="G71" s="24"/>
      <c r="H71" s="24"/>
      <c r="I71" s="24"/>
      <c r="J71" s="24"/>
      <c r="K71" s="24"/>
      <c r="L71" s="32"/>
    </row>
    <row r="72" ht="12.75" customHeight="1">
      <c r="A72" s="35"/>
      <c r="B72" s="92"/>
      <c r="C72" s="19" t="s">
        <v>62</v>
      </c>
      <c r="D72" s="41">
        <f>D65</f>
        <v>7.416911095</v>
      </c>
      <c r="E72" s="24"/>
      <c r="F72" s="24"/>
      <c r="G72" s="24"/>
      <c r="H72" s="24"/>
      <c r="I72" s="24"/>
      <c r="J72" s="24"/>
      <c r="K72" s="24"/>
      <c r="L72" s="32"/>
    </row>
    <row r="73" ht="12.75" customHeight="1">
      <c r="A73" s="35"/>
      <c r="B73" s="92"/>
      <c r="C73" s="95">
        <v>0.16</v>
      </c>
      <c r="D73" s="93">
        <v>11.022206801931995</v>
      </c>
      <c r="E73" s="24"/>
      <c r="F73" s="24"/>
      <c r="G73" s="24"/>
      <c r="H73" s="24"/>
      <c r="I73" s="24"/>
      <c r="J73" s="24"/>
      <c r="K73" s="24"/>
      <c r="L73" s="32"/>
    </row>
    <row r="74" ht="7.5" customHeight="1">
      <c r="A74" s="35"/>
      <c r="B74" s="92"/>
      <c r="C74" s="19"/>
      <c r="D74" s="94"/>
      <c r="E74" s="24"/>
      <c r="F74" s="24"/>
      <c r="G74" s="24"/>
      <c r="H74" s="24"/>
      <c r="I74" s="24"/>
      <c r="J74" s="24"/>
      <c r="K74" s="24"/>
      <c r="L74" s="32"/>
    </row>
    <row r="75" ht="18.75" customHeight="1">
      <c r="A75" s="35"/>
      <c r="B75" s="33" t="s">
        <v>50</v>
      </c>
      <c r="C75" s="23" t="s">
        <v>63</v>
      </c>
      <c r="D75" s="19" t="s">
        <v>60</v>
      </c>
      <c r="E75" s="24"/>
      <c r="F75" s="24"/>
      <c r="G75" s="24"/>
      <c r="H75" s="24"/>
      <c r="I75" s="24"/>
      <c r="J75" s="24"/>
      <c r="K75" s="24"/>
      <c r="L75" s="32"/>
    </row>
    <row r="76" ht="12.75" customHeight="1">
      <c r="A76" s="35"/>
      <c r="B76" s="24"/>
      <c r="C76" s="19" t="s">
        <v>64</v>
      </c>
      <c r="D76" s="41">
        <f>D65</f>
        <v>7.416911095</v>
      </c>
      <c r="E76" s="24"/>
      <c r="F76" s="24"/>
      <c r="G76" s="24"/>
      <c r="H76" s="24"/>
      <c r="I76" s="24"/>
      <c r="J76" s="24"/>
      <c r="K76" s="24"/>
      <c r="L76" s="32"/>
    </row>
    <row r="77" ht="12.75" customHeight="1">
      <c r="A77" s="35"/>
      <c r="B77" s="24"/>
      <c r="C77" s="95">
        <v>0.12</v>
      </c>
      <c r="D77" s="93">
        <v>8.262693691231425</v>
      </c>
      <c r="E77" s="24"/>
      <c r="F77" s="24"/>
      <c r="G77" s="24"/>
      <c r="H77" s="24"/>
      <c r="I77" s="24"/>
      <c r="J77" s="24"/>
      <c r="K77" s="24"/>
      <c r="L77" s="32"/>
    </row>
    <row r="78" ht="12.75" customHeight="1">
      <c r="A78" s="35"/>
      <c r="B78" s="24"/>
      <c r="C78" s="42"/>
      <c r="D78" s="42"/>
      <c r="E78" s="24"/>
      <c r="F78" s="24"/>
      <c r="G78" s="24"/>
      <c r="H78" s="24"/>
      <c r="I78" s="24"/>
      <c r="J78" s="24"/>
      <c r="K78" s="24"/>
      <c r="L78" s="32"/>
    </row>
    <row r="79" ht="12.75" customHeight="1">
      <c r="A79" s="35"/>
      <c r="B79" s="24"/>
      <c r="C79" s="19" t="s">
        <v>65</v>
      </c>
      <c r="D79" s="60"/>
      <c r="E79" s="60"/>
      <c r="F79" s="60"/>
      <c r="G79" s="60"/>
      <c r="H79" s="24"/>
      <c r="I79" s="24"/>
      <c r="J79" s="60"/>
      <c r="K79" s="60"/>
      <c r="L79" s="96"/>
    </row>
    <row r="80" ht="12.75" customHeight="1">
      <c r="A80" s="35"/>
      <c r="B80" s="24"/>
      <c r="C80" s="41">
        <f>D65</f>
        <v>7.416911095</v>
      </c>
      <c r="D80" s="97">
        <v>0.16</v>
      </c>
      <c r="E80" s="98"/>
      <c r="F80" s="98"/>
      <c r="G80" s="24"/>
      <c r="H80" s="24"/>
      <c r="I80" s="24"/>
      <c r="J80" s="24"/>
      <c r="K80" s="24"/>
      <c r="L80" s="32"/>
    </row>
    <row r="81" ht="12.75" customHeight="1">
      <c r="A81" s="35"/>
      <c r="B81" s="24"/>
      <c r="C81" s="97">
        <v>0.7</v>
      </c>
      <c r="D81" s="93">
        <v>8.318235021665613</v>
      </c>
      <c r="E81" s="99"/>
      <c r="F81" s="99"/>
      <c r="G81" s="24"/>
      <c r="H81" s="24"/>
      <c r="I81" s="24"/>
      <c r="J81" s="24"/>
      <c r="K81" s="24"/>
      <c r="L81" s="32"/>
    </row>
    <row r="82" ht="12.75" customHeight="1">
      <c r="A82" s="35"/>
      <c r="B82" s="24"/>
      <c r="C82" s="100"/>
      <c r="D82" s="94"/>
      <c r="E82" s="99"/>
      <c r="F82" s="99"/>
      <c r="G82" s="24"/>
      <c r="H82" s="100"/>
      <c r="I82" s="94"/>
      <c r="J82" s="24"/>
      <c r="K82" s="24"/>
      <c r="L82" s="32"/>
    </row>
    <row r="83" ht="12.75" customHeight="1">
      <c r="A83" s="35"/>
      <c r="B83" s="24"/>
      <c r="C83" s="19" t="s">
        <v>66</v>
      </c>
      <c r="D83" s="60"/>
      <c r="E83" s="99"/>
      <c r="F83" s="99"/>
      <c r="G83" s="24"/>
      <c r="H83" s="100"/>
      <c r="I83" s="94"/>
      <c r="J83" s="24"/>
      <c r="K83" s="24"/>
      <c r="L83" s="32"/>
    </row>
    <row r="84" ht="12.75" customHeight="1">
      <c r="A84" s="35"/>
      <c r="B84" s="24"/>
      <c r="C84" s="41">
        <f>D65</f>
        <v>7.416911095</v>
      </c>
      <c r="D84" s="97">
        <v>0.12</v>
      </c>
      <c r="E84" s="99"/>
      <c r="F84" s="99"/>
      <c r="G84" s="24"/>
      <c r="H84" s="100"/>
      <c r="I84" s="94"/>
      <c r="J84" s="24"/>
      <c r="K84" s="24"/>
      <c r="L84" s="32"/>
    </row>
    <row r="85" ht="12.75" customHeight="1">
      <c r="A85" s="35"/>
      <c r="B85" s="24"/>
      <c r="C85" s="97">
        <v>0.7</v>
      </c>
      <c r="D85" s="93">
        <v>5.558721910965046</v>
      </c>
      <c r="E85" s="99"/>
      <c r="F85" s="99"/>
      <c r="G85" s="24"/>
      <c r="H85" s="100"/>
      <c r="I85" s="94"/>
      <c r="J85" s="24"/>
      <c r="K85" s="24"/>
      <c r="L85" s="32"/>
    </row>
    <row r="86" ht="12.75" customHeight="1">
      <c r="A86" s="35"/>
      <c r="B86" s="24"/>
      <c r="C86" s="24"/>
      <c r="D86" s="24"/>
      <c r="E86" s="24"/>
      <c r="F86" s="24"/>
      <c r="G86" s="24"/>
      <c r="H86" s="24"/>
      <c r="I86" s="24"/>
      <c r="J86" s="24"/>
      <c r="K86" s="24"/>
      <c r="L86" s="32"/>
    </row>
    <row r="87" ht="12.75" customHeight="1">
      <c r="A87" s="35"/>
      <c r="B87" s="24"/>
      <c r="C87" s="19" t="s">
        <v>67</v>
      </c>
      <c r="D87" s="60"/>
      <c r="E87" s="60"/>
      <c r="F87" s="60"/>
      <c r="G87" s="24"/>
      <c r="H87" s="24"/>
      <c r="I87" s="24"/>
      <c r="J87" s="24"/>
      <c r="K87" s="24"/>
      <c r="L87" s="32"/>
    </row>
    <row r="88" ht="12.75" customHeight="1">
      <c r="A88" s="35"/>
      <c r="B88" s="24"/>
      <c r="C88" s="41">
        <f>D65</f>
        <v>7.416911095</v>
      </c>
      <c r="D88" s="97">
        <v>0.16</v>
      </c>
      <c r="E88" s="24"/>
      <c r="F88" s="24"/>
      <c r="G88" s="24"/>
      <c r="H88" s="24"/>
      <c r="I88" s="24"/>
      <c r="J88" s="24"/>
      <c r="K88" s="24"/>
      <c r="L88" s="32"/>
    </row>
    <row r="89" ht="12.75" customHeight="1">
      <c r="A89" s="35"/>
      <c r="B89" s="24"/>
      <c r="C89" s="97">
        <v>0.12</v>
      </c>
      <c r="D89" s="93">
        <v>11.867989398253284</v>
      </c>
      <c r="E89" s="24"/>
      <c r="F89" s="24"/>
      <c r="G89" s="24"/>
      <c r="H89" s="24"/>
      <c r="I89" s="24"/>
      <c r="J89" s="24"/>
      <c r="K89" s="24"/>
      <c r="L89" s="32"/>
    </row>
    <row r="90" ht="12.75" customHeight="1">
      <c r="A90" s="48"/>
      <c r="B90" s="49"/>
      <c r="C90" s="49"/>
      <c r="D90" s="49"/>
      <c r="E90" s="49"/>
      <c r="F90" s="49"/>
      <c r="G90" s="49"/>
      <c r="H90" s="49"/>
      <c r="I90" s="49"/>
      <c r="J90" s="49"/>
      <c r="K90" s="49"/>
      <c r="L90" s="50"/>
    </row>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1">
    <mergeCell ref="C31:C32"/>
    <mergeCell ref="C33:C35"/>
    <mergeCell ref="C36:C37"/>
    <mergeCell ref="C38:C39"/>
    <mergeCell ref="B2:F2"/>
    <mergeCell ref="B4:K4"/>
    <mergeCell ref="F5:G5"/>
    <mergeCell ref="C21:K21"/>
    <mergeCell ref="C23:K23"/>
    <mergeCell ref="C25:K25"/>
    <mergeCell ref="C27:K27"/>
  </mergeCells>
  <printOptions/>
  <pageMargins bottom="1.0" footer="0.0" header="0.0" left="0.75" right="0.75" top="1.0"/>
  <pageSetup orientation="landscape"/>
  <rowBreaks count="1" manualBreakCount="1">
    <brk id="42" man="1"/>
  </rowBrea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0"/>
    <col customWidth="1" min="3" max="3" width="32.29"/>
    <col customWidth="1" min="4" max="4" width="11.29"/>
    <col customWidth="1" min="5" max="5" width="12.0"/>
    <col customWidth="1" min="6" max="6" width="23.14"/>
    <col customWidth="1" min="7" max="7" width="13.43"/>
    <col customWidth="1" min="8" max="8" width="10.43"/>
    <col customWidth="1" min="9" max="9" width="23.29"/>
    <col customWidth="1" min="10" max="10" width="10.71"/>
    <col customWidth="1" min="11" max="11" width="10.43"/>
    <col customWidth="1" min="12" max="12" width="11.43"/>
    <col customWidth="1" min="13" max="26" width="8.86"/>
  </cols>
  <sheetData>
    <row r="1" ht="12.75" customHeight="1">
      <c r="A1" s="9"/>
      <c r="B1" s="10"/>
      <c r="C1" s="10"/>
      <c r="D1" s="10"/>
      <c r="E1" s="10"/>
      <c r="F1" s="10"/>
      <c r="G1" s="10"/>
      <c r="H1" s="10"/>
      <c r="I1" s="10"/>
      <c r="J1" s="10"/>
      <c r="K1" s="10"/>
      <c r="L1" s="10"/>
      <c r="M1" s="11"/>
      <c r="N1" s="12"/>
      <c r="O1" s="12"/>
      <c r="P1" s="12"/>
      <c r="Q1" s="12"/>
      <c r="R1" s="12"/>
      <c r="S1" s="12"/>
      <c r="T1" s="12"/>
      <c r="U1" s="12"/>
      <c r="V1" s="12"/>
      <c r="W1" s="12"/>
      <c r="X1" s="12"/>
      <c r="Y1" s="12"/>
      <c r="Z1" s="12"/>
    </row>
    <row r="2" ht="12.75" customHeight="1">
      <c r="A2" s="13"/>
      <c r="B2" s="14" t="s">
        <v>6</v>
      </c>
      <c r="C2" s="15"/>
      <c r="D2" s="15"/>
      <c r="E2" s="15"/>
      <c r="F2" s="16"/>
      <c r="G2" s="1"/>
      <c r="H2" s="17"/>
      <c r="I2" s="17"/>
      <c r="J2" s="17"/>
      <c r="K2" s="17"/>
      <c r="L2" s="19"/>
      <c r="M2" s="18"/>
      <c r="N2" s="12"/>
      <c r="O2" s="12"/>
      <c r="P2" s="12"/>
      <c r="Q2" s="12"/>
      <c r="R2" s="12"/>
      <c r="S2" s="12"/>
      <c r="T2" s="12"/>
      <c r="U2" s="12"/>
      <c r="V2" s="12"/>
      <c r="W2" s="12"/>
      <c r="X2" s="12"/>
      <c r="Y2" s="12"/>
      <c r="Z2" s="12"/>
    </row>
    <row r="3" ht="12.75" customHeight="1">
      <c r="A3" s="13"/>
      <c r="B3" s="19"/>
      <c r="C3" s="19"/>
      <c r="D3" s="19"/>
      <c r="E3" s="19"/>
      <c r="F3" s="19"/>
      <c r="G3" s="19"/>
      <c r="H3" s="19"/>
      <c r="I3" s="19"/>
      <c r="J3" s="19"/>
      <c r="K3" s="19"/>
      <c r="L3" s="19"/>
      <c r="M3" s="18"/>
      <c r="N3" s="12"/>
      <c r="O3" s="12"/>
      <c r="P3" s="12"/>
      <c r="Q3" s="12"/>
      <c r="R3" s="12"/>
      <c r="S3" s="12"/>
      <c r="T3" s="12"/>
      <c r="U3" s="12"/>
      <c r="V3" s="12"/>
      <c r="W3" s="12"/>
      <c r="X3" s="12"/>
      <c r="Y3" s="12"/>
      <c r="Z3" s="12"/>
    </row>
    <row r="4" ht="24.75" customHeight="1">
      <c r="A4" s="13"/>
      <c r="B4" s="20" t="s">
        <v>68</v>
      </c>
      <c r="C4" s="15"/>
      <c r="D4" s="15"/>
      <c r="E4" s="15"/>
      <c r="F4" s="15"/>
      <c r="G4" s="15"/>
      <c r="H4" s="15"/>
      <c r="I4" s="15"/>
      <c r="J4" s="15"/>
      <c r="K4" s="16"/>
      <c r="L4" s="101"/>
      <c r="M4" s="18"/>
      <c r="N4" s="12"/>
      <c r="O4" s="12"/>
      <c r="P4" s="12"/>
      <c r="Q4" s="12"/>
      <c r="R4" s="12"/>
      <c r="S4" s="12"/>
      <c r="T4" s="12"/>
      <c r="U4" s="12"/>
      <c r="V4" s="12"/>
      <c r="W4" s="12"/>
      <c r="X4" s="12"/>
      <c r="Y4" s="12"/>
      <c r="Z4" s="12"/>
    </row>
    <row r="5" ht="10.5" customHeight="1">
      <c r="A5" s="13"/>
      <c r="B5" s="19"/>
      <c r="C5" s="19"/>
      <c r="D5" s="19"/>
      <c r="E5" s="21"/>
      <c r="F5" s="22"/>
      <c r="G5" s="16"/>
      <c r="H5" s="23"/>
      <c r="I5" s="23"/>
      <c r="J5" s="19"/>
      <c r="K5" s="19"/>
      <c r="L5" s="19"/>
      <c r="M5" s="18"/>
      <c r="N5" s="12"/>
      <c r="O5" s="12"/>
      <c r="P5" s="12"/>
      <c r="Q5" s="12"/>
      <c r="R5" s="12"/>
      <c r="S5" s="12"/>
      <c r="T5" s="12"/>
      <c r="U5" s="12"/>
      <c r="V5" s="12"/>
      <c r="W5" s="12"/>
      <c r="X5" s="12"/>
      <c r="Y5" s="12"/>
      <c r="Z5" s="12"/>
    </row>
    <row r="6" ht="40.5" customHeight="1">
      <c r="A6" s="13"/>
      <c r="B6" s="33" t="s">
        <v>20</v>
      </c>
      <c r="C6" s="34" t="s">
        <v>69</v>
      </c>
      <c r="D6" s="15"/>
      <c r="E6" s="15"/>
      <c r="F6" s="15"/>
      <c r="G6" s="15"/>
      <c r="H6" s="15"/>
      <c r="I6" s="15"/>
      <c r="J6" s="15"/>
      <c r="K6" s="16"/>
      <c r="L6" s="102"/>
      <c r="M6" s="32"/>
    </row>
    <row r="7" ht="7.5" customHeight="1">
      <c r="A7" s="35"/>
      <c r="B7" s="24"/>
      <c r="C7" s="24"/>
      <c r="D7" s="24"/>
      <c r="E7" s="24"/>
      <c r="F7" s="24"/>
      <c r="G7" s="24"/>
      <c r="H7" s="24"/>
      <c r="I7" s="24"/>
      <c r="J7" s="24"/>
      <c r="K7" s="24"/>
      <c r="L7" s="24"/>
      <c r="M7" s="32"/>
    </row>
    <row r="8" ht="36.0" customHeight="1">
      <c r="A8" s="13"/>
      <c r="B8" s="33" t="s">
        <v>22</v>
      </c>
      <c r="C8" s="34" t="s">
        <v>70</v>
      </c>
      <c r="D8" s="15"/>
      <c r="E8" s="15"/>
      <c r="F8" s="15"/>
      <c r="G8" s="15"/>
      <c r="H8" s="15"/>
      <c r="I8" s="15"/>
      <c r="J8" s="15"/>
      <c r="K8" s="16"/>
      <c r="L8" s="102"/>
      <c r="M8" s="32"/>
    </row>
    <row r="9" ht="7.5" customHeight="1">
      <c r="A9" s="35"/>
      <c r="B9" s="24"/>
      <c r="C9" s="24"/>
      <c r="D9" s="24"/>
      <c r="E9" s="24"/>
      <c r="F9" s="24"/>
      <c r="G9" s="24"/>
      <c r="H9" s="24"/>
      <c r="I9" s="24"/>
      <c r="J9" s="24"/>
      <c r="K9" s="24"/>
      <c r="L9" s="24"/>
      <c r="M9" s="32"/>
    </row>
    <row r="10" ht="37.5" customHeight="1">
      <c r="A10" s="13"/>
      <c r="B10" s="33" t="s">
        <v>48</v>
      </c>
      <c r="C10" s="34" t="s">
        <v>71</v>
      </c>
      <c r="D10" s="15"/>
      <c r="E10" s="15"/>
      <c r="F10" s="15"/>
      <c r="G10" s="15"/>
      <c r="H10" s="15"/>
      <c r="I10" s="15"/>
      <c r="J10" s="15"/>
      <c r="K10" s="16"/>
      <c r="L10" s="102"/>
      <c r="M10" s="32"/>
    </row>
    <row r="11" ht="7.5" customHeight="1">
      <c r="A11" s="35"/>
      <c r="B11" s="24"/>
      <c r="C11" s="24"/>
      <c r="D11" s="24"/>
      <c r="E11" s="24"/>
      <c r="F11" s="24"/>
      <c r="G11" s="24"/>
      <c r="H11" s="24"/>
      <c r="I11" s="24"/>
      <c r="J11" s="24"/>
      <c r="K11" s="24"/>
      <c r="L11" s="24"/>
      <c r="M11" s="32"/>
    </row>
    <row r="12" ht="20.25" customHeight="1">
      <c r="A12" s="13"/>
      <c r="B12" s="33" t="s">
        <v>50</v>
      </c>
      <c r="C12" s="34" t="s">
        <v>72</v>
      </c>
      <c r="D12" s="15"/>
      <c r="E12" s="15"/>
      <c r="F12" s="15"/>
      <c r="G12" s="15"/>
      <c r="H12" s="15"/>
      <c r="I12" s="15"/>
      <c r="J12" s="15"/>
      <c r="K12" s="16"/>
      <c r="L12" s="102"/>
      <c r="M12" s="32"/>
    </row>
    <row r="13" ht="12.75" customHeight="1">
      <c r="A13" s="35"/>
      <c r="B13" s="24"/>
      <c r="C13" s="24"/>
      <c r="D13" s="24"/>
      <c r="E13" s="24"/>
      <c r="F13" s="24"/>
      <c r="G13" s="24"/>
      <c r="H13" s="24"/>
      <c r="I13" s="24"/>
      <c r="J13" s="24"/>
      <c r="K13" s="24"/>
      <c r="L13" s="24"/>
      <c r="M13" s="32"/>
    </row>
    <row r="14" ht="12.75" customHeight="1">
      <c r="A14" s="35"/>
      <c r="B14" s="24"/>
      <c r="C14" s="36" t="s">
        <v>73</v>
      </c>
      <c r="D14" s="24"/>
      <c r="E14" s="103"/>
      <c r="F14" s="24"/>
      <c r="G14" s="24"/>
      <c r="H14" s="24"/>
      <c r="I14" s="24"/>
      <c r="J14" s="24"/>
      <c r="K14" s="24"/>
      <c r="L14" s="24"/>
      <c r="M14" s="32"/>
    </row>
    <row r="15" ht="12.75" customHeight="1">
      <c r="A15" s="35"/>
      <c r="B15" s="24"/>
      <c r="C15" s="36" t="s">
        <v>24</v>
      </c>
      <c r="D15" s="37">
        <v>0.11</v>
      </c>
      <c r="E15" s="24"/>
      <c r="F15" s="24"/>
      <c r="G15" s="24"/>
      <c r="H15" s="24"/>
      <c r="I15" s="24"/>
      <c r="J15" s="24"/>
      <c r="K15" s="24"/>
      <c r="L15" s="24"/>
      <c r="M15" s="32"/>
    </row>
    <row r="16" ht="9.0" customHeight="1">
      <c r="A16" s="35"/>
      <c r="B16" s="24"/>
      <c r="C16" s="36"/>
      <c r="D16" s="76"/>
      <c r="E16" s="24"/>
      <c r="F16" s="24"/>
      <c r="G16" s="24"/>
      <c r="H16" s="24"/>
      <c r="I16" s="24"/>
      <c r="J16" s="24"/>
      <c r="K16" s="24"/>
      <c r="L16" s="24"/>
      <c r="M16" s="32"/>
    </row>
    <row r="17" ht="12.75" customHeight="1">
      <c r="A17" s="35"/>
      <c r="B17" s="24"/>
      <c r="C17" s="60"/>
      <c r="D17" s="51" t="s">
        <v>17</v>
      </c>
      <c r="E17" s="52"/>
      <c r="F17" s="52">
        <v>2005.0</v>
      </c>
      <c r="G17" s="52">
        <f t="shared" ref="G17:L17" si="1">F17+1</f>
        <v>2006</v>
      </c>
      <c r="H17" s="52">
        <f t="shared" si="1"/>
        <v>2007</v>
      </c>
      <c r="I17" s="53">
        <f t="shared" si="1"/>
        <v>2008</v>
      </c>
      <c r="J17" s="53">
        <f t="shared" si="1"/>
        <v>2009</v>
      </c>
      <c r="K17" s="53">
        <f t="shared" si="1"/>
        <v>2010</v>
      </c>
      <c r="L17" s="53">
        <f t="shared" si="1"/>
        <v>2011</v>
      </c>
      <c r="M17" s="32"/>
    </row>
    <row r="18" ht="12.75" customHeight="1">
      <c r="A18" s="35"/>
      <c r="B18" s="104" t="s">
        <v>74</v>
      </c>
      <c r="C18" s="105"/>
      <c r="D18" s="57"/>
      <c r="E18" s="57"/>
      <c r="F18" s="57"/>
      <c r="G18" s="57"/>
      <c r="H18" s="57"/>
      <c r="I18" s="57"/>
      <c r="J18" s="57"/>
      <c r="K18" s="57"/>
      <c r="L18" s="58"/>
      <c r="M18" s="32"/>
    </row>
    <row r="19" ht="12.75" customHeight="1">
      <c r="A19" s="35"/>
      <c r="B19" s="59">
        <v>1.0</v>
      </c>
      <c r="C19" s="19" t="s">
        <v>34</v>
      </c>
      <c r="D19" s="60"/>
      <c r="E19" s="60"/>
      <c r="F19" s="39">
        <v>518.0</v>
      </c>
      <c r="G19" s="41">
        <f t="shared" ref="G19:L19" si="2">F19*(1+G20)</f>
        <v>564.62</v>
      </c>
      <c r="H19" s="41">
        <f t="shared" si="2"/>
        <v>609.7896</v>
      </c>
      <c r="I19" s="41">
        <f t="shared" si="2"/>
        <v>652.474872</v>
      </c>
      <c r="J19" s="41">
        <f t="shared" si="2"/>
        <v>691.6233643</v>
      </c>
      <c r="K19" s="41">
        <f t="shared" si="2"/>
        <v>726.2045325</v>
      </c>
      <c r="L19" s="41">
        <f t="shared" si="2"/>
        <v>755.2527138</v>
      </c>
      <c r="M19" s="32"/>
    </row>
    <row r="20" ht="12.75" customHeight="1">
      <c r="A20" s="35"/>
      <c r="B20" s="59">
        <v>2.0</v>
      </c>
      <c r="C20" s="63" t="s">
        <v>35</v>
      </c>
      <c r="D20" s="60"/>
      <c r="E20" s="60"/>
      <c r="F20" s="24"/>
      <c r="G20" s="37">
        <v>0.09</v>
      </c>
      <c r="H20" s="97">
        <f t="shared" ref="H20:L20" si="3">G20-($G$20-0.04)/5</f>
        <v>0.08</v>
      </c>
      <c r="I20" s="97">
        <f t="shared" si="3"/>
        <v>0.07</v>
      </c>
      <c r="J20" s="97">
        <f t="shared" si="3"/>
        <v>0.06</v>
      </c>
      <c r="K20" s="97">
        <f t="shared" si="3"/>
        <v>0.05</v>
      </c>
      <c r="L20" s="97">
        <f t="shared" si="3"/>
        <v>0.04</v>
      </c>
      <c r="M20" s="32"/>
    </row>
    <row r="21" ht="12.75" customHeight="1">
      <c r="A21" s="35"/>
      <c r="B21" s="59">
        <v>3.0</v>
      </c>
      <c r="C21" s="19" t="s">
        <v>75</v>
      </c>
      <c r="D21" s="37">
        <v>0.09</v>
      </c>
      <c r="E21" s="106" t="s">
        <v>76</v>
      </c>
      <c r="F21" s="24"/>
      <c r="G21" s="107">
        <f t="shared" ref="G21:L21" si="4">$D$21*G19</f>
        <v>50.8158</v>
      </c>
      <c r="H21" s="107">
        <f t="shared" si="4"/>
        <v>54.881064</v>
      </c>
      <c r="I21" s="107">
        <f t="shared" si="4"/>
        <v>58.72273848</v>
      </c>
      <c r="J21" s="107">
        <f t="shared" si="4"/>
        <v>62.24610279</v>
      </c>
      <c r="K21" s="107">
        <f t="shared" si="4"/>
        <v>65.35840793</v>
      </c>
      <c r="L21" s="108">
        <f t="shared" si="4"/>
        <v>67.97274425</v>
      </c>
      <c r="M21" s="32"/>
    </row>
    <row r="22" ht="12.75" customHeight="1">
      <c r="A22" s="35"/>
      <c r="B22" s="59">
        <v>4.0</v>
      </c>
      <c r="C22" s="70" t="s">
        <v>77</v>
      </c>
      <c r="D22" s="37">
        <v>0.37</v>
      </c>
      <c r="E22" s="70" t="s">
        <v>78</v>
      </c>
      <c r="F22" s="109"/>
      <c r="G22" s="110">
        <f t="shared" ref="G22:L22" si="5">-$D$22*G21</f>
        <v>-18.801846</v>
      </c>
      <c r="H22" s="110">
        <f t="shared" si="5"/>
        <v>-20.30599368</v>
      </c>
      <c r="I22" s="110">
        <f t="shared" si="5"/>
        <v>-21.72741324</v>
      </c>
      <c r="J22" s="110">
        <f t="shared" si="5"/>
        <v>-23.03105803</v>
      </c>
      <c r="K22" s="110">
        <f t="shared" si="5"/>
        <v>-24.18261093</v>
      </c>
      <c r="L22" s="111">
        <f t="shared" si="5"/>
        <v>-25.14991537</v>
      </c>
      <c r="M22" s="32"/>
    </row>
    <row r="23" ht="12.75" customHeight="1">
      <c r="A23" s="35"/>
      <c r="B23" s="59">
        <v>5.0</v>
      </c>
      <c r="C23" s="19" t="s">
        <v>79</v>
      </c>
      <c r="D23" s="37">
        <v>0.08</v>
      </c>
      <c r="E23" s="19" t="s">
        <v>80</v>
      </c>
      <c r="F23" s="24"/>
      <c r="G23" s="107">
        <f t="shared" ref="G23:L23" si="6">-$D$23*(G19-F19)</f>
        <v>-3.7296</v>
      </c>
      <c r="H23" s="107">
        <f t="shared" si="6"/>
        <v>-3.613568</v>
      </c>
      <c r="I23" s="107">
        <f t="shared" si="6"/>
        <v>-3.41482176</v>
      </c>
      <c r="J23" s="107">
        <f t="shared" si="6"/>
        <v>-3.131879386</v>
      </c>
      <c r="K23" s="107">
        <f t="shared" si="6"/>
        <v>-2.766493457</v>
      </c>
      <c r="L23" s="108">
        <f t="shared" si="6"/>
        <v>-2.323854504</v>
      </c>
      <c r="M23" s="32"/>
    </row>
    <row r="24" ht="12.75" customHeight="1">
      <c r="A24" s="35"/>
      <c r="B24" s="59">
        <v>6.0</v>
      </c>
      <c r="C24" s="19" t="s">
        <v>44</v>
      </c>
      <c r="D24" s="37">
        <v>0.1</v>
      </c>
      <c r="E24" s="19" t="s">
        <v>80</v>
      </c>
      <c r="F24" s="24"/>
      <c r="G24" s="107">
        <f t="shared" ref="G24:L24" si="7">-$D$24*(G19-F19)</f>
        <v>-4.662</v>
      </c>
      <c r="H24" s="107">
        <f t="shared" si="7"/>
        <v>-4.51696</v>
      </c>
      <c r="I24" s="107">
        <f t="shared" si="7"/>
        <v>-4.2685272</v>
      </c>
      <c r="J24" s="107">
        <f t="shared" si="7"/>
        <v>-3.914849232</v>
      </c>
      <c r="K24" s="107">
        <f t="shared" si="7"/>
        <v>-3.458116822</v>
      </c>
      <c r="L24" s="108">
        <f t="shared" si="7"/>
        <v>-2.90481813</v>
      </c>
      <c r="M24" s="32"/>
    </row>
    <row r="25" ht="12.75" customHeight="1">
      <c r="A25" s="35"/>
      <c r="B25" s="59">
        <v>7.0</v>
      </c>
      <c r="C25" s="19" t="s">
        <v>45</v>
      </c>
      <c r="D25" s="60"/>
      <c r="E25" s="60"/>
      <c r="F25" s="24"/>
      <c r="G25" s="41">
        <f t="shared" ref="G25:L25" si="8">G21+G22+G23+G24</f>
        <v>23.622354</v>
      </c>
      <c r="H25" s="41">
        <f t="shared" si="8"/>
        <v>26.44454232</v>
      </c>
      <c r="I25" s="41">
        <f t="shared" si="8"/>
        <v>29.31197628</v>
      </c>
      <c r="J25" s="41">
        <f t="shared" si="8"/>
        <v>32.16831614</v>
      </c>
      <c r="K25" s="41">
        <f t="shared" si="8"/>
        <v>34.95118672</v>
      </c>
      <c r="L25" s="41">
        <f t="shared" si="8"/>
        <v>37.59415624</v>
      </c>
      <c r="M25" s="32"/>
    </row>
    <row r="26" ht="12.75" customHeight="1">
      <c r="A26" s="35"/>
      <c r="B26" s="59">
        <v>8.0</v>
      </c>
      <c r="C26" s="19" t="s">
        <v>26</v>
      </c>
      <c r="D26" s="60"/>
      <c r="E26" s="60"/>
      <c r="F26" s="24"/>
      <c r="G26" s="24"/>
      <c r="H26" s="24"/>
      <c r="I26" s="24"/>
      <c r="J26" s="24"/>
      <c r="K26" s="24"/>
      <c r="L26" s="41">
        <f>((1+L20)/(D15-L20))*L25</f>
        <v>558.5417499</v>
      </c>
      <c r="M26" s="32"/>
    </row>
    <row r="27" ht="12.75" customHeight="1">
      <c r="A27" s="35"/>
      <c r="B27" s="59">
        <v>9.0</v>
      </c>
      <c r="C27" s="19" t="s">
        <v>81</v>
      </c>
      <c r="D27" s="60"/>
      <c r="E27" s="60"/>
      <c r="F27" s="41">
        <f t="array" ref="F27">NPV($D$15,G25:K25,(L25+L26))</f>
        <v>424.8277419</v>
      </c>
      <c r="G27" s="24"/>
      <c r="H27" s="24"/>
      <c r="I27" s="24"/>
      <c r="J27" s="24"/>
      <c r="K27" s="24"/>
      <c r="L27" s="112"/>
      <c r="M27" s="32"/>
    </row>
    <row r="28" ht="12.75" customHeight="1">
      <c r="A28" s="35"/>
      <c r="B28" s="59">
        <v>10.0</v>
      </c>
      <c r="C28" s="19" t="s">
        <v>56</v>
      </c>
      <c r="D28" s="60"/>
      <c r="E28" s="60"/>
      <c r="F28" s="113">
        <v>100.0</v>
      </c>
      <c r="G28" s="24"/>
      <c r="H28" s="24"/>
      <c r="I28" s="24"/>
      <c r="J28" s="24"/>
      <c r="K28" s="24"/>
      <c r="L28" s="112"/>
      <c r="M28" s="32"/>
    </row>
    <row r="29" ht="12.75" customHeight="1">
      <c r="A29" s="35"/>
      <c r="B29" s="59">
        <v>11.0</v>
      </c>
      <c r="C29" s="114" t="s">
        <v>28</v>
      </c>
      <c r="D29" s="84"/>
      <c r="E29" s="84"/>
      <c r="F29" s="41">
        <v>3.0</v>
      </c>
      <c r="G29" s="115"/>
      <c r="H29" s="115"/>
      <c r="I29" s="115"/>
      <c r="J29" s="115"/>
      <c r="K29" s="115"/>
      <c r="L29" s="116"/>
      <c r="M29" s="32"/>
    </row>
    <row r="30" ht="12.75" customHeight="1">
      <c r="A30" s="35"/>
      <c r="B30" s="59">
        <v>12.0</v>
      </c>
      <c r="C30" s="19" t="s">
        <v>30</v>
      </c>
      <c r="D30" s="60"/>
      <c r="E30" s="60"/>
      <c r="F30" s="117">
        <v>21.0</v>
      </c>
      <c r="G30" s="24"/>
      <c r="H30" s="24"/>
      <c r="I30" s="24"/>
      <c r="J30" s="24"/>
      <c r="K30" s="24"/>
      <c r="L30" s="112"/>
      <c r="M30" s="32"/>
    </row>
    <row r="31" ht="12.75" customHeight="1">
      <c r="A31" s="35"/>
      <c r="B31" s="73">
        <v>13.0</v>
      </c>
      <c r="C31" s="66" t="s">
        <v>58</v>
      </c>
      <c r="D31" s="67"/>
      <c r="E31" s="67"/>
      <c r="F31" s="41">
        <f>(F27+F28-F29)/F30</f>
        <v>24.84894009</v>
      </c>
      <c r="G31" s="118"/>
      <c r="H31" s="118"/>
      <c r="I31" s="118"/>
      <c r="J31" s="118"/>
      <c r="K31" s="118"/>
      <c r="L31" s="119"/>
      <c r="M31" s="32"/>
    </row>
    <row r="32" ht="12.75" customHeight="1">
      <c r="A32" s="35"/>
      <c r="B32" s="24"/>
      <c r="C32" s="24"/>
      <c r="D32" s="24"/>
      <c r="E32" s="24"/>
      <c r="F32" s="24"/>
      <c r="G32" s="24"/>
      <c r="H32" s="24"/>
      <c r="I32" s="24"/>
      <c r="J32" s="24"/>
      <c r="K32" s="24"/>
      <c r="L32" s="24"/>
      <c r="M32" s="32"/>
    </row>
    <row r="33" ht="12.75" customHeight="1">
      <c r="A33" s="35"/>
      <c r="B33" s="24"/>
      <c r="C33" s="24"/>
      <c r="D33" s="24"/>
      <c r="E33" s="24"/>
      <c r="F33" s="24"/>
      <c r="G33" s="24"/>
      <c r="H33" s="24"/>
      <c r="I33" s="24"/>
      <c r="J33" s="24"/>
      <c r="K33" s="24"/>
      <c r="L33" s="24"/>
      <c r="M33" s="32"/>
    </row>
    <row r="34" ht="18.0" customHeight="1">
      <c r="A34" s="35"/>
      <c r="B34" s="120" t="s">
        <v>20</v>
      </c>
      <c r="C34" s="121" t="s">
        <v>82</v>
      </c>
      <c r="D34" s="122"/>
      <c r="E34" s="122"/>
      <c r="F34" s="123"/>
      <c r="G34" s="118"/>
      <c r="H34" s="24"/>
      <c r="I34" s="24"/>
      <c r="J34" s="24"/>
      <c r="K34" s="24"/>
      <c r="L34" s="24"/>
      <c r="M34" s="32"/>
    </row>
    <row r="35" ht="12.75" customHeight="1">
      <c r="A35" s="35"/>
      <c r="B35" s="45"/>
      <c r="C35" s="124"/>
      <c r="D35" s="125"/>
      <c r="E35" s="125"/>
      <c r="F35" s="126"/>
      <c r="G35" s="113">
        <f>MIN(D49:D89)</f>
        <v>22.86110476</v>
      </c>
      <c r="H35" s="127" t="s">
        <v>83</v>
      </c>
      <c r="I35" s="113">
        <f>MAX(D49:D89)</f>
        <v>25.70108858</v>
      </c>
      <c r="J35" s="24"/>
      <c r="K35" s="24"/>
      <c r="L35" s="24"/>
      <c r="M35" s="32"/>
    </row>
    <row r="36" ht="12.0" customHeight="1">
      <c r="A36" s="35"/>
      <c r="B36" s="33"/>
      <c r="C36" s="128"/>
      <c r="D36" s="128"/>
      <c r="E36" s="128"/>
      <c r="F36" s="128"/>
      <c r="G36" s="129"/>
      <c r="H36" s="21"/>
      <c r="I36" s="129"/>
      <c r="J36" s="24"/>
      <c r="K36" s="24"/>
      <c r="L36" s="24"/>
      <c r="M36" s="32"/>
    </row>
    <row r="37" ht="18.75" customHeight="1">
      <c r="A37" s="35"/>
      <c r="B37" s="33" t="s">
        <v>22</v>
      </c>
      <c r="C37" s="121" t="s">
        <v>84</v>
      </c>
      <c r="D37" s="122"/>
      <c r="E37" s="122"/>
      <c r="F37" s="123"/>
      <c r="G37" s="130"/>
      <c r="H37" s="21"/>
      <c r="I37" s="130"/>
      <c r="J37" s="24"/>
      <c r="K37" s="24"/>
      <c r="L37" s="24"/>
      <c r="M37" s="32"/>
    </row>
    <row r="38" ht="12.75" customHeight="1">
      <c r="A38" s="35"/>
      <c r="B38" s="24"/>
      <c r="C38" s="124"/>
      <c r="D38" s="125"/>
      <c r="E38" s="125"/>
      <c r="F38" s="126"/>
      <c r="G38" s="131">
        <f>MIN(G49:G69)</f>
        <v>19.5868385</v>
      </c>
      <c r="H38" s="127" t="s">
        <v>83</v>
      </c>
      <c r="I38" s="131">
        <f>MAX(G49:G69)</f>
        <v>27.47999088</v>
      </c>
      <c r="J38" s="24"/>
      <c r="K38" s="24"/>
      <c r="L38" s="24"/>
      <c r="M38" s="32"/>
    </row>
    <row r="39" ht="11.25" customHeight="1">
      <c r="A39" s="35"/>
      <c r="B39" s="33"/>
      <c r="C39" s="128"/>
      <c r="D39" s="128"/>
      <c r="E39" s="128"/>
      <c r="F39" s="128"/>
      <c r="G39" s="129"/>
      <c r="H39" s="21"/>
      <c r="I39" s="129"/>
      <c r="J39" s="24"/>
      <c r="K39" s="24"/>
      <c r="L39" s="24"/>
      <c r="M39" s="32"/>
    </row>
    <row r="40" ht="18.75" customHeight="1">
      <c r="A40" s="35"/>
      <c r="B40" s="33" t="s">
        <v>48</v>
      </c>
      <c r="C40" s="121" t="s">
        <v>85</v>
      </c>
      <c r="D40" s="122"/>
      <c r="E40" s="122"/>
      <c r="F40" s="123"/>
      <c r="G40" s="130"/>
      <c r="H40" s="21"/>
      <c r="I40" s="130"/>
      <c r="J40" s="24"/>
      <c r="K40" s="24"/>
      <c r="L40" s="24"/>
      <c r="M40" s="32"/>
    </row>
    <row r="41" ht="12.75" customHeight="1">
      <c r="A41" s="35"/>
      <c r="B41" s="24"/>
      <c r="C41" s="124"/>
      <c r="D41" s="125"/>
      <c r="E41" s="125"/>
      <c r="F41" s="126"/>
      <c r="G41" s="41">
        <f>MIN(J49:J69)</f>
        <v>22.23626011</v>
      </c>
      <c r="H41" s="127" t="s">
        <v>83</v>
      </c>
      <c r="I41" s="41">
        <f>MAX(J49:J69)</f>
        <v>28.33694919</v>
      </c>
      <c r="J41" s="24"/>
      <c r="K41" s="24"/>
      <c r="L41" s="24"/>
      <c r="M41" s="32"/>
    </row>
    <row r="42" ht="14.25" customHeight="1">
      <c r="A42" s="35"/>
      <c r="B42" s="33"/>
      <c r="C42" s="128"/>
      <c r="D42" s="128"/>
      <c r="E42" s="128"/>
      <c r="F42" s="128"/>
      <c r="G42" s="129"/>
      <c r="H42" s="21"/>
      <c r="I42" s="129"/>
      <c r="J42" s="24"/>
      <c r="K42" s="24"/>
      <c r="L42" s="24"/>
      <c r="M42" s="32"/>
    </row>
    <row r="43" ht="18.75" customHeight="1">
      <c r="A43" s="35"/>
      <c r="B43" s="33" t="s">
        <v>50</v>
      </c>
      <c r="C43" s="121" t="s">
        <v>86</v>
      </c>
      <c r="D43" s="122"/>
      <c r="E43" s="122"/>
      <c r="F43" s="123"/>
      <c r="G43" s="130"/>
      <c r="H43" s="21"/>
      <c r="I43" s="130"/>
      <c r="J43" s="24"/>
      <c r="K43" s="24"/>
      <c r="L43" s="24"/>
      <c r="M43" s="32"/>
    </row>
    <row r="44" ht="12.75" customHeight="1">
      <c r="A44" s="35"/>
      <c r="B44" s="24"/>
      <c r="C44" s="124"/>
      <c r="D44" s="125"/>
      <c r="E44" s="125"/>
      <c r="F44" s="126"/>
      <c r="G44" s="41">
        <f>$F$109</f>
        <v>16.54044762</v>
      </c>
      <c r="H44" s="127" t="s">
        <v>83</v>
      </c>
      <c r="I44" s="41">
        <f>$F$128</f>
        <v>32.61884164</v>
      </c>
      <c r="J44" s="24"/>
      <c r="K44" s="24"/>
      <c r="L44" s="24"/>
      <c r="M44" s="32"/>
    </row>
    <row r="45" ht="12.75" customHeight="1">
      <c r="A45" s="132"/>
      <c r="B45" s="24"/>
      <c r="C45" s="24"/>
      <c r="D45" s="24"/>
      <c r="E45" s="24"/>
      <c r="F45" s="24"/>
      <c r="G45" s="24"/>
      <c r="H45" s="24"/>
      <c r="I45" s="24"/>
      <c r="J45" s="24"/>
      <c r="K45" s="24"/>
      <c r="L45" s="24"/>
      <c r="M45" s="32"/>
    </row>
    <row r="46" ht="12.75" customHeight="1">
      <c r="A46" s="132"/>
      <c r="B46" s="24"/>
      <c r="C46" s="24"/>
      <c r="D46" s="24"/>
      <c r="E46" s="24"/>
      <c r="F46" s="24"/>
      <c r="G46" s="24"/>
      <c r="H46" s="24"/>
      <c r="I46" s="24"/>
      <c r="J46" s="24"/>
      <c r="K46" s="24"/>
      <c r="L46" s="24"/>
      <c r="M46" s="32"/>
    </row>
    <row r="47" ht="34.5" customHeight="1">
      <c r="A47" s="35"/>
      <c r="B47" s="24"/>
      <c r="C47" s="22" t="s">
        <v>87</v>
      </c>
      <c r="D47" s="16"/>
      <c r="E47" s="24"/>
      <c r="F47" s="22" t="s">
        <v>88</v>
      </c>
      <c r="G47" s="16"/>
      <c r="H47" s="24"/>
      <c r="I47" s="133" t="s">
        <v>89</v>
      </c>
      <c r="J47" s="16"/>
      <c r="K47" s="134"/>
      <c r="L47" s="134"/>
      <c r="M47" s="32"/>
    </row>
    <row r="48" ht="12.75" customHeight="1">
      <c r="A48" s="35"/>
      <c r="B48" s="24"/>
      <c r="C48" s="19" t="s">
        <v>90</v>
      </c>
      <c r="D48" s="82">
        <f>F31</f>
        <v>24.84894009</v>
      </c>
      <c r="E48" s="24"/>
      <c r="F48" s="19" t="s">
        <v>90</v>
      </c>
      <c r="G48" s="82">
        <f>F31</f>
        <v>24.84894009</v>
      </c>
      <c r="H48" s="24"/>
      <c r="I48" s="19" t="s">
        <v>90</v>
      </c>
      <c r="J48" s="82">
        <f>F31</f>
        <v>24.84894009</v>
      </c>
      <c r="K48" s="24"/>
      <c r="L48" s="24"/>
      <c r="M48" s="32"/>
    </row>
    <row r="49" ht="12.75" customHeight="1">
      <c r="A49" s="35"/>
      <c r="B49" s="24"/>
      <c r="C49" s="135">
        <v>0.04</v>
      </c>
      <c r="D49" s="41">
        <v>22.861104761904752</v>
      </c>
      <c r="E49" s="24"/>
      <c r="F49" s="135">
        <v>0.07</v>
      </c>
      <c r="G49" s="41">
        <v>19.586838503715477</v>
      </c>
      <c r="H49" s="24"/>
      <c r="I49" s="37">
        <v>0.1</v>
      </c>
      <c r="J49" s="41">
        <v>28.336949187709966</v>
      </c>
      <c r="K49" s="24"/>
      <c r="L49" s="24"/>
      <c r="M49" s="32"/>
    </row>
    <row r="50" ht="12.75" customHeight="1">
      <c r="A50" s="35"/>
      <c r="B50" s="24"/>
      <c r="C50" s="136">
        <f t="shared" ref="C50:C89" si="9">C49+0.00175</f>
        <v>0.04175</v>
      </c>
      <c r="D50" s="41">
        <v>22.927351124562115</v>
      </c>
      <c r="E50" s="24"/>
      <c r="F50" s="136">
        <f t="shared" ref="F50:F69" si="10">F49+0.0015</f>
        <v>0.0715</v>
      </c>
      <c r="G50" s="41">
        <v>19.981496122612675</v>
      </c>
      <c r="H50" s="24"/>
      <c r="I50" s="137">
        <f t="shared" ref="I50:I69" si="11">I49+0.001</f>
        <v>0.101</v>
      </c>
      <c r="J50" s="41">
        <v>27.936483029444545</v>
      </c>
      <c r="K50" s="24"/>
      <c r="L50" s="24"/>
      <c r="M50" s="32"/>
    </row>
    <row r="51" ht="12.75" customHeight="1">
      <c r="A51" s="35"/>
      <c r="B51" s="24"/>
      <c r="C51" s="136">
        <f t="shared" si="9"/>
        <v>0.0435</v>
      </c>
      <c r="D51" s="41">
        <v>22.993833492206743</v>
      </c>
      <c r="E51" s="24"/>
      <c r="F51" s="136">
        <f t="shared" si="10"/>
        <v>0.073</v>
      </c>
      <c r="G51" s="41">
        <v>20.37615374150989</v>
      </c>
      <c r="H51" s="24"/>
      <c r="I51" s="138">
        <f t="shared" si="11"/>
        <v>0.102</v>
      </c>
      <c r="J51" s="41">
        <v>27.54898009190337</v>
      </c>
      <c r="K51" s="24"/>
      <c r="L51" s="24"/>
      <c r="M51" s="32"/>
    </row>
    <row r="52" ht="12.75" customHeight="1">
      <c r="A52" s="35"/>
      <c r="B52" s="24"/>
      <c r="C52" s="136">
        <f t="shared" si="9"/>
        <v>0.04525</v>
      </c>
      <c r="D52" s="41">
        <v>23.06055246784921</v>
      </c>
      <c r="E52" s="24"/>
      <c r="F52" s="136">
        <f t="shared" si="10"/>
        <v>0.0745</v>
      </c>
      <c r="G52" s="41">
        <v>20.770811360407087</v>
      </c>
      <c r="H52" s="24"/>
      <c r="I52" s="138">
        <f t="shared" si="11"/>
        <v>0.103</v>
      </c>
      <c r="J52" s="41">
        <v>27.1738228499141</v>
      </c>
      <c r="K52" s="24"/>
      <c r="L52" s="24"/>
      <c r="M52" s="32"/>
    </row>
    <row r="53" ht="12.75" customHeight="1">
      <c r="A53" s="35"/>
      <c r="B53" s="24"/>
      <c r="C53" s="136">
        <f t="shared" si="9"/>
        <v>0.047</v>
      </c>
      <c r="D53" s="41">
        <v>23.12750865545459</v>
      </c>
      <c r="E53" s="24"/>
      <c r="F53" s="136">
        <f t="shared" si="10"/>
        <v>0.076</v>
      </c>
      <c r="G53" s="41">
        <v>21.16546897930429</v>
      </c>
      <c r="H53" s="24"/>
      <c r="I53" s="138">
        <f t="shared" si="11"/>
        <v>0.104</v>
      </c>
      <c r="J53" s="41">
        <v>26.810432375046112</v>
      </c>
      <c r="K53" s="24"/>
      <c r="L53" s="24"/>
      <c r="M53" s="32"/>
    </row>
    <row r="54" ht="12.75" customHeight="1">
      <c r="A54" s="35"/>
      <c r="B54" s="24"/>
      <c r="C54" s="136">
        <f t="shared" si="9"/>
        <v>0.04875</v>
      </c>
      <c r="D54" s="41">
        <v>23.19470265994303</v>
      </c>
      <c r="E54" s="24"/>
      <c r="F54" s="136">
        <f t="shared" si="10"/>
        <v>0.0775</v>
      </c>
      <c r="G54" s="41">
        <v>21.560126598201492</v>
      </c>
      <c r="H54" s="24"/>
      <c r="I54" s="138">
        <f t="shared" si="11"/>
        <v>0.105</v>
      </c>
      <c r="J54" s="41">
        <v>26.458265366620374</v>
      </c>
      <c r="K54" s="24"/>
      <c r="L54" s="24"/>
      <c r="M54" s="32"/>
    </row>
    <row r="55" ht="12.75" customHeight="1">
      <c r="A55" s="35"/>
      <c r="B55" s="24"/>
      <c r="C55" s="136">
        <f t="shared" si="9"/>
        <v>0.0505</v>
      </c>
      <c r="D55" s="41">
        <v>23.262135087190547</v>
      </c>
      <c r="E55" s="24"/>
      <c r="F55" s="136">
        <f t="shared" si="10"/>
        <v>0.079</v>
      </c>
      <c r="G55" s="41">
        <v>21.954784217098695</v>
      </c>
      <c r="H55" s="24"/>
      <c r="I55" s="138">
        <f t="shared" si="11"/>
        <v>0.106</v>
      </c>
      <c r="J55" s="41">
        <v>26.116811452627076</v>
      </c>
      <c r="K55" s="24"/>
      <c r="L55" s="24"/>
      <c r="M55" s="32"/>
    </row>
    <row r="56" ht="12.75" customHeight="1">
      <c r="A56" s="35"/>
      <c r="B56" s="24"/>
      <c r="C56" s="136">
        <f t="shared" si="9"/>
        <v>0.05225</v>
      </c>
      <c r="D56" s="41">
        <v>23.32980654402963</v>
      </c>
      <c r="E56" s="24"/>
      <c r="F56" s="136">
        <f t="shared" si="10"/>
        <v>0.0805</v>
      </c>
      <c r="G56" s="41">
        <v>22.3494418359959</v>
      </c>
      <c r="H56" s="24"/>
      <c r="I56" s="138">
        <f t="shared" si="11"/>
        <v>0.107</v>
      </c>
      <c r="J56" s="41">
        <v>25.785590732352723</v>
      </c>
      <c r="K56" s="24"/>
      <c r="L56" s="24"/>
      <c r="M56" s="32"/>
    </row>
    <row r="57" ht="12.75" customHeight="1">
      <c r="A57" s="35"/>
      <c r="B57" s="24"/>
      <c r="C57" s="136">
        <f t="shared" si="9"/>
        <v>0.054</v>
      </c>
      <c r="D57" s="41">
        <v>23.397717638249937</v>
      </c>
      <c r="E57" s="24"/>
      <c r="F57" s="136">
        <f t="shared" si="10"/>
        <v>0.082</v>
      </c>
      <c r="G57" s="41">
        <v>22.744099454893096</v>
      </c>
      <c r="H57" s="24"/>
      <c r="I57" s="138">
        <f t="shared" si="11"/>
        <v>0.108</v>
      </c>
      <c r="J57" s="41">
        <v>25.46415153583383</v>
      </c>
      <c r="K57" s="24"/>
      <c r="L57" s="24"/>
      <c r="M57" s="32"/>
    </row>
    <row r="58" ht="12.75" customHeight="1">
      <c r="A58" s="35"/>
      <c r="B58" s="24"/>
      <c r="C58" s="136">
        <f t="shared" si="9"/>
        <v>0.05575</v>
      </c>
      <c r="D58" s="41">
        <v>23.465868978599026</v>
      </c>
      <c r="E58" s="24"/>
      <c r="F58" s="136">
        <f t="shared" si="10"/>
        <v>0.0835</v>
      </c>
      <c r="G58" s="41">
        <v>23.13875707379031</v>
      </c>
      <c r="H58" s="24"/>
      <c r="I58" s="138">
        <f t="shared" si="11"/>
        <v>0.109</v>
      </c>
      <c r="J58" s="41">
        <v>25.15206837814131</v>
      </c>
      <c r="K58" s="24"/>
      <c r="L58" s="24"/>
      <c r="M58" s="32"/>
    </row>
    <row r="59" ht="12.75" customHeight="1">
      <c r="A59" s="35"/>
      <c r="B59" s="24"/>
      <c r="C59" s="136">
        <f t="shared" si="9"/>
        <v>0.0575</v>
      </c>
      <c r="D59" s="41">
        <v>23.534261174782934</v>
      </c>
      <c r="E59" s="24"/>
      <c r="F59" s="136">
        <f t="shared" si="10"/>
        <v>0.085</v>
      </c>
      <c r="G59" s="41">
        <v>23.53341469268751</v>
      </c>
      <c r="H59" s="24"/>
      <c r="I59" s="138">
        <f t="shared" si="11"/>
        <v>0.11</v>
      </c>
      <c r="J59" s="41">
        <v>24.848940089011506</v>
      </c>
      <c r="K59" s="24"/>
      <c r="L59" s="24"/>
      <c r="M59" s="32"/>
    </row>
    <row r="60" ht="12.75" customHeight="1">
      <c r="A60" s="35"/>
      <c r="B60" s="24"/>
      <c r="C60" s="136">
        <f t="shared" si="9"/>
        <v>0.05925</v>
      </c>
      <c r="D60" s="41">
        <v>23.602894837466984</v>
      </c>
      <c r="E60" s="24"/>
      <c r="F60" s="136">
        <f t="shared" si="10"/>
        <v>0.0865</v>
      </c>
      <c r="G60" s="41">
        <v>23.92807231158471</v>
      </c>
      <c r="H60" s="24"/>
      <c r="I60" s="138">
        <f t="shared" si="11"/>
        <v>0.111</v>
      </c>
      <c r="J60" s="41">
        <v>24.55438810053708</v>
      </c>
      <c r="K60" s="24"/>
      <c r="L60" s="24"/>
      <c r="M60" s="32"/>
    </row>
    <row r="61" ht="12.75" customHeight="1">
      <c r="A61" s="35"/>
      <c r="B61" s="24"/>
      <c r="C61" s="136">
        <f t="shared" si="9"/>
        <v>0.061</v>
      </c>
      <c r="D61" s="41">
        <v>23.671770578276377</v>
      </c>
      <c r="E61" s="24"/>
      <c r="F61" s="136">
        <f t="shared" si="10"/>
        <v>0.088</v>
      </c>
      <c r="G61" s="41">
        <v>24.322729930481913</v>
      </c>
      <c r="H61" s="24"/>
      <c r="I61" s="138">
        <f t="shared" si="11"/>
        <v>0.112</v>
      </c>
      <c r="J61" s="41">
        <v>24.26805487755002</v>
      </c>
      <c r="K61" s="24"/>
      <c r="L61" s="24"/>
      <c r="M61" s="32"/>
    </row>
    <row r="62" ht="12.75" customHeight="1">
      <c r="A62" s="35"/>
      <c r="B62" s="24"/>
      <c r="C62" s="136">
        <f t="shared" si="9"/>
        <v>0.06275</v>
      </c>
      <c r="D62" s="41">
        <v>23.740889009796913</v>
      </c>
      <c r="E62" s="24"/>
      <c r="F62" s="136">
        <f t="shared" si="10"/>
        <v>0.0895</v>
      </c>
      <c r="G62" s="41">
        <v>24.71738754937912</v>
      </c>
      <c r="H62" s="24"/>
      <c r="I62" s="138">
        <f t="shared" si="11"/>
        <v>0.113</v>
      </c>
      <c r="J62" s="41">
        <v>23.9896024770147</v>
      </c>
      <c r="K62" s="24"/>
      <c r="L62" s="24"/>
      <c r="M62" s="32"/>
    </row>
    <row r="63" ht="12.75" customHeight="1">
      <c r="A63" s="35"/>
      <c r="B63" s="24"/>
      <c r="C63" s="136">
        <f t="shared" si="9"/>
        <v>0.0645</v>
      </c>
      <c r="D63" s="41">
        <v>23.810250745575676</v>
      </c>
      <c r="E63" s="24"/>
      <c r="F63" s="136">
        <f t="shared" si="10"/>
        <v>0.091</v>
      </c>
      <c r="G63" s="41">
        <v>25.112045168276328</v>
      </c>
      <c r="H63" s="24"/>
      <c r="I63" s="138">
        <f t="shared" si="11"/>
        <v>0.114</v>
      </c>
      <c r="J63" s="41">
        <v>23.7187112242266</v>
      </c>
      <c r="K63" s="24"/>
      <c r="L63" s="24"/>
      <c r="M63" s="32"/>
    </row>
    <row r="64" ht="12.75" customHeight="1">
      <c r="A64" s="35"/>
      <c r="B64" s="24"/>
      <c r="C64" s="136">
        <f t="shared" si="9"/>
        <v>0.06625</v>
      </c>
      <c r="D64" s="41">
        <v>23.879856400121657</v>
      </c>
      <c r="E64" s="24"/>
      <c r="F64" s="136">
        <f t="shared" si="10"/>
        <v>0.0925</v>
      </c>
      <c r="G64" s="41">
        <v>25.506702787173523</v>
      </c>
      <c r="H64" s="24"/>
      <c r="I64" s="138">
        <f t="shared" si="11"/>
        <v>0.115</v>
      </c>
      <c r="J64" s="41">
        <v>23.45507849491557</v>
      </c>
      <c r="K64" s="24"/>
      <c r="L64" s="24"/>
      <c r="M64" s="32"/>
    </row>
    <row r="65" ht="12.75" customHeight="1">
      <c r="A65" s="35"/>
      <c r="B65" s="24"/>
      <c r="C65" s="136">
        <f t="shared" si="9"/>
        <v>0.068</v>
      </c>
      <c r="D65" s="41">
        <v>23.949706588906558</v>
      </c>
      <c r="E65" s="24"/>
      <c r="F65" s="136">
        <f t="shared" si="10"/>
        <v>0.094</v>
      </c>
      <c r="G65" s="41">
        <v>25.901360406070726</v>
      </c>
      <c r="H65" s="24"/>
      <c r="I65" s="138">
        <f t="shared" si="11"/>
        <v>0.116</v>
      </c>
      <c r="J65" s="41">
        <v>23.19841759349858</v>
      </c>
      <c r="K65" s="24"/>
      <c r="L65" s="24"/>
      <c r="M65" s="32"/>
    </row>
    <row r="66" ht="12.75" customHeight="1">
      <c r="A66" s="35"/>
      <c r="B66" s="24"/>
      <c r="C66" s="136">
        <f t="shared" si="9"/>
        <v>0.06975</v>
      </c>
      <c r="D66" s="41">
        <v>24.019801928365332</v>
      </c>
      <c r="E66" s="24"/>
      <c r="F66" s="136">
        <f t="shared" si="10"/>
        <v>0.0955</v>
      </c>
      <c r="G66" s="41">
        <v>26.29601802496793</v>
      </c>
      <c r="H66" s="24"/>
      <c r="I66" s="138">
        <f t="shared" si="11"/>
        <v>0.117</v>
      </c>
      <c r="J66" s="41">
        <v>22.948456718741674</v>
      </c>
      <c r="K66" s="24"/>
      <c r="L66" s="24"/>
      <c r="M66" s="32"/>
    </row>
    <row r="67" ht="12.75" customHeight="1">
      <c r="A67" s="35"/>
      <c r="B67" s="24"/>
      <c r="C67" s="136">
        <f t="shared" si="9"/>
        <v>0.0715</v>
      </c>
      <c r="D67" s="41">
        <v>24.090143035896954</v>
      </c>
      <c r="E67" s="24"/>
      <c r="F67" s="136">
        <f t="shared" si="10"/>
        <v>0.097</v>
      </c>
      <c r="G67" s="41">
        <v>26.690675643865138</v>
      </c>
      <c r="H67" s="24"/>
      <c r="I67" s="138">
        <f t="shared" si="11"/>
        <v>0.118</v>
      </c>
      <c r="J67" s="41">
        <v>22.704938008986204</v>
      </c>
      <c r="K67" s="24"/>
      <c r="L67" s="24"/>
      <c r="M67" s="32"/>
    </row>
    <row r="68" ht="12.75" customHeight="1">
      <c r="A68" s="35"/>
      <c r="B68" s="24"/>
      <c r="C68" s="136">
        <f t="shared" si="9"/>
        <v>0.07325</v>
      </c>
      <c r="D68" s="41">
        <v>24.160730529865134</v>
      </c>
      <c r="E68" s="24"/>
      <c r="F68" s="136">
        <f t="shared" si="10"/>
        <v>0.0985</v>
      </c>
      <c r="G68" s="41">
        <v>27.085333262762333</v>
      </c>
      <c r="H68" s="24"/>
      <c r="I68" s="138">
        <f t="shared" si="11"/>
        <v>0.119</v>
      </c>
      <c r="J68" s="41">
        <v>22.467616659889877</v>
      </c>
      <c r="K68" s="24"/>
      <c r="L68" s="24"/>
      <c r="M68" s="32"/>
    </row>
    <row r="69" ht="12.75" customHeight="1">
      <c r="A69" s="35"/>
      <c r="B69" s="24"/>
      <c r="C69" s="136">
        <f t="shared" si="9"/>
        <v>0.075</v>
      </c>
      <c r="D69" s="41">
        <v>24.231565029598876</v>
      </c>
      <c r="E69" s="24"/>
      <c r="F69" s="136">
        <f t="shared" si="10"/>
        <v>0.1</v>
      </c>
      <c r="G69" s="41">
        <v>27.47999088165954</v>
      </c>
      <c r="H69" s="24"/>
      <c r="I69" s="138">
        <f t="shared" si="11"/>
        <v>0.12</v>
      </c>
      <c r="J69" s="41">
        <v>22.236260108336953</v>
      </c>
      <c r="K69" s="24"/>
      <c r="L69" s="24"/>
      <c r="M69" s="32"/>
    </row>
    <row r="70" ht="12.75" customHeight="1">
      <c r="A70" s="35"/>
      <c r="B70" s="24"/>
      <c r="C70" s="136">
        <f t="shared" si="9"/>
        <v>0.07675</v>
      </c>
      <c r="D70" s="41">
        <v>24.302647155393256</v>
      </c>
      <c r="E70" s="24"/>
      <c r="F70" s="136"/>
      <c r="G70" s="24"/>
      <c r="H70" s="24"/>
      <c r="I70" s="24"/>
      <c r="J70" s="24"/>
      <c r="K70" s="24"/>
      <c r="L70" s="24"/>
      <c r="M70" s="32"/>
    </row>
    <row r="71" ht="12.75" customHeight="1">
      <c r="A71" s="35"/>
      <c r="B71" s="24"/>
      <c r="C71" s="136">
        <f t="shared" si="9"/>
        <v>0.0785</v>
      </c>
      <c r="D71" s="41">
        <v>24.37397752851009</v>
      </c>
      <c r="E71" s="24"/>
      <c r="F71" s="24"/>
      <c r="G71" s="24"/>
      <c r="H71" s="24"/>
      <c r="I71" s="24"/>
      <c r="J71" s="24"/>
      <c r="K71" s="24"/>
      <c r="L71" s="24"/>
      <c r="M71" s="32"/>
    </row>
    <row r="72" ht="12.75" customHeight="1">
      <c r="A72" s="35"/>
      <c r="B72" s="24"/>
      <c r="C72" s="136">
        <f t="shared" si="9"/>
        <v>0.08025</v>
      </c>
      <c r="D72" s="41">
        <v>24.445556771178623</v>
      </c>
      <c r="E72" s="24"/>
      <c r="F72" s="24"/>
      <c r="G72" s="24"/>
      <c r="H72" s="24"/>
      <c r="I72" s="24"/>
      <c r="J72" s="24"/>
      <c r="K72" s="24"/>
      <c r="L72" s="24"/>
      <c r="M72" s="32"/>
    </row>
    <row r="73" ht="12.75" customHeight="1">
      <c r="A73" s="35"/>
      <c r="B73" s="24"/>
      <c r="C73" s="136">
        <f t="shared" si="9"/>
        <v>0.082</v>
      </c>
      <c r="D73" s="41">
        <v>24.517385506596135</v>
      </c>
      <c r="E73" s="24"/>
      <c r="F73" s="24"/>
      <c r="G73" s="24"/>
      <c r="H73" s="24"/>
      <c r="I73" s="24"/>
      <c r="J73" s="24"/>
      <c r="K73" s="24"/>
      <c r="L73" s="24"/>
      <c r="M73" s="32"/>
    </row>
    <row r="74" ht="12.75" customHeight="1">
      <c r="A74" s="35"/>
      <c r="B74" s="24"/>
      <c r="C74" s="136">
        <f t="shared" si="9"/>
        <v>0.08375</v>
      </c>
      <c r="D74" s="41">
        <v>24.589464358928755</v>
      </c>
      <c r="E74" s="24"/>
      <c r="F74" s="24"/>
      <c r="G74" s="24"/>
      <c r="H74" s="24"/>
      <c r="I74" s="24"/>
      <c r="J74" s="24"/>
      <c r="K74" s="24"/>
      <c r="L74" s="24"/>
      <c r="M74" s="32"/>
    </row>
    <row r="75" ht="12.75" customHeight="1">
      <c r="A75" s="35"/>
      <c r="B75" s="24"/>
      <c r="C75" s="136">
        <f t="shared" si="9"/>
        <v>0.0855</v>
      </c>
      <c r="D75" s="41">
        <v>24.661793953312024</v>
      </c>
      <c r="E75" s="24"/>
      <c r="F75" s="24"/>
      <c r="G75" s="24"/>
      <c r="H75" s="24"/>
      <c r="I75" s="24"/>
      <c r="J75" s="24"/>
      <c r="K75" s="24"/>
      <c r="L75" s="24"/>
      <c r="M75" s="32"/>
    </row>
    <row r="76" ht="12.75" customHeight="1">
      <c r="A76" s="35"/>
      <c r="B76" s="24"/>
      <c r="C76" s="136">
        <f t="shared" si="9"/>
        <v>0.08725</v>
      </c>
      <c r="D76" s="41">
        <v>24.73437491585165</v>
      </c>
      <c r="E76" s="24"/>
      <c r="F76" s="24"/>
      <c r="G76" s="24"/>
      <c r="H76" s="24"/>
      <c r="I76" s="24"/>
      <c r="J76" s="24"/>
      <c r="K76" s="24"/>
      <c r="L76" s="24"/>
      <c r="M76" s="32"/>
    </row>
    <row r="77" ht="12.75" customHeight="1">
      <c r="A77" s="35"/>
      <c r="B77" s="24"/>
      <c r="C77" s="136">
        <f t="shared" si="9"/>
        <v>0.089</v>
      </c>
      <c r="D77" s="41">
        <v>24.807207873624147</v>
      </c>
      <c r="E77" s="24"/>
      <c r="F77" s="24"/>
      <c r="G77" s="24"/>
      <c r="H77" s="24"/>
      <c r="I77" s="24"/>
      <c r="J77" s="24"/>
      <c r="K77" s="24"/>
      <c r="L77" s="24"/>
      <c r="M77" s="32"/>
    </row>
    <row r="78" ht="12.75" customHeight="1">
      <c r="A78" s="35"/>
      <c r="B78" s="24"/>
      <c r="C78" s="136">
        <f t="shared" si="9"/>
        <v>0.09075</v>
      </c>
      <c r="D78" s="41">
        <v>24.88029345467754</v>
      </c>
      <c r="E78" s="24"/>
      <c r="F78" s="24"/>
      <c r="G78" s="24"/>
      <c r="H78" s="24"/>
      <c r="I78" s="24"/>
      <c r="J78" s="24"/>
      <c r="K78" s="24"/>
      <c r="L78" s="24"/>
      <c r="M78" s="32"/>
    </row>
    <row r="79" ht="12.75" customHeight="1">
      <c r="A79" s="35"/>
      <c r="B79" s="24"/>
      <c r="C79" s="136">
        <f t="shared" si="9"/>
        <v>0.0925</v>
      </c>
      <c r="D79" s="41">
        <v>24.95363228803206</v>
      </c>
      <c r="E79" s="24"/>
      <c r="F79" s="24"/>
      <c r="G79" s="24"/>
      <c r="H79" s="24"/>
      <c r="I79" s="24"/>
      <c r="J79" s="24"/>
      <c r="K79" s="24"/>
      <c r="L79" s="24"/>
      <c r="M79" s="32"/>
    </row>
    <row r="80" ht="12.75" customHeight="1">
      <c r="A80" s="35"/>
      <c r="B80" s="24"/>
      <c r="C80" s="136">
        <f t="shared" si="9"/>
        <v>0.09425</v>
      </c>
      <c r="D80" s="41">
        <v>25.02722500368079</v>
      </c>
      <c r="E80" s="24"/>
      <c r="F80" s="24"/>
      <c r="G80" s="24"/>
      <c r="H80" s="24"/>
      <c r="I80" s="24"/>
      <c r="J80" s="24"/>
      <c r="K80" s="24"/>
      <c r="L80" s="24"/>
      <c r="M80" s="32"/>
    </row>
    <row r="81" ht="12.75" customHeight="1">
      <c r="A81" s="35"/>
      <c r="B81" s="24"/>
      <c r="C81" s="136">
        <f t="shared" si="9"/>
        <v>0.096</v>
      </c>
      <c r="D81" s="41">
        <v>25.10107223259036</v>
      </c>
      <c r="E81" s="24"/>
      <c r="F81" s="24"/>
      <c r="G81" s="24"/>
      <c r="H81" s="24"/>
      <c r="I81" s="24"/>
      <c r="J81" s="24"/>
      <c r="K81" s="24"/>
      <c r="L81" s="24"/>
      <c r="M81" s="32"/>
    </row>
    <row r="82" ht="12.75" customHeight="1">
      <c r="A82" s="35"/>
      <c r="B82" s="24"/>
      <c r="C82" s="136">
        <f t="shared" si="9"/>
        <v>0.09775</v>
      </c>
      <c r="D82" s="41">
        <v>25.175174606701667</v>
      </c>
      <c r="E82" s="24"/>
      <c r="F82" s="24"/>
      <c r="G82" s="24"/>
      <c r="H82" s="24"/>
      <c r="I82" s="24"/>
      <c r="J82" s="24"/>
      <c r="K82" s="24"/>
      <c r="L82" s="24"/>
      <c r="M82" s="32"/>
    </row>
    <row r="83" ht="12.75" customHeight="1">
      <c r="A83" s="35"/>
      <c r="B83" s="24"/>
      <c r="C83" s="136">
        <f t="shared" si="9"/>
        <v>0.0995</v>
      </c>
      <c r="D83" s="41">
        <v>25.249532758930485</v>
      </c>
      <c r="E83" s="24"/>
      <c r="F83" s="24"/>
      <c r="G83" s="24"/>
      <c r="H83" s="24"/>
      <c r="I83" s="24"/>
      <c r="J83" s="24"/>
      <c r="K83" s="24"/>
      <c r="L83" s="24"/>
      <c r="M83" s="32"/>
    </row>
    <row r="84" ht="12.75" customHeight="1">
      <c r="A84" s="35"/>
      <c r="B84" s="24"/>
      <c r="C84" s="136">
        <f t="shared" si="9"/>
        <v>0.10125</v>
      </c>
      <c r="D84" s="41">
        <v>25.324147323168216</v>
      </c>
      <c r="E84" s="24"/>
      <c r="F84" s="24"/>
      <c r="G84" s="24"/>
      <c r="H84" s="24"/>
      <c r="I84" s="24"/>
      <c r="J84" s="24"/>
      <c r="K84" s="24"/>
      <c r="L84" s="24"/>
      <c r="M84" s="32"/>
    </row>
    <row r="85" ht="12.75" customHeight="1">
      <c r="A85" s="35"/>
      <c r="B85" s="24"/>
      <c r="C85" s="136">
        <f t="shared" si="9"/>
        <v>0.103</v>
      </c>
      <c r="D85" s="41">
        <v>25.39901893428254</v>
      </c>
      <c r="E85" s="24"/>
      <c r="F85" s="24"/>
      <c r="G85" s="24"/>
      <c r="H85" s="24"/>
      <c r="I85" s="24"/>
      <c r="J85" s="24"/>
      <c r="K85" s="24"/>
      <c r="L85" s="24"/>
      <c r="M85" s="32"/>
    </row>
    <row r="86" ht="12.75" customHeight="1">
      <c r="A86" s="35"/>
      <c r="B86" s="24"/>
      <c r="C86" s="136">
        <f t="shared" si="9"/>
        <v>0.10475</v>
      </c>
      <c r="D86" s="41">
        <v>25.4741482281181</v>
      </c>
      <c r="E86" s="24"/>
      <c r="F86" s="24"/>
      <c r="G86" s="24"/>
      <c r="H86" s="24"/>
      <c r="I86" s="24"/>
      <c r="J86" s="24"/>
      <c r="K86" s="24"/>
      <c r="L86" s="24"/>
      <c r="M86" s="32"/>
    </row>
    <row r="87" ht="12.75" customHeight="1">
      <c r="A87" s="35"/>
      <c r="B87" s="24"/>
      <c r="C87" s="136">
        <f t="shared" si="9"/>
        <v>0.1065</v>
      </c>
      <c r="D87" s="41">
        <v>25.549535841497182</v>
      </c>
      <c r="E87" s="24"/>
      <c r="F87" s="24"/>
      <c r="G87" s="24"/>
      <c r="H87" s="24"/>
      <c r="I87" s="24"/>
      <c r="J87" s="24"/>
      <c r="K87" s="24"/>
      <c r="L87" s="24"/>
      <c r="M87" s="32"/>
    </row>
    <row r="88" ht="12.75" customHeight="1">
      <c r="A88" s="35"/>
      <c r="B88" s="24"/>
      <c r="C88" s="136">
        <f t="shared" si="9"/>
        <v>0.10825</v>
      </c>
      <c r="D88" s="41">
        <v>25.62518241222039</v>
      </c>
      <c r="E88" s="24"/>
      <c r="F88" s="24"/>
      <c r="G88" s="24"/>
      <c r="H88" s="24"/>
      <c r="I88" s="24"/>
      <c r="J88" s="24"/>
      <c r="K88" s="24"/>
      <c r="L88" s="24"/>
      <c r="M88" s="32"/>
    </row>
    <row r="89" ht="12.75" customHeight="1">
      <c r="A89" s="35"/>
      <c r="B89" s="24"/>
      <c r="C89" s="136">
        <f t="shared" si="9"/>
        <v>0.11</v>
      </c>
      <c r="D89" s="41">
        <v>25.701088579067363</v>
      </c>
      <c r="E89" s="24"/>
      <c r="F89" s="24"/>
      <c r="G89" s="24"/>
      <c r="H89" s="24"/>
      <c r="I89" s="24"/>
      <c r="J89" s="24"/>
      <c r="K89" s="24"/>
      <c r="L89" s="24"/>
      <c r="M89" s="32"/>
    </row>
    <row r="90" ht="12.75" customHeight="1">
      <c r="A90" s="35"/>
      <c r="B90" s="24"/>
      <c r="C90" s="139"/>
      <c r="D90" s="24"/>
      <c r="E90" s="24"/>
      <c r="F90" s="140"/>
      <c r="G90" s="24"/>
      <c r="H90" s="24"/>
      <c r="I90" s="24"/>
      <c r="J90" s="24"/>
      <c r="K90" s="24"/>
      <c r="L90" s="24"/>
      <c r="M90" s="32"/>
    </row>
    <row r="91" ht="12.75" customHeight="1">
      <c r="A91" s="35"/>
      <c r="B91" s="24"/>
      <c r="C91" s="139"/>
      <c r="D91" s="24"/>
      <c r="E91" s="24"/>
      <c r="F91" s="140"/>
      <c r="G91" s="24"/>
      <c r="H91" s="24"/>
      <c r="I91" s="24"/>
      <c r="J91" s="24"/>
      <c r="K91" s="24"/>
      <c r="L91" s="24"/>
      <c r="M91" s="32"/>
    </row>
    <row r="92" ht="12.75" customHeight="1">
      <c r="A92" s="35"/>
      <c r="B92" s="24"/>
      <c r="C92" s="136" t="s">
        <v>91</v>
      </c>
      <c r="D92" s="141" t="s">
        <v>92</v>
      </c>
      <c r="E92" s="60"/>
      <c r="F92" s="60"/>
      <c r="G92" s="60"/>
      <c r="H92" s="60"/>
      <c r="I92" s="60"/>
      <c r="J92" s="60"/>
      <c r="K92" s="24"/>
      <c r="L92" s="24"/>
      <c r="M92" s="32"/>
    </row>
    <row r="93" ht="12.75" customHeight="1">
      <c r="A93" s="35"/>
      <c r="B93" s="24"/>
      <c r="C93" s="142" t="s">
        <v>24</v>
      </c>
      <c r="D93" s="37">
        <v>0.12</v>
      </c>
      <c r="E93" s="24"/>
      <c r="F93" s="24"/>
      <c r="G93" s="24"/>
      <c r="H93" s="24"/>
      <c r="I93" s="24"/>
      <c r="J93" s="24"/>
      <c r="K93" s="24"/>
      <c r="L93" s="24"/>
      <c r="M93" s="32"/>
    </row>
    <row r="94" ht="12.75" customHeight="1">
      <c r="A94" s="35"/>
      <c r="B94" s="24"/>
      <c r="C94" s="142" t="s">
        <v>73</v>
      </c>
      <c r="D94" s="60"/>
      <c r="E94" s="103"/>
      <c r="F94" s="24"/>
      <c r="G94" s="24"/>
      <c r="H94" s="24"/>
      <c r="I94" s="24"/>
      <c r="J94" s="24"/>
      <c r="K94" s="24"/>
      <c r="L94" s="24"/>
      <c r="M94" s="32"/>
    </row>
    <row r="95" ht="12.75" customHeight="1">
      <c r="A95" s="35"/>
      <c r="B95" s="24"/>
      <c r="C95" s="60"/>
      <c r="D95" s="51" t="s">
        <v>17</v>
      </c>
      <c r="E95" s="52"/>
      <c r="F95" s="52">
        <v>2005.0</v>
      </c>
      <c r="G95" s="52">
        <f t="shared" ref="G95:L95" si="12">F95+1</f>
        <v>2006</v>
      </c>
      <c r="H95" s="52">
        <f t="shared" si="12"/>
        <v>2007</v>
      </c>
      <c r="I95" s="53">
        <f t="shared" si="12"/>
        <v>2008</v>
      </c>
      <c r="J95" s="53">
        <f t="shared" si="12"/>
        <v>2009</v>
      </c>
      <c r="K95" s="53">
        <f t="shared" si="12"/>
        <v>2010</v>
      </c>
      <c r="L95" s="53">
        <f t="shared" si="12"/>
        <v>2011</v>
      </c>
      <c r="M95" s="32"/>
    </row>
    <row r="96" ht="12.75" customHeight="1">
      <c r="A96" s="35"/>
      <c r="B96" s="104" t="s">
        <v>74</v>
      </c>
      <c r="C96" s="105"/>
      <c r="D96" s="57"/>
      <c r="E96" s="57"/>
      <c r="F96" s="57"/>
      <c r="G96" s="57"/>
      <c r="H96" s="57"/>
      <c r="I96" s="57"/>
      <c r="J96" s="57"/>
      <c r="K96" s="57"/>
      <c r="L96" s="58"/>
      <c r="M96" s="32"/>
    </row>
    <row r="97" ht="12.75" customHeight="1">
      <c r="A97" s="35"/>
      <c r="B97" s="59">
        <v>1.0</v>
      </c>
      <c r="C97" s="19" t="s">
        <v>34</v>
      </c>
      <c r="D97" s="60"/>
      <c r="E97" s="60"/>
      <c r="F97" s="39">
        <v>518.0</v>
      </c>
      <c r="G97" s="41">
        <f t="shared" ref="G97:L97" si="13">F97*(1+G98)</f>
        <v>538.72</v>
      </c>
      <c r="H97" s="41">
        <f t="shared" si="13"/>
        <v>560.2688</v>
      </c>
      <c r="I97" s="41">
        <f t="shared" si="13"/>
        <v>582.679552</v>
      </c>
      <c r="J97" s="41">
        <f t="shared" si="13"/>
        <v>605.9867341</v>
      </c>
      <c r="K97" s="41">
        <f t="shared" si="13"/>
        <v>630.2262034</v>
      </c>
      <c r="L97" s="41">
        <f t="shared" si="13"/>
        <v>655.4352516</v>
      </c>
      <c r="M97" s="32"/>
    </row>
    <row r="98" ht="12.75" customHeight="1">
      <c r="A98" s="35"/>
      <c r="B98" s="59">
        <v>2.0</v>
      </c>
      <c r="C98" s="63" t="s">
        <v>35</v>
      </c>
      <c r="D98" s="60"/>
      <c r="E98" s="60"/>
      <c r="F98" s="24"/>
      <c r="G98" s="37">
        <v>0.04</v>
      </c>
      <c r="H98" s="97">
        <f t="shared" ref="H98:L98" si="14">G98-(0.04-G98)/5</f>
        <v>0.04</v>
      </c>
      <c r="I98" s="97">
        <f t="shared" si="14"/>
        <v>0.04</v>
      </c>
      <c r="J98" s="97">
        <f t="shared" si="14"/>
        <v>0.04</v>
      </c>
      <c r="K98" s="97">
        <f t="shared" si="14"/>
        <v>0.04</v>
      </c>
      <c r="L98" s="97">
        <f t="shared" si="14"/>
        <v>0.04</v>
      </c>
      <c r="M98" s="32"/>
    </row>
    <row r="99" ht="12.75" customHeight="1">
      <c r="A99" s="35"/>
      <c r="B99" s="59">
        <v>3.0</v>
      </c>
      <c r="C99" s="19" t="s">
        <v>75</v>
      </c>
      <c r="D99" s="37">
        <v>0.07</v>
      </c>
      <c r="E99" s="106" t="s">
        <v>76</v>
      </c>
      <c r="F99" s="24"/>
      <c r="G99" s="61">
        <f t="shared" ref="G99:L99" si="15">$D99*G97</f>
        <v>37.7104</v>
      </c>
      <c r="H99" s="61">
        <f t="shared" si="15"/>
        <v>39.218816</v>
      </c>
      <c r="I99" s="61">
        <f t="shared" si="15"/>
        <v>40.78756864</v>
      </c>
      <c r="J99" s="61">
        <f t="shared" si="15"/>
        <v>42.41907139</v>
      </c>
      <c r="K99" s="61">
        <f t="shared" si="15"/>
        <v>44.11583424</v>
      </c>
      <c r="L99" s="143">
        <f t="shared" si="15"/>
        <v>45.88046761</v>
      </c>
      <c r="M99" s="32"/>
    </row>
    <row r="100" ht="12.75" customHeight="1">
      <c r="A100" s="35"/>
      <c r="B100" s="59">
        <v>4.0</v>
      </c>
      <c r="C100" s="70" t="s">
        <v>77</v>
      </c>
      <c r="D100" s="37">
        <v>0.37</v>
      </c>
      <c r="E100" s="70" t="s">
        <v>78</v>
      </c>
      <c r="F100" s="109"/>
      <c r="G100" s="71">
        <f t="shared" ref="G100:L100" si="16">-$D100*G99</f>
        <v>-13.952848</v>
      </c>
      <c r="H100" s="71">
        <f t="shared" si="16"/>
        <v>-14.51096192</v>
      </c>
      <c r="I100" s="71">
        <f t="shared" si="16"/>
        <v>-15.0914004</v>
      </c>
      <c r="J100" s="71">
        <f t="shared" si="16"/>
        <v>-15.69505641</v>
      </c>
      <c r="K100" s="71">
        <f t="shared" si="16"/>
        <v>-16.32285867</v>
      </c>
      <c r="L100" s="72">
        <f t="shared" si="16"/>
        <v>-16.97577302</v>
      </c>
      <c r="M100" s="32"/>
    </row>
    <row r="101" ht="12.75" customHeight="1">
      <c r="A101" s="35"/>
      <c r="B101" s="59">
        <v>5.0</v>
      </c>
      <c r="C101" s="19" t="s">
        <v>79</v>
      </c>
      <c r="D101" s="37">
        <v>0.08</v>
      </c>
      <c r="E101" s="19" t="s">
        <v>80</v>
      </c>
      <c r="F101" s="24"/>
      <c r="G101" s="61">
        <f t="shared" ref="G101:L101" si="17">-$D$101*(G97-F97)</f>
        <v>-1.6576</v>
      </c>
      <c r="H101" s="61">
        <f t="shared" si="17"/>
        <v>-1.723904</v>
      </c>
      <c r="I101" s="61">
        <f t="shared" si="17"/>
        <v>-1.79286016</v>
      </c>
      <c r="J101" s="61">
        <f t="shared" si="17"/>
        <v>-1.864574566</v>
      </c>
      <c r="K101" s="61">
        <f t="shared" si="17"/>
        <v>-1.939157549</v>
      </c>
      <c r="L101" s="62">
        <f t="shared" si="17"/>
        <v>-2.016723851</v>
      </c>
      <c r="M101" s="32"/>
    </row>
    <row r="102" ht="12.75" customHeight="1">
      <c r="A102" s="35"/>
      <c r="B102" s="59">
        <v>6.0</v>
      </c>
      <c r="C102" s="19" t="s">
        <v>44</v>
      </c>
      <c r="D102" s="37">
        <v>0.1</v>
      </c>
      <c r="E102" s="19" t="s">
        <v>80</v>
      </c>
      <c r="F102" s="24"/>
      <c r="G102" s="61">
        <f t="shared" ref="G102:L102" si="18">-$D102*(G97-F97)</f>
        <v>-2.072</v>
      </c>
      <c r="H102" s="61">
        <f t="shared" si="18"/>
        <v>-2.15488</v>
      </c>
      <c r="I102" s="61">
        <f t="shared" si="18"/>
        <v>-2.2410752</v>
      </c>
      <c r="J102" s="61">
        <f t="shared" si="18"/>
        <v>-2.330718208</v>
      </c>
      <c r="K102" s="61">
        <f t="shared" si="18"/>
        <v>-2.423946936</v>
      </c>
      <c r="L102" s="69">
        <f t="shared" si="18"/>
        <v>-2.520904814</v>
      </c>
      <c r="M102" s="32"/>
    </row>
    <row r="103" ht="12.75" customHeight="1">
      <c r="A103" s="35"/>
      <c r="B103" s="59">
        <v>7.0</v>
      </c>
      <c r="C103" s="19" t="s">
        <v>45</v>
      </c>
      <c r="D103" s="60"/>
      <c r="E103" s="60"/>
      <c r="F103" s="24"/>
      <c r="G103" s="41">
        <f t="shared" ref="G103:L103" si="19">G99+G100+G101+G102</f>
        <v>20.027952</v>
      </c>
      <c r="H103" s="41">
        <f t="shared" si="19"/>
        <v>20.82907008</v>
      </c>
      <c r="I103" s="41">
        <f t="shared" si="19"/>
        <v>21.66223288</v>
      </c>
      <c r="J103" s="41">
        <f t="shared" si="19"/>
        <v>22.5287222</v>
      </c>
      <c r="K103" s="41">
        <f t="shared" si="19"/>
        <v>23.42987109</v>
      </c>
      <c r="L103" s="41">
        <f t="shared" si="19"/>
        <v>24.36706593</v>
      </c>
      <c r="M103" s="32"/>
    </row>
    <row r="104" ht="12.75" customHeight="1">
      <c r="A104" s="35"/>
      <c r="B104" s="59">
        <v>8.0</v>
      </c>
      <c r="C104" s="19" t="s">
        <v>26</v>
      </c>
      <c r="D104" s="60"/>
      <c r="E104" s="60"/>
      <c r="F104" s="24"/>
      <c r="G104" s="24"/>
      <c r="H104" s="24"/>
      <c r="I104" s="24"/>
      <c r="J104" s="24"/>
      <c r="K104" s="24"/>
      <c r="L104" s="41">
        <f>((1+L98)/(D93-L98))*L103</f>
        <v>316.7718571</v>
      </c>
      <c r="M104" s="32"/>
    </row>
    <row r="105" ht="12.75" customHeight="1">
      <c r="A105" s="35"/>
      <c r="B105" s="59">
        <v>9.0</v>
      </c>
      <c r="C105" s="19" t="s">
        <v>81</v>
      </c>
      <c r="D105" s="60"/>
      <c r="E105" s="60"/>
      <c r="F105" s="41">
        <f t="array" ref="F105">NPV(D93,G103:K103,(L103+L104))</f>
        <v>250.3494</v>
      </c>
      <c r="G105" s="24"/>
      <c r="H105" s="24"/>
      <c r="I105" s="24"/>
      <c r="J105" s="24"/>
      <c r="K105" s="24"/>
      <c r="L105" s="112"/>
      <c r="M105" s="32"/>
    </row>
    <row r="106" ht="12.75" customHeight="1">
      <c r="A106" s="35"/>
      <c r="B106" s="59">
        <v>10.0</v>
      </c>
      <c r="C106" s="19" t="s">
        <v>56</v>
      </c>
      <c r="D106" s="60"/>
      <c r="E106" s="60"/>
      <c r="F106" s="113">
        <v>100.0</v>
      </c>
      <c r="G106" s="24"/>
      <c r="H106" s="24"/>
      <c r="I106" s="24"/>
      <c r="J106" s="24"/>
      <c r="K106" s="24"/>
      <c r="L106" s="112"/>
      <c r="M106" s="32"/>
    </row>
    <row r="107" ht="12.75" customHeight="1">
      <c r="A107" s="35"/>
      <c r="B107" s="59">
        <v>11.0</v>
      </c>
      <c r="C107" s="114" t="s">
        <v>28</v>
      </c>
      <c r="D107" s="84"/>
      <c r="E107" s="84"/>
      <c r="F107" s="41">
        <v>3.0</v>
      </c>
      <c r="G107" s="115"/>
      <c r="H107" s="115"/>
      <c r="I107" s="115"/>
      <c r="J107" s="115"/>
      <c r="K107" s="115"/>
      <c r="L107" s="116"/>
      <c r="M107" s="32"/>
    </row>
    <row r="108" ht="12.75" customHeight="1">
      <c r="A108" s="35"/>
      <c r="B108" s="59">
        <v>12.0</v>
      </c>
      <c r="C108" s="19" t="s">
        <v>30</v>
      </c>
      <c r="D108" s="60"/>
      <c r="E108" s="60"/>
      <c r="F108" s="117">
        <v>21.0</v>
      </c>
      <c r="G108" s="24"/>
      <c r="H108" s="24"/>
      <c r="I108" s="24"/>
      <c r="J108" s="24"/>
      <c r="K108" s="24"/>
      <c r="L108" s="112"/>
      <c r="M108" s="32"/>
    </row>
    <row r="109" ht="12.75" customHeight="1">
      <c r="A109" s="35"/>
      <c r="B109" s="73">
        <v>13.0</v>
      </c>
      <c r="C109" s="66" t="s">
        <v>58</v>
      </c>
      <c r="D109" s="67"/>
      <c r="E109" s="67"/>
      <c r="F109" s="41">
        <f>(F105+F106-F107)/F108</f>
        <v>16.54044762</v>
      </c>
      <c r="G109" s="118"/>
      <c r="H109" s="118"/>
      <c r="I109" s="118"/>
      <c r="J109" s="118"/>
      <c r="K109" s="118"/>
      <c r="L109" s="119"/>
      <c r="M109" s="32"/>
    </row>
    <row r="110" ht="12.75" customHeight="1">
      <c r="A110" s="35"/>
      <c r="B110" s="24"/>
      <c r="C110" s="24"/>
      <c r="D110" s="24"/>
      <c r="E110" s="24"/>
      <c r="F110" s="24"/>
      <c r="G110" s="24"/>
      <c r="H110" s="24"/>
      <c r="I110" s="24"/>
      <c r="J110" s="24"/>
      <c r="K110" s="24"/>
      <c r="L110" s="24"/>
      <c r="M110" s="32"/>
    </row>
    <row r="111" ht="12.75" customHeight="1">
      <c r="A111" s="35"/>
      <c r="B111" s="24"/>
      <c r="C111" s="136" t="s">
        <v>93</v>
      </c>
      <c r="D111" s="141" t="s">
        <v>94</v>
      </c>
      <c r="E111" s="60"/>
      <c r="F111" s="60"/>
      <c r="G111" s="60"/>
      <c r="H111" s="60"/>
      <c r="I111" s="60"/>
      <c r="J111" s="60"/>
      <c r="K111" s="24"/>
      <c r="L111" s="24"/>
      <c r="M111" s="32"/>
    </row>
    <row r="112" ht="12.75" customHeight="1">
      <c r="A112" s="35"/>
      <c r="B112" s="24"/>
      <c r="C112" s="142" t="s">
        <v>24</v>
      </c>
      <c r="D112" s="37">
        <v>0.1</v>
      </c>
      <c r="E112" s="24"/>
      <c r="F112" s="24"/>
      <c r="G112" s="24"/>
      <c r="H112" s="24"/>
      <c r="I112" s="24"/>
      <c r="J112" s="24"/>
      <c r="K112" s="24"/>
      <c r="L112" s="24"/>
      <c r="M112" s="32"/>
    </row>
    <row r="113" ht="12.75" customHeight="1">
      <c r="A113" s="35"/>
      <c r="B113" s="24"/>
      <c r="C113" s="142" t="s">
        <v>73</v>
      </c>
      <c r="D113" s="60"/>
      <c r="E113" s="103"/>
      <c r="F113" s="24"/>
      <c r="G113" s="24"/>
      <c r="H113" s="24"/>
      <c r="I113" s="24"/>
      <c r="J113" s="24"/>
      <c r="K113" s="24"/>
      <c r="L113" s="24"/>
      <c r="M113" s="32"/>
    </row>
    <row r="114" ht="12.75" customHeight="1">
      <c r="A114" s="35"/>
      <c r="B114" s="24"/>
      <c r="C114" s="60"/>
      <c r="D114" s="51" t="s">
        <v>17</v>
      </c>
      <c r="E114" s="52"/>
      <c r="F114" s="52">
        <v>2005.0</v>
      </c>
      <c r="G114" s="52">
        <f t="shared" ref="G114:L114" si="20">F114+1</f>
        <v>2006</v>
      </c>
      <c r="H114" s="52">
        <f t="shared" si="20"/>
        <v>2007</v>
      </c>
      <c r="I114" s="53">
        <f t="shared" si="20"/>
        <v>2008</v>
      </c>
      <c r="J114" s="53">
        <f t="shared" si="20"/>
        <v>2009</v>
      </c>
      <c r="K114" s="53">
        <f t="shared" si="20"/>
        <v>2010</v>
      </c>
      <c r="L114" s="53">
        <f t="shared" si="20"/>
        <v>2011</v>
      </c>
      <c r="M114" s="32"/>
    </row>
    <row r="115" ht="12.75" customHeight="1">
      <c r="A115" s="35"/>
      <c r="B115" s="104" t="s">
        <v>74</v>
      </c>
      <c r="C115" s="105"/>
      <c r="D115" s="57"/>
      <c r="E115" s="57"/>
      <c r="F115" s="57"/>
      <c r="G115" s="57"/>
      <c r="H115" s="57"/>
      <c r="I115" s="57"/>
      <c r="J115" s="57"/>
      <c r="K115" s="57"/>
      <c r="L115" s="58"/>
      <c r="M115" s="32"/>
    </row>
    <row r="116" ht="12.75" customHeight="1">
      <c r="A116" s="35"/>
      <c r="B116" s="59">
        <v>1.0</v>
      </c>
      <c r="C116" s="19" t="s">
        <v>34</v>
      </c>
      <c r="D116" s="60"/>
      <c r="E116" s="60"/>
      <c r="F116" s="39">
        <v>518.0</v>
      </c>
      <c r="G116" s="41">
        <f t="shared" ref="G116:L116" si="21">F116*(1+G117)</f>
        <v>574.98</v>
      </c>
      <c r="H116" s="41">
        <f t="shared" si="21"/>
        <v>630.17808</v>
      </c>
      <c r="I116" s="41">
        <f t="shared" si="21"/>
        <v>681.8526826</v>
      </c>
      <c r="J116" s="41">
        <f t="shared" si="21"/>
        <v>728.218665</v>
      </c>
      <c r="K116" s="41">
        <f t="shared" si="21"/>
        <v>767.5424729</v>
      </c>
      <c r="L116" s="41">
        <f t="shared" si="21"/>
        <v>798.2441718</v>
      </c>
      <c r="M116" s="32"/>
    </row>
    <row r="117" ht="12.75" customHeight="1">
      <c r="A117" s="35"/>
      <c r="B117" s="59">
        <v>2.0</v>
      </c>
      <c r="C117" s="63" t="s">
        <v>35</v>
      </c>
      <c r="D117" s="60"/>
      <c r="E117" s="60"/>
      <c r="F117" s="24"/>
      <c r="G117" s="37">
        <v>0.11</v>
      </c>
      <c r="H117" s="97">
        <f t="shared" ref="H117:L117" si="22">G117-($G$117-0.04)/5</f>
        <v>0.096</v>
      </c>
      <c r="I117" s="97">
        <f t="shared" si="22"/>
        <v>0.082</v>
      </c>
      <c r="J117" s="97">
        <f t="shared" si="22"/>
        <v>0.068</v>
      </c>
      <c r="K117" s="97">
        <f t="shared" si="22"/>
        <v>0.054</v>
      </c>
      <c r="L117" s="97">
        <f t="shared" si="22"/>
        <v>0.04</v>
      </c>
      <c r="M117" s="32"/>
    </row>
    <row r="118" ht="12.75" customHeight="1">
      <c r="A118" s="35"/>
      <c r="B118" s="59">
        <v>3.0</v>
      </c>
      <c r="C118" s="19" t="s">
        <v>75</v>
      </c>
      <c r="D118" s="37">
        <v>0.1</v>
      </c>
      <c r="E118" s="106" t="s">
        <v>76</v>
      </c>
      <c r="F118" s="24"/>
      <c r="G118" s="61">
        <f t="shared" ref="G118:L118" si="23">$D118*G116</f>
        <v>57.498</v>
      </c>
      <c r="H118" s="61">
        <f t="shared" si="23"/>
        <v>63.017808</v>
      </c>
      <c r="I118" s="61">
        <f t="shared" si="23"/>
        <v>68.18526826</v>
      </c>
      <c r="J118" s="61">
        <f t="shared" si="23"/>
        <v>72.8218665</v>
      </c>
      <c r="K118" s="61">
        <f t="shared" si="23"/>
        <v>76.75424729</v>
      </c>
      <c r="L118" s="143">
        <f t="shared" si="23"/>
        <v>79.82441718</v>
      </c>
      <c r="M118" s="32"/>
    </row>
    <row r="119" ht="12.75" customHeight="1">
      <c r="A119" s="35"/>
      <c r="B119" s="59">
        <v>4.0</v>
      </c>
      <c r="C119" s="70" t="s">
        <v>77</v>
      </c>
      <c r="D119" s="37">
        <v>0.37</v>
      </c>
      <c r="E119" s="70" t="s">
        <v>78</v>
      </c>
      <c r="F119" s="109"/>
      <c r="G119" s="71">
        <f t="shared" ref="G119:L119" si="24">-$D119*G118</f>
        <v>-21.27426</v>
      </c>
      <c r="H119" s="71">
        <f t="shared" si="24"/>
        <v>-23.31658896</v>
      </c>
      <c r="I119" s="71">
        <f t="shared" si="24"/>
        <v>-25.22854925</v>
      </c>
      <c r="J119" s="71">
        <f t="shared" si="24"/>
        <v>-26.9440906</v>
      </c>
      <c r="K119" s="71">
        <f t="shared" si="24"/>
        <v>-28.3990715</v>
      </c>
      <c r="L119" s="72">
        <f t="shared" si="24"/>
        <v>-29.53503436</v>
      </c>
      <c r="M119" s="32"/>
    </row>
    <row r="120" ht="12.75" customHeight="1">
      <c r="A120" s="35"/>
      <c r="B120" s="59">
        <f t="shared" ref="B120:B121" si="26">B119+1</f>
        <v>5</v>
      </c>
      <c r="C120" s="19" t="s">
        <v>79</v>
      </c>
      <c r="D120" s="37">
        <v>0.08</v>
      </c>
      <c r="E120" s="19" t="s">
        <v>80</v>
      </c>
      <c r="F120" s="24"/>
      <c r="G120" s="61">
        <f t="shared" ref="G120:L120" si="25">-$D120*(G116-F116)</f>
        <v>-4.5584</v>
      </c>
      <c r="H120" s="61">
        <f t="shared" si="25"/>
        <v>-4.4158464</v>
      </c>
      <c r="I120" s="61">
        <f t="shared" si="25"/>
        <v>-4.133968205</v>
      </c>
      <c r="J120" s="61">
        <f t="shared" si="25"/>
        <v>-3.709278593</v>
      </c>
      <c r="K120" s="61">
        <f t="shared" si="25"/>
        <v>-3.145904633</v>
      </c>
      <c r="L120" s="62">
        <f t="shared" si="25"/>
        <v>-2.456135913</v>
      </c>
      <c r="M120" s="32"/>
    </row>
    <row r="121" ht="12.75" customHeight="1">
      <c r="A121" s="35"/>
      <c r="B121" s="59">
        <f t="shared" si="26"/>
        <v>6</v>
      </c>
      <c r="C121" s="19" t="s">
        <v>44</v>
      </c>
      <c r="D121" s="37">
        <v>0.1</v>
      </c>
      <c r="E121" s="19" t="s">
        <v>80</v>
      </c>
      <c r="F121" s="24"/>
      <c r="G121" s="61">
        <f t="shared" ref="G121:L121" si="27">-$D121*(G116-F116)</f>
        <v>-5.698</v>
      </c>
      <c r="H121" s="61">
        <f t="shared" si="27"/>
        <v>-5.519808</v>
      </c>
      <c r="I121" s="61">
        <f t="shared" si="27"/>
        <v>-5.167460256</v>
      </c>
      <c r="J121" s="61">
        <f t="shared" si="27"/>
        <v>-4.636598241</v>
      </c>
      <c r="K121" s="61">
        <f t="shared" si="27"/>
        <v>-3.932380791</v>
      </c>
      <c r="L121" s="69">
        <f t="shared" si="27"/>
        <v>-3.070169892</v>
      </c>
      <c r="M121" s="32"/>
    </row>
    <row r="122" ht="12.75" customHeight="1">
      <c r="A122" s="35"/>
      <c r="B122" s="59">
        <v>7.0</v>
      </c>
      <c r="C122" s="19" t="s">
        <v>45</v>
      </c>
      <c r="D122" s="60"/>
      <c r="E122" s="60"/>
      <c r="F122" s="24"/>
      <c r="G122" s="41">
        <f t="shared" ref="G122:L122" si="28">SUM(G118:G121)</f>
        <v>25.96734</v>
      </c>
      <c r="H122" s="41">
        <f t="shared" si="28"/>
        <v>29.76556464</v>
      </c>
      <c r="I122" s="41">
        <f t="shared" si="28"/>
        <v>33.65529054</v>
      </c>
      <c r="J122" s="41">
        <f t="shared" si="28"/>
        <v>37.53189906</v>
      </c>
      <c r="K122" s="41">
        <f t="shared" si="28"/>
        <v>41.27689037</v>
      </c>
      <c r="L122" s="41">
        <f t="shared" si="28"/>
        <v>44.76307702</v>
      </c>
      <c r="M122" s="32"/>
    </row>
    <row r="123" ht="12.75" customHeight="1">
      <c r="A123" s="35"/>
      <c r="B123" s="59">
        <v>8.0</v>
      </c>
      <c r="C123" s="19" t="s">
        <v>26</v>
      </c>
      <c r="D123" s="60"/>
      <c r="E123" s="60"/>
      <c r="F123" s="24"/>
      <c r="G123" s="24"/>
      <c r="H123" s="24"/>
      <c r="I123" s="24"/>
      <c r="J123" s="24"/>
      <c r="K123" s="24"/>
      <c r="L123" s="41">
        <f>((1+L117)/(D112-L117))*L122</f>
        <v>775.893335</v>
      </c>
      <c r="M123" s="32"/>
    </row>
    <row r="124" ht="12.75" customHeight="1">
      <c r="A124" s="35"/>
      <c r="B124" s="59">
        <v>9.0</v>
      </c>
      <c r="C124" s="19" t="s">
        <v>81</v>
      </c>
      <c r="D124" s="60"/>
      <c r="E124" s="60"/>
      <c r="F124" s="41">
        <f t="array" ref="F124">NPV(D112,G122:K122,(L122+L123))</f>
        <v>587.9956744</v>
      </c>
      <c r="G124" s="24"/>
      <c r="H124" s="24"/>
      <c r="I124" s="24"/>
      <c r="J124" s="24"/>
      <c r="K124" s="24"/>
      <c r="L124" s="112"/>
      <c r="M124" s="32"/>
    </row>
    <row r="125" ht="12.75" customHeight="1">
      <c r="A125" s="35"/>
      <c r="B125" s="59">
        <v>10.0</v>
      </c>
      <c r="C125" s="19" t="s">
        <v>56</v>
      </c>
      <c r="D125" s="60"/>
      <c r="E125" s="60"/>
      <c r="F125" s="113">
        <v>100.0</v>
      </c>
      <c r="G125" s="24"/>
      <c r="H125" s="24"/>
      <c r="I125" s="24"/>
      <c r="J125" s="24"/>
      <c r="K125" s="24"/>
      <c r="L125" s="112"/>
      <c r="M125" s="32"/>
    </row>
    <row r="126" ht="12.75" customHeight="1">
      <c r="A126" s="35"/>
      <c r="B126" s="59">
        <v>11.0</v>
      </c>
      <c r="C126" s="114" t="s">
        <v>28</v>
      </c>
      <c r="D126" s="84"/>
      <c r="E126" s="84"/>
      <c r="F126" s="41">
        <v>3.0</v>
      </c>
      <c r="G126" s="115"/>
      <c r="H126" s="115"/>
      <c r="I126" s="115"/>
      <c r="J126" s="115"/>
      <c r="K126" s="115"/>
      <c r="L126" s="116"/>
      <c r="M126" s="32"/>
    </row>
    <row r="127" ht="12.75" customHeight="1">
      <c r="A127" s="35"/>
      <c r="B127" s="59">
        <v>12.0</v>
      </c>
      <c r="C127" s="19" t="s">
        <v>30</v>
      </c>
      <c r="D127" s="60"/>
      <c r="E127" s="60"/>
      <c r="F127" s="117">
        <v>21.0</v>
      </c>
      <c r="G127" s="24"/>
      <c r="H127" s="24"/>
      <c r="I127" s="24"/>
      <c r="J127" s="24"/>
      <c r="K127" s="24"/>
      <c r="L127" s="112"/>
      <c r="M127" s="32"/>
    </row>
    <row r="128" ht="12.75" customHeight="1">
      <c r="A128" s="35"/>
      <c r="B128" s="73">
        <v>13.0</v>
      </c>
      <c r="C128" s="66" t="s">
        <v>58</v>
      </c>
      <c r="D128" s="67"/>
      <c r="E128" s="67"/>
      <c r="F128" s="41">
        <f>(F124+F125-F126)/F127</f>
        <v>32.61884164</v>
      </c>
      <c r="G128" s="118"/>
      <c r="H128" s="118"/>
      <c r="I128" s="118"/>
      <c r="J128" s="118"/>
      <c r="K128" s="118"/>
      <c r="L128" s="119"/>
      <c r="M128" s="32"/>
    </row>
    <row r="129" ht="12.75" customHeight="1">
      <c r="A129" s="48"/>
      <c r="B129" s="49"/>
      <c r="C129" s="49"/>
      <c r="D129" s="49"/>
      <c r="E129" s="49"/>
      <c r="F129" s="49"/>
      <c r="G129" s="49"/>
      <c r="H129" s="49"/>
      <c r="I129" s="49"/>
      <c r="J129" s="49"/>
      <c r="K129" s="49"/>
      <c r="L129" s="49"/>
      <c r="M129" s="50"/>
    </row>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8">
    <mergeCell ref="B2:F2"/>
    <mergeCell ref="B4:K4"/>
    <mergeCell ref="F5:G5"/>
    <mergeCell ref="C6:K6"/>
    <mergeCell ref="C8:K8"/>
    <mergeCell ref="C10:K10"/>
    <mergeCell ref="C12:K12"/>
    <mergeCell ref="F47:G47"/>
    <mergeCell ref="I47:J47"/>
    <mergeCell ref="B96:C96"/>
    <mergeCell ref="B115:C115"/>
    <mergeCell ref="B18:C18"/>
    <mergeCell ref="B34:B35"/>
    <mergeCell ref="C34:F35"/>
    <mergeCell ref="C37:F38"/>
    <mergeCell ref="C40:F41"/>
    <mergeCell ref="C43:F44"/>
    <mergeCell ref="C47:D47"/>
  </mergeCells>
  <printOptions/>
  <pageMargins bottom="1.0" footer="0.0" header="0.0" left="0.75" right="0.75" top="1.0"/>
  <pageSetup orientation="portrait"/>
  <rowBreaks count="2" manualBreakCount="2">
    <brk id="90" man="1"/>
    <brk id="45" man="1"/>
  </rowBreak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71"/>
    <col customWidth="1" min="3" max="3" width="58.14"/>
    <col customWidth="1" min="4" max="7" width="8.86"/>
    <col customWidth="1" min="8" max="8" width="23.14"/>
    <col customWidth="1" min="9" max="26" width="8.86"/>
  </cols>
  <sheetData>
    <row r="1" ht="12.75" customHeight="1">
      <c r="A1" s="9"/>
      <c r="B1" s="10"/>
      <c r="C1" s="10"/>
      <c r="D1" s="10"/>
      <c r="E1" s="10"/>
      <c r="F1" s="10"/>
      <c r="G1" s="10"/>
      <c r="H1" s="10"/>
      <c r="I1" s="11"/>
      <c r="J1" s="12"/>
      <c r="K1" s="12"/>
      <c r="L1" s="12"/>
      <c r="M1" s="12"/>
      <c r="N1" s="12"/>
      <c r="O1" s="12"/>
      <c r="P1" s="12"/>
      <c r="Q1" s="12"/>
      <c r="R1" s="12"/>
      <c r="S1" s="12"/>
      <c r="T1" s="12"/>
      <c r="U1" s="12"/>
      <c r="V1" s="12"/>
      <c r="W1" s="12"/>
      <c r="X1" s="12"/>
      <c r="Y1" s="12"/>
      <c r="Z1" s="12"/>
    </row>
    <row r="2" ht="12.75" customHeight="1">
      <c r="A2" s="13"/>
      <c r="B2" s="14" t="s">
        <v>8</v>
      </c>
      <c r="C2" s="15"/>
      <c r="D2" s="15"/>
      <c r="E2" s="15"/>
      <c r="F2" s="16"/>
      <c r="G2" s="1"/>
      <c r="H2" s="17"/>
      <c r="I2" s="18"/>
      <c r="J2" s="12"/>
      <c r="K2" s="12"/>
      <c r="L2" s="12"/>
      <c r="M2" s="12"/>
      <c r="N2" s="12"/>
      <c r="O2" s="12"/>
      <c r="P2" s="12"/>
      <c r="Q2" s="12"/>
      <c r="R2" s="12"/>
      <c r="S2" s="12"/>
      <c r="T2" s="12"/>
      <c r="U2" s="12"/>
      <c r="V2" s="12"/>
      <c r="W2" s="12"/>
      <c r="X2" s="12"/>
      <c r="Y2" s="12"/>
      <c r="Z2" s="12"/>
    </row>
    <row r="3" ht="12.75" customHeight="1">
      <c r="A3" s="13"/>
      <c r="B3" s="19"/>
      <c r="C3" s="19"/>
      <c r="D3" s="19"/>
      <c r="E3" s="19"/>
      <c r="F3" s="19"/>
      <c r="G3" s="19"/>
      <c r="H3" s="19"/>
      <c r="I3" s="18"/>
      <c r="J3" s="12"/>
      <c r="K3" s="12"/>
      <c r="L3" s="12"/>
      <c r="M3" s="12"/>
      <c r="N3" s="12"/>
      <c r="O3" s="12"/>
      <c r="P3" s="12"/>
      <c r="Q3" s="12"/>
      <c r="R3" s="12"/>
      <c r="S3" s="12"/>
      <c r="T3" s="12"/>
      <c r="U3" s="12"/>
      <c r="V3" s="12"/>
      <c r="W3" s="12"/>
      <c r="X3" s="12"/>
      <c r="Y3" s="12"/>
      <c r="Z3" s="12"/>
    </row>
    <row r="4" ht="63.75" customHeight="1">
      <c r="A4" s="13"/>
      <c r="B4" s="20" t="s">
        <v>95</v>
      </c>
      <c r="C4" s="15"/>
      <c r="D4" s="15"/>
      <c r="E4" s="15"/>
      <c r="F4" s="15"/>
      <c r="G4" s="15"/>
      <c r="H4" s="16"/>
      <c r="I4" s="18"/>
      <c r="J4" s="12"/>
      <c r="K4" s="12"/>
      <c r="L4" s="12"/>
      <c r="M4" s="12"/>
      <c r="N4" s="12"/>
      <c r="O4" s="12"/>
      <c r="P4" s="12"/>
      <c r="Q4" s="12"/>
      <c r="R4" s="12"/>
      <c r="S4" s="12"/>
      <c r="T4" s="12"/>
      <c r="U4" s="12"/>
      <c r="V4" s="12"/>
      <c r="W4" s="12"/>
      <c r="X4" s="12"/>
      <c r="Y4" s="12"/>
      <c r="Z4" s="12"/>
    </row>
    <row r="5" ht="12.75" customHeight="1">
      <c r="A5" s="35"/>
      <c r="B5" s="24"/>
      <c r="C5" s="24"/>
      <c r="D5" s="24"/>
      <c r="E5" s="24"/>
      <c r="F5" s="24"/>
      <c r="G5" s="24"/>
      <c r="H5" s="24"/>
      <c r="I5" s="32"/>
    </row>
    <row r="6" ht="12.75" customHeight="1">
      <c r="A6" s="35"/>
      <c r="B6" s="24"/>
      <c r="C6" s="142" t="s">
        <v>9</v>
      </c>
      <c r="D6" s="39">
        <v>1.67</v>
      </c>
      <c r="E6" s="24"/>
      <c r="F6" s="24"/>
      <c r="G6" s="24"/>
      <c r="H6" s="24"/>
      <c r="I6" s="32"/>
    </row>
    <row r="7" ht="12.75" customHeight="1">
      <c r="A7" s="35"/>
      <c r="B7" s="24"/>
      <c r="C7" s="142" t="s">
        <v>96</v>
      </c>
      <c r="D7" s="39">
        <v>12.17</v>
      </c>
      <c r="E7" s="24"/>
      <c r="F7" s="24"/>
      <c r="G7" s="24"/>
      <c r="H7" s="24"/>
      <c r="I7" s="32"/>
    </row>
    <row r="8" ht="12.75" customHeight="1">
      <c r="A8" s="35"/>
      <c r="B8" s="24"/>
      <c r="C8" s="60"/>
      <c r="D8" s="24"/>
      <c r="E8" s="24"/>
      <c r="F8" s="24"/>
      <c r="G8" s="24"/>
      <c r="H8" s="24"/>
      <c r="I8" s="32"/>
    </row>
    <row r="9" ht="21.75" customHeight="1">
      <c r="A9" s="35"/>
      <c r="B9" s="33" t="s">
        <v>20</v>
      </c>
      <c r="C9" s="34" t="s">
        <v>97</v>
      </c>
      <c r="D9" s="15"/>
      <c r="E9" s="15"/>
      <c r="F9" s="15"/>
      <c r="G9" s="15"/>
      <c r="H9" s="16"/>
      <c r="I9" s="32"/>
    </row>
    <row r="10" ht="12.75" customHeight="1">
      <c r="A10" s="35"/>
      <c r="B10" s="24"/>
      <c r="C10" s="138" t="s">
        <v>58</v>
      </c>
      <c r="D10" s="41">
        <f>'Tabella 9-1'!G17*'9-25'!D6</f>
        <v>25.07365833</v>
      </c>
      <c r="E10" s="24"/>
      <c r="F10" s="24"/>
      <c r="G10" s="24"/>
      <c r="H10" s="24"/>
      <c r="I10" s="32"/>
    </row>
    <row r="11" ht="12.75" customHeight="1">
      <c r="A11" s="35"/>
      <c r="B11" s="92"/>
      <c r="C11" s="60"/>
      <c r="D11" s="99"/>
      <c r="E11" s="24"/>
      <c r="F11" s="24"/>
      <c r="G11" s="24"/>
      <c r="H11" s="24"/>
      <c r="I11" s="32"/>
    </row>
    <row r="12" ht="36.0" customHeight="1">
      <c r="A12" s="35"/>
      <c r="B12" s="33" t="s">
        <v>22</v>
      </c>
      <c r="C12" s="34" t="s">
        <v>98</v>
      </c>
      <c r="D12" s="15"/>
      <c r="E12" s="15"/>
      <c r="F12" s="15"/>
      <c r="G12" s="15"/>
      <c r="H12" s="16"/>
      <c r="I12" s="32"/>
    </row>
    <row r="13" ht="4.5" customHeight="1">
      <c r="A13" s="35"/>
      <c r="B13" s="33"/>
      <c r="C13" s="102"/>
      <c r="D13" s="102"/>
      <c r="E13" s="102"/>
      <c r="F13" s="102"/>
      <c r="G13" s="102"/>
      <c r="H13" s="102"/>
      <c r="I13" s="32"/>
    </row>
    <row r="14" ht="12.75" customHeight="1">
      <c r="A14" s="35"/>
      <c r="B14" s="92"/>
      <c r="C14" s="144" t="s">
        <v>99</v>
      </c>
      <c r="D14" s="15"/>
      <c r="E14" s="16"/>
      <c r="F14" s="24"/>
      <c r="G14" s="24"/>
      <c r="H14" s="24"/>
      <c r="I14" s="32"/>
    </row>
    <row r="15" ht="12.75" customHeight="1">
      <c r="A15" s="35"/>
      <c r="B15" s="92"/>
      <c r="C15" s="138" t="s">
        <v>100</v>
      </c>
      <c r="D15" s="41">
        <f>$D$10*(1+'Tabella 9-1'!G18)</f>
        <v>37.7754</v>
      </c>
      <c r="E15" s="24"/>
      <c r="F15" s="24"/>
      <c r="G15" s="24"/>
      <c r="H15" s="24"/>
      <c r="I15" s="32"/>
    </row>
    <row r="16" ht="12.75" customHeight="1">
      <c r="A16" s="35"/>
      <c r="B16" s="92"/>
      <c r="C16" s="138" t="s">
        <v>101</v>
      </c>
      <c r="D16" s="113">
        <f>$D$10*(1+'Tabella 9-1'!G19)</f>
        <v>14.4622</v>
      </c>
      <c r="E16" s="24"/>
      <c r="F16" s="24"/>
      <c r="G16" s="24"/>
      <c r="H16" s="24"/>
      <c r="I16" s="32"/>
    </row>
    <row r="17" ht="12.75" customHeight="1">
      <c r="A17" s="35"/>
      <c r="B17" s="92"/>
      <c r="C17" s="60"/>
      <c r="D17" s="145"/>
      <c r="E17" s="24"/>
      <c r="F17" s="24"/>
      <c r="G17" s="24"/>
      <c r="H17" s="24"/>
      <c r="I17" s="32"/>
    </row>
    <row r="18" ht="38.25" customHeight="1">
      <c r="A18" s="35"/>
      <c r="B18" s="33" t="s">
        <v>48</v>
      </c>
      <c r="C18" s="34" t="s">
        <v>102</v>
      </c>
      <c r="D18" s="15"/>
      <c r="E18" s="15"/>
      <c r="F18" s="15"/>
      <c r="G18" s="15"/>
      <c r="H18" s="16"/>
      <c r="I18" s="32"/>
    </row>
    <row r="19" ht="12.75" customHeight="1">
      <c r="A19" s="35"/>
      <c r="B19" s="92"/>
      <c r="C19" s="138" t="s">
        <v>58</v>
      </c>
      <c r="D19" s="41">
        <f>D7*'Tabella 9-1'!H17</f>
        <v>34.5628</v>
      </c>
      <c r="E19" s="24"/>
      <c r="F19" s="24"/>
      <c r="G19" s="24"/>
      <c r="H19" s="24"/>
      <c r="I19" s="32"/>
    </row>
    <row r="20" ht="12.75" customHeight="1">
      <c r="A20" s="35"/>
      <c r="B20" s="92"/>
      <c r="C20" s="60"/>
      <c r="D20" s="99"/>
      <c r="E20" s="24"/>
      <c r="F20" s="24"/>
      <c r="G20" s="24"/>
      <c r="H20" s="24"/>
      <c r="I20" s="32"/>
    </row>
    <row r="21" ht="36.75" customHeight="1">
      <c r="A21" s="35"/>
      <c r="B21" s="33" t="s">
        <v>50</v>
      </c>
      <c r="C21" s="34" t="s">
        <v>103</v>
      </c>
      <c r="D21" s="15"/>
      <c r="E21" s="15"/>
      <c r="F21" s="15"/>
      <c r="G21" s="15"/>
      <c r="H21" s="16"/>
      <c r="I21" s="32"/>
    </row>
    <row r="22" ht="3.75" customHeight="1">
      <c r="A22" s="35"/>
      <c r="B22" s="33"/>
      <c r="C22" s="102"/>
      <c r="D22" s="102"/>
      <c r="E22" s="102"/>
      <c r="F22" s="102"/>
      <c r="G22" s="102"/>
      <c r="H22" s="102"/>
      <c r="I22" s="32"/>
    </row>
    <row r="23" ht="12.75" customHeight="1">
      <c r="A23" s="35"/>
      <c r="B23" s="24"/>
      <c r="C23" s="144" t="s">
        <v>99</v>
      </c>
      <c r="D23" s="15"/>
      <c r="E23" s="16"/>
      <c r="F23" s="24"/>
      <c r="G23" s="24"/>
      <c r="H23" s="24"/>
      <c r="I23" s="32"/>
    </row>
    <row r="24" ht="12.75" customHeight="1">
      <c r="A24" s="35"/>
      <c r="B24" s="24"/>
      <c r="C24" s="138" t="s">
        <v>100</v>
      </c>
      <c r="D24" s="41">
        <f>$D$19*(1+'Tabella 9-1'!H18)</f>
        <v>98.6987</v>
      </c>
      <c r="E24" s="24"/>
      <c r="F24" s="24"/>
      <c r="G24" s="24"/>
      <c r="H24" s="24"/>
      <c r="I24" s="32"/>
    </row>
    <row r="25" ht="12.75" customHeight="1">
      <c r="A25" s="35"/>
      <c r="B25" s="24"/>
      <c r="C25" s="138" t="s">
        <v>101</v>
      </c>
      <c r="D25" s="41">
        <f>$D$19*(1+'Tabella 9-1'!H19)</f>
        <v>13.6304</v>
      </c>
      <c r="E25" s="24"/>
      <c r="F25" s="24"/>
      <c r="G25" s="24"/>
      <c r="H25" s="24"/>
      <c r="I25" s="32"/>
    </row>
    <row r="26" ht="12.75" customHeight="1">
      <c r="A26" s="48"/>
      <c r="B26" s="49"/>
      <c r="C26" s="49"/>
      <c r="D26" s="49"/>
      <c r="E26" s="49"/>
      <c r="F26" s="49"/>
      <c r="G26" s="49"/>
      <c r="H26" s="49"/>
      <c r="I26" s="50"/>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2:F2"/>
    <mergeCell ref="B4:H4"/>
    <mergeCell ref="C9:H9"/>
    <mergeCell ref="C12:H12"/>
    <mergeCell ref="C14:E14"/>
    <mergeCell ref="C18:H18"/>
    <mergeCell ref="C21:H21"/>
    <mergeCell ref="C23:E23"/>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3"/>
    <col customWidth="1" min="3" max="3" width="26.71"/>
    <col customWidth="1" min="4" max="4" width="10.0"/>
    <col customWidth="1" min="5" max="26" width="8.86"/>
  </cols>
  <sheetData>
    <row r="1" ht="12.75" customHeight="1">
      <c r="A1" s="9"/>
      <c r="B1" s="10"/>
      <c r="C1" s="10"/>
      <c r="D1" s="10"/>
      <c r="E1" s="10"/>
      <c r="F1" s="10"/>
      <c r="G1" s="10"/>
      <c r="H1" s="10"/>
      <c r="I1" s="11"/>
      <c r="J1" s="12"/>
      <c r="K1" s="12"/>
      <c r="L1" s="12"/>
      <c r="M1" s="12"/>
      <c r="N1" s="12"/>
      <c r="O1" s="12"/>
      <c r="P1" s="12"/>
      <c r="Q1" s="12"/>
      <c r="R1" s="12"/>
      <c r="S1" s="12"/>
      <c r="T1" s="12"/>
      <c r="U1" s="12"/>
      <c r="V1" s="12"/>
      <c r="W1" s="12"/>
      <c r="X1" s="12"/>
      <c r="Y1" s="12"/>
      <c r="Z1" s="12"/>
    </row>
    <row r="2" ht="12.75" customHeight="1">
      <c r="A2" s="13"/>
      <c r="B2" s="14" t="s">
        <v>10</v>
      </c>
      <c r="C2" s="15"/>
      <c r="D2" s="15"/>
      <c r="E2" s="15"/>
      <c r="F2" s="16"/>
      <c r="G2" s="1"/>
      <c r="H2" s="17"/>
      <c r="I2" s="18"/>
      <c r="J2" s="12"/>
      <c r="K2" s="12"/>
      <c r="L2" s="12"/>
      <c r="M2" s="12"/>
      <c r="N2" s="12"/>
      <c r="O2" s="12"/>
      <c r="P2" s="12"/>
      <c r="Q2" s="12"/>
      <c r="R2" s="12"/>
      <c r="S2" s="12"/>
      <c r="T2" s="12"/>
      <c r="U2" s="12"/>
      <c r="V2" s="12"/>
      <c r="W2" s="12"/>
      <c r="X2" s="12"/>
      <c r="Y2" s="12"/>
      <c r="Z2" s="12"/>
    </row>
    <row r="3" ht="12.75" customHeight="1">
      <c r="A3" s="13"/>
      <c r="B3" s="19"/>
      <c r="C3" s="19"/>
      <c r="D3" s="19"/>
      <c r="E3" s="19"/>
      <c r="F3" s="19"/>
      <c r="G3" s="19"/>
      <c r="H3" s="19"/>
      <c r="I3" s="18"/>
      <c r="J3" s="12"/>
      <c r="K3" s="12"/>
      <c r="L3" s="12"/>
      <c r="M3" s="12"/>
      <c r="N3" s="12"/>
      <c r="O3" s="12"/>
      <c r="P3" s="12"/>
      <c r="Q3" s="12"/>
      <c r="R3" s="12"/>
      <c r="S3" s="12"/>
      <c r="T3" s="12"/>
      <c r="U3" s="12"/>
      <c r="V3" s="12"/>
      <c r="W3" s="12"/>
      <c r="X3" s="12"/>
      <c r="Y3" s="12"/>
      <c r="Z3" s="12"/>
    </row>
    <row r="4" ht="104.25" customHeight="1">
      <c r="A4" s="13"/>
      <c r="B4" s="20" t="s">
        <v>104</v>
      </c>
      <c r="C4" s="15"/>
      <c r="D4" s="15"/>
      <c r="E4" s="15"/>
      <c r="F4" s="15"/>
      <c r="G4" s="15"/>
      <c r="H4" s="16"/>
      <c r="I4" s="18"/>
      <c r="J4" s="12"/>
      <c r="K4" s="12"/>
      <c r="L4" s="12"/>
      <c r="M4" s="12"/>
      <c r="N4" s="12"/>
      <c r="O4" s="12"/>
      <c r="P4" s="12"/>
      <c r="Q4" s="12"/>
      <c r="R4" s="12"/>
      <c r="S4" s="12"/>
      <c r="T4" s="12"/>
      <c r="U4" s="12"/>
      <c r="V4" s="12"/>
      <c r="W4" s="12"/>
      <c r="X4" s="12"/>
      <c r="Y4" s="12"/>
      <c r="Z4" s="12"/>
    </row>
    <row r="5" ht="12.75" customHeight="1">
      <c r="A5" s="35"/>
      <c r="B5" s="24"/>
      <c r="C5" s="24"/>
      <c r="D5" s="24"/>
      <c r="E5" s="24"/>
      <c r="F5" s="24"/>
      <c r="G5" s="24"/>
      <c r="H5" s="24"/>
      <c r="I5" s="32"/>
    </row>
    <row r="6" ht="12.75" customHeight="1">
      <c r="A6" s="35"/>
      <c r="B6" s="24"/>
      <c r="C6" s="142" t="s">
        <v>105</v>
      </c>
      <c r="D6" s="39">
        <v>531.0</v>
      </c>
      <c r="E6" s="24"/>
      <c r="F6" s="24"/>
      <c r="G6" s="24"/>
      <c r="H6" s="24"/>
      <c r="I6" s="32"/>
    </row>
    <row r="7" ht="12.75" customHeight="1">
      <c r="A7" s="35"/>
      <c r="B7" s="24"/>
      <c r="C7" s="142" t="s">
        <v>106</v>
      </c>
      <c r="D7" s="39">
        <v>51.3</v>
      </c>
      <c r="E7" s="24"/>
      <c r="F7" s="24"/>
      <c r="G7" s="24"/>
      <c r="H7" s="24"/>
      <c r="I7" s="32"/>
    </row>
    <row r="8" ht="12.75" customHeight="1">
      <c r="A8" s="35"/>
      <c r="B8" s="24"/>
      <c r="C8" s="142" t="s">
        <v>56</v>
      </c>
      <c r="D8" s="39">
        <v>107.0</v>
      </c>
      <c r="E8" s="24"/>
      <c r="F8" s="24"/>
      <c r="G8" s="24"/>
      <c r="H8" s="24"/>
      <c r="I8" s="32"/>
    </row>
    <row r="9" ht="12.75" customHeight="1">
      <c r="A9" s="35"/>
      <c r="B9" s="24"/>
      <c r="C9" s="142" t="s">
        <v>107</v>
      </c>
      <c r="D9" s="39">
        <v>3.3</v>
      </c>
      <c r="E9" s="24"/>
      <c r="F9" s="24"/>
      <c r="G9" s="24"/>
      <c r="H9" s="24"/>
      <c r="I9" s="32"/>
    </row>
    <row r="10" ht="12.75" customHeight="1">
      <c r="A10" s="35"/>
      <c r="B10" s="24"/>
      <c r="C10" s="142" t="s">
        <v>108</v>
      </c>
      <c r="D10" s="83">
        <v>23.0</v>
      </c>
      <c r="E10" s="24"/>
      <c r="F10" s="24"/>
      <c r="G10" s="24"/>
      <c r="H10" s="24"/>
      <c r="I10" s="32"/>
    </row>
    <row r="11" ht="12.75" customHeight="1">
      <c r="A11" s="35"/>
      <c r="B11" s="24"/>
      <c r="C11" s="60"/>
      <c r="D11" s="24"/>
      <c r="E11" s="24"/>
      <c r="F11" s="24"/>
      <c r="G11" s="24"/>
      <c r="H11" s="24"/>
      <c r="I11" s="32"/>
    </row>
    <row r="12" ht="37.5" customHeight="1">
      <c r="A12" s="35"/>
      <c r="B12" s="33" t="s">
        <v>20</v>
      </c>
      <c r="C12" s="34" t="s">
        <v>109</v>
      </c>
      <c r="D12" s="15"/>
      <c r="E12" s="15"/>
      <c r="F12" s="15"/>
      <c r="G12" s="15"/>
      <c r="H12" s="16"/>
      <c r="I12" s="32"/>
    </row>
    <row r="13" ht="12.75" customHeight="1">
      <c r="A13" s="35"/>
      <c r="B13" s="24"/>
      <c r="C13" s="138" t="s">
        <v>58</v>
      </c>
      <c r="D13" s="41">
        <f>(('Tabella 9-1'!I17*'9-26'!D6)+D8-D9)/D10</f>
        <v>29.11554348</v>
      </c>
      <c r="E13" s="24"/>
      <c r="F13" s="24"/>
      <c r="G13" s="24"/>
      <c r="H13" s="24"/>
      <c r="I13" s="32"/>
    </row>
    <row r="14" ht="12.75" customHeight="1">
      <c r="A14" s="35"/>
      <c r="B14" s="24"/>
      <c r="C14" s="60"/>
      <c r="D14" s="94"/>
      <c r="E14" s="24"/>
      <c r="F14" s="24"/>
      <c r="G14" s="24"/>
      <c r="H14" s="24"/>
      <c r="I14" s="32"/>
    </row>
    <row r="15" ht="38.25" customHeight="1">
      <c r="A15" s="35"/>
      <c r="B15" s="33" t="s">
        <v>22</v>
      </c>
      <c r="C15" s="34" t="s">
        <v>110</v>
      </c>
      <c r="D15" s="15"/>
      <c r="E15" s="15"/>
      <c r="F15" s="15"/>
      <c r="G15" s="15"/>
      <c r="H15" s="16"/>
      <c r="I15" s="32"/>
    </row>
    <row r="16" ht="3.75" customHeight="1">
      <c r="A16" s="35"/>
      <c r="B16" s="33"/>
      <c r="C16" s="102"/>
      <c r="D16" s="102"/>
      <c r="E16" s="102"/>
      <c r="F16" s="102"/>
      <c r="G16" s="102"/>
      <c r="H16" s="102"/>
      <c r="I16" s="32"/>
    </row>
    <row r="17" ht="12.75" customHeight="1">
      <c r="A17" s="35"/>
      <c r="B17" s="24"/>
      <c r="C17" s="144" t="s">
        <v>99</v>
      </c>
      <c r="D17" s="15"/>
      <c r="E17" s="16"/>
      <c r="F17" s="24"/>
      <c r="G17" s="24"/>
      <c r="H17" s="24"/>
      <c r="I17" s="32"/>
    </row>
    <row r="18" ht="12.75" customHeight="1">
      <c r="A18" s="35"/>
      <c r="B18" s="24"/>
      <c r="C18" s="138" t="s">
        <v>100</v>
      </c>
      <c r="D18" s="41">
        <f>(('Tabella 9-1'!$I$17*'9-26'!$D$6)*(1+'Tabella 9-1'!I18)+$D$8-$D$9)/$D$10</f>
        <v>55.06913043</v>
      </c>
      <c r="E18" s="24"/>
      <c r="F18" s="24"/>
      <c r="G18" s="24"/>
      <c r="H18" s="24"/>
      <c r="I18" s="32"/>
    </row>
    <row r="19" ht="12.75" customHeight="1">
      <c r="A19" s="35"/>
      <c r="B19" s="24"/>
      <c r="C19" s="138" t="s">
        <v>101</v>
      </c>
      <c r="D19" s="41">
        <f>(('Tabella 9-1'!$I$17*'9-26'!$D$6)*(1+'Tabella 9-1'!I19)+$D$8-$D$9)/$D$10</f>
        <v>15.35956522</v>
      </c>
      <c r="E19" s="24"/>
      <c r="F19" s="24"/>
      <c r="G19" s="24"/>
      <c r="H19" s="24"/>
      <c r="I19" s="32"/>
    </row>
    <row r="20" ht="12.75" customHeight="1">
      <c r="A20" s="35"/>
      <c r="B20" s="24"/>
      <c r="C20" s="60"/>
      <c r="D20" s="129"/>
      <c r="E20" s="24"/>
      <c r="F20" s="24"/>
      <c r="G20" s="24"/>
      <c r="H20" s="24"/>
      <c r="I20" s="32"/>
    </row>
    <row r="21" ht="38.25" customHeight="1">
      <c r="A21" s="35"/>
      <c r="B21" s="33" t="s">
        <v>48</v>
      </c>
      <c r="C21" s="34" t="s">
        <v>111</v>
      </c>
      <c r="D21" s="15"/>
      <c r="E21" s="15"/>
      <c r="F21" s="15"/>
      <c r="G21" s="15"/>
      <c r="H21" s="16"/>
      <c r="I21" s="32"/>
    </row>
    <row r="22" ht="12.75" customHeight="1">
      <c r="A22" s="35"/>
      <c r="B22" s="24"/>
      <c r="C22" s="138" t="s">
        <v>58</v>
      </c>
      <c r="D22" s="41">
        <f>(('Tabella 9-1'!J17*'9-26'!D7)+D8-D9)/D10</f>
        <v>23.43579348</v>
      </c>
      <c r="E22" s="24"/>
      <c r="F22" s="24"/>
      <c r="G22" s="24"/>
      <c r="H22" s="24"/>
      <c r="I22" s="32"/>
    </row>
    <row r="23" ht="12.75" customHeight="1">
      <c r="A23" s="35"/>
      <c r="B23" s="24"/>
      <c r="C23" s="60"/>
      <c r="D23" s="94"/>
      <c r="E23" s="24"/>
      <c r="F23" s="24"/>
      <c r="G23" s="24"/>
      <c r="H23" s="24"/>
      <c r="I23" s="32"/>
    </row>
    <row r="24" ht="39.0" customHeight="1">
      <c r="A24" s="35"/>
      <c r="B24" s="33" t="s">
        <v>50</v>
      </c>
      <c r="C24" s="34" t="s">
        <v>112</v>
      </c>
      <c r="D24" s="15"/>
      <c r="E24" s="15"/>
      <c r="F24" s="15"/>
      <c r="G24" s="15"/>
      <c r="H24" s="16"/>
      <c r="I24" s="32"/>
    </row>
    <row r="25" ht="3.75" customHeight="1">
      <c r="A25" s="35"/>
      <c r="B25" s="33"/>
      <c r="C25" s="102"/>
      <c r="D25" s="102"/>
      <c r="E25" s="102"/>
      <c r="F25" s="102"/>
      <c r="G25" s="102"/>
      <c r="H25" s="102"/>
      <c r="I25" s="32"/>
    </row>
    <row r="26" ht="12.75" customHeight="1">
      <c r="A26" s="35"/>
      <c r="B26" s="24"/>
      <c r="C26" s="144" t="s">
        <v>99</v>
      </c>
      <c r="D26" s="15"/>
      <c r="E26" s="16"/>
      <c r="F26" s="24"/>
      <c r="G26" s="24"/>
      <c r="H26" s="24"/>
      <c r="I26" s="32"/>
    </row>
    <row r="27" ht="12.75" customHeight="1">
      <c r="A27" s="35"/>
      <c r="B27" s="24"/>
      <c r="C27" s="138" t="s">
        <v>100</v>
      </c>
      <c r="D27" s="41">
        <f>(('Tabella 9-1'!$J$17*'9-26'!$D$7)*(1+'Tabella 9-1'!J18)-'9-26'!$D$9+'9-26'!$D$8)/'9-26'!$D$10</f>
        <v>28.48586957</v>
      </c>
      <c r="E27" s="24"/>
      <c r="F27" s="24"/>
      <c r="G27" s="24"/>
      <c r="H27" s="24"/>
      <c r="I27" s="32"/>
    </row>
    <row r="28" ht="12.75" customHeight="1">
      <c r="A28" s="35"/>
      <c r="B28" s="24"/>
      <c r="C28" s="138" t="s">
        <v>101</v>
      </c>
      <c r="D28" s="41">
        <f>(('Tabella 9-1'!$J$17*'9-26'!$D$7)*(1+'Tabella 9-1'!J19)-'9-26'!$D$9+'9-26'!$D$8)/'9-26'!$D$10</f>
        <v>19.3633913</v>
      </c>
      <c r="E28" s="24"/>
      <c r="F28" s="24"/>
      <c r="G28" s="24"/>
      <c r="H28" s="24"/>
      <c r="I28" s="32"/>
    </row>
    <row r="29" ht="12.75" customHeight="1">
      <c r="A29" s="48"/>
      <c r="B29" s="49"/>
      <c r="C29" s="49"/>
      <c r="D29" s="49"/>
      <c r="E29" s="49"/>
      <c r="F29" s="49"/>
      <c r="G29" s="49"/>
      <c r="H29" s="49"/>
      <c r="I29" s="50"/>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8">
    <mergeCell ref="B2:F2"/>
    <mergeCell ref="B4:H4"/>
    <mergeCell ref="C12:H12"/>
    <mergeCell ref="C15:H15"/>
    <mergeCell ref="C17:E17"/>
    <mergeCell ref="C21:H21"/>
    <mergeCell ref="C24:H24"/>
    <mergeCell ref="C26:E26"/>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71"/>
    <col customWidth="1" min="3" max="3" width="31.29"/>
    <col customWidth="1" min="4" max="4" width="10.0"/>
    <col customWidth="1" min="5" max="26" width="8.86"/>
  </cols>
  <sheetData>
    <row r="1" ht="12.75" customHeight="1">
      <c r="A1" s="9"/>
      <c r="B1" s="10"/>
      <c r="C1" s="10"/>
      <c r="D1" s="10"/>
      <c r="E1" s="10"/>
      <c r="F1" s="10"/>
      <c r="G1" s="10"/>
      <c r="H1" s="10"/>
      <c r="I1" s="11"/>
      <c r="J1" s="12"/>
      <c r="K1" s="12"/>
      <c r="L1" s="12"/>
      <c r="M1" s="12"/>
      <c r="N1" s="12"/>
      <c r="O1" s="12"/>
      <c r="P1" s="12"/>
      <c r="Q1" s="12"/>
      <c r="R1" s="12"/>
      <c r="S1" s="12"/>
      <c r="T1" s="12"/>
      <c r="U1" s="12"/>
      <c r="V1" s="12"/>
      <c r="W1" s="12"/>
      <c r="X1" s="12"/>
      <c r="Y1" s="12"/>
      <c r="Z1" s="12"/>
    </row>
    <row r="2" ht="12.75" customHeight="1">
      <c r="A2" s="13"/>
      <c r="B2" s="14" t="s">
        <v>12</v>
      </c>
      <c r="C2" s="15"/>
      <c r="D2" s="15"/>
      <c r="E2" s="15"/>
      <c r="F2" s="16"/>
      <c r="G2" s="1"/>
      <c r="H2" s="17"/>
      <c r="I2" s="18"/>
      <c r="J2" s="12"/>
      <c r="K2" s="12"/>
      <c r="L2" s="12"/>
      <c r="M2" s="12"/>
      <c r="N2" s="12"/>
      <c r="O2" s="12"/>
      <c r="P2" s="12"/>
      <c r="Q2" s="12"/>
      <c r="R2" s="12"/>
      <c r="S2" s="12"/>
      <c r="T2" s="12"/>
      <c r="U2" s="12"/>
      <c r="V2" s="12"/>
      <c r="W2" s="12"/>
      <c r="X2" s="12"/>
      <c r="Y2" s="12"/>
      <c r="Z2" s="12"/>
    </row>
    <row r="3" ht="12.75" customHeight="1">
      <c r="A3" s="13"/>
      <c r="B3" s="19"/>
      <c r="C3" s="19"/>
      <c r="D3" s="19"/>
      <c r="E3" s="19"/>
      <c r="F3" s="19"/>
      <c r="G3" s="19"/>
      <c r="H3" s="19"/>
      <c r="I3" s="18"/>
      <c r="J3" s="12"/>
      <c r="K3" s="12"/>
      <c r="L3" s="12"/>
      <c r="M3" s="12"/>
      <c r="N3" s="12"/>
      <c r="O3" s="12"/>
      <c r="P3" s="12"/>
      <c r="Q3" s="12"/>
      <c r="R3" s="12"/>
      <c r="S3" s="12"/>
      <c r="T3" s="12"/>
      <c r="U3" s="12"/>
      <c r="V3" s="12"/>
      <c r="W3" s="12"/>
      <c r="X3" s="12"/>
      <c r="Y3" s="12"/>
      <c r="Z3" s="12"/>
    </row>
    <row r="4" ht="87.0" customHeight="1">
      <c r="A4" s="13"/>
      <c r="B4" s="20" t="s">
        <v>113</v>
      </c>
      <c r="C4" s="15"/>
      <c r="D4" s="15"/>
      <c r="E4" s="15"/>
      <c r="F4" s="15"/>
      <c r="G4" s="15"/>
      <c r="H4" s="16"/>
      <c r="I4" s="18"/>
      <c r="J4" s="12"/>
      <c r="K4" s="12"/>
      <c r="L4" s="12"/>
      <c r="M4" s="12"/>
      <c r="N4" s="12"/>
      <c r="O4" s="12"/>
      <c r="P4" s="12"/>
      <c r="Q4" s="12"/>
      <c r="R4" s="12"/>
      <c r="S4" s="12"/>
      <c r="T4" s="12"/>
      <c r="U4" s="12"/>
      <c r="V4" s="12"/>
      <c r="W4" s="12"/>
      <c r="X4" s="12"/>
      <c r="Y4" s="12"/>
      <c r="Z4" s="12"/>
    </row>
    <row r="5" ht="12.75" customHeight="1">
      <c r="A5" s="35"/>
      <c r="B5" s="24"/>
      <c r="C5" s="24"/>
      <c r="D5" s="24"/>
      <c r="E5" s="24"/>
      <c r="F5" s="24"/>
      <c r="G5" s="24"/>
      <c r="H5" s="24"/>
      <c r="I5" s="32"/>
    </row>
    <row r="6" ht="12.75" customHeight="1">
      <c r="A6" s="35"/>
      <c r="B6" s="24"/>
      <c r="C6" s="146" t="s">
        <v>114</v>
      </c>
      <c r="D6" s="16"/>
      <c r="E6" s="24"/>
      <c r="F6" s="24"/>
      <c r="G6" s="24"/>
      <c r="H6" s="24"/>
      <c r="I6" s="32"/>
    </row>
    <row r="7" ht="12.75" customHeight="1">
      <c r="A7" s="35"/>
      <c r="B7" s="24"/>
      <c r="C7" s="142" t="str">
        <f>'9-25'!C6</f>
        <v>EPS</v>
      </c>
      <c r="D7" s="39">
        <f>'9-25'!D6</f>
        <v>1.67</v>
      </c>
      <c r="E7" s="24"/>
      <c r="F7" s="24"/>
      <c r="G7" s="24"/>
      <c r="H7" s="24"/>
      <c r="I7" s="32"/>
    </row>
    <row r="8" ht="12.75" customHeight="1">
      <c r="A8" s="35"/>
      <c r="B8" s="24"/>
      <c r="C8" s="142" t="str">
        <f>'9-26'!C7</f>
        <v>EBITDA</v>
      </c>
      <c r="D8" s="39">
        <f>'9-26'!D7</f>
        <v>51.3</v>
      </c>
      <c r="E8" s="24"/>
      <c r="F8" s="24"/>
      <c r="G8" s="24"/>
      <c r="H8" s="24"/>
      <c r="I8" s="32"/>
    </row>
    <row r="9" ht="12.75" customHeight="1">
      <c r="A9" s="35"/>
      <c r="B9" s="24"/>
      <c r="C9" s="142" t="str">
        <f>'9-26'!C8</f>
        <v>Liquidità</v>
      </c>
      <c r="D9" s="39">
        <f>'9-26'!D8</f>
        <v>107</v>
      </c>
      <c r="E9" s="24"/>
      <c r="F9" s="24"/>
      <c r="G9" s="24"/>
      <c r="H9" s="24"/>
      <c r="I9" s="32"/>
    </row>
    <row r="10" ht="12.75" customHeight="1">
      <c r="A10" s="35"/>
      <c r="B10" s="24"/>
      <c r="C10" s="142" t="str">
        <f>'9-26'!C9</f>
        <v>Debiti</v>
      </c>
      <c r="D10" s="39">
        <f>'9-26'!D9</f>
        <v>3.3</v>
      </c>
      <c r="E10" s="24"/>
      <c r="F10" s="24"/>
      <c r="G10" s="24"/>
      <c r="H10" s="24"/>
      <c r="I10" s="32"/>
    </row>
    <row r="11" ht="12.75" customHeight="1">
      <c r="A11" s="35"/>
      <c r="B11" s="24"/>
      <c r="C11" s="142" t="str">
        <f>'9-26'!C10</f>
        <v>Azioni in circolazione</v>
      </c>
      <c r="D11" s="83">
        <f>'9-26'!D10</f>
        <v>23</v>
      </c>
      <c r="E11" s="24"/>
      <c r="F11" s="24"/>
      <c r="G11" s="24"/>
      <c r="H11" s="24"/>
      <c r="I11" s="32"/>
    </row>
    <row r="12" ht="12.75" customHeight="1">
      <c r="A12" s="35"/>
      <c r="B12" s="24"/>
      <c r="C12" s="24"/>
      <c r="D12" s="24"/>
      <c r="E12" s="24"/>
      <c r="F12" s="24"/>
      <c r="G12" s="24"/>
      <c r="H12" s="24"/>
      <c r="I12" s="32"/>
    </row>
    <row r="13" ht="75.75" customHeight="1">
      <c r="A13" s="35"/>
      <c r="B13" s="33" t="s">
        <v>20</v>
      </c>
      <c r="C13" s="34" t="s">
        <v>115</v>
      </c>
      <c r="D13" s="15"/>
      <c r="E13" s="15"/>
      <c r="F13" s="15"/>
      <c r="G13" s="15"/>
      <c r="H13" s="16"/>
      <c r="I13" s="32"/>
    </row>
    <row r="14" ht="3.75" customHeight="1">
      <c r="A14" s="35"/>
      <c r="B14" s="33"/>
      <c r="C14" s="102"/>
      <c r="D14" s="102"/>
      <c r="E14" s="102"/>
      <c r="F14" s="102"/>
      <c r="G14" s="102"/>
      <c r="H14" s="102"/>
      <c r="I14" s="32"/>
    </row>
    <row r="15" ht="12.75" customHeight="1">
      <c r="A15" s="35"/>
      <c r="B15" s="92"/>
      <c r="C15" s="147" t="s">
        <v>116</v>
      </c>
      <c r="D15" s="148" t="s">
        <v>117</v>
      </c>
      <c r="E15" s="148" t="s">
        <v>118</v>
      </c>
      <c r="F15" s="24"/>
      <c r="G15" s="24"/>
      <c r="H15" s="24"/>
      <c r="I15" s="32"/>
    </row>
    <row r="16" ht="12.75" customHeight="1">
      <c r="A16" s="35"/>
      <c r="B16" s="92"/>
      <c r="C16" s="138" t="s">
        <v>119</v>
      </c>
      <c r="D16" s="39">
        <v>11.08</v>
      </c>
      <c r="E16" s="41">
        <f>(D16*$D$8+$D$9-$D$10)/$D$11</f>
        <v>29.22191304</v>
      </c>
      <c r="F16" s="24"/>
      <c r="G16" s="24"/>
      <c r="H16" s="24"/>
      <c r="I16" s="32"/>
    </row>
    <row r="17" ht="12.75" customHeight="1">
      <c r="A17" s="35"/>
      <c r="B17" s="92"/>
      <c r="C17" s="138" t="s">
        <v>120</v>
      </c>
      <c r="D17" s="39">
        <v>17.09</v>
      </c>
      <c r="E17" s="41">
        <f>$D$7*D17</f>
        <v>28.5403</v>
      </c>
      <c r="F17" s="24"/>
      <c r="G17" s="24"/>
      <c r="H17" s="24"/>
      <c r="I17" s="32"/>
    </row>
    <row r="18" ht="20.25" customHeight="1">
      <c r="A18" s="35"/>
      <c r="B18" s="92"/>
      <c r="C18" s="149"/>
      <c r="D18" s="15"/>
      <c r="E18" s="15"/>
      <c r="F18" s="15"/>
      <c r="G18" s="15"/>
      <c r="H18" s="16"/>
      <c r="I18" s="32"/>
    </row>
    <row r="19" ht="12.75" customHeight="1">
      <c r="A19" s="35"/>
      <c r="B19" s="92"/>
      <c r="C19" s="60"/>
      <c r="D19" s="90"/>
      <c r="E19" s="90"/>
      <c r="F19" s="24"/>
      <c r="G19" s="24"/>
      <c r="H19" s="24"/>
      <c r="I19" s="32"/>
    </row>
    <row r="20" ht="72.75" customHeight="1">
      <c r="A20" s="35"/>
      <c r="B20" s="33" t="s">
        <v>22</v>
      </c>
      <c r="C20" s="34" t="s">
        <v>121</v>
      </c>
      <c r="D20" s="15"/>
      <c r="E20" s="15"/>
      <c r="F20" s="15"/>
      <c r="G20" s="15"/>
      <c r="H20" s="16"/>
      <c r="I20" s="32"/>
    </row>
    <row r="21" ht="3.75" customHeight="1">
      <c r="A21" s="35"/>
      <c r="B21" s="33"/>
      <c r="C21" s="102"/>
      <c r="D21" s="102"/>
      <c r="E21" s="102"/>
      <c r="F21" s="102"/>
      <c r="G21" s="102"/>
      <c r="H21" s="102"/>
      <c r="I21" s="32"/>
    </row>
    <row r="22" ht="12.75" customHeight="1">
      <c r="A22" s="35"/>
      <c r="B22" s="24"/>
      <c r="C22" s="147" t="s">
        <v>122</v>
      </c>
      <c r="D22" s="148" t="s">
        <v>117</v>
      </c>
      <c r="E22" s="148" t="s">
        <v>118</v>
      </c>
      <c r="F22" s="24"/>
      <c r="G22" s="24"/>
      <c r="H22" s="24"/>
      <c r="I22" s="32"/>
    </row>
    <row r="23" ht="12.75" customHeight="1">
      <c r="A23" s="35"/>
      <c r="B23" s="24"/>
      <c r="C23" s="138" t="s">
        <v>119</v>
      </c>
      <c r="D23" s="39">
        <v>7.07</v>
      </c>
      <c r="E23" s="41">
        <f>(D23*$D$8+$D$9-$D$10)/$D$11</f>
        <v>20.27786957</v>
      </c>
      <c r="F23" s="24"/>
      <c r="G23" s="24"/>
      <c r="H23" s="24"/>
      <c r="I23" s="32"/>
    </row>
    <row r="24" ht="12.75" customHeight="1">
      <c r="A24" s="35"/>
      <c r="B24" s="24"/>
      <c r="C24" s="138" t="s">
        <v>120</v>
      </c>
      <c r="D24" s="39">
        <v>17.36</v>
      </c>
      <c r="E24" s="41">
        <f>$D$7*D24</f>
        <v>28.9912</v>
      </c>
      <c r="F24" s="24"/>
      <c r="G24" s="24"/>
      <c r="H24" s="24"/>
      <c r="I24" s="32"/>
    </row>
    <row r="25" ht="12.75" customHeight="1">
      <c r="A25" s="48"/>
      <c r="B25" s="49"/>
      <c r="C25" s="49"/>
      <c r="D25" s="49"/>
      <c r="E25" s="49"/>
      <c r="F25" s="49"/>
      <c r="G25" s="49"/>
      <c r="H25" s="49"/>
      <c r="I25" s="50"/>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B2:F2"/>
    <mergeCell ref="B4:H4"/>
    <mergeCell ref="C6:D6"/>
    <mergeCell ref="C13:H13"/>
    <mergeCell ref="C18:H18"/>
    <mergeCell ref="C20:H20"/>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8.86"/>
    <col customWidth="1" min="2" max="2" width="29.57"/>
    <col customWidth="1" min="3" max="3" width="20.29"/>
    <col customWidth="1" min="4" max="4" width="27.14"/>
    <col customWidth="1" min="5" max="5" width="14.29"/>
    <col customWidth="1" min="6" max="6" width="17.57"/>
    <col customWidth="1" min="7" max="7" width="12.86"/>
    <col customWidth="1" min="8" max="8" width="9.29"/>
    <col customWidth="1" min="9" max="9" width="10.0"/>
    <col customWidth="1" min="10" max="26" width="8.86"/>
  </cols>
  <sheetData>
    <row r="1" ht="12.75" customHeight="1">
      <c r="A1" s="9"/>
      <c r="B1" s="10"/>
      <c r="C1" s="10"/>
      <c r="D1" s="10"/>
      <c r="E1" s="10"/>
      <c r="F1" s="10"/>
      <c r="G1" s="10"/>
      <c r="H1" s="10"/>
      <c r="I1" s="10"/>
      <c r="J1" s="10"/>
      <c r="K1" s="10"/>
      <c r="L1" s="10"/>
      <c r="M1" s="11"/>
      <c r="N1" s="12"/>
      <c r="O1" s="12"/>
      <c r="P1" s="12"/>
      <c r="Q1" s="12"/>
      <c r="R1" s="12"/>
      <c r="S1" s="12"/>
      <c r="T1" s="12"/>
      <c r="U1" s="12"/>
      <c r="V1" s="12"/>
      <c r="W1" s="12"/>
      <c r="X1" s="12"/>
      <c r="Y1" s="12"/>
      <c r="Z1" s="12"/>
    </row>
    <row r="2" ht="12.75" customHeight="1">
      <c r="A2" s="13"/>
      <c r="B2" s="14" t="s">
        <v>13</v>
      </c>
      <c r="C2" s="15"/>
      <c r="D2" s="15"/>
      <c r="E2" s="15"/>
      <c r="F2" s="16"/>
      <c r="G2" s="1"/>
      <c r="H2" s="17"/>
      <c r="I2" s="17"/>
      <c r="J2" s="17"/>
      <c r="K2" s="17"/>
      <c r="L2" s="19"/>
      <c r="M2" s="18"/>
      <c r="N2" s="12"/>
      <c r="O2" s="12"/>
      <c r="P2" s="12"/>
      <c r="Q2" s="12"/>
      <c r="R2" s="12"/>
      <c r="S2" s="12"/>
      <c r="T2" s="12"/>
      <c r="U2" s="12"/>
      <c r="V2" s="12"/>
      <c r="W2" s="12"/>
      <c r="X2" s="12"/>
      <c r="Y2" s="12"/>
      <c r="Z2" s="12"/>
    </row>
    <row r="3" ht="12.75" customHeight="1">
      <c r="A3" s="13"/>
      <c r="B3" s="19"/>
      <c r="C3" s="19"/>
      <c r="D3" s="19"/>
      <c r="E3" s="19"/>
      <c r="F3" s="19"/>
      <c r="G3" s="19"/>
      <c r="H3" s="19"/>
      <c r="I3" s="19"/>
      <c r="J3" s="19"/>
      <c r="K3" s="19"/>
      <c r="L3" s="19"/>
      <c r="M3" s="18"/>
      <c r="N3" s="12"/>
      <c r="O3" s="12"/>
      <c r="P3" s="12"/>
      <c r="Q3" s="12"/>
      <c r="R3" s="12"/>
      <c r="S3" s="12"/>
      <c r="T3" s="12"/>
      <c r="U3" s="12"/>
      <c r="V3" s="12"/>
      <c r="W3" s="12"/>
      <c r="X3" s="12"/>
      <c r="Y3" s="12"/>
      <c r="Z3" s="12"/>
    </row>
    <row r="4" ht="70.5" customHeight="1">
      <c r="A4" s="13"/>
      <c r="B4" s="20" t="s">
        <v>123</v>
      </c>
      <c r="C4" s="15"/>
      <c r="D4" s="15"/>
      <c r="E4" s="15"/>
      <c r="F4" s="15"/>
      <c r="G4" s="15"/>
      <c r="H4" s="15"/>
      <c r="I4" s="15"/>
      <c r="J4" s="15"/>
      <c r="K4" s="16"/>
      <c r="L4" s="101"/>
      <c r="M4" s="18"/>
      <c r="N4" s="12"/>
      <c r="O4" s="12"/>
      <c r="P4" s="12"/>
      <c r="Q4" s="12"/>
      <c r="R4" s="12"/>
      <c r="S4" s="12"/>
      <c r="T4" s="12"/>
      <c r="U4" s="12"/>
      <c r="V4" s="12"/>
      <c r="W4" s="12"/>
      <c r="X4" s="12"/>
      <c r="Y4" s="12"/>
      <c r="Z4" s="12"/>
    </row>
    <row r="5" ht="10.5" customHeight="1">
      <c r="A5" s="13"/>
      <c r="B5" s="19"/>
      <c r="C5" s="19"/>
      <c r="D5" s="19"/>
      <c r="E5" s="21"/>
      <c r="F5" s="22"/>
      <c r="G5" s="16"/>
      <c r="H5" s="23"/>
      <c r="I5" s="23"/>
      <c r="J5" s="19"/>
      <c r="K5" s="19"/>
      <c r="L5" s="19"/>
      <c r="M5" s="18"/>
      <c r="N5" s="12"/>
      <c r="O5" s="12"/>
      <c r="P5" s="12"/>
      <c r="Q5" s="12"/>
      <c r="R5" s="12"/>
      <c r="S5" s="12"/>
      <c r="T5" s="12"/>
      <c r="U5" s="12"/>
      <c r="V5" s="12"/>
      <c r="W5" s="12"/>
      <c r="X5" s="12"/>
      <c r="Y5" s="12"/>
      <c r="Z5" s="12"/>
    </row>
    <row r="6" ht="12.75" customHeight="1">
      <c r="A6" s="35"/>
      <c r="B6" s="25" t="s">
        <v>124</v>
      </c>
      <c r="C6" s="26" t="s">
        <v>125</v>
      </c>
      <c r="D6" s="26" t="s">
        <v>126</v>
      </c>
      <c r="E6" s="26" t="s">
        <v>127</v>
      </c>
      <c r="F6" s="26" t="s">
        <v>128</v>
      </c>
      <c r="G6" s="26" t="s">
        <v>129</v>
      </c>
      <c r="H6" s="26" t="s">
        <v>130</v>
      </c>
      <c r="I6" s="26" t="s">
        <v>131</v>
      </c>
      <c r="J6" s="24"/>
      <c r="K6" s="24"/>
      <c r="L6" s="24"/>
      <c r="M6" s="32"/>
    </row>
    <row r="7" ht="12.75" customHeight="1">
      <c r="A7" s="35"/>
      <c r="B7" s="150" t="s">
        <v>132</v>
      </c>
      <c r="C7" s="151">
        <v>40857.0</v>
      </c>
      <c r="D7" s="151">
        <v>45846.0</v>
      </c>
      <c r="E7" s="152">
        <v>1.1</v>
      </c>
      <c r="F7" s="153">
        <v>6.0</v>
      </c>
      <c r="G7" s="152">
        <v>7.6</v>
      </c>
      <c r="H7" s="152">
        <v>15.0</v>
      </c>
      <c r="I7" s="152">
        <v>4.0</v>
      </c>
      <c r="J7" s="24"/>
      <c r="K7" s="24"/>
      <c r="L7" s="24"/>
      <c r="M7" s="32"/>
    </row>
    <row r="8" ht="12.75" customHeight="1">
      <c r="A8" s="35"/>
      <c r="B8" s="150" t="s">
        <v>133</v>
      </c>
      <c r="C8" s="151">
        <v>27249.0</v>
      </c>
      <c r="D8" s="151">
        <v>38937.0</v>
      </c>
      <c r="E8" s="152">
        <v>0.9</v>
      </c>
      <c r="F8" s="153">
        <v>4.5</v>
      </c>
      <c r="G8" s="152">
        <v>5.5</v>
      </c>
      <c r="H8" s="152">
        <v>6.2</v>
      </c>
      <c r="I8" s="152">
        <v>7.5</v>
      </c>
      <c r="J8" s="24"/>
      <c r="K8" s="24"/>
      <c r="L8" s="24"/>
      <c r="M8" s="32"/>
    </row>
    <row r="9" ht="12.75" customHeight="1">
      <c r="A9" s="35"/>
      <c r="B9" s="150" t="s">
        <v>134</v>
      </c>
      <c r="C9" s="151">
        <v>22000.0</v>
      </c>
      <c r="D9" s="151">
        <v>28522.0</v>
      </c>
      <c r="E9" s="152">
        <v>0.7</v>
      </c>
      <c r="F9" s="152">
        <v>4.2</v>
      </c>
      <c r="G9" s="152">
        <v>5.6</v>
      </c>
      <c r="H9" s="152">
        <v>3.4</v>
      </c>
      <c r="I9" s="152">
        <v>2.6</v>
      </c>
      <c r="J9" s="24"/>
      <c r="K9" s="24"/>
      <c r="L9" s="24"/>
      <c r="M9" s="32"/>
    </row>
    <row r="10" ht="12.75" customHeight="1">
      <c r="A10" s="35"/>
      <c r="B10" s="150" t="s">
        <v>135</v>
      </c>
      <c r="C10" s="151">
        <v>28499.0</v>
      </c>
      <c r="D10" s="151">
        <v>28125.0</v>
      </c>
      <c r="E10" s="154">
        <v>1.5</v>
      </c>
      <c r="F10" s="153">
        <v>6.0</v>
      </c>
      <c r="G10" s="152">
        <v>7.4</v>
      </c>
      <c r="H10" s="152">
        <v>16.1</v>
      </c>
      <c r="I10" s="152">
        <v>4.1</v>
      </c>
      <c r="J10" s="24"/>
      <c r="K10" s="24"/>
      <c r="L10" s="24"/>
      <c r="M10" s="32"/>
    </row>
    <row r="11" ht="12.75" customHeight="1">
      <c r="A11" s="35"/>
      <c r="B11" s="150" t="s">
        <v>136</v>
      </c>
      <c r="C11" s="151">
        <v>10396.0</v>
      </c>
      <c r="D11" s="151">
        <v>9870.0</v>
      </c>
      <c r="E11" s="152">
        <v>1.8</v>
      </c>
      <c r="F11" s="152">
        <v>6.3</v>
      </c>
      <c r="G11" s="152">
        <v>7.9</v>
      </c>
      <c r="H11" s="152">
        <v>13.4</v>
      </c>
      <c r="I11" s="152">
        <v>4.4</v>
      </c>
      <c r="J11" s="24"/>
      <c r="K11" s="24"/>
      <c r="L11" s="24"/>
      <c r="M11" s="32"/>
    </row>
    <row r="12" ht="12.75" customHeight="1">
      <c r="A12" s="35"/>
      <c r="B12" s="150" t="s">
        <v>137</v>
      </c>
      <c r="C12" s="151">
        <v>7338.0</v>
      </c>
      <c r="D12" s="151">
        <v>8189.0</v>
      </c>
      <c r="E12" s="152">
        <v>1.3</v>
      </c>
      <c r="F12" s="152">
        <v>6.1</v>
      </c>
      <c r="G12" s="153">
        <v>7.9</v>
      </c>
      <c r="H12" s="152">
        <v>13.8</v>
      </c>
      <c r="I12" s="152">
        <v>2.4</v>
      </c>
      <c r="J12" s="24"/>
      <c r="K12" s="24"/>
      <c r="L12" s="24"/>
      <c r="M12" s="32"/>
    </row>
    <row r="13" ht="12.75" customHeight="1">
      <c r="A13" s="35"/>
      <c r="B13" s="150" t="s">
        <v>138</v>
      </c>
      <c r="C13" s="151">
        <v>1039.0</v>
      </c>
      <c r="D13" s="151">
        <v>2590.0</v>
      </c>
      <c r="E13" s="152">
        <v>0.8</v>
      </c>
      <c r="F13" s="152">
        <v>5.2</v>
      </c>
      <c r="G13" s="152">
        <v>11.1</v>
      </c>
      <c r="H13" s="152">
        <v>21.2</v>
      </c>
      <c r="I13" s="152">
        <v>0.7</v>
      </c>
      <c r="J13" s="24"/>
      <c r="K13" s="24"/>
      <c r="L13" s="24"/>
      <c r="M13" s="32"/>
    </row>
    <row r="14" ht="12.75" customHeight="1">
      <c r="A14" s="35"/>
      <c r="B14" s="150" t="s">
        <v>139</v>
      </c>
      <c r="C14" s="151">
        <v>1974.0</v>
      </c>
      <c r="D14" s="151">
        <v>2281.0</v>
      </c>
      <c r="E14" s="152">
        <v>1.0</v>
      </c>
      <c r="F14" s="152">
        <v>5.3</v>
      </c>
      <c r="G14" s="152">
        <v>6.9</v>
      </c>
      <c r="H14" s="152">
        <v>15.1</v>
      </c>
      <c r="I14" s="152">
        <v>5.3</v>
      </c>
      <c r="J14" s="24"/>
      <c r="K14" s="24"/>
      <c r="L14" s="24"/>
      <c r="M14" s="32"/>
    </row>
    <row r="15" ht="12.75" customHeight="1">
      <c r="A15" s="35"/>
      <c r="B15" s="150"/>
      <c r="C15" s="150"/>
      <c r="D15" s="150"/>
      <c r="E15" s="150"/>
      <c r="F15" s="150"/>
      <c r="G15" s="150"/>
      <c r="H15" s="150"/>
      <c r="I15" s="155"/>
      <c r="J15" s="24"/>
      <c r="K15" s="24"/>
      <c r="L15" s="24"/>
      <c r="M15" s="32"/>
    </row>
    <row r="16" ht="12.75" customHeight="1">
      <c r="A16" s="35"/>
      <c r="B16" s="24"/>
      <c r="C16" s="24"/>
      <c r="D16" s="19" t="s">
        <v>140</v>
      </c>
      <c r="E16" s="41">
        <f t="shared" ref="E16:I16" si="1">AVERAGE(E7:E13)</f>
        <v>1.157142857</v>
      </c>
      <c r="F16" s="41">
        <f t="shared" si="1"/>
        <v>5.471428571</v>
      </c>
      <c r="G16" s="41">
        <f t="shared" si="1"/>
        <v>7.571428571</v>
      </c>
      <c r="H16" s="41">
        <f t="shared" si="1"/>
        <v>12.72857143</v>
      </c>
      <c r="I16" s="41">
        <f t="shared" si="1"/>
        <v>3.671428571</v>
      </c>
      <c r="J16" s="24"/>
      <c r="K16" s="24"/>
      <c r="L16" s="24"/>
      <c r="M16" s="32"/>
    </row>
    <row r="17" ht="12.75" customHeight="1">
      <c r="A17" s="35"/>
      <c r="B17" s="24"/>
      <c r="C17" s="24"/>
      <c r="D17" s="19" t="s">
        <v>141</v>
      </c>
      <c r="E17" s="41">
        <f t="shared" ref="E17:I17" si="2">MEDIAN(E7:E13)</f>
        <v>1.1</v>
      </c>
      <c r="F17" s="41">
        <f t="shared" si="2"/>
        <v>6</v>
      </c>
      <c r="G17" s="41">
        <f t="shared" si="2"/>
        <v>7.6</v>
      </c>
      <c r="H17" s="41">
        <f t="shared" si="2"/>
        <v>13.8</v>
      </c>
      <c r="I17" s="41">
        <f t="shared" si="2"/>
        <v>4</v>
      </c>
      <c r="J17" s="24"/>
      <c r="K17" s="24"/>
      <c r="L17" s="24"/>
      <c r="M17" s="32"/>
    </row>
    <row r="18" ht="12.75" customHeight="1">
      <c r="A18" s="35"/>
      <c r="B18" s="24"/>
      <c r="C18" s="24"/>
      <c r="D18" s="19" t="s">
        <v>142</v>
      </c>
      <c r="E18" s="41">
        <f t="shared" ref="E18:I18" si="3">MAX(E7:E14)</f>
        <v>1.8</v>
      </c>
      <c r="F18" s="41">
        <f t="shared" si="3"/>
        <v>6.3</v>
      </c>
      <c r="G18" s="41">
        <f t="shared" si="3"/>
        <v>11.1</v>
      </c>
      <c r="H18" s="41">
        <f t="shared" si="3"/>
        <v>21.2</v>
      </c>
      <c r="I18" s="41">
        <f t="shared" si="3"/>
        <v>7.5</v>
      </c>
      <c r="J18" s="24"/>
      <c r="K18" s="24"/>
      <c r="L18" s="24"/>
      <c r="M18" s="32"/>
    </row>
    <row r="19" ht="12.75" customHeight="1">
      <c r="A19" s="35"/>
      <c r="B19" s="156"/>
      <c r="C19" s="24"/>
      <c r="D19" s="19" t="s">
        <v>143</v>
      </c>
      <c r="E19" s="41">
        <f t="shared" ref="E19:I19" si="4">MIN(E7:E14)</f>
        <v>0.7</v>
      </c>
      <c r="F19" s="41">
        <f t="shared" si="4"/>
        <v>4.2</v>
      </c>
      <c r="G19" s="41">
        <f t="shared" si="4"/>
        <v>5.5</v>
      </c>
      <c r="H19" s="41">
        <f t="shared" si="4"/>
        <v>3.4</v>
      </c>
      <c r="I19" s="41">
        <f t="shared" si="4"/>
        <v>0.7</v>
      </c>
      <c r="J19" s="24"/>
      <c r="K19" s="24"/>
      <c r="L19" s="24"/>
      <c r="M19" s="32"/>
    </row>
    <row r="20" ht="12.75" customHeight="1">
      <c r="A20" s="35"/>
      <c r="B20" s="24"/>
      <c r="C20" s="24"/>
      <c r="D20" s="19" t="s">
        <v>144</v>
      </c>
      <c r="E20" s="41">
        <f t="shared" ref="E20:I20" si="5">STDEV(E7:E14)</f>
        <v>0.3739270364</v>
      </c>
      <c r="F20" s="41">
        <f t="shared" si="5"/>
        <v>0.7837638128</v>
      </c>
      <c r="G20" s="41">
        <f t="shared" si="5"/>
        <v>1.743098637</v>
      </c>
      <c r="H20" s="41">
        <f t="shared" si="5"/>
        <v>5.662596578</v>
      </c>
      <c r="I20" s="41">
        <f t="shared" si="5"/>
        <v>2.049215878</v>
      </c>
      <c r="J20" s="24"/>
      <c r="K20" s="24"/>
      <c r="L20" s="24"/>
      <c r="M20" s="32"/>
    </row>
    <row r="21" ht="12.75" customHeight="1">
      <c r="A21" s="35"/>
      <c r="B21" s="24"/>
      <c r="C21" s="24"/>
      <c r="D21" s="19"/>
      <c r="E21" s="157"/>
      <c r="F21" s="157"/>
      <c r="G21" s="157"/>
      <c r="H21" s="157"/>
      <c r="I21" s="157"/>
      <c r="J21" s="24"/>
      <c r="K21" s="24"/>
      <c r="L21" s="24"/>
      <c r="M21" s="32"/>
    </row>
    <row r="22" ht="12.75" customHeight="1">
      <c r="A22" s="35"/>
      <c r="B22" s="14" t="s">
        <v>145</v>
      </c>
      <c r="C22" s="15"/>
      <c r="D22" s="15"/>
      <c r="E22" s="15"/>
      <c r="F22" s="16"/>
      <c r="G22" s="157"/>
      <c r="H22" s="157"/>
      <c r="I22" s="157"/>
      <c r="J22" s="24"/>
      <c r="K22" s="24"/>
      <c r="L22" s="24"/>
      <c r="M22" s="32"/>
    </row>
    <row r="23" ht="24.75" customHeight="1">
      <c r="A23" s="35"/>
      <c r="B23" s="24"/>
      <c r="C23" s="26" t="s">
        <v>146</v>
      </c>
      <c r="D23" s="26" t="s">
        <v>106</v>
      </c>
      <c r="E23" s="26" t="s">
        <v>40</v>
      </c>
      <c r="F23" s="26" t="s">
        <v>147</v>
      </c>
      <c r="G23" s="26" t="s">
        <v>148</v>
      </c>
      <c r="H23" s="158" t="s">
        <v>149</v>
      </c>
      <c r="I23" s="122"/>
      <c r="J23" s="122"/>
      <c r="K23" s="122"/>
      <c r="L23" s="159"/>
      <c r="M23" s="32"/>
    </row>
    <row r="24" ht="33.75" customHeight="1">
      <c r="A24" s="35"/>
      <c r="B24" s="150" t="s">
        <v>139</v>
      </c>
      <c r="C24" s="151">
        <f>D14/E14</f>
        <v>2281</v>
      </c>
      <c r="D24" s="151">
        <f>D14/F14</f>
        <v>430.3773585</v>
      </c>
      <c r="E24" s="151">
        <f>D14/G14</f>
        <v>330.5797101</v>
      </c>
      <c r="F24" s="151">
        <f>C14/H14</f>
        <v>130.7284768</v>
      </c>
      <c r="G24" s="151">
        <f>C14/I14</f>
        <v>372.4528302</v>
      </c>
      <c r="H24" s="124"/>
      <c r="I24" s="125"/>
      <c r="J24" s="125"/>
      <c r="K24" s="125"/>
      <c r="L24" s="160"/>
      <c r="M24" s="32"/>
    </row>
    <row r="25" ht="12.75" customHeight="1">
      <c r="A25" s="35"/>
      <c r="B25" s="24"/>
      <c r="C25" s="24"/>
      <c r="D25" s="19"/>
      <c r="E25" s="157"/>
      <c r="F25" s="157"/>
      <c r="G25" s="157"/>
      <c r="H25" s="157"/>
      <c r="I25" s="157"/>
      <c r="J25" s="24"/>
      <c r="K25" s="24"/>
      <c r="L25" s="24"/>
      <c r="M25" s="32"/>
    </row>
    <row r="26" ht="21.75" customHeight="1">
      <c r="A26" s="35"/>
      <c r="B26" s="24"/>
      <c r="C26" s="161" t="s">
        <v>126</v>
      </c>
      <c r="D26" s="15"/>
      <c r="E26" s="16"/>
      <c r="F26" s="162" t="s">
        <v>125</v>
      </c>
      <c r="G26" s="163"/>
      <c r="H26" s="28"/>
      <c r="I26" s="27"/>
      <c r="J26" s="24"/>
      <c r="K26" s="24"/>
      <c r="L26" s="24"/>
      <c r="M26" s="32"/>
    </row>
    <row r="27" ht="63.75" customHeight="1">
      <c r="A27" s="35"/>
      <c r="B27" s="150" t="s">
        <v>139</v>
      </c>
      <c r="C27" s="164">
        <f t="shared" ref="C27:G27" si="6">C24*E17</f>
        <v>2509.1</v>
      </c>
      <c r="D27" s="164">
        <f t="shared" si="6"/>
        <v>2582.264151</v>
      </c>
      <c r="E27" s="165">
        <f t="shared" si="6"/>
        <v>2512.405797</v>
      </c>
      <c r="F27" s="164">
        <f t="shared" si="6"/>
        <v>1804.05298</v>
      </c>
      <c r="G27" s="165">
        <f t="shared" si="6"/>
        <v>1489.811321</v>
      </c>
      <c r="H27" s="166" t="s">
        <v>150</v>
      </c>
      <c r="I27" s="15"/>
      <c r="J27" s="15"/>
      <c r="K27" s="15"/>
      <c r="L27" s="15"/>
      <c r="M27" s="167"/>
    </row>
    <row r="28" ht="29.25" customHeight="1">
      <c r="A28" s="35"/>
      <c r="B28" s="150"/>
      <c r="C28" s="162" t="s">
        <v>151</v>
      </c>
      <c r="D28" s="168"/>
      <c r="E28" s="163"/>
      <c r="F28" s="162" t="s">
        <v>125</v>
      </c>
      <c r="G28" s="163"/>
      <c r="H28" s="169"/>
      <c r="I28" s="169"/>
      <c r="J28" s="169"/>
      <c r="K28" s="169"/>
      <c r="L28" s="169"/>
      <c r="M28" s="32"/>
    </row>
    <row r="29" ht="75.0" customHeight="1">
      <c r="A29" s="35"/>
      <c r="B29" s="150" t="s">
        <v>139</v>
      </c>
      <c r="C29" s="151">
        <f t="shared" ref="C29:E29" si="7">C27-($D$14-$C$14)</f>
        <v>2202.1</v>
      </c>
      <c r="D29" s="151">
        <f t="shared" si="7"/>
        <v>2275.264151</v>
      </c>
      <c r="E29" s="151">
        <f t="shared" si="7"/>
        <v>2205.405797</v>
      </c>
      <c r="F29" s="170">
        <v>1804.0529801324506</v>
      </c>
      <c r="G29" s="165">
        <v>1489.8113207547171</v>
      </c>
      <c r="H29" s="171" t="s">
        <v>152</v>
      </c>
      <c r="I29" s="15"/>
      <c r="J29" s="15"/>
      <c r="K29" s="15"/>
      <c r="L29" s="15"/>
      <c r="M29" s="167"/>
    </row>
    <row r="30" ht="27.75" customHeight="1">
      <c r="A30" s="35"/>
      <c r="B30" s="24"/>
      <c r="C30" s="24"/>
      <c r="D30" s="19"/>
      <c r="E30" s="157"/>
      <c r="F30" s="157"/>
      <c r="G30" s="157"/>
      <c r="H30" s="169"/>
      <c r="I30" s="169"/>
      <c r="J30" s="169"/>
      <c r="K30" s="169"/>
      <c r="L30" s="169"/>
      <c r="M30" s="32"/>
    </row>
    <row r="31" ht="37.5" customHeight="1">
      <c r="A31" s="35"/>
      <c r="B31" s="172" t="s">
        <v>153</v>
      </c>
      <c r="C31" s="172">
        <v>53.0</v>
      </c>
      <c r="D31" s="150" t="s">
        <v>154</v>
      </c>
      <c r="E31" s="157"/>
      <c r="F31" s="157"/>
      <c r="G31" s="157"/>
      <c r="H31" s="173"/>
      <c r="I31" s="173"/>
      <c r="J31" s="173"/>
      <c r="K31" s="173"/>
      <c r="L31" s="173"/>
      <c r="M31" s="32"/>
    </row>
    <row r="32" ht="27.75" customHeight="1">
      <c r="A32" s="35"/>
      <c r="B32" s="24"/>
      <c r="C32" s="24"/>
      <c r="D32" s="19"/>
      <c r="E32" s="157"/>
      <c r="F32" s="157"/>
      <c r="G32" s="157"/>
      <c r="H32" s="173"/>
      <c r="I32" s="173"/>
      <c r="J32" s="173"/>
      <c r="K32" s="173"/>
      <c r="L32" s="173"/>
      <c r="M32" s="32"/>
    </row>
    <row r="33" ht="27.75" customHeight="1">
      <c r="A33" s="35"/>
      <c r="B33" s="174" t="s">
        <v>58</v>
      </c>
      <c r="C33" s="175">
        <f t="shared" ref="C33:G33" si="8">C29/$C$31</f>
        <v>41.5490566</v>
      </c>
      <c r="D33" s="175">
        <f t="shared" si="8"/>
        <v>42.92951228</v>
      </c>
      <c r="E33" s="175">
        <f t="shared" si="8"/>
        <v>41.61143013</v>
      </c>
      <c r="F33" s="175">
        <f t="shared" si="8"/>
        <v>34.03873547</v>
      </c>
      <c r="G33" s="175">
        <f t="shared" si="8"/>
        <v>28.10964756</v>
      </c>
      <c r="H33" s="173"/>
      <c r="I33" s="173"/>
      <c r="J33" s="173"/>
      <c r="K33" s="173"/>
      <c r="L33" s="173"/>
      <c r="M33" s="32"/>
    </row>
    <row r="34" ht="27.75" customHeight="1">
      <c r="A34" s="35"/>
      <c r="B34" s="24"/>
      <c r="C34" s="24"/>
      <c r="D34" s="19"/>
      <c r="E34" s="157"/>
      <c r="F34" s="157"/>
      <c r="G34" s="157"/>
      <c r="H34" s="173"/>
      <c r="I34" s="173"/>
      <c r="J34" s="173"/>
      <c r="K34" s="173"/>
      <c r="L34" s="173"/>
      <c r="M34" s="32"/>
    </row>
    <row r="35" ht="24.75" customHeight="1">
      <c r="A35" s="35"/>
      <c r="B35" s="24"/>
      <c r="C35" s="24"/>
      <c r="D35" s="24"/>
      <c r="E35" s="24"/>
      <c r="F35" s="24"/>
      <c r="G35" s="24"/>
      <c r="H35" s="24"/>
      <c r="I35" s="24"/>
      <c r="J35" s="24"/>
      <c r="K35" s="24"/>
      <c r="L35" s="24"/>
      <c r="M35" s="32"/>
    </row>
    <row r="36" ht="23.25" customHeight="1">
      <c r="A36" s="35"/>
      <c r="B36" s="176" t="s">
        <v>155</v>
      </c>
      <c r="C36" s="176"/>
      <c r="D36" s="176"/>
      <c r="E36" s="176"/>
      <c r="F36" s="176"/>
      <c r="G36" s="176"/>
      <c r="H36" s="176"/>
      <c r="I36" s="176"/>
      <c r="J36" s="176"/>
      <c r="K36" s="176"/>
      <c r="L36" s="176"/>
      <c r="M36" s="32"/>
    </row>
    <row r="37" ht="12.75" customHeight="1">
      <c r="A37" s="35"/>
      <c r="B37" s="177" t="s">
        <v>156</v>
      </c>
      <c r="C37" s="15"/>
      <c r="D37" s="16"/>
      <c r="E37" s="24"/>
      <c r="F37" s="24"/>
      <c r="G37" s="24"/>
      <c r="H37" s="24"/>
      <c r="I37" s="24"/>
      <c r="J37" s="24"/>
      <c r="K37" s="24"/>
      <c r="L37" s="24"/>
      <c r="M37" s="32"/>
    </row>
    <row r="38" ht="12.75" customHeight="1">
      <c r="A38" s="35"/>
      <c r="B38" s="177"/>
      <c r="C38" s="15"/>
      <c r="D38" s="15"/>
      <c r="E38" s="15"/>
      <c r="F38" s="15"/>
      <c r="G38" s="15"/>
      <c r="H38" s="15"/>
      <c r="I38" s="15"/>
      <c r="J38" s="15"/>
      <c r="K38" s="16"/>
      <c r="L38" s="24"/>
      <c r="M38" s="32"/>
    </row>
    <row r="39" ht="12.75" customHeight="1">
      <c r="A39" s="48"/>
      <c r="B39" s="49"/>
      <c r="C39" s="49"/>
      <c r="D39" s="49"/>
      <c r="E39" s="49"/>
      <c r="F39" s="49"/>
      <c r="G39" s="49"/>
      <c r="H39" s="49"/>
      <c r="I39" s="49"/>
      <c r="J39" s="49"/>
      <c r="K39" s="49"/>
      <c r="L39" s="49"/>
      <c r="M39" s="50"/>
    </row>
    <row r="40" ht="12.75" customHeight="1"/>
    <row r="41" ht="18.75" customHeight="1">
      <c r="B41" s="19"/>
      <c r="C41" s="19"/>
      <c r="D41" s="19"/>
      <c r="E41" s="19"/>
      <c r="F41" s="19"/>
      <c r="G41" s="19"/>
      <c r="H41" s="19"/>
      <c r="I41" s="19"/>
      <c r="J41" s="19"/>
      <c r="K41" s="19"/>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C26:E26"/>
    <mergeCell ref="C28:E28"/>
    <mergeCell ref="F28:G28"/>
    <mergeCell ref="B37:D37"/>
    <mergeCell ref="B38:K38"/>
    <mergeCell ref="B2:F2"/>
    <mergeCell ref="B4:K4"/>
    <mergeCell ref="F5:G5"/>
    <mergeCell ref="B22:F22"/>
    <mergeCell ref="H23:L24"/>
    <mergeCell ref="F26:G26"/>
    <mergeCell ref="H27:M27"/>
    <mergeCell ref="H29:M29"/>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4.43"/>
    <col customWidth="1" min="3" max="3" width="14.71"/>
    <col customWidth="1" min="4" max="4" width="11.71"/>
    <col customWidth="1" min="5" max="5" width="23.0"/>
    <col customWidth="1" min="6" max="6" width="16.57"/>
    <col customWidth="1" min="7" max="7" width="8.86"/>
    <col customWidth="1" min="8" max="8" width="11.71"/>
    <col customWidth="1" min="9" max="9" width="14.14"/>
    <col customWidth="1" min="10" max="10" width="15.57"/>
    <col customWidth="1" min="11" max="26" width="8.86"/>
  </cols>
  <sheetData>
    <row r="1" ht="12.75" customHeight="1"/>
    <row r="2" ht="12.75" customHeight="1">
      <c r="B2" s="178" t="s">
        <v>157</v>
      </c>
      <c r="C2" s="179"/>
      <c r="D2" s="180"/>
      <c r="E2" s="181"/>
      <c r="F2" s="180"/>
      <c r="G2" s="181"/>
      <c r="H2" s="180"/>
      <c r="I2" s="181"/>
      <c r="J2" s="182"/>
    </row>
    <row r="3" ht="12.75" customHeight="1">
      <c r="B3" s="183" t="s">
        <v>158</v>
      </c>
      <c r="C3" s="184"/>
      <c r="D3" s="184"/>
      <c r="E3" s="184"/>
      <c r="F3" s="184"/>
      <c r="G3" s="184"/>
      <c r="H3" s="185"/>
      <c r="I3" s="185"/>
      <c r="J3" s="186"/>
      <c r="L3" s="187"/>
      <c r="M3" s="187"/>
      <c r="N3" s="187"/>
      <c r="O3" s="187"/>
      <c r="P3" s="187"/>
      <c r="Q3" s="187"/>
      <c r="R3" s="187"/>
      <c r="S3" s="187"/>
      <c r="T3" s="187"/>
      <c r="U3" s="187"/>
      <c r="V3" s="187"/>
      <c r="W3" s="187"/>
      <c r="X3" s="187"/>
      <c r="Y3" s="187"/>
      <c r="Z3" s="187"/>
    </row>
    <row r="4" ht="12.75" customHeight="1">
      <c r="B4" s="188" t="s">
        <v>159</v>
      </c>
      <c r="C4" s="189" t="s">
        <v>160</v>
      </c>
      <c r="D4" s="190" t="s">
        <v>161</v>
      </c>
      <c r="E4" s="189" t="s">
        <v>162</v>
      </c>
      <c r="F4" s="189" t="s">
        <v>163</v>
      </c>
      <c r="G4" s="189" t="s">
        <v>130</v>
      </c>
      <c r="H4" s="189" t="s">
        <v>164</v>
      </c>
      <c r="I4" s="189" t="s">
        <v>165</v>
      </c>
      <c r="J4" s="191" t="s">
        <v>166</v>
      </c>
    </row>
    <row r="5" ht="12.75" customHeight="1">
      <c r="B5" s="192" t="s">
        <v>167</v>
      </c>
      <c r="C5" s="193" t="s">
        <v>168</v>
      </c>
      <c r="D5" s="194">
        <v>84.2</v>
      </c>
      <c r="E5" s="195">
        <v>21830.0</v>
      </c>
      <c r="F5" s="195">
        <v>20518.0</v>
      </c>
      <c r="G5" s="194">
        <v>16.64</v>
      </c>
      <c r="H5" s="194">
        <v>3.59</v>
      </c>
      <c r="I5" s="194">
        <v>1.43</v>
      </c>
      <c r="J5" s="196">
        <v>8.75</v>
      </c>
    </row>
    <row r="6" ht="12.75" customHeight="1">
      <c r="B6" s="192" t="s">
        <v>169</v>
      </c>
      <c r="C6" s="193" t="s">
        <v>170</v>
      </c>
      <c r="D6" s="194">
        <v>312.05</v>
      </c>
      <c r="E6" s="195">
        <v>5088.0</v>
      </c>
      <c r="F6" s="195">
        <v>4593.0</v>
      </c>
      <c r="G6" s="194">
        <v>14.99</v>
      </c>
      <c r="H6" s="194">
        <v>5.02</v>
      </c>
      <c r="I6" s="194">
        <v>2.19</v>
      </c>
      <c r="J6" s="196">
        <v>9.02</v>
      </c>
    </row>
    <row r="7" ht="12.75" customHeight="1">
      <c r="B7" s="192" t="s">
        <v>171</v>
      </c>
      <c r="C7" s="193" t="s">
        <v>172</v>
      </c>
      <c r="D7" s="194">
        <v>58.72</v>
      </c>
      <c r="E7" s="195">
        <v>3514.0</v>
      </c>
      <c r="F7" s="195">
        <v>3451.0</v>
      </c>
      <c r="G7" s="194">
        <v>14.91</v>
      </c>
      <c r="H7" s="194">
        <v>2.41</v>
      </c>
      <c r="I7" s="194">
        <v>0.9</v>
      </c>
      <c r="J7" s="196">
        <v>8.58</v>
      </c>
    </row>
    <row r="8" ht="12.75" customHeight="1">
      <c r="B8" s="192" t="s">
        <v>173</v>
      </c>
      <c r="C8" s="193" t="s">
        <v>174</v>
      </c>
      <c r="D8" s="194">
        <v>22.1</v>
      </c>
      <c r="E8" s="195">
        <v>1257.0</v>
      </c>
      <c r="F8" s="195">
        <v>1253.0</v>
      </c>
      <c r="G8" s="194">
        <v>17.42</v>
      </c>
      <c r="H8" s="194">
        <v>2.71</v>
      </c>
      <c r="I8" s="194">
        <v>1.2</v>
      </c>
      <c r="J8" s="196">
        <v>9.53</v>
      </c>
    </row>
    <row r="9" ht="12.75" customHeight="1">
      <c r="B9" s="192" t="s">
        <v>175</v>
      </c>
      <c r="C9" s="193" t="s">
        <v>176</v>
      </c>
      <c r="D9" s="194">
        <v>43.36</v>
      </c>
      <c r="E9" s="195">
        <v>800.0</v>
      </c>
      <c r="F9" s="195">
        <v>1019.0</v>
      </c>
      <c r="G9" s="194">
        <v>22.62</v>
      </c>
      <c r="H9" s="194">
        <v>1.91</v>
      </c>
      <c r="I9" s="194">
        <v>0.47</v>
      </c>
      <c r="J9" s="196">
        <v>9.09</v>
      </c>
    </row>
    <row r="10" ht="12.75" customHeight="1">
      <c r="B10" s="192" t="s">
        <v>177</v>
      </c>
      <c r="C10" s="193" t="s">
        <v>178</v>
      </c>
      <c r="D10" s="194">
        <v>17.09</v>
      </c>
      <c r="E10" s="195">
        <v>683.0</v>
      </c>
      <c r="F10" s="195">
        <v>614.0</v>
      </c>
      <c r="G10" s="194">
        <v>17.63</v>
      </c>
      <c r="H10" s="194">
        <v>2.02</v>
      </c>
      <c r="I10" s="194">
        <v>0.62</v>
      </c>
      <c r="J10" s="196">
        <v>6.88</v>
      </c>
    </row>
    <row r="11" ht="12.75" customHeight="1">
      <c r="B11" s="192" t="s">
        <v>179</v>
      </c>
      <c r="C11" s="193" t="s">
        <v>180</v>
      </c>
      <c r="D11" s="194">
        <v>13.7</v>
      </c>
      <c r="E11" s="195">
        <v>497.0</v>
      </c>
      <c r="F11" s="195">
        <v>524.0</v>
      </c>
      <c r="G11" s="194">
        <v>20.72</v>
      </c>
      <c r="H11" s="194">
        <v>1.87</v>
      </c>
      <c r="I11" s="194">
        <v>0.89</v>
      </c>
      <c r="J11" s="196">
        <v>9.28</v>
      </c>
    </row>
    <row r="12" ht="12.75" customHeight="1">
      <c r="B12" s="192" t="s">
        <v>181</v>
      </c>
      <c r="C12" s="193" t="s">
        <v>182</v>
      </c>
      <c r="D12" s="194">
        <v>30.05</v>
      </c>
      <c r="E12" s="195">
        <v>373.0</v>
      </c>
      <c r="F12" s="195">
        <v>367.0</v>
      </c>
      <c r="G12" s="194">
        <v>13.32</v>
      </c>
      <c r="H12" s="194">
        <v>2.29</v>
      </c>
      <c r="I12" s="194">
        <v>1.48</v>
      </c>
      <c r="J12" s="196">
        <v>7.44</v>
      </c>
    </row>
    <row r="13" ht="12.75" customHeight="1">
      <c r="B13" s="192" t="s">
        <v>183</v>
      </c>
      <c r="C13" s="193" t="s">
        <v>184</v>
      </c>
      <c r="D13" s="194">
        <v>19.9</v>
      </c>
      <c r="E13" s="195">
        <v>230.0</v>
      </c>
      <c r="F13" s="195">
        <v>226.0</v>
      </c>
      <c r="G13" s="194">
        <v>11.97</v>
      </c>
      <c r="H13" s="194">
        <v>1.75</v>
      </c>
      <c r="I13" s="194">
        <v>1.06</v>
      </c>
      <c r="J13" s="196">
        <v>6.66</v>
      </c>
    </row>
    <row r="14" ht="12.75" customHeight="1">
      <c r="B14" s="192" t="s">
        <v>185</v>
      </c>
      <c r="C14" s="193" t="s">
        <v>186</v>
      </c>
      <c r="D14" s="194">
        <v>19.96</v>
      </c>
      <c r="E14" s="195">
        <v>106.0</v>
      </c>
      <c r="F14" s="195">
        <v>232.0</v>
      </c>
      <c r="G14" s="194">
        <v>8.66</v>
      </c>
      <c r="H14" s="194">
        <v>1.12</v>
      </c>
      <c r="I14" s="194">
        <v>0.92</v>
      </c>
      <c r="J14" s="196">
        <v>7.55</v>
      </c>
    </row>
    <row r="15" ht="12.75" customHeight="1">
      <c r="B15" s="192" t="s">
        <v>187</v>
      </c>
      <c r="C15" s="193" t="s">
        <v>188</v>
      </c>
      <c r="D15" s="194">
        <v>6.83</v>
      </c>
      <c r="E15" s="195">
        <v>68.0</v>
      </c>
      <c r="F15" s="195">
        <v>92.0</v>
      </c>
      <c r="G15" s="194">
        <v>9.2</v>
      </c>
      <c r="H15" s="194">
        <v>8.11</v>
      </c>
      <c r="I15" s="194">
        <v>0.87</v>
      </c>
      <c r="J15" s="196">
        <v>10.75</v>
      </c>
    </row>
    <row r="16" ht="12.75" customHeight="1">
      <c r="B16" s="192" t="s">
        <v>189</v>
      </c>
      <c r="C16" s="193" t="s">
        <v>190</v>
      </c>
      <c r="D16" s="194">
        <v>10.4</v>
      </c>
      <c r="E16" s="195">
        <v>62.0</v>
      </c>
      <c r="F16" s="195">
        <v>75.0</v>
      </c>
      <c r="G16" s="194">
        <v>12.09</v>
      </c>
      <c r="H16" s="194">
        <v>1.28</v>
      </c>
      <c r="I16" s="194">
        <v>0.76</v>
      </c>
      <c r="J16" s="196">
        <v>8.3</v>
      </c>
    </row>
    <row r="17" ht="12.75" customHeight="1">
      <c r="B17" s="197"/>
      <c r="C17" s="194"/>
      <c r="D17" s="194"/>
      <c r="E17" s="194"/>
      <c r="F17" s="194" t="s">
        <v>140</v>
      </c>
      <c r="G17" s="198">
        <f t="shared" ref="G17:J17" si="1">AVERAGE(G5:G16)</f>
        <v>15.01416667</v>
      </c>
      <c r="H17" s="198">
        <f t="shared" si="1"/>
        <v>2.84</v>
      </c>
      <c r="I17" s="198">
        <f t="shared" si="1"/>
        <v>1.065833333</v>
      </c>
      <c r="J17" s="199">
        <f t="shared" si="1"/>
        <v>8.485833333</v>
      </c>
    </row>
    <row r="18" ht="12.75" customHeight="1">
      <c r="B18" s="197"/>
      <c r="C18" s="194"/>
      <c r="D18" s="194"/>
      <c r="E18" s="194"/>
      <c r="F18" s="194" t="s">
        <v>100</v>
      </c>
      <c r="G18" s="200">
        <f t="shared" ref="G18:J18" si="2">MAX(G5:G16)/G17-1</f>
        <v>0.5065771216</v>
      </c>
      <c r="H18" s="200">
        <f t="shared" si="2"/>
        <v>1.855633803</v>
      </c>
      <c r="I18" s="200">
        <f t="shared" si="2"/>
        <v>1.054730258</v>
      </c>
      <c r="J18" s="201">
        <f t="shared" si="2"/>
        <v>0.2668172444</v>
      </c>
    </row>
    <row r="19" ht="12.75" customHeight="1">
      <c r="B19" s="202"/>
      <c r="C19" s="203"/>
      <c r="D19" s="203"/>
      <c r="E19" s="203"/>
      <c r="F19" s="204" t="s">
        <v>101</v>
      </c>
      <c r="G19" s="205">
        <f t="shared" ref="G19:J19" si="3">MIN(G5:G16)/G17-1</f>
        <v>-0.4232114114</v>
      </c>
      <c r="H19" s="205">
        <f t="shared" si="3"/>
        <v>-0.6056338028</v>
      </c>
      <c r="I19" s="205">
        <f t="shared" si="3"/>
        <v>-0.5590304926</v>
      </c>
      <c r="J19" s="206">
        <f t="shared" si="3"/>
        <v>-0.2151625258</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B2:C2"/>
    <mergeCell ref="D2:E2"/>
    <mergeCell ref="F2:G2"/>
    <mergeCell ref="H2:I2"/>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2006-10-03T03:26:27Z</dcterms:created>
  <dc:creator>jp40</dc:creator>
</cp:coreProperties>
</file>