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y Drive\Documents\Collection\2-SEM_2\FIT3158\Assignment (30%)\Part 3\"/>
    </mc:Choice>
  </mc:AlternateContent>
  <xr:revisionPtr revIDLastSave="0" documentId="13_ncr:1_{70925796-C0FF-4B8D-AD49-5E9E2A1F0D11}" xr6:coauthVersionLast="47" xr6:coauthVersionMax="47" xr10:uidLastSave="{00000000-0000-0000-0000-000000000000}"/>
  <bookViews>
    <workbookView xWindow="-120" yWindow="-120" windowWidth="29040" windowHeight="15720" xr2:uid="{F80FE65E-972A-49C5-832C-741148FDA52F}"/>
  </bookViews>
  <sheets>
    <sheet name="Cover Page" sheetId="6" r:id="rId1"/>
    <sheet name="Q1-Q4" sheetId="1" r:id="rId2"/>
    <sheet name="Q5" sheetId="2" r:id="rId3"/>
    <sheet name="Q6"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 l="1"/>
  <c r="D15" i="3" l="1"/>
  <c r="I8" i="3" s="1"/>
  <c r="D14" i="1"/>
  <c r="I9" i="3"/>
  <c r="I6" i="3"/>
  <c r="H7" i="3"/>
  <c r="I14" i="3" s="1"/>
  <c r="D14" i="3"/>
  <c r="D13" i="3"/>
  <c r="D12" i="3"/>
  <c r="D19" i="2"/>
  <c r="G13" i="1"/>
  <c r="L7" i="2"/>
  <c r="L8" i="2"/>
  <c r="L9" i="2"/>
  <c r="L10" i="2"/>
  <c r="L11" i="2"/>
  <c r="L12" i="2"/>
  <c r="L13" i="2"/>
  <c r="L14" i="2"/>
  <c r="L15" i="2"/>
  <c r="L16" i="2"/>
  <c r="L6" i="2"/>
  <c r="K7" i="2"/>
  <c r="K8" i="2"/>
  <c r="K9" i="2"/>
  <c r="K10" i="2"/>
  <c r="K11" i="2"/>
  <c r="K12" i="2"/>
  <c r="K13" i="2"/>
  <c r="K14" i="2"/>
  <c r="K15" i="2"/>
  <c r="K16" i="2"/>
  <c r="K6" i="2"/>
  <c r="J7" i="2"/>
  <c r="J8" i="2"/>
  <c r="J9" i="2"/>
  <c r="J10" i="2"/>
  <c r="J11" i="2"/>
  <c r="J12" i="2"/>
  <c r="J13" i="2"/>
  <c r="J14" i="2"/>
  <c r="J15" i="2"/>
  <c r="J16" i="2"/>
  <c r="J6" i="2"/>
  <c r="I7" i="2"/>
  <c r="I8" i="2"/>
  <c r="I9" i="2"/>
  <c r="I10" i="2"/>
  <c r="I11" i="2"/>
  <c r="I12" i="2"/>
  <c r="I13" i="2"/>
  <c r="I14" i="2"/>
  <c r="I15" i="2"/>
  <c r="I16" i="2"/>
  <c r="I6" i="2"/>
  <c r="H7" i="2"/>
  <c r="H8" i="2"/>
  <c r="H9" i="2"/>
  <c r="H10" i="2"/>
  <c r="H11" i="2"/>
  <c r="H12" i="2"/>
  <c r="H13" i="2"/>
  <c r="H14" i="2"/>
  <c r="H15" i="2"/>
  <c r="H16" i="2"/>
  <c r="H6" i="2"/>
  <c r="G7" i="2"/>
  <c r="G8" i="2"/>
  <c r="G9" i="2"/>
  <c r="G10" i="2"/>
  <c r="G11" i="2"/>
  <c r="G12" i="2"/>
  <c r="G13" i="2"/>
  <c r="G14" i="2"/>
  <c r="G15" i="2"/>
  <c r="G16" i="2"/>
  <c r="G6" i="2"/>
  <c r="D12" i="2"/>
  <c r="D14" i="2"/>
  <c r="D13" i="2"/>
  <c r="D15" i="2" s="1"/>
  <c r="G14" i="1"/>
  <c r="G23" i="1"/>
  <c r="G25" i="1"/>
  <c r="G24" i="1"/>
  <c r="G26" i="1" s="1"/>
  <c r="G6" i="1"/>
  <c r="G8" i="1"/>
  <c r="G19" i="1" s="1"/>
  <c r="G7" i="1"/>
  <c r="G9" i="1" s="1"/>
  <c r="G12" i="1"/>
  <c r="G17" i="1" s="1"/>
  <c r="D13" i="1"/>
  <c r="D12" i="1"/>
  <c r="G21" i="3" l="1"/>
  <c r="H14" i="3"/>
  <c r="H6" i="3"/>
  <c r="I20" i="3" s="1"/>
  <c r="H9" i="3"/>
  <c r="H8" i="3"/>
  <c r="H15" i="3" s="1"/>
  <c r="I22" i="3"/>
  <c r="H22" i="3"/>
  <c r="G15" i="3"/>
  <c r="G20" i="3"/>
  <c r="G16" i="3"/>
  <c r="I16" i="3"/>
  <c r="I15" i="3"/>
  <c r="G22" i="3"/>
  <c r="G29" i="3" s="1"/>
  <c r="D17" i="3"/>
  <c r="I7" i="3"/>
  <c r="D18" i="3"/>
  <c r="D25" i="2"/>
  <c r="D18" i="2"/>
  <c r="D20" i="2" s="1"/>
  <c r="G29" i="1"/>
  <c r="G15" i="1"/>
  <c r="G16" i="1"/>
  <c r="G18" i="1" s="1"/>
  <c r="D18" i="1"/>
  <c r="G23" i="3" l="1"/>
  <c r="I23" i="3"/>
  <c r="H20" i="3"/>
  <c r="G27" i="3"/>
  <c r="H16" i="3"/>
  <c r="I13" i="3"/>
  <c r="H23" i="3"/>
  <c r="H13" i="3"/>
  <c r="D24" i="3"/>
  <c r="G13" i="3"/>
  <c r="I21" i="3"/>
  <c r="H21" i="3"/>
  <c r="G28" i="3" s="1"/>
  <c r="G14" i="3"/>
  <c r="D25" i="3"/>
  <c r="D19" i="3"/>
  <c r="D21" i="1"/>
  <c r="D19" i="1"/>
  <c r="D25" i="1" s="1"/>
  <c r="D22" i="3"/>
  <c r="D20" i="3"/>
  <c r="D27" i="3" s="1"/>
  <c r="D23" i="3"/>
  <c r="D21" i="3"/>
  <c r="G30" i="1"/>
  <c r="G36" i="1" s="1"/>
  <c r="G31" i="1"/>
  <c r="D23" i="2"/>
  <c r="D21" i="2"/>
  <c r="D22" i="2"/>
  <c r="D24" i="2" s="1"/>
  <c r="G32" i="1"/>
  <c r="G34" i="1"/>
  <c r="G33" i="1"/>
  <c r="G35" i="1" s="1"/>
  <c r="D22" i="1"/>
  <c r="D23" i="1"/>
  <c r="D26" i="3" l="1"/>
  <c r="G30" i="3"/>
  <c r="D24" i="1"/>
  <c r="D20" i="1"/>
</calcChain>
</file>

<file path=xl/sharedStrings.xml><?xml version="1.0" encoding="utf-8"?>
<sst xmlns="http://schemas.openxmlformats.org/spreadsheetml/2006/main" count="102" uniqueCount="27">
  <si>
    <t>Annual Demand (A)</t>
  </si>
  <si>
    <t>Cost per Unit (c)</t>
  </si>
  <si>
    <t>Cost per Order (k)</t>
  </si>
  <si>
    <t>Holding Cost (h)</t>
  </si>
  <si>
    <t>Backorder Penalty cost (p)</t>
  </si>
  <si>
    <t>Order costs</t>
  </si>
  <si>
    <t>Holding costs</t>
  </si>
  <si>
    <t>Total costs</t>
  </si>
  <si>
    <t>cycle time</t>
  </si>
  <si>
    <t>Instructor</t>
  </si>
  <si>
    <t>Operator</t>
  </si>
  <si>
    <t xml:space="preserve">Machines and equipment </t>
  </si>
  <si>
    <t>Office and support fees</t>
  </si>
  <si>
    <t>Opportunity cost of operator</t>
  </si>
  <si>
    <t>Number of classes per year</t>
  </si>
  <si>
    <t>(Round)Total costs</t>
  </si>
  <si>
    <t>8 per month</t>
  </si>
  <si>
    <t>4 per month</t>
  </si>
  <si>
    <t>Q*</t>
  </si>
  <si>
    <t>Backorder costs</t>
  </si>
  <si>
    <t>Optimal order quantity (Q*)</t>
  </si>
  <si>
    <t>Quantity at the start of each cycle (S*)</t>
  </si>
  <si>
    <t>Max Number of backorders</t>
  </si>
  <si>
    <t>Cycle time (Days)</t>
  </si>
  <si>
    <t>Delay(Week)</t>
  </si>
  <si>
    <t>Optimal Number of People Each Class (Q*)</t>
  </si>
  <si>
    <t>(Round) Optimal Number of People Each Class (Q*)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</si>
</sst>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quot;$&quot;#,##0"/>
    <numFmt numFmtId="6" formatCode="&quot;$&quot;#,##0;[Red]\-&quot;$&quot;#,##0"/>
    <numFmt numFmtId="7" formatCode="&quot;$&quot;#,##0.00;\-&quot;$&quot;#,##0.00"/>
    <numFmt numFmtId="44" formatCode="_-&quot;$&quot;* #,##0.00_-;\-&quot;$&quot;* #,##0.00_-;_-&quot;$&quot;* &quot;-&quot;??_-;_-@_-"/>
    <numFmt numFmtId="164" formatCode="&quot;$&quot;#,##0"/>
    <numFmt numFmtId="165" formatCode="0.000"/>
    <numFmt numFmtId="166" formatCode="0.0"/>
    <numFmt numFmtId="167" formatCode="&quot;$&quot;#,##0.00"/>
    <numFmt numFmtId="168" formatCode="&quot;$&quot;#,##0.0"/>
  </numFmts>
  <fonts count="5" x14ac:knownFonts="1">
    <font>
      <sz val="11"/>
      <color theme="1"/>
      <name val="Calibri"/>
      <family val="2"/>
      <scheme val="minor"/>
    </font>
    <font>
      <b/>
      <sz val="11"/>
      <color theme="1"/>
      <name val="Calibri"/>
      <family val="2"/>
      <scheme val="minor"/>
    </font>
    <font>
      <sz val="10"/>
      <name val="Arial"/>
      <family val="2"/>
    </font>
    <font>
      <b/>
      <sz val="10"/>
      <name val="Arial"/>
      <family val="2"/>
    </font>
    <font>
      <sz val="10"/>
      <name val="Arial"/>
      <family val="2"/>
    </font>
  </fonts>
  <fills count="8">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5" tint="0.59999389629810485"/>
        <bgColor indexed="64"/>
      </patternFill>
    </fill>
  </fills>
  <borders count="12">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s>
  <cellStyleXfs count="4">
    <xf numFmtId="0" fontId="0" fillId="0" borderId="0"/>
    <xf numFmtId="0" fontId="2" fillId="0" borderId="0"/>
    <xf numFmtId="44" fontId="4" fillId="0" borderId="0" applyFont="0" applyFill="0" applyBorder="0" applyAlignment="0" applyProtection="0"/>
    <xf numFmtId="9" fontId="4" fillId="0" borderId="0" applyFont="0" applyFill="0" applyBorder="0" applyAlignment="0" applyProtection="0"/>
  </cellStyleXfs>
  <cellXfs count="50">
    <xf numFmtId="0" fontId="0" fillId="0" borderId="0" xfId="0"/>
    <xf numFmtId="0" fontId="0" fillId="0" borderId="0" xfId="0"/>
    <xf numFmtId="0" fontId="0" fillId="5" borderId="0" xfId="0" applyFill="1"/>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0" fillId="0" borderId="0" xfId="0" applyBorder="1"/>
    <xf numFmtId="167" fontId="0" fillId="0" borderId="0" xfId="0" applyNumberFormat="1" applyBorder="1" applyAlignment="1">
      <alignment horizontal="center" vertical="center"/>
    </xf>
    <xf numFmtId="7" fontId="0" fillId="0" borderId="5" xfId="0" applyNumberFormat="1" applyBorder="1" applyAlignment="1">
      <alignment horizontal="center" vertical="center"/>
    </xf>
    <xf numFmtId="167" fontId="0" fillId="0" borderId="1" xfId="0" applyNumberFormat="1" applyBorder="1" applyAlignment="1">
      <alignment horizontal="center" vertical="center"/>
    </xf>
    <xf numFmtId="7" fontId="0" fillId="0" borderId="7" xfId="0" applyNumberFormat="1" applyBorder="1" applyAlignment="1">
      <alignment horizontal="center" vertical="center"/>
    </xf>
    <xf numFmtId="0" fontId="3" fillId="0" borderId="2" xfId="1" applyFont="1" applyBorder="1"/>
    <xf numFmtId="3" fontId="3" fillId="2" borderId="3" xfId="1" applyNumberFormat="1" applyFont="1" applyFill="1" applyBorder="1" applyAlignment="1">
      <alignment horizontal="center"/>
    </xf>
    <xf numFmtId="0" fontId="3" fillId="0" borderId="4" xfId="1" applyFont="1" applyBorder="1"/>
    <xf numFmtId="5" fontId="3" fillId="2" borderId="5" xfId="2" applyNumberFormat="1" applyFont="1" applyFill="1" applyBorder="1" applyAlignment="1">
      <alignment horizontal="center"/>
    </xf>
    <xf numFmtId="0" fontId="0" fillId="0" borderId="4" xfId="0" applyBorder="1"/>
    <xf numFmtId="0" fontId="0" fillId="0" borderId="5" xfId="0" applyBorder="1"/>
    <xf numFmtId="0" fontId="3" fillId="0" borderId="4" xfId="0" applyFont="1" applyBorder="1"/>
    <xf numFmtId="166" fontId="3" fillId="3" borderId="5" xfId="0" applyNumberFormat="1" applyFont="1" applyFill="1" applyBorder="1" applyAlignment="1">
      <alignment horizontal="center"/>
    </xf>
    <xf numFmtId="0" fontId="3" fillId="0" borderId="6" xfId="0" applyFont="1" applyBorder="1"/>
    <xf numFmtId="0" fontId="1" fillId="6" borderId="8" xfId="0" applyFont="1" applyFill="1" applyBorder="1" applyAlignment="1">
      <alignment horizontal="center" vertical="center" wrapText="1"/>
    </xf>
    <xf numFmtId="165" fontId="1" fillId="6" borderId="9" xfId="0" applyNumberFormat="1"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center" vertical="center"/>
    </xf>
    <xf numFmtId="164" fontId="0" fillId="4" borderId="0" xfId="0" applyNumberFormat="1" applyFill="1" applyBorder="1" applyAlignment="1">
      <alignment horizontal="center" vertical="center"/>
    </xf>
    <xf numFmtId="0" fontId="3" fillId="0" borderId="0" xfId="0" applyFont="1" applyBorder="1"/>
    <xf numFmtId="167" fontId="3" fillId="3" borderId="5" xfId="0" applyNumberFormat="1" applyFont="1" applyFill="1" applyBorder="1" applyAlignment="1">
      <alignment horizontal="center"/>
    </xf>
    <xf numFmtId="167" fontId="3" fillId="3" borderId="7" xfId="0" applyNumberFormat="1" applyFont="1" applyFill="1" applyBorder="1" applyAlignment="1">
      <alignment horizontal="center"/>
    </xf>
    <xf numFmtId="168" fontId="3" fillId="3" borderId="5" xfId="0" applyNumberFormat="1" applyFont="1" applyFill="1" applyBorder="1" applyAlignment="1">
      <alignment horizontal="center"/>
    </xf>
    <xf numFmtId="168" fontId="3" fillId="3" borderId="7" xfId="0" applyNumberFormat="1" applyFont="1" applyFill="1" applyBorder="1" applyAlignment="1">
      <alignment horizontal="center"/>
    </xf>
    <xf numFmtId="164" fontId="0" fillId="0" borderId="4" xfId="0" applyNumberFormat="1" applyBorder="1" applyAlignment="1">
      <alignment horizontal="center" vertical="center"/>
    </xf>
    <xf numFmtId="164" fontId="0" fillId="0" borderId="6" xfId="0" applyNumberFormat="1" applyBorder="1" applyAlignment="1">
      <alignment horizontal="center" vertical="center"/>
    </xf>
    <xf numFmtId="2" fontId="0" fillId="0" borderId="0" xfId="0" applyNumberFormat="1" applyBorder="1" applyAlignment="1">
      <alignment horizontal="center" vertical="center"/>
    </xf>
    <xf numFmtId="2" fontId="0" fillId="0" borderId="1" xfId="0" applyNumberFormat="1" applyBorder="1" applyAlignment="1">
      <alignment horizontal="center" vertical="center"/>
    </xf>
    <xf numFmtId="2" fontId="3" fillId="3" borderId="5" xfId="0" applyNumberFormat="1" applyFont="1" applyFill="1" applyBorder="1" applyAlignment="1">
      <alignment horizontal="center"/>
    </xf>
    <xf numFmtId="0" fontId="3" fillId="6" borderId="0" xfId="0" applyFont="1" applyFill="1" applyBorder="1" applyAlignment="1">
      <alignment horizontal="center" vertical="center"/>
    </xf>
    <xf numFmtId="10" fontId="3" fillId="2" borderId="5" xfId="2" applyNumberFormat="1" applyFont="1" applyFill="1" applyBorder="1" applyAlignment="1">
      <alignment horizontal="center"/>
    </xf>
    <xf numFmtId="0" fontId="3" fillId="6" borderId="11" xfId="0" applyFont="1" applyFill="1" applyBorder="1" applyAlignment="1">
      <alignment horizontal="center" vertical="center"/>
    </xf>
    <xf numFmtId="0" fontId="3" fillId="6" borderId="3" xfId="0" applyFont="1" applyFill="1" applyBorder="1" applyAlignment="1">
      <alignment horizontal="center" vertical="center"/>
    </xf>
    <xf numFmtId="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3" fillId="6" borderId="5" xfId="0" applyFont="1" applyFill="1" applyBorder="1" applyAlignment="1">
      <alignment horizontal="center" vertical="center"/>
    </xf>
    <xf numFmtId="7" fontId="0" fillId="0" borderId="0" xfId="0" applyNumberFormat="1" applyBorder="1" applyAlignment="1">
      <alignment horizontal="center" vertical="center"/>
    </xf>
    <xf numFmtId="167" fontId="0" fillId="0" borderId="5" xfId="0" applyNumberFormat="1"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1" fillId="5" borderId="2" xfId="0" applyFont="1" applyFill="1" applyBorder="1" applyAlignment="1">
      <alignment horizontal="center" vertical="center"/>
    </xf>
    <xf numFmtId="0" fontId="0" fillId="7" borderId="4" xfId="0" applyFill="1" applyBorder="1" applyAlignment="1">
      <alignment horizontal="center" vertical="center"/>
    </xf>
    <xf numFmtId="0" fontId="1" fillId="5" borderId="4" xfId="0" applyFont="1" applyFill="1" applyBorder="1" applyAlignment="1">
      <alignment horizontal="center" vertical="center"/>
    </xf>
    <xf numFmtId="0" fontId="0" fillId="7" borderId="6" xfId="0" applyFill="1" applyBorder="1" applyAlignment="1">
      <alignment horizontal="center" vertical="center"/>
    </xf>
  </cellXfs>
  <cellStyles count="4">
    <cellStyle name="Currency 2" xfId="2" xr:uid="{15F3E3C1-E46A-45D5-A931-8E7956CA77BC}"/>
    <cellStyle name="Normal" xfId="0" builtinId="0"/>
    <cellStyle name="Normal 2" xfId="1" xr:uid="{7550BE30-B28B-4084-B737-AC767F8FF81D}"/>
    <cellStyle name="Percent 2" xfId="3" xr:uid="{7370D16F-0EEF-4E40-8AB6-368047FF218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562940</xdr:colOff>
      <xdr:row>2</xdr:row>
      <xdr:rowOff>174855</xdr:rowOff>
    </xdr:from>
    <xdr:ext cx="866456" cy="405432"/>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62940" y="555855"/>
          <a:ext cx="86645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GB" sz="2000" b="1"/>
            <a:t>Case </a:t>
          </a:r>
          <a:r>
            <a:rPr lang="en-US" sz="2000" b="1"/>
            <a:t>3</a:t>
          </a:r>
          <a:endParaRPr lang="en-GB" sz="2000" b="1"/>
        </a:p>
      </xdr:txBody>
    </xdr:sp>
    <xdr:clientData/>
  </xdr:oneCellAnchor>
  <xdr:oneCellAnchor>
    <xdr:from>
      <xdr:col>0</xdr:col>
      <xdr:colOff>581025</xdr:colOff>
      <xdr:row>6</xdr:row>
      <xdr:rowOff>28574</xdr:rowOff>
    </xdr:from>
    <xdr:ext cx="5143500" cy="6867525"/>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81025" y="1171574"/>
          <a:ext cx="5143500" cy="6867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Assumption:</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200" b="0" baseline="0"/>
            <a:t>We assumpt that holding cost is the salary of </a:t>
          </a:r>
          <a:r>
            <a:rPr lang="en-AU" sz="1200"/>
            <a:t>machine </a:t>
          </a:r>
          <a:r>
            <a:rPr lang="en-GB" sz="1200" b="0" baseline="0"/>
            <a:t>operater. After the </a:t>
          </a:r>
          <a:r>
            <a:rPr lang="en-AU" sz="1200"/>
            <a:t>machine </a:t>
          </a:r>
          <a:r>
            <a:rPr lang="en-GB" sz="1200" b="0" baseline="0"/>
            <a:t>operater finish the </a:t>
          </a:r>
          <a:r>
            <a:rPr lang="en-AU" sz="1200" b="0" baseline="0"/>
            <a:t>training, the company has to pay their salary each month in order to keep them.</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AU" sz="1200" b="0" i="0">
              <a:solidFill>
                <a:schemeClr val="tx1"/>
              </a:solidFill>
              <a:effectLst/>
              <a:latin typeface="+mn-lt"/>
              <a:ea typeface="+mn-ea"/>
              <a:cs typeface="+mn-cs"/>
            </a:rPr>
            <a:t>We assume that machines and equipment do not need to be repaired, and</a:t>
          </a:r>
          <a:r>
            <a:rPr lang="en-AU" sz="1200" b="0" i="0" baseline="0">
              <a:solidFill>
                <a:schemeClr val="tx1"/>
              </a:solidFill>
              <a:effectLst/>
              <a:latin typeface="+mn-lt"/>
              <a:ea typeface="+mn-ea"/>
              <a:cs typeface="+mn-cs"/>
            </a:rPr>
            <a:t> the company rents the </a:t>
          </a:r>
          <a:r>
            <a:rPr lang="en-AU" sz="1100" b="0" i="0">
              <a:solidFill>
                <a:schemeClr val="tx1"/>
              </a:solidFill>
              <a:effectLst/>
              <a:latin typeface="+mn-lt"/>
              <a:ea typeface="+mn-ea"/>
              <a:cs typeface="+mn-cs"/>
            </a:rPr>
            <a:t>machines and equipment each time they requires</a:t>
          </a:r>
          <a:r>
            <a:rPr lang="en-AU" sz="1100" b="0" i="0" baseline="0">
              <a:solidFill>
                <a:schemeClr val="tx1"/>
              </a:solidFill>
              <a:effectLst/>
              <a:latin typeface="+mn-lt"/>
              <a:ea typeface="+mn-ea"/>
              <a:cs typeface="+mn-cs"/>
            </a:rPr>
            <a:t> a new class.</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i="0" baseline="0">
              <a:solidFill>
                <a:schemeClr val="tx1"/>
              </a:solidFill>
              <a:effectLst/>
              <a:latin typeface="+mn-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n-AU" sz="1100" b="0" i="0">
              <a:solidFill>
                <a:schemeClr val="tx1"/>
              </a:solidFill>
              <a:effectLst/>
              <a:latin typeface="+mn-lt"/>
              <a:ea typeface="+mn-ea"/>
              <a:cs typeface="+mn-cs"/>
            </a:rPr>
            <a:t>We assume that the number of people required by the company cannot be less than the number of people trained</a:t>
          </a:r>
          <a:endParaRPr lang="en-GB" sz="1200" b="0" baseline="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600075</xdr:colOff>
      <xdr:row>0</xdr:row>
      <xdr:rowOff>152400</xdr:rowOff>
    </xdr:from>
    <xdr:to>
      <xdr:col>3</xdr:col>
      <xdr:colOff>1247775</xdr:colOff>
      <xdr:row>2</xdr:row>
      <xdr:rowOff>161925</xdr:rowOff>
    </xdr:to>
    <xdr:sp macro="" textlink="">
      <xdr:nvSpPr>
        <xdr:cNvPr id="2" name="Text 1">
          <a:extLst>
            <a:ext uri="{FF2B5EF4-FFF2-40B4-BE49-F238E27FC236}">
              <a16:creationId xmlns:a16="http://schemas.microsoft.com/office/drawing/2014/main" id="{00000000-0008-0000-0100-000002000000}"/>
            </a:ext>
          </a:extLst>
        </xdr:cNvPr>
        <xdr:cNvSpPr>
          <a:spLocks noChangeArrowheads="1"/>
        </xdr:cNvSpPr>
      </xdr:nvSpPr>
      <xdr:spPr bwMode="auto">
        <a:xfrm>
          <a:off x="1209675" y="152400"/>
          <a:ext cx="3305175" cy="390525"/>
        </a:xfrm>
        <a:prstGeom prst="roundRect">
          <a:avLst>
            <a:gd name="adj" fmla="val 16667"/>
          </a:avLst>
        </a:prstGeom>
        <a:solidFill>
          <a:srgbClr val="00FFFF"/>
        </a:solidFill>
        <a:ln w="9525">
          <a:solidFill>
            <a:srgbClr val="000000"/>
          </a:solidFill>
          <a:round/>
          <a:headEnd/>
          <a:tailEnd/>
        </a:ln>
        <a:effectLst>
          <a:outerShdw dist="35921" dir="2700000" algn="ctr" rotWithShape="0">
            <a:srgbClr val="000000"/>
          </a:outerShdw>
        </a:effectLst>
      </xdr:spPr>
      <xdr:txBody>
        <a:bodyPr vertOverflow="clip" wrap="square" lIns="27432" tIns="22860" rIns="27432" bIns="22860" anchor="ctr" upright="1"/>
        <a:lstStyle/>
        <a:p>
          <a:pPr algn="ctr" rtl="0">
            <a:defRPr sz="1000"/>
          </a:pPr>
          <a:r>
            <a:rPr lang="en-US" altLang="zh-CN"/>
            <a:t>Q1-Q3</a:t>
          </a:r>
          <a:r>
            <a:rPr lang="en-AU" sz="1000" b="1" i="0" strike="noStrike">
              <a:solidFill>
                <a:srgbClr val="000000"/>
              </a:solidFill>
              <a:latin typeface="Arial"/>
              <a:cs typeface="Arial"/>
            </a:rPr>
            <a:t> </a:t>
          </a:r>
        </a:p>
      </xdr:txBody>
    </xdr:sp>
    <xdr:clientData/>
  </xdr:twoCellAnchor>
  <xdr:twoCellAnchor>
    <xdr:from>
      <xdr:col>5</xdr:col>
      <xdr:colOff>2</xdr:colOff>
      <xdr:row>0</xdr:row>
      <xdr:rowOff>180975</xdr:rowOff>
    </xdr:from>
    <xdr:to>
      <xdr:col>7</xdr:col>
      <xdr:colOff>1</xdr:colOff>
      <xdr:row>3</xdr:row>
      <xdr:rowOff>0</xdr:rowOff>
    </xdr:to>
    <xdr:sp macro="" textlink="">
      <xdr:nvSpPr>
        <xdr:cNvPr id="5" name="Text 1">
          <a:extLst>
            <a:ext uri="{FF2B5EF4-FFF2-40B4-BE49-F238E27FC236}">
              <a16:creationId xmlns:a16="http://schemas.microsoft.com/office/drawing/2014/main" id="{00000000-0008-0000-0100-000005000000}"/>
            </a:ext>
          </a:extLst>
        </xdr:cNvPr>
        <xdr:cNvSpPr>
          <a:spLocks noChangeArrowheads="1"/>
        </xdr:cNvSpPr>
      </xdr:nvSpPr>
      <xdr:spPr bwMode="auto">
        <a:xfrm>
          <a:off x="6296027" y="180975"/>
          <a:ext cx="4352924" cy="390525"/>
        </a:xfrm>
        <a:prstGeom prst="roundRect">
          <a:avLst>
            <a:gd name="adj" fmla="val 16667"/>
          </a:avLst>
        </a:prstGeom>
        <a:solidFill>
          <a:srgbClr val="00FFFF"/>
        </a:solidFill>
        <a:ln w="9525">
          <a:solidFill>
            <a:srgbClr val="000000"/>
          </a:solidFill>
          <a:round/>
          <a:headEnd/>
          <a:tailEnd/>
        </a:ln>
        <a:effectLst>
          <a:outerShdw dist="35921" dir="2700000" algn="ctr" rotWithShape="0">
            <a:srgbClr val="000000"/>
          </a:outerShdw>
        </a:effectLst>
      </xdr:spPr>
      <xdr:txBody>
        <a:bodyPr vertOverflow="clip" wrap="square" lIns="27432" tIns="22860" rIns="27432" bIns="22860" anchor="ctr" upright="1"/>
        <a:lstStyle/>
        <a:p>
          <a:pPr algn="ctr" rtl="0">
            <a:defRPr sz="1000"/>
          </a:pPr>
          <a:r>
            <a:rPr lang="en-US" altLang="zh-CN"/>
            <a:t>Q4</a:t>
          </a:r>
          <a:r>
            <a:rPr lang="en-AU" sz="1000" b="1" i="0" strike="noStrike">
              <a:solidFill>
                <a:srgbClr val="000000"/>
              </a:solidFill>
              <a:latin typeface="Arial"/>
              <a:cs typeface="Arial"/>
            </a:rPr>
            <a:t> </a:t>
          </a:r>
        </a:p>
      </xdr:txBody>
    </xdr:sp>
    <xdr:clientData/>
  </xdr:twoCellAnchor>
  <xdr:oneCellAnchor>
    <xdr:from>
      <xdr:col>8</xdr:col>
      <xdr:colOff>0</xdr:colOff>
      <xdr:row>1</xdr:row>
      <xdr:rowOff>9525</xdr:rowOff>
    </xdr:from>
    <xdr:ext cx="4486275" cy="3276600"/>
    <xdr:sp macro="" textlink="">
      <xdr:nvSpPr>
        <xdr:cNvPr id="6" name="TextBox 5">
          <a:extLst>
            <a:ext uri="{FF2B5EF4-FFF2-40B4-BE49-F238E27FC236}">
              <a16:creationId xmlns:a16="http://schemas.microsoft.com/office/drawing/2014/main" id="{EC34E66A-667A-4504-9F58-169D71FD50D4}"/>
            </a:ext>
          </a:extLst>
        </xdr:cNvPr>
        <xdr:cNvSpPr txBox="1"/>
      </xdr:nvSpPr>
      <xdr:spPr>
        <a:xfrm>
          <a:off x="11258550" y="200025"/>
          <a:ext cx="4486275" cy="32766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Note:</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200" b="0" baseline="0"/>
            <a:t>Annual Demand (A): The number of people needed per year is the monthly quantity multiplied by 12 to get the annual quantity</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2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200" b="0" baseline="0"/>
            <a:t>Cost per Order (k): We add the costs of " machines and equipment facilities" " instructor" and "office administration and support fees" to get a value of k, because these fees are required for each new course.</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2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200" b="0" baseline="0"/>
            <a:t>Cost per Unit (c): </a:t>
          </a:r>
          <a:r>
            <a:rPr lang="en-AU" sz="1100" b="0" i="0">
              <a:solidFill>
                <a:schemeClr val="tx1"/>
              </a:solidFill>
              <a:effectLst/>
              <a:latin typeface="+mn-lt"/>
              <a:ea typeface="+mn-ea"/>
              <a:cs typeface="+mn-cs"/>
            </a:rPr>
            <a:t>The learning cost for each heavy machine operator is 1600$</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0" i="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GB" sz="1200" b="0" baseline="0"/>
            <a:t>Holding Cost (h): </a:t>
          </a:r>
          <a:r>
            <a:rPr lang="en-AU" sz="1100" b="0" i="0">
              <a:solidFill>
                <a:schemeClr val="tx1"/>
              </a:solidFill>
              <a:effectLst/>
              <a:latin typeface="+mn-lt"/>
              <a:ea typeface="+mn-ea"/>
              <a:cs typeface="+mn-cs"/>
            </a:rPr>
            <a:t>According to assumption, our trainees will begin to receive their wages after they finish their </a:t>
          </a:r>
          <a:r>
            <a:rPr lang="en-US" altLang="zh-CN" sz="1100" b="0" i="0">
              <a:solidFill>
                <a:schemeClr val="tx1"/>
              </a:solidFill>
              <a:effectLst/>
              <a:latin typeface="+mn-lt"/>
              <a:ea typeface="+mn-ea"/>
              <a:cs typeface="+mn-cs"/>
            </a:rPr>
            <a:t>classes</a:t>
          </a:r>
          <a:r>
            <a:rPr lang="en-AU" sz="1100" b="0" i="0">
              <a:solidFill>
                <a:schemeClr val="tx1"/>
              </a:solidFill>
              <a:effectLst/>
              <a:latin typeface="+mn-lt"/>
              <a:ea typeface="+mn-ea"/>
              <a:cs typeface="+mn-cs"/>
            </a:rPr>
            <a:t>. Therefore, the longer the company does not use them, the more holding cost they will cause</a:t>
          </a:r>
          <a:endParaRPr lang="en-GB" sz="1200" b="0" baseline="0"/>
        </a:p>
      </xdr:txBody>
    </xdr:sp>
    <xdr:clientData/>
  </xdr:oneCellAnchor>
  <xdr:twoCellAnchor>
    <xdr:from>
      <xdr:col>2</xdr:col>
      <xdr:colOff>0</xdr:colOff>
      <xdr:row>26</xdr:row>
      <xdr:rowOff>180973</xdr:rowOff>
    </xdr:from>
    <xdr:to>
      <xdr:col>4</xdr:col>
      <xdr:colOff>19050</xdr:colOff>
      <xdr:row>46</xdr:row>
      <xdr:rowOff>133350</xdr:rowOff>
    </xdr:to>
    <xdr:grpSp>
      <xdr:nvGrpSpPr>
        <xdr:cNvPr id="4" name="Group 3">
          <a:extLst>
            <a:ext uri="{FF2B5EF4-FFF2-40B4-BE49-F238E27FC236}">
              <a16:creationId xmlns:a16="http://schemas.microsoft.com/office/drawing/2014/main" id="{DBE13881-174A-478E-AA5B-822BA08E5E48}"/>
            </a:ext>
          </a:extLst>
        </xdr:cNvPr>
        <xdr:cNvGrpSpPr/>
      </xdr:nvGrpSpPr>
      <xdr:grpSpPr>
        <a:xfrm>
          <a:off x="1219200" y="5181598"/>
          <a:ext cx="4486275" cy="3771902"/>
          <a:chOff x="1219200" y="5162550"/>
          <a:chExt cx="4486275" cy="3711221"/>
        </a:xfrm>
      </xdr:grpSpPr>
      <xdr:sp macro="" textlink="">
        <xdr:nvSpPr>
          <xdr:cNvPr id="7" name="TextBox 6">
            <a:extLst>
              <a:ext uri="{FF2B5EF4-FFF2-40B4-BE49-F238E27FC236}">
                <a16:creationId xmlns:a16="http://schemas.microsoft.com/office/drawing/2014/main" id="{CA6E503B-A9A7-4AA3-98A9-A5A8B6F7BB15}"/>
              </a:ext>
            </a:extLst>
          </xdr:cNvPr>
          <xdr:cNvSpPr txBox="1"/>
        </xdr:nvSpPr>
        <xdr:spPr>
          <a:xfrm>
            <a:off x="1219200" y="5162550"/>
            <a:ext cx="4486275" cy="371122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Q1:</a:t>
            </a:r>
          </a:p>
          <a:p>
            <a:pPr marL="0" marR="0" lvl="0" indent="0" algn="l" defTabSz="914400" eaLnBrk="1" fontAlgn="auto" latinLnBrk="0" hangingPunct="1">
              <a:lnSpc>
                <a:spcPct val="100000"/>
              </a:lnSpc>
              <a:spcBef>
                <a:spcPts val="0"/>
              </a:spcBef>
              <a:spcAft>
                <a:spcPts val="0"/>
              </a:spcAft>
              <a:buClrTx/>
              <a:buSzTx/>
              <a:buFontTx/>
              <a:buNone/>
              <a:tabLst/>
              <a:defRPr/>
            </a:pPr>
            <a:r>
              <a:rPr lang="en-GB" sz="1100" b="0" baseline="0"/>
              <a:t>Every training class should train about 35.63 people</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Q2:</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t>A)</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t>We can calculate the number of classes per year using formula:</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AU" sz="1200" b="1" i="1" baseline="0"/>
              <a:t>Annual Demand (A)/Optimal Number of People Each Class (Q*)</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AU" sz="1200" b="0" baseline="0"/>
              <a:t>And we can get that </a:t>
            </a:r>
            <a:r>
              <a:rPr lang="en-US" altLang="zh-CN" sz="1100" b="0" i="0" baseline="0">
                <a:solidFill>
                  <a:schemeClr val="tx1"/>
                </a:solidFill>
                <a:effectLst/>
                <a:latin typeface="+mn-lt"/>
                <a:ea typeface="+mn-ea"/>
                <a:cs typeface="+mn-cs"/>
              </a:rPr>
              <a:t>e</a:t>
            </a:r>
            <a:r>
              <a:rPr lang="en-AU" sz="1100" b="0" i="0">
                <a:solidFill>
                  <a:schemeClr val="tx1"/>
                </a:solidFill>
                <a:effectLst/>
                <a:latin typeface="+mn-lt"/>
                <a:ea typeface="+mn-ea"/>
                <a:cs typeface="+mn-cs"/>
              </a:rPr>
              <a:t>very year we need to hold 2 training sessions</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100" b="0" i="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i="0" baseline="0">
                <a:solidFill>
                  <a:schemeClr val="tx1"/>
                </a:solidFill>
                <a:effectLst/>
                <a:latin typeface="+mn-lt"/>
                <a:ea typeface="+mn-ea"/>
                <a:cs typeface="+mn-cs"/>
              </a:rPr>
              <a:t>B)</a:t>
            </a: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i="0" baseline="0">
                <a:solidFill>
                  <a:schemeClr val="tx1"/>
                </a:solidFill>
                <a:effectLst/>
                <a:latin typeface="+mn-lt"/>
                <a:ea typeface="+mn-ea"/>
                <a:cs typeface="+mn-cs"/>
              </a:rPr>
              <a:t>We can calculate the annual cost by sum up the order cost and holding cost base on the formula:</a:t>
            </a: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i="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i="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AU" sz="1200" b="0" i="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200" b="0" i="0" baseline="0">
                <a:solidFill>
                  <a:schemeClr val="tx1"/>
                </a:solidFill>
                <a:effectLst/>
                <a:latin typeface="+mn-lt"/>
                <a:ea typeface="+mn-ea"/>
                <a:cs typeface="+mn-cs"/>
              </a:rPr>
              <a:t>And we can get the total annual cost is 19200$ per year</a:t>
            </a:r>
          </a:p>
        </xdr:txBody>
      </xdr:sp>
      <xdr:pic>
        <xdr:nvPicPr>
          <xdr:cNvPr id="3" name="Picture 2">
            <a:extLst>
              <a:ext uri="{FF2B5EF4-FFF2-40B4-BE49-F238E27FC236}">
                <a16:creationId xmlns:a16="http://schemas.microsoft.com/office/drawing/2014/main" id="{F116E4BB-872E-409B-B95A-F063FF51384F}"/>
              </a:ext>
            </a:extLst>
          </xdr:cNvPr>
          <xdr:cNvPicPr>
            <a:picLocks noChangeAspect="1"/>
          </xdr:cNvPicPr>
        </xdr:nvPicPr>
        <xdr:blipFill>
          <a:blip xmlns:r="http://schemas.openxmlformats.org/officeDocument/2006/relationships" r:embed="rId1"/>
          <a:stretch>
            <a:fillRect/>
          </a:stretch>
        </xdr:blipFill>
        <xdr:spPr>
          <a:xfrm>
            <a:off x="1552575" y="8079657"/>
            <a:ext cx="3857625" cy="359158"/>
          </a:xfrm>
          <a:prstGeom prst="rect">
            <a:avLst/>
          </a:prstGeom>
        </xdr:spPr>
      </xdr:pic>
    </xdr:grpSp>
    <xdr:clientData/>
  </xdr:twoCellAnchor>
  <xdr:oneCellAnchor>
    <xdr:from>
      <xdr:col>8</xdr:col>
      <xdr:colOff>0</xdr:colOff>
      <xdr:row>22</xdr:row>
      <xdr:rowOff>0</xdr:rowOff>
    </xdr:from>
    <xdr:ext cx="4486275" cy="1524000"/>
    <xdr:sp macro="" textlink="">
      <xdr:nvSpPr>
        <xdr:cNvPr id="10" name="TextBox 9">
          <a:extLst>
            <a:ext uri="{FF2B5EF4-FFF2-40B4-BE49-F238E27FC236}">
              <a16:creationId xmlns:a16="http://schemas.microsoft.com/office/drawing/2014/main" id="{AFF929AA-8BEE-4DFC-8E24-FD2AF75C6A7D}"/>
            </a:ext>
          </a:extLst>
        </xdr:cNvPr>
        <xdr:cNvSpPr txBox="1"/>
      </xdr:nvSpPr>
      <xdr:spPr>
        <a:xfrm>
          <a:off x="11258550" y="4219575"/>
          <a:ext cx="4486275" cy="152400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Q3:</a:t>
          </a:r>
        </a:p>
        <a:p>
          <a:pPr marL="0" marR="0" lvl="0" indent="0" algn="l" defTabSz="914400" eaLnBrk="1" fontAlgn="auto" latinLnBrk="0" hangingPunct="1">
            <a:lnSpc>
              <a:spcPct val="100000"/>
            </a:lnSpc>
            <a:spcBef>
              <a:spcPts val="0"/>
            </a:spcBef>
            <a:spcAft>
              <a:spcPts val="0"/>
            </a:spcAft>
            <a:buClrTx/>
            <a:buSzTx/>
            <a:buFontTx/>
            <a:buNone/>
            <a:tabLst/>
            <a:defRPr/>
          </a:pPr>
          <a:r>
            <a:rPr lang="en-AU" sz="1100" b="0" i="0">
              <a:solidFill>
                <a:schemeClr val="tx1"/>
              </a:solidFill>
              <a:effectLst/>
              <a:latin typeface="+mn-lt"/>
              <a:ea typeface="+mn-ea"/>
              <a:cs typeface="+mn-cs"/>
            </a:rPr>
            <a:t>According to our assumption, we need to provide more employees than the company needs, so we round up the number in this case. We find that total annual expenditure increased from $19,200 to $19,402.1</a:t>
          </a:r>
          <a:endParaRPr lang="en-GB" sz="1100" b="0" baseline="0"/>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p>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solidFill>
                <a:schemeClr val="tx1"/>
              </a:solidFill>
              <a:effectLst/>
              <a:latin typeface="+mn-lt"/>
              <a:ea typeface="+mn-ea"/>
              <a:cs typeface="+mn-cs"/>
            </a:rPr>
            <a:t>Q4:</a:t>
          </a:r>
          <a:endParaRPr lang="en-AU" sz="1600" b="1">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lang="en-AU" sz="1100" b="0" i="0">
              <a:solidFill>
                <a:schemeClr val="tx1"/>
              </a:solidFill>
              <a:effectLst/>
              <a:latin typeface="+mn-lt"/>
              <a:ea typeface="+mn-ea"/>
              <a:cs typeface="+mn-cs"/>
            </a:rPr>
            <a:t>Answer Bases on the Table Q4</a:t>
          </a:r>
          <a:endParaRPr lang="en-GB" sz="1100" b="0" baseline="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2</xdr:col>
      <xdr:colOff>9525</xdr:colOff>
      <xdr:row>1</xdr:row>
      <xdr:rowOff>19050</xdr:rowOff>
    </xdr:from>
    <xdr:to>
      <xdr:col>3</xdr:col>
      <xdr:colOff>790576</xdr:colOff>
      <xdr:row>3</xdr:row>
      <xdr:rowOff>28575</xdr:rowOff>
    </xdr:to>
    <xdr:sp macro="" textlink="">
      <xdr:nvSpPr>
        <xdr:cNvPr id="2" name="Text 1">
          <a:extLst>
            <a:ext uri="{FF2B5EF4-FFF2-40B4-BE49-F238E27FC236}">
              <a16:creationId xmlns:a16="http://schemas.microsoft.com/office/drawing/2014/main" id="{00000000-0008-0000-0200-000002000000}"/>
            </a:ext>
          </a:extLst>
        </xdr:cNvPr>
        <xdr:cNvSpPr>
          <a:spLocks noChangeArrowheads="1"/>
        </xdr:cNvSpPr>
      </xdr:nvSpPr>
      <xdr:spPr bwMode="auto">
        <a:xfrm>
          <a:off x="1228725" y="209550"/>
          <a:ext cx="4067176" cy="390525"/>
        </a:xfrm>
        <a:prstGeom prst="roundRect">
          <a:avLst>
            <a:gd name="adj" fmla="val 16667"/>
          </a:avLst>
        </a:prstGeom>
        <a:solidFill>
          <a:srgbClr val="00FFFF"/>
        </a:solidFill>
        <a:ln w="9525">
          <a:solidFill>
            <a:srgbClr val="000000"/>
          </a:solidFill>
          <a:round/>
          <a:headEnd/>
          <a:tailEnd/>
        </a:ln>
        <a:effectLst>
          <a:outerShdw dist="35921" dir="2700000" algn="ctr" rotWithShape="0">
            <a:srgbClr val="000000"/>
          </a:outerShdw>
        </a:effectLst>
      </xdr:spPr>
      <xdr:txBody>
        <a:bodyPr vertOverflow="clip" wrap="square" lIns="27432" tIns="22860" rIns="27432" bIns="22860" anchor="ctr" upright="1"/>
        <a:lstStyle/>
        <a:p>
          <a:pPr algn="ctr" rtl="0">
            <a:defRPr sz="1000"/>
          </a:pPr>
          <a:r>
            <a:rPr lang="en-US" altLang="zh-CN"/>
            <a:t>Q5</a:t>
          </a:r>
          <a:endParaRPr lang="en-AU" sz="1000" b="1" i="0" strike="noStrike">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1</xdr:row>
      <xdr:rowOff>0</xdr:rowOff>
    </xdr:from>
    <xdr:to>
      <xdr:col>3</xdr:col>
      <xdr:colOff>885825</xdr:colOff>
      <xdr:row>3</xdr:row>
      <xdr:rowOff>9525</xdr:rowOff>
    </xdr:to>
    <xdr:sp macro="" textlink="">
      <xdr:nvSpPr>
        <xdr:cNvPr id="2" name="Text 1">
          <a:extLst>
            <a:ext uri="{FF2B5EF4-FFF2-40B4-BE49-F238E27FC236}">
              <a16:creationId xmlns:a16="http://schemas.microsoft.com/office/drawing/2014/main" id="{00000000-0008-0000-0300-000002000000}"/>
            </a:ext>
          </a:extLst>
        </xdr:cNvPr>
        <xdr:cNvSpPr>
          <a:spLocks noChangeArrowheads="1"/>
        </xdr:cNvSpPr>
      </xdr:nvSpPr>
      <xdr:spPr bwMode="auto">
        <a:xfrm>
          <a:off x="1219200" y="190500"/>
          <a:ext cx="2819400" cy="390525"/>
        </a:xfrm>
        <a:prstGeom prst="roundRect">
          <a:avLst>
            <a:gd name="adj" fmla="val 16667"/>
          </a:avLst>
        </a:prstGeom>
        <a:solidFill>
          <a:srgbClr val="00FFFF"/>
        </a:solidFill>
        <a:ln w="9525">
          <a:solidFill>
            <a:srgbClr val="000000"/>
          </a:solidFill>
          <a:round/>
          <a:headEnd/>
          <a:tailEnd/>
        </a:ln>
        <a:effectLst>
          <a:outerShdw dist="35921" dir="2700000" algn="ctr" rotWithShape="0">
            <a:srgbClr val="000000"/>
          </a:outerShdw>
        </a:effectLst>
      </xdr:spPr>
      <xdr:txBody>
        <a:bodyPr vertOverflow="clip" wrap="square" lIns="27432" tIns="22860" rIns="27432" bIns="22860" anchor="ctr" upright="1"/>
        <a:lstStyle/>
        <a:p>
          <a:pPr algn="ctr" rtl="0">
            <a:defRPr sz="1000"/>
          </a:pPr>
          <a:r>
            <a:rPr lang="en-US" altLang="zh-CN"/>
            <a:t>Q6</a:t>
          </a:r>
          <a:endParaRPr lang="en-AU" sz="1000" b="1" i="0" strike="noStrike">
            <a:solidFill>
              <a:srgbClr val="000000"/>
            </a:solidFill>
            <a:latin typeface="Arial"/>
            <a:cs typeface="Arial"/>
          </a:endParaRPr>
        </a:p>
      </xdr:txBody>
    </xdr:sp>
    <xdr:clientData/>
  </xdr:twoCellAnchor>
  <xdr:twoCellAnchor>
    <xdr:from>
      <xdr:col>2</xdr:col>
      <xdr:colOff>9526</xdr:colOff>
      <xdr:row>28</xdr:row>
      <xdr:rowOff>19049</xdr:rowOff>
    </xdr:from>
    <xdr:to>
      <xdr:col>4</xdr:col>
      <xdr:colOff>1</xdr:colOff>
      <xdr:row>45</xdr:row>
      <xdr:rowOff>57149</xdr:rowOff>
    </xdr:to>
    <xdr:grpSp>
      <xdr:nvGrpSpPr>
        <xdr:cNvPr id="7" name="Group 6">
          <a:extLst>
            <a:ext uri="{FF2B5EF4-FFF2-40B4-BE49-F238E27FC236}">
              <a16:creationId xmlns:a16="http://schemas.microsoft.com/office/drawing/2014/main" id="{A3181569-8861-4637-B793-DDDFE45EE09C}"/>
            </a:ext>
          </a:extLst>
        </xdr:cNvPr>
        <xdr:cNvGrpSpPr/>
      </xdr:nvGrpSpPr>
      <xdr:grpSpPr>
        <a:xfrm>
          <a:off x="1228726" y="5410199"/>
          <a:ext cx="4095750" cy="3286125"/>
          <a:chOff x="1228726" y="5391149"/>
          <a:chExt cx="4095750" cy="3286125"/>
        </a:xfrm>
      </xdr:grpSpPr>
      <xdr:sp macro="" textlink="">
        <xdr:nvSpPr>
          <xdr:cNvPr id="4" name="TextBox 3">
            <a:extLst>
              <a:ext uri="{FF2B5EF4-FFF2-40B4-BE49-F238E27FC236}">
                <a16:creationId xmlns:a16="http://schemas.microsoft.com/office/drawing/2014/main" id="{F8CC6E50-66D7-4FB6-B452-35A7A87810E3}"/>
              </a:ext>
            </a:extLst>
          </xdr:cNvPr>
          <xdr:cNvSpPr txBox="1"/>
        </xdr:nvSpPr>
        <xdr:spPr>
          <a:xfrm>
            <a:off x="1228726" y="5391149"/>
            <a:ext cx="4095750" cy="328612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GB" sz="1600" b="1" baseline="0"/>
              <a:t>Q6:</a:t>
            </a:r>
          </a:p>
          <a:p>
            <a:pPr marL="0" marR="0" lvl="0" indent="0" algn="l" defTabSz="914400" eaLnBrk="1" fontAlgn="auto" latinLnBrk="0" hangingPunct="1">
              <a:lnSpc>
                <a:spcPct val="100000"/>
              </a:lnSpc>
              <a:spcBef>
                <a:spcPts val="0"/>
              </a:spcBef>
              <a:spcAft>
                <a:spcPts val="0"/>
              </a:spcAft>
              <a:buClrTx/>
              <a:buSzTx/>
              <a:buFontTx/>
              <a:buNone/>
              <a:tabLst/>
              <a:defRPr/>
            </a:pPr>
            <a:r>
              <a:rPr lang="en-AU" sz="1100" b="0" i="0">
                <a:solidFill>
                  <a:schemeClr val="tx1"/>
                </a:solidFill>
                <a:effectLst/>
                <a:latin typeface="+mn-lt"/>
                <a:ea typeface="+mn-ea"/>
                <a:cs typeface="+mn-cs"/>
              </a:rPr>
              <a:t>Since we need to consider shortage in this problem, we need to calculate backorder penalty cost and Quantity at the start of each class (S*), and change the formula of Q*. </a:t>
            </a:r>
            <a:r>
              <a:rPr lang="en-US" altLang="zh-CN" sz="1100" b="0" i="0">
                <a:solidFill>
                  <a:schemeClr val="tx1"/>
                </a:solidFill>
                <a:effectLst/>
                <a:latin typeface="+mn-lt"/>
                <a:ea typeface="+mn-ea"/>
                <a:cs typeface="+mn-cs"/>
              </a:rPr>
              <a:t>Here is the fomula:</a:t>
            </a:r>
          </a:p>
          <a:p>
            <a:pPr marL="0" marR="0" lvl="0" indent="0" algn="l" defTabSz="914400" eaLnBrk="1" fontAlgn="auto" latinLnBrk="0" hangingPunct="1">
              <a:lnSpc>
                <a:spcPct val="100000"/>
              </a:lnSpc>
              <a:spcBef>
                <a:spcPts val="0"/>
              </a:spcBef>
              <a:spcAft>
                <a:spcPts val="0"/>
              </a:spcAft>
              <a:buClrTx/>
              <a:buSzTx/>
              <a:buFontTx/>
              <a:buNone/>
              <a:tabLst/>
              <a:defRPr/>
            </a:pPr>
            <a:endParaRPr lang="en-GB" sz="1100" b="0" baseline="0"/>
          </a:p>
        </xdr:txBody>
      </xdr:sp>
      <xdr:pic>
        <xdr:nvPicPr>
          <xdr:cNvPr id="5" name="Picture 4">
            <a:extLst>
              <a:ext uri="{FF2B5EF4-FFF2-40B4-BE49-F238E27FC236}">
                <a16:creationId xmlns:a16="http://schemas.microsoft.com/office/drawing/2014/main" id="{FF8C91F5-EFBF-4E28-AC3D-096AF1DCE104}"/>
              </a:ext>
            </a:extLst>
          </xdr:cNvPr>
          <xdr:cNvPicPr>
            <a:picLocks noChangeAspect="1"/>
          </xdr:cNvPicPr>
        </xdr:nvPicPr>
        <xdr:blipFill>
          <a:blip xmlns:r="http://schemas.openxmlformats.org/officeDocument/2006/relationships" r:embed="rId1"/>
          <a:stretch>
            <a:fillRect/>
          </a:stretch>
        </xdr:blipFill>
        <xdr:spPr>
          <a:xfrm>
            <a:off x="1229416" y="6305550"/>
            <a:ext cx="4095059" cy="2211838"/>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F5631-B5E2-41DE-BFDA-AEEF60BE6AD7}">
  <dimension ref="A1"/>
  <sheetViews>
    <sheetView showGridLines="0" showRowColHeaders="0" tabSelected="1" zoomScale="145" zoomScaleNormal="145"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4C027-418A-4BE4-9FA7-E0A4B53E22B7}">
  <dimension ref="C5:G36"/>
  <sheetViews>
    <sheetView workbookViewId="0"/>
  </sheetViews>
  <sheetFormatPr defaultRowHeight="15" x14ac:dyDescent="0.25"/>
  <cols>
    <col min="3" max="3" width="48" customWidth="1"/>
    <col min="4" max="4" width="19" customWidth="1"/>
    <col min="6" max="6" width="47.7109375" customWidth="1"/>
    <col min="7" max="7" width="17.5703125" customWidth="1"/>
  </cols>
  <sheetData>
    <row r="5" spans="3:7" ht="15.75" thickBot="1" x14ac:dyDescent="0.3">
      <c r="C5" s="3" t="s">
        <v>9</v>
      </c>
      <c r="D5" s="23">
        <v>3000</v>
      </c>
      <c r="F5" s="2" t="s">
        <v>16</v>
      </c>
    </row>
    <row r="6" spans="3:7" x14ac:dyDescent="0.25">
      <c r="C6" s="3" t="s">
        <v>11</v>
      </c>
      <c r="D6" s="23">
        <v>1500</v>
      </c>
      <c r="F6" s="10" t="s">
        <v>0</v>
      </c>
      <c r="G6" s="11">
        <f>8*12</f>
        <v>96</v>
      </c>
    </row>
    <row r="7" spans="3:7" x14ac:dyDescent="0.25">
      <c r="C7" s="3" t="s">
        <v>12</v>
      </c>
      <c r="D7" s="23">
        <v>250</v>
      </c>
      <c r="F7" s="12" t="s">
        <v>2</v>
      </c>
      <c r="G7" s="13">
        <f xml:space="preserve"> SUM($D$5:$D$7)</f>
        <v>4750</v>
      </c>
    </row>
    <row r="8" spans="3:7" x14ac:dyDescent="0.25">
      <c r="C8" s="3" t="s">
        <v>10</v>
      </c>
      <c r="D8" s="23">
        <v>1600</v>
      </c>
      <c r="F8" s="12" t="s">
        <v>1</v>
      </c>
      <c r="G8" s="13">
        <f>$D$9</f>
        <v>1600</v>
      </c>
    </row>
    <row r="9" spans="3:7" x14ac:dyDescent="0.25">
      <c r="C9" s="4" t="s">
        <v>13</v>
      </c>
      <c r="D9" s="23">
        <v>1600</v>
      </c>
      <c r="F9" s="12" t="s">
        <v>3</v>
      </c>
      <c r="G9" s="35">
        <f>$D$9/G7</f>
        <v>0.33684210526315789</v>
      </c>
    </row>
    <row r="10" spans="3:7" x14ac:dyDescent="0.25">
      <c r="F10" s="14"/>
      <c r="G10" s="15"/>
    </row>
    <row r="11" spans="3:7" ht="15.75" thickBot="1" x14ac:dyDescent="0.3">
      <c r="F11" s="14"/>
      <c r="G11" s="15"/>
    </row>
    <row r="12" spans="3:7" x14ac:dyDescent="0.25">
      <c r="C12" s="10" t="s">
        <v>0</v>
      </c>
      <c r="D12" s="11">
        <f>6*12</f>
        <v>72</v>
      </c>
      <c r="F12" s="16" t="s">
        <v>25</v>
      </c>
      <c r="G12" s="33">
        <f>SQRT(2*G6*G7/(G8*G9))</f>
        <v>41.136206679760839</v>
      </c>
    </row>
    <row r="13" spans="3:7" x14ac:dyDescent="0.25">
      <c r="C13" s="12" t="s">
        <v>2</v>
      </c>
      <c r="D13" s="13">
        <f xml:space="preserve"> SUM($D$5:$D$7)</f>
        <v>4750</v>
      </c>
      <c r="F13" s="16" t="s">
        <v>26</v>
      </c>
      <c r="G13" s="33">
        <f>ROUNDUP(G12,0)</f>
        <v>42</v>
      </c>
    </row>
    <row r="14" spans="3:7" x14ac:dyDescent="0.25">
      <c r="C14" s="12" t="s">
        <v>1</v>
      </c>
      <c r="D14" s="13">
        <f>$D$8</f>
        <v>1600</v>
      </c>
      <c r="F14" s="16" t="s">
        <v>14</v>
      </c>
      <c r="G14" s="33">
        <f>$G$6/G12</f>
        <v>2.3337105617770133</v>
      </c>
    </row>
    <row r="15" spans="3:7" x14ac:dyDescent="0.25">
      <c r="C15" s="12" t="s">
        <v>3</v>
      </c>
      <c r="D15" s="35">
        <f>$D$9/D13</f>
        <v>0.33684210526315789</v>
      </c>
      <c r="F15" s="16" t="s">
        <v>23</v>
      </c>
      <c r="G15" s="33">
        <f>(G12/G6)*365</f>
        <v>156.40328581367402</v>
      </c>
    </row>
    <row r="16" spans="3:7" x14ac:dyDescent="0.25">
      <c r="C16" s="14"/>
      <c r="D16" s="15"/>
      <c r="F16" s="16" t="s">
        <v>5</v>
      </c>
      <c r="G16" s="25">
        <f>(G6*G7)/G12</f>
        <v>11085.125168440814</v>
      </c>
    </row>
    <row r="17" spans="3:7" x14ac:dyDescent="0.25">
      <c r="C17" s="14"/>
      <c r="D17" s="15"/>
      <c r="F17" s="16" t="s">
        <v>6</v>
      </c>
      <c r="G17" s="25">
        <f>(G12*G8*G9)/2</f>
        <v>11085.125168440814</v>
      </c>
    </row>
    <row r="18" spans="3:7" x14ac:dyDescent="0.25">
      <c r="C18" s="16" t="s">
        <v>25</v>
      </c>
      <c r="D18" s="33">
        <f>SQRT(2*D12*D13/(D14*D15))</f>
        <v>35.625</v>
      </c>
      <c r="F18" s="16" t="s">
        <v>7</v>
      </c>
      <c r="G18" s="25">
        <f>SUM(G16:G17)</f>
        <v>22170.250336881629</v>
      </c>
    </row>
    <row r="19" spans="3:7" ht="15.75" thickBot="1" x14ac:dyDescent="0.3">
      <c r="C19" s="16" t="s">
        <v>26</v>
      </c>
      <c r="D19" s="33">
        <f>ROUNDUP(D18,0)</f>
        <v>36</v>
      </c>
      <c r="F19" s="18" t="s">
        <v>15</v>
      </c>
      <c r="G19" s="26">
        <f>(G13*G8*G9)/2+(G13*G8*G9)/2</f>
        <v>22635.78947368421</v>
      </c>
    </row>
    <row r="20" spans="3:7" x14ac:dyDescent="0.25">
      <c r="C20" s="16" t="s">
        <v>14</v>
      </c>
      <c r="D20" s="33">
        <f>$D$12/D18</f>
        <v>2.0210526315789474</v>
      </c>
    </row>
    <row r="21" spans="3:7" x14ac:dyDescent="0.25">
      <c r="C21" s="16" t="s">
        <v>23</v>
      </c>
      <c r="D21" s="33">
        <f>(D18/D12)*365</f>
        <v>180.59895833333334</v>
      </c>
    </row>
    <row r="22" spans="3:7" ht="15.75" thickBot="1" x14ac:dyDescent="0.3">
      <c r="C22" s="16" t="s">
        <v>5</v>
      </c>
      <c r="D22" s="27">
        <f>(D12*D13)/D18</f>
        <v>9600</v>
      </c>
      <c r="F22" s="2" t="s">
        <v>17</v>
      </c>
    </row>
    <row r="23" spans="3:7" x14ac:dyDescent="0.25">
      <c r="C23" s="16" t="s">
        <v>6</v>
      </c>
      <c r="D23" s="27">
        <f>(D18*D14*D15)/2</f>
        <v>9600</v>
      </c>
      <c r="F23" s="10" t="s">
        <v>0</v>
      </c>
      <c r="G23" s="11">
        <f>4*12</f>
        <v>48</v>
      </c>
    </row>
    <row r="24" spans="3:7" x14ac:dyDescent="0.25">
      <c r="C24" s="16" t="s">
        <v>7</v>
      </c>
      <c r="D24" s="27">
        <f>SUM(D22:D23)</f>
        <v>19200</v>
      </c>
      <c r="F24" s="12" t="s">
        <v>2</v>
      </c>
      <c r="G24" s="13">
        <f xml:space="preserve"> SUM($D$5:$D$7)</f>
        <v>4750</v>
      </c>
    </row>
    <row r="25" spans="3:7" ht="15.75" thickBot="1" x14ac:dyDescent="0.3">
      <c r="C25" s="18" t="s">
        <v>15</v>
      </c>
      <c r="D25" s="28">
        <f>(D19*D14*D15)/2+(D19*D14*D15)/2</f>
        <v>19402.105263157893</v>
      </c>
      <c r="F25" s="12" t="s">
        <v>1</v>
      </c>
      <c r="G25" s="13">
        <f>$D$9</f>
        <v>1600</v>
      </c>
    </row>
    <row r="26" spans="3:7" x14ac:dyDescent="0.25">
      <c r="F26" s="12" t="s">
        <v>3</v>
      </c>
      <c r="G26" s="35">
        <f>$D$9/G24</f>
        <v>0.33684210526315789</v>
      </c>
    </row>
    <row r="27" spans="3:7" x14ac:dyDescent="0.25">
      <c r="F27" s="14"/>
      <c r="G27" s="15"/>
    </row>
    <row r="28" spans="3:7" x14ac:dyDescent="0.25">
      <c r="F28" s="14"/>
      <c r="G28" s="15"/>
    </row>
    <row r="29" spans="3:7" x14ac:dyDescent="0.25">
      <c r="F29" s="16" t="s">
        <v>25</v>
      </c>
      <c r="G29" s="33">
        <f>SQRT(2*G23*G24/(G25*G26))</f>
        <v>29.08769069555024</v>
      </c>
    </row>
    <row r="30" spans="3:7" x14ac:dyDescent="0.25">
      <c r="F30" s="16" t="s">
        <v>26</v>
      </c>
      <c r="G30" s="33">
        <f>ROUNDUP(G29,0)</f>
        <v>30</v>
      </c>
    </row>
    <row r="31" spans="3:7" x14ac:dyDescent="0.25">
      <c r="F31" s="16" t="s">
        <v>14</v>
      </c>
      <c r="G31" s="33">
        <f>$G$23/G29</f>
        <v>1.6501825635591936</v>
      </c>
    </row>
    <row r="32" spans="3:7" x14ac:dyDescent="0.25">
      <c r="F32" s="16" t="s">
        <v>23</v>
      </c>
      <c r="G32" s="33">
        <f>(G29/G23)*365</f>
        <v>221.18764799741328</v>
      </c>
    </row>
    <row r="33" spans="6:7" x14ac:dyDescent="0.25">
      <c r="F33" s="16" t="s">
        <v>5</v>
      </c>
      <c r="G33" s="25">
        <f>(G23*G24)/G29</f>
        <v>7838.3671769061702</v>
      </c>
    </row>
    <row r="34" spans="6:7" x14ac:dyDescent="0.25">
      <c r="F34" s="16" t="s">
        <v>6</v>
      </c>
      <c r="G34" s="25">
        <f>(G29*G25*G26)/2</f>
        <v>7838.3671769061702</v>
      </c>
    </row>
    <row r="35" spans="6:7" x14ac:dyDescent="0.25">
      <c r="F35" s="16" t="s">
        <v>7</v>
      </c>
      <c r="G35" s="25">
        <f>SUM(G33:G34)</f>
        <v>15676.73435381234</v>
      </c>
    </row>
    <row r="36" spans="6:7" ht="15.75" thickBot="1" x14ac:dyDescent="0.3">
      <c r="F36" s="18" t="s">
        <v>15</v>
      </c>
      <c r="G36" s="26">
        <f>(G30*G25*G26)/2+(G30*G25*G26)/2</f>
        <v>16168.421052631578</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0A586-EFCF-4002-9230-98407C80C965}">
  <dimension ref="C4:L25"/>
  <sheetViews>
    <sheetView workbookViewId="0"/>
  </sheetViews>
  <sheetFormatPr defaultRowHeight="15" x14ac:dyDescent="0.25"/>
  <cols>
    <col min="3" max="3" width="49.28515625" customWidth="1"/>
    <col min="4" max="4" width="12" customWidth="1"/>
    <col min="6" max="6" width="29.5703125" customWidth="1"/>
    <col min="8" max="8" width="25.5703125" customWidth="1"/>
    <col min="9" max="9" width="11.140625" customWidth="1"/>
    <col min="10" max="10" width="12.42578125" customWidth="1"/>
    <col min="11" max="11" width="14" customWidth="1"/>
    <col min="12" max="12" width="11.28515625" customWidth="1"/>
  </cols>
  <sheetData>
    <row r="4" spans="3:12" ht="15.75" thickBot="1" x14ac:dyDescent="0.3">
      <c r="F4" s="5"/>
      <c r="G4" s="5"/>
      <c r="H4" s="5"/>
    </row>
    <row r="5" spans="3:12" ht="14.25" customHeight="1" x14ac:dyDescent="0.25">
      <c r="C5" s="3" t="s">
        <v>9</v>
      </c>
      <c r="D5" s="23">
        <v>3000</v>
      </c>
      <c r="F5" s="19" t="s">
        <v>13</v>
      </c>
      <c r="G5" s="20" t="s">
        <v>18</v>
      </c>
      <c r="H5" s="21" t="s">
        <v>14</v>
      </c>
      <c r="I5" s="21" t="s">
        <v>8</v>
      </c>
      <c r="J5" s="21" t="s">
        <v>5</v>
      </c>
      <c r="K5" s="21" t="s">
        <v>6</v>
      </c>
      <c r="L5" s="22" t="s">
        <v>7</v>
      </c>
    </row>
    <row r="6" spans="3:12" x14ac:dyDescent="0.25">
      <c r="C6" s="3" t="s">
        <v>11</v>
      </c>
      <c r="D6" s="23">
        <v>1500</v>
      </c>
      <c r="F6" s="29">
        <v>1000</v>
      </c>
      <c r="G6" s="31">
        <f>SQRT((2*$D$12*$D$13)/($F6*$D$15))</f>
        <v>45.062456657399409</v>
      </c>
      <c r="H6" s="31">
        <f>$D$12/G6</f>
        <v>1.5977823967166547</v>
      </c>
      <c r="I6" s="31">
        <f>($G6/$D$12)*365</f>
        <v>228.44162055487197</v>
      </c>
      <c r="J6" s="31">
        <f>($D$12*$D$13)/$G6</f>
        <v>7589.4663844041097</v>
      </c>
      <c r="K6" s="6">
        <f>($G6*$F6*$D$15)/2</f>
        <v>7589.4663844041106</v>
      </c>
      <c r="L6" s="7">
        <f>SUM($J6:$K6)</f>
        <v>15178.932768808219</v>
      </c>
    </row>
    <row r="7" spans="3:12" x14ac:dyDescent="0.25">
      <c r="C7" s="3" t="s">
        <v>12</v>
      </c>
      <c r="D7" s="23">
        <v>250</v>
      </c>
      <c r="F7" s="29">
        <v>1100</v>
      </c>
      <c r="G7" s="31">
        <f t="shared" ref="G7:G16" si="0">SQRT((2*$D$12*$D$13)/($F7*$D$15))</f>
        <v>42.965366602331315</v>
      </c>
      <c r="H7" s="31">
        <f t="shared" ref="H7:H16" si="1">$D$12/G7</f>
        <v>1.6757683151269389</v>
      </c>
      <c r="I7" s="31">
        <f t="shared" ref="I7:I16" si="2">($G7/$D$12)*365</f>
        <v>217.81053902570739</v>
      </c>
      <c r="J7" s="31">
        <f t="shared" ref="J7:J16" si="3">($D$12*$D$13)/$G7</f>
        <v>7959.8994968529596</v>
      </c>
      <c r="K7" s="6">
        <f t="shared" ref="K7:K16" si="4">($G7*$F7*$D$15)/2</f>
        <v>7959.8994968529596</v>
      </c>
      <c r="L7" s="7">
        <f t="shared" ref="L7:L16" si="5">SUM($J7:$K7)</f>
        <v>15919.798993705919</v>
      </c>
    </row>
    <row r="8" spans="3:12" x14ac:dyDescent="0.25">
      <c r="C8" s="3" t="s">
        <v>10</v>
      </c>
      <c r="D8" s="23">
        <v>1600</v>
      </c>
      <c r="F8" s="29">
        <v>1200</v>
      </c>
      <c r="G8" s="31">
        <f t="shared" si="0"/>
        <v>41.136206679760839</v>
      </c>
      <c r="H8" s="31">
        <f t="shared" si="1"/>
        <v>1.75028292133276</v>
      </c>
      <c r="I8" s="31">
        <f t="shared" si="2"/>
        <v>208.53771441823201</v>
      </c>
      <c r="J8" s="31">
        <f t="shared" si="3"/>
        <v>8313.8438763306094</v>
      </c>
      <c r="K8" s="6">
        <f t="shared" si="4"/>
        <v>8313.8438763306112</v>
      </c>
      <c r="L8" s="7">
        <f t="shared" si="5"/>
        <v>16627.687752661222</v>
      </c>
    </row>
    <row r="9" spans="3:12" ht="16.5" customHeight="1" x14ac:dyDescent="0.25">
      <c r="C9" s="4" t="s">
        <v>13</v>
      </c>
      <c r="D9" s="23">
        <v>1600</v>
      </c>
      <c r="F9" s="29">
        <v>1300</v>
      </c>
      <c r="G9" s="31">
        <f t="shared" si="0"/>
        <v>39.522388981047577</v>
      </c>
      <c r="H9" s="31">
        <f t="shared" si="1"/>
        <v>1.8217522233923313</v>
      </c>
      <c r="I9" s="31">
        <f t="shared" si="2"/>
        <v>200.35655525114396</v>
      </c>
      <c r="J9" s="31">
        <f t="shared" si="3"/>
        <v>8653.3230611135732</v>
      </c>
      <c r="K9" s="6">
        <f t="shared" si="4"/>
        <v>8653.3230611135732</v>
      </c>
      <c r="L9" s="7">
        <f t="shared" si="5"/>
        <v>17306.646122227146</v>
      </c>
    </row>
    <row r="10" spans="3:12" x14ac:dyDescent="0.25">
      <c r="C10" s="1"/>
      <c r="D10" s="1"/>
      <c r="F10" s="29">
        <v>1400</v>
      </c>
      <c r="G10" s="31">
        <f t="shared" si="0"/>
        <v>38.084726972520478</v>
      </c>
      <c r="H10" s="31">
        <f t="shared" si="1"/>
        <v>1.8905216270015701</v>
      </c>
      <c r="I10" s="31">
        <f t="shared" si="2"/>
        <v>193.06840756902741</v>
      </c>
      <c r="J10" s="31">
        <f t="shared" si="3"/>
        <v>8979.9777282574578</v>
      </c>
      <c r="K10" s="6">
        <f t="shared" si="4"/>
        <v>8979.9777282574596</v>
      </c>
      <c r="L10" s="7">
        <f t="shared" si="5"/>
        <v>17959.955456514916</v>
      </c>
    </row>
    <row r="11" spans="3:12" ht="15.75" thickBot="1" x14ac:dyDescent="0.3">
      <c r="C11" s="1"/>
      <c r="D11" s="1"/>
      <c r="F11" s="29">
        <v>1500</v>
      </c>
      <c r="G11" s="31">
        <f t="shared" si="0"/>
        <v>36.793341788970459</v>
      </c>
      <c r="H11" s="31">
        <f t="shared" si="1"/>
        <v>1.9568757959784844</v>
      </c>
      <c r="I11" s="31">
        <f t="shared" si="2"/>
        <v>186.52180212464191</v>
      </c>
      <c r="J11" s="31">
        <f t="shared" si="3"/>
        <v>9295.1600308978013</v>
      </c>
      <c r="K11" s="6">
        <f t="shared" si="4"/>
        <v>9295.1600308977995</v>
      </c>
      <c r="L11" s="7">
        <f t="shared" si="5"/>
        <v>18590.320061795603</v>
      </c>
    </row>
    <row r="12" spans="3:12" x14ac:dyDescent="0.25">
      <c r="C12" s="10" t="s">
        <v>0</v>
      </c>
      <c r="D12" s="11">
        <f>6*12</f>
        <v>72</v>
      </c>
      <c r="F12" s="29">
        <v>1600</v>
      </c>
      <c r="G12" s="31">
        <f t="shared" si="0"/>
        <v>35.625</v>
      </c>
      <c r="H12" s="31">
        <f t="shared" si="1"/>
        <v>2.0210526315789474</v>
      </c>
      <c r="I12" s="31">
        <f t="shared" si="2"/>
        <v>180.59895833333334</v>
      </c>
      <c r="J12" s="31">
        <f t="shared" si="3"/>
        <v>9600</v>
      </c>
      <c r="K12" s="6">
        <f t="shared" si="4"/>
        <v>9600</v>
      </c>
      <c r="L12" s="7">
        <f t="shared" si="5"/>
        <v>19200</v>
      </c>
    </row>
    <row r="13" spans="3:12" x14ac:dyDescent="0.25">
      <c r="C13" s="12" t="s">
        <v>2</v>
      </c>
      <c r="D13" s="13">
        <f xml:space="preserve"> SUM($D$5:$D$7)</f>
        <v>4750</v>
      </c>
      <c r="F13" s="29">
        <v>1700</v>
      </c>
      <c r="G13" s="31">
        <f t="shared" si="0"/>
        <v>34.561326567677447</v>
      </c>
      <c r="H13" s="31">
        <f t="shared" si="1"/>
        <v>2.0832533687331338</v>
      </c>
      <c r="I13" s="31">
        <f t="shared" si="2"/>
        <v>175.20672496114261</v>
      </c>
      <c r="J13" s="31">
        <f t="shared" si="3"/>
        <v>9895.453501482385</v>
      </c>
      <c r="K13" s="6">
        <f t="shared" si="4"/>
        <v>9895.453501482385</v>
      </c>
      <c r="L13" s="7">
        <f t="shared" si="5"/>
        <v>19790.90700296477</v>
      </c>
    </row>
    <row r="14" spans="3:12" x14ac:dyDescent="0.25">
      <c r="C14" s="12" t="s">
        <v>1</v>
      </c>
      <c r="D14" s="13">
        <f>$D$9</f>
        <v>1600</v>
      </c>
      <c r="F14" s="29">
        <v>1800</v>
      </c>
      <c r="G14" s="31">
        <f t="shared" si="0"/>
        <v>33.587572106361009</v>
      </c>
      <c r="H14" s="31">
        <f t="shared" si="1"/>
        <v>2.1436500313865863</v>
      </c>
      <c r="I14" s="31">
        <f t="shared" si="2"/>
        <v>170.27033081696899</v>
      </c>
      <c r="J14" s="31">
        <f t="shared" si="3"/>
        <v>10182.337649086285</v>
      </c>
      <c r="K14" s="6">
        <f t="shared" si="4"/>
        <v>10182.337649086285</v>
      </c>
      <c r="L14" s="7">
        <f t="shared" si="5"/>
        <v>20364.675298172569</v>
      </c>
    </row>
    <row r="15" spans="3:12" x14ac:dyDescent="0.25">
      <c r="C15" s="12" t="s">
        <v>3</v>
      </c>
      <c r="D15" s="35">
        <f>$D$9/D13</f>
        <v>0.33684210526315789</v>
      </c>
      <c r="F15" s="29">
        <v>1900</v>
      </c>
      <c r="G15" s="31">
        <f t="shared" si="0"/>
        <v>32.691742076555052</v>
      </c>
      <c r="H15" s="31">
        <f t="shared" si="1"/>
        <v>2.2023910451573929</v>
      </c>
      <c r="I15" s="31">
        <f t="shared" si="2"/>
        <v>165.72897024920269</v>
      </c>
      <c r="J15" s="31">
        <f t="shared" si="3"/>
        <v>10461.357464497616</v>
      </c>
      <c r="K15" s="6">
        <f t="shared" si="4"/>
        <v>10461.357464497616</v>
      </c>
      <c r="L15" s="7">
        <f t="shared" si="5"/>
        <v>20922.714928995232</v>
      </c>
    </row>
    <row r="16" spans="3:12" ht="15.75" thickBot="1" x14ac:dyDescent="0.3">
      <c r="C16" s="14"/>
      <c r="D16" s="15"/>
      <c r="F16" s="30">
        <v>2000</v>
      </c>
      <c r="G16" s="32">
        <f t="shared" si="0"/>
        <v>31.863968679372004</v>
      </c>
      <c r="H16" s="32">
        <f t="shared" si="1"/>
        <v>2.2596055351576823</v>
      </c>
      <c r="I16" s="32">
        <f t="shared" si="2"/>
        <v>161.53261899959418</v>
      </c>
      <c r="J16" s="32">
        <f t="shared" si="3"/>
        <v>10733.126291998989</v>
      </c>
      <c r="K16" s="8">
        <f t="shared" si="4"/>
        <v>10733.126291998989</v>
      </c>
      <c r="L16" s="9">
        <f t="shared" si="5"/>
        <v>21466.252583997979</v>
      </c>
    </row>
    <row r="17" spans="3:4" x14ac:dyDescent="0.25">
      <c r="C17" s="14"/>
      <c r="D17" s="15"/>
    </row>
    <row r="18" spans="3:4" x14ac:dyDescent="0.25">
      <c r="C18" s="16" t="s">
        <v>25</v>
      </c>
      <c r="D18" s="33">
        <f>SQRT(2*D12*D13/(D14*D15))</f>
        <v>35.625</v>
      </c>
    </row>
    <row r="19" spans="3:4" x14ac:dyDescent="0.25">
      <c r="C19" s="16" t="s">
        <v>26</v>
      </c>
      <c r="D19" s="33">
        <f>ROUNDUP(D18,0)</f>
        <v>36</v>
      </c>
    </row>
    <row r="20" spans="3:4" x14ac:dyDescent="0.25">
      <c r="C20" s="16" t="s">
        <v>14</v>
      </c>
      <c r="D20" s="17">
        <f>$D$12/D18</f>
        <v>2.0210526315789474</v>
      </c>
    </row>
    <row r="21" spans="3:4" x14ac:dyDescent="0.25">
      <c r="C21" s="16" t="s">
        <v>23</v>
      </c>
      <c r="D21" s="17">
        <f>(D18/D12)*365</f>
        <v>180.59895833333334</v>
      </c>
    </row>
    <row r="22" spans="3:4" x14ac:dyDescent="0.25">
      <c r="C22" s="16" t="s">
        <v>5</v>
      </c>
      <c r="D22" s="27">
        <f>(D12*D13)/D18</f>
        <v>9600</v>
      </c>
    </row>
    <row r="23" spans="3:4" x14ac:dyDescent="0.25">
      <c r="C23" s="16" t="s">
        <v>6</v>
      </c>
      <c r="D23" s="27">
        <f>(D18*D14*D15)/2</f>
        <v>9600</v>
      </c>
    </row>
    <row r="24" spans="3:4" x14ac:dyDescent="0.25">
      <c r="C24" s="16" t="s">
        <v>7</v>
      </c>
      <c r="D24" s="27">
        <f>SUM(D22:D23)</f>
        <v>19200</v>
      </c>
    </row>
    <row r="25" spans="3:4" ht="15.75" thickBot="1" x14ac:dyDescent="0.3">
      <c r="C25" s="18" t="s">
        <v>15</v>
      </c>
      <c r="D25" s="28">
        <f>(D19*D14*D15)/2+(D19*D14*D15)/2</f>
        <v>19402.105263157893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6612A-F9E4-45D1-B57F-4D4AC240B6E9}">
  <dimension ref="B4:I30"/>
  <sheetViews>
    <sheetView zoomScaleNormal="100" workbookViewId="0"/>
  </sheetViews>
  <sheetFormatPr defaultRowHeight="15" x14ac:dyDescent="0.25"/>
  <cols>
    <col min="3" max="3" width="47.85546875" customWidth="1"/>
    <col min="4" max="4" width="13.7109375" customWidth="1"/>
    <col min="6" max="6" width="13.85546875" customWidth="1"/>
    <col min="7" max="7" width="25.7109375" customWidth="1"/>
    <col min="8" max="8" width="25.85546875" customWidth="1"/>
    <col min="9" max="9" width="35.5703125" customWidth="1"/>
  </cols>
  <sheetData>
    <row r="4" spans="3:9" ht="15.75" thickBot="1" x14ac:dyDescent="0.3"/>
    <row r="5" spans="3:9" x14ac:dyDescent="0.25">
      <c r="C5" s="3" t="s">
        <v>9</v>
      </c>
      <c r="D5" s="23">
        <v>3000</v>
      </c>
      <c r="F5" s="46" t="s">
        <v>24</v>
      </c>
      <c r="G5" s="36" t="s">
        <v>4</v>
      </c>
      <c r="H5" s="36" t="s">
        <v>20</v>
      </c>
      <c r="I5" s="37" t="s">
        <v>21</v>
      </c>
    </row>
    <row r="6" spans="3:9" x14ac:dyDescent="0.25">
      <c r="C6" s="3" t="s">
        <v>11</v>
      </c>
      <c r="D6" s="23">
        <v>1500</v>
      </c>
      <c r="F6" s="47">
        <v>1</v>
      </c>
      <c r="G6" s="38">
        <v>500</v>
      </c>
      <c r="H6" s="39">
        <f>SQRT((2*$D$12*$D$13/($D$14*$D$15))*(($G6+($D$14*$D$15))/$G6))</f>
        <v>51.353097520986985</v>
      </c>
      <c r="I6" s="40">
        <f>SQRT((2*$D$12*$D$13/$D$14*$D$15)*($G6/($G6+($D$14*$D$15))))</f>
        <v>8.3247169233616205</v>
      </c>
    </row>
    <row r="7" spans="3:9" x14ac:dyDescent="0.25">
      <c r="C7" s="3" t="s">
        <v>12</v>
      </c>
      <c r="D7" s="23">
        <v>250</v>
      </c>
      <c r="F7" s="47">
        <v>2</v>
      </c>
      <c r="G7" s="38">
        <v>1000</v>
      </c>
      <c r="H7" s="39">
        <f t="shared" ref="H7:H9" si="0">SQRT((2*$D$12*$D$13/($D$14*$D$15))*(($G7+($D$14*$D$15))/$G7))</f>
        <v>44.194350600500961</v>
      </c>
      <c r="I7" s="40">
        <f t="shared" ref="I7:I9" si="1">SQRT((2*$D$12*$D$13/$D$14*$D$15)*($G7/($G7+($D$14*$D$15))))</f>
        <v>9.6731820739810601</v>
      </c>
    </row>
    <row r="8" spans="3:9" x14ac:dyDescent="0.25">
      <c r="C8" s="3" t="s">
        <v>10</v>
      </c>
      <c r="D8" s="23">
        <v>1600</v>
      </c>
      <c r="F8" s="47">
        <v>3</v>
      </c>
      <c r="G8" s="38">
        <v>1500</v>
      </c>
      <c r="H8" s="39">
        <f t="shared" si="0"/>
        <v>41.534812206148231</v>
      </c>
      <c r="I8" s="40">
        <f t="shared" si="1"/>
        <v>10.292570913242722</v>
      </c>
    </row>
    <row r="9" spans="3:9" ht="17.25" customHeight="1" x14ac:dyDescent="0.25">
      <c r="C9" s="4" t="s">
        <v>13</v>
      </c>
      <c r="D9" s="23">
        <v>1600</v>
      </c>
      <c r="F9" s="47">
        <v>4</v>
      </c>
      <c r="G9" s="38">
        <v>2000</v>
      </c>
      <c r="H9" s="39">
        <f t="shared" si="0"/>
        <v>40.139016243550365</v>
      </c>
      <c r="I9" s="40">
        <f t="shared" si="1"/>
        <v>10.650485238752999</v>
      </c>
    </row>
    <row r="10" spans="3:9" x14ac:dyDescent="0.25">
      <c r="C10" s="24" t="s">
        <v>4</v>
      </c>
      <c r="D10" s="23">
        <v>500</v>
      </c>
      <c r="F10" s="47"/>
      <c r="G10" s="39"/>
      <c r="H10" s="39"/>
      <c r="I10" s="40"/>
    </row>
    <row r="11" spans="3:9" ht="15.75" thickBot="1" x14ac:dyDescent="0.3">
      <c r="C11" s="5"/>
      <c r="D11" s="5"/>
      <c r="E11" s="5"/>
      <c r="F11" s="47"/>
      <c r="G11" s="39"/>
      <c r="H11" s="39"/>
      <c r="I11" s="40"/>
    </row>
    <row r="12" spans="3:9" x14ac:dyDescent="0.25">
      <c r="C12" s="10" t="s">
        <v>0</v>
      </c>
      <c r="D12" s="11">
        <f>6*12</f>
        <v>72</v>
      </c>
      <c r="E12" s="5"/>
      <c r="F12" s="48" t="s">
        <v>24</v>
      </c>
      <c r="G12" s="34" t="s">
        <v>22</v>
      </c>
      <c r="H12" s="34" t="s">
        <v>14</v>
      </c>
      <c r="I12" s="41" t="s">
        <v>23</v>
      </c>
    </row>
    <row r="13" spans="3:9" x14ac:dyDescent="0.25">
      <c r="C13" s="12" t="s">
        <v>2</v>
      </c>
      <c r="D13" s="13">
        <f xml:space="preserve"> SUM($D$5:$D$7)</f>
        <v>4750</v>
      </c>
      <c r="E13" s="5"/>
      <c r="F13" s="47">
        <v>1</v>
      </c>
      <c r="G13" s="31">
        <f>$H6-$I6</f>
        <v>43.028380597625365</v>
      </c>
      <c r="H13" s="39">
        <f>$D$12/$H6</f>
        <v>1.4020575870924834</v>
      </c>
      <c r="I13" s="40">
        <f>($H6/$D$12)*365</f>
        <v>260.33167493278125</v>
      </c>
    </row>
    <row r="14" spans="3:9" x14ac:dyDescent="0.25">
      <c r="C14" s="12" t="s">
        <v>1</v>
      </c>
      <c r="D14" s="13">
        <f>$D$9</f>
        <v>1600</v>
      </c>
      <c r="E14" s="5"/>
      <c r="F14" s="47">
        <v>2</v>
      </c>
      <c r="G14" s="31">
        <f>$H7-$I7</f>
        <v>34.521168526519901</v>
      </c>
      <c r="H14" s="39">
        <f>$D$12/$H7</f>
        <v>1.6291675071968101</v>
      </c>
      <c r="I14" s="40">
        <f>($H7/$D$12)*365</f>
        <v>224.04080512753961</v>
      </c>
    </row>
    <row r="15" spans="3:9" x14ac:dyDescent="0.25">
      <c r="C15" s="12" t="s">
        <v>3</v>
      </c>
      <c r="D15" s="35">
        <f>$D$9/D13</f>
        <v>0.33684210526315789</v>
      </c>
      <c r="E15" s="5"/>
      <c r="F15" s="47">
        <v>3</v>
      </c>
      <c r="G15" s="31">
        <f>$H8-$I8</f>
        <v>31.242241292905511</v>
      </c>
      <c r="H15" s="39">
        <f>$D$12/$H8</f>
        <v>1.7334856274935109</v>
      </c>
      <c r="I15" s="40">
        <f>($H8/$D$12)*365</f>
        <v>210.55842298950145</v>
      </c>
    </row>
    <row r="16" spans="3:9" x14ac:dyDescent="0.25">
      <c r="C16" s="14"/>
      <c r="D16" s="15"/>
      <c r="E16" s="5"/>
      <c r="F16" s="47">
        <v>4</v>
      </c>
      <c r="G16" s="31">
        <f>$H9-$I9</f>
        <v>29.488531004797366</v>
      </c>
      <c r="H16" s="39">
        <f>$D$12/$H9</f>
        <v>1.7937659349478734</v>
      </c>
      <c r="I16" s="40">
        <f>($H9/$D$12)*365</f>
        <v>203.48251290133169</v>
      </c>
    </row>
    <row r="17" spans="2:9" x14ac:dyDescent="0.25">
      <c r="C17" s="16" t="s">
        <v>21</v>
      </c>
      <c r="D17" s="33">
        <f>SQRT((2*D12*D13/D14*D15)*(D10/(D10+(D14*D15))))</f>
        <v>8.3247169233616205</v>
      </c>
      <c r="E17" s="5"/>
      <c r="F17" s="47"/>
      <c r="G17" s="39"/>
      <c r="H17" s="39"/>
      <c r="I17" s="40"/>
    </row>
    <row r="18" spans="2:9" x14ac:dyDescent="0.25">
      <c r="C18" s="16" t="s">
        <v>25</v>
      </c>
      <c r="D18" s="33">
        <f>SQRT((2*D12*D13/(D14*D15))*((D10+(D14*D15))/D10))</f>
        <v>51.353097520986985</v>
      </c>
      <c r="E18" s="5"/>
      <c r="F18" s="47"/>
      <c r="G18" s="39"/>
      <c r="H18" s="39"/>
      <c r="I18" s="40"/>
    </row>
    <row r="19" spans="2:9" x14ac:dyDescent="0.25">
      <c r="C19" s="16" t="s">
        <v>22</v>
      </c>
      <c r="D19" s="33">
        <f>D18-D17</f>
        <v>43.028380597625365</v>
      </c>
      <c r="E19" s="5"/>
      <c r="F19" s="48" t="s">
        <v>24</v>
      </c>
      <c r="G19" s="34" t="s">
        <v>5</v>
      </c>
      <c r="H19" s="34" t="s">
        <v>6</v>
      </c>
      <c r="I19" s="41" t="s">
        <v>19</v>
      </c>
    </row>
    <row r="20" spans="2:9" x14ac:dyDescent="0.25">
      <c r="C20" s="16" t="s">
        <v>26</v>
      </c>
      <c r="D20" s="33">
        <f>ROUNDUP(D18,0)</f>
        <v>52</v>
      </c>
      <c r="E20" s="5"/>
      <c r="F20" s="47">
        <v>1</v>
      </c>
      <c r="G20" s="42">
        <f>($D$12*$D$13)/$H6</f>
        <v>6659.7735386892955</v>
      </c>
      <c r="H20" s="42">
        <f>($I6*$I6*$D$14*$D$15)/(2*$H6)</f>
        <v>363.65424751334939</v>
      </c>
      <c r="I20" s="43">
        <f>$G6*($H6-$I6)*($H6-$I6)/(2*$H6)</f>
        <v>9013.2904645988292</v>
      </c>
    </row>
    <row r="21" spans="2:9" x14ac:dyDescent="0.25">
      <c r="B21" s="5"/>
      <c r="C21" s="16" t="s">
        <v>14</v>
      </c>
      <c r="D21" s="33">
        <f>$D$12/D18</f>
        <v>1.4020575870924834</v>
      </c>
      <c r="E21" s="5"/>
      <c r="F21" s="47">
        <v>2</v>
      </c>
      <c r="G21" s="42">
        <f>($D$12*$D$13)/$H7</f>
        <v>7738.5456591848479</v>
      </c>
      <c r="H21" s="42">
        <f>($I7*$I7*$D$14*$D$15)/(2*$H7)</f>
        <v>570.54293001694043</v>
      </c>
      <c r="I21" s="43">
        <f>$G7*($H7-$I7)*($H7-$I7)/(2*$H7)</f>
        <v>13482.61780344929</v>
      </c>
    </row>
    <row r="22" spans="2:9" x14ac:dyDescent="0.25">
      <c r="C22" s="16" t="s">
        <v>23</v>
      </c>
      <c r="D22" s="33">
        <f>(D18/D12)*365</f>
        <v>260.33167493278125</v>
      </c>
      <c r="E22" s="5"/>
      <c r="F22" s="47">
        <v>3</v>
      </c>
      <c r="G22" s="42">
        <f>($D$12*$D$13)/$H8</f>
        <v>8234.0567305941768</v>
      </c>
      <c r="H22" s="42">
        <f>($I8*$I8*$D$14*$D$15)/(2*$H8)</f>
        <v>687.30870517037499</v>
      </c>
      <c r="I22" s="43">
        <f>$G8*($H8-$I8)*($H8-$I8)/(2*$H8)</f>
        <v>17625.172520816985</v>
      </c>
    </row>
    <row r="23" spans="2:9" x14ac:dyDescent="0.25">
      <c r="C23" s="16" t="s">
        <v>5</v>
      </c>
      <c r="D23" s="25">
        <f>(D12*D13)/D18</f>
        <v>6659.7735386892955</v>
      </c>
      <c r="E23" s="5"/>
      <c r="F23" s="47">
        <v>4</v>
      </c>
      <c r="G23" s="42">
        <f>($D$12*$D$13)/$H9</f>
        <v>8520.3881910023993</v>
      </c>
      <c r="H23" s="42">
        <f>($I9*$I9*$D$14*$D$15)/(2*$H9)</f>
        <v>761.5324698949513</v>
      </c>
      <c r="I23" s="43">
        <f>$G9*($H9-$I9)*($H9-$I9)/(2*$H9)</f>
        <v>21664.045166045162</v>
      </c>
    </row>
    <row r="24" spans="2:9" x14ac:dyDescent="0.25">
      <c r="C24" s="16" t="s">
        <v>6</v>
      </c>
      <c r="D24" s="25">
        <f>(D17*D17*D14*D15)/(2*D18)</f>
        <v>363.65424751334939</v>
      </c>
      <c r="E24" s="5"/>
      <c r="F24" s="47"/>
      <c r="G24" s="39"/>
      <c r="H24" s="39"/>
      <c r="I24" s="40"/>
    </row>
    <row r="25" spans="2:9" x14ac:dyDescent="0.25">
      <c r="C25" s="16" t="s">
        <v>19</v>
      </c>
      <c r="D25" s="25">
        <f>D10*(D18-D17)*(D18-D17)/(2*D18)</f>
        <v>9013.2904645988292</v>
      </c>
      <c r="E25" s="5"/>
      <c r="F25" s="47"/>
      <c r="G25" s="39"/>
      <c r="H25" s="39"/>
      <c r="I25" s="40"/>
    </row>
    <row r="26" spans="2:9" x14ac:dyDescent="0.25">
      <c r="C26" s="16" t="s">
        <v>7</v>
      </c>
      <c r="D26" s="25">
        <f>SUM(D23:D25)</f>
        <v>16036.718250801474</v>
      </c>
      <c r="E26" s="5"/>
      <c r="F26" s="48" t="s">
        <v>24</v>
      </c>
      <c r="G26" s="34" t="s">
        <v>7</v>
      </c>
      <c r="H26" s="39"/>
      <c r="I26" s="40"/>
    </row>
    <row r="27" spans="2:9" ht="15.75" thickBot="1" x14ac:dyDescent="0.3">
      <c r="C27" s="18" t="s">
        <v>15</v>
      </c>
      <c r="D27" s="26">
        <f>(D12*D13)/D20+(D17*D17*D14*D15)/(2*D20)+D10*(D20-D17)*(D20-D17)/(2*D20)</f>
        <v>16106.872307549958</v>
      </c>
      <c r="E27" s="5"/>
      <c r="F27" s="47">
        <v>1</v>
      </c>
      <c r="G27" s="6">
        <f>SUM(G20:I20)</f>
        <v>16036.718250801474</v>
      </c>
      <c r="H27" s="39"/>
      <c r="I27" s="40"/>
    </row>
    <row r="28" spans="2:9" x14ac:dyDescent="0.25">
      <c r="F28" s="47">
        <v>2</v>
      </c>
      <c r="G28" s="6">
        <f>SUM(G21:I21)</f>
        <v>21791.706392651078</v>
      </c>
      <c r="H28" s="39"/>
      <c r="I28" s="40"/>
    </row>
    <row r="29" spans="2:9" x14ac:dyDescent="0.25">
      <c r="F29" s="47">
        <v>3</v>
      </c>
      <c r="G29" s="6">
        <f>SUM(G22:I22)</f>
        <v>26546.537956581538</v>
      </c>
      <c r="H29" s="39"/>
      <c r="I29" s="40"/>
    </row>
    <row r="30" spans="2:9" ht="15.75" thickBot="1" x14ac:dyDescent="0.3">
      <c r="F30" s="49">
        <v>4</v>
      </c>
      <c r="G30" s="8">
        <f>SUM(G23:I23)</f>
        <v>30945.965826942513</v>
      </c>
      <c r="H30" s="44"/>
      <c r="I30" s="45"/>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Q1-Q4</vt:lpstr>
      <vt:lpstr>Q5</vt:lpstr>
      <vt:lpstr>Q6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 Qin</dc:creator>
  <cp:lastModifiedBy>Rui Qin</cp:lastModifiedBy>
  <dcterms:created xsi:type="dcterms:W3CDTF">2022-10-12T00:51:51Z</dcterms:created>
  <dcterms:modified xsi:type="dcterms:W3CDTF">2022-10-14T12:11:15Z</dcterms:modified>
</cp:coreProperties>
</file>