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71510F8-BAC7-4361-883F-C3DD309BB1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4" i="1" l="1"/>
  <c r="G84" i="1"/>
  <c r="H79" i="1"/>
  <c r="H80" i="1"/>
  <c r="H81" i="1"/>
  <c r="H82" i="1"/>
  <c r="H83" i="1"/>
  <c r="F79" i="1"/>
  <c r="F80" i="1"/>
  <c r="F81" i="1"/>
  <c r="F82" i="1"/>
  <c r="F83" i="1"/>
  <c r="H78" i="1"/>
  <c r="F78" i="1"/>
  <c r="D76" i="1"/>
  <c r="F76" i="1"/>
  <c r="H76" i="1" s="1"/>
  <c r="L76" i="1"/>
  <c r="L75" i="1"/>
  <c r="H75" i="1"/>
  <c r="D75" i="1"/>
  <c r="F75" i="1"/>
  <c r="D73" i="1"/>
  <c r="D74" i="1"/>
  <c r="L74" i="1"/>
  <c r="L73" i="1"/>
  <c r="F74" i="1"/>
  <c r="H74" i="1" s="1"/>
  <c r="L72" i="1"/>
  <c r="F73" i="1"/>
  <c r="H73" i="1" s="1"/>
  <c r="D72" i="1"/>
  <c r="L71" i="1"/>
  <c r="D71" i="1"/>
  <c r="H71" i="1"/>
  <c r="H72" i="1"/>
  <c r="F72" i="1"/>
  <c r="F71" i="1"/>
  <c r="V67" i="1"/>
  <c r="X66" i="1"/>
  <c r="W68" i="1" s="1"/>
  <c r="W67" i="1"/>
  <c r="W66" i="1"/>
  <c r="V66" i="1"/>
  <c r="J68" i="1"/>
  <c r="P66" i="1" s="1"/>
  <c r="U68" i="1" s="1"/>
  <c r="H66" i="1"/>
  <c r="O67" i="1"/>
  <c r="N67" i="1"/>
  <c r="O66" i="1"/>
  <c r="N66" i="1"/>
  <c r="G67" i="1"/>
  <c r="F67" i="1"/>
  <c r="G66" i="1"/>
  <c r="F66" i="1"/>
  <c r="J30" i="1"/>
  <c r="L30" i="1" s="1"/>
  <c r="J32" i="1"/>
  <c r="L32" i="1" s="1"/>
  <c r="J31" i="1"/>
  <c r="L31" i="1" s="1"/>
  <c r="J29" i="1"/>
  <c r="J28" i="1"/>
  <c r="L28" i="1" s="1"/>
  <c r="J27" i="1"/>
  <c r="L27" i="1" s="1"/>
  <c r="J26" i="1"/>
  <c r="L26" i="1" s="1"/>
  <c r="J25" i="1"/>
  <c r="L25" i="1" s="1"/>
  <c r="J53" i="1"/>
  <c r="L53" i="1" s="1"/>
  <c r="J52" i="1"/>
  <c r="L52" i="1" s="1"/>
  <c r="J51" i="1"/>
  <c r="L51" i="1" s="1"/>
  <c r="J50" i="1"/>
  <c r="L50" i="1" s="1"/>
  <c r="J49" i="1"/>
  <c r="L49" i="1" s="1"/>
  <c r="J48" i="1"/>
  <c r="L48" i="1" s="1"/>
  <c r="J47" i="1"/>
  <c r="J46" i="1"/>
  <c r="L46" i="1" s="1"/>
  <c r="R26" i="1"/>
  <c r="R27" i="1"/>
  <c r="R28" i="1"/>
  <c r="R29" i="1"/>
  <c r="R30" i="1"/>
  <c r="R31" i="1"/>
  <c r="R32" i="1"/>
  <c r="Q26" i="1"/>
  <c r="Q27" i="1"/>
  <c r="Q28" i="1"/>
  <c r="Q29" i="1"/>
  <c r="Q30" i="1"/>
  <c r="Q31" i="1"/>
  <c r="Q32" i="1"/>
  <c r="R25" i="1"/>
  <c r="Q25" i="1"/>
  <c r="R47" i="1"/>
  <c r="R48" i="1"/>
  <c r="R49" i="1"/>
  <c r="R50" i="1"/>
  <c r="R51" i="1"/>
  <c r="R52" i="1"/>
  <c r="R53" i="1"/>
  <c r="Q47" i="1"/>
  <c r="Q48" i="1"/>
  <c r="Q49" i="1"/>
  <c r="Q50" i="1"/>
  <c r="Q51" i="1"/>
  <c r="Q52" i="1"/>
  <c r="Q53" i="1"/>
  <c r="R46" i="1"/>
  <c r="Q46" i="1"/>
  <c r="K25" i="1"/>
  <c r="AQ3" i="1"/>
  <c r="AR3" i="1"/>
  <c r="AS3" i="1"/>
  <c r="AR6" i="1"/>
  <c r="AS6" i="1"/>
  <c r="AS5" i="1"/>
  <c r="AR5" i="1"/>
  <c r="AQ5" i="1"/>
  <c r="AD4" i="1"/>
  <c r="AD5" i="1"/>
  <c r="AD6" i="1"/>
  <c r="AD7" i="1"/>
  <c r="AD8" i="1"/>
  <c r="AD9" i="1"/>
  <c r="AD10" i="1"/>
  <c r="AD3" i="1"/>
  <c r="AC4" i="1"/>
  <c r="AC5" i="1"/>
  <c r="AC6" i="1"/>
  <c r="AC7" i="1"/>
  <c r="AC8" i="1"/>
  <c r="AC9" i="1"/>
  <c r="AC10" i="1"/>
  <c r="AC3" i="1"/>
  <c r="AB4" i="1"/>
  <c r="AB5" i="1"/>
  <c r="AB6" i="1"/>
  <c r="AB7" i="1"/>
  <c r="AB8" i="1"/>
  <c r="AB9" i="1"/>
  <c r="AB10" i="1"/>
  <c r="AB3" i="1"/>
  <c r="AS10" i="1"/>
  <c r="AS9" i="1"/>
  <c r="AR10" i="1"/>
  <c r="AR9" i="1"/>
  <c r="AQ10" i="1"/>
  <c r="AQ9" i="1"/>
  <c r="AQ6" i="1"/>
  <c r="AS8" i="1"/>
  <c r="AS7" i="1"/>
  <c r="AR8" i="1"/>
  <c r="AR7" i="1"/>
  <c r="AQ8" i="1"/>
  <c r="AQ7" i="1"/>
  <c r="AS4" i="1"/>
  <c r="AR4" i="1"/>
  <c r="AQ4" i="1"/>
  <c r="V4" i="1"/>
  <c r="V5" i="1"/>
  <c r="V6" i="1"/>
  <c r="V7" i="1"/>
  <c r="V8" i="1"/>
  <c r="V9" i="1"/>
  <c r="V10" i="1"/>
  <c r="V3" i="1"/>
  <c r="S10" i="1"/>
  <c r="T10" i="1" s="1"/>
  <c r="S9" i="1"/>
  <c r="T9" i="1" s="1"/>
  <c r="S8" i="1"/>
  <c r="T8" i="1" s="1"/>
  <c r="S7" i="1"/>
  <c r="T7" i="1" s="1"/>
  <c r="S6" i="1"/>
  <c r="T6" i="1" s="1"/>
  <c r="S5" i="1"/>
  <c r="T5" i="1" s="1"/>
  <c r="S4" i="1"/>
  <c r="T4" i="1" s="1"/>
  <c r="S3" i="1"/>
  <c r="T3" i="1" s="1"/>
  <c r="K46" i="1"/>
  <c r="L47" i="1"/>
  <c r="K53" i="1"/>
  <c r="K52" i="1"/>
  <c r="K51" i="1"/>
  <c r="K50" i="1"/>
  <c r="K49" i="1"/>
  <c r="K48" i="1"/>
  <c r="K47" i="1"/>
  <c r="D55" i="1" s="1"/>
  <c r="F46" i="1"/>
  <c r="P54" i="1" s="1"/>
  <c r="F47" i="1"/>
  <c r="F48" i="1"/>
  <c r="F49" i="1"/>
  <c r="P57" i="1" s="1"/>
  <c r="F50" i="1"/>
  <c r="P58" i="1" s="1"/>
  <c r="F51" i="1"/>
  <c r="F52" i="1"/>
  <c r="F53" i="1"/>
  <c r="P61" i="1" s="1"/>
  <c r="E46" i="1"/>
  <c r="I54" i="1" s="1"/>
  <c r="E47" i="1"/>
  <c r="E48" i="1"/>
  <c r="D56" i="1" s="1"/>
  <c r="E49" i="1"/>
  <c r="E50" i="1"/>
  <c r="I58" i="1" s="1"/>
  <c r="E51" i="1"/>
  <c r="E52" i="1"/>
  <c r="D60" i="1" s="1"/>
  <c r="E53" i="1"/>
  <c r="L29" i="1"/>
  <c r="K32" i="1"/>
  <c r="K31" i="1"/>
  <c r="K30" i="1"/>
  <c r="K29" i="1"/>
  <c r="K28" i="1"/>
  <c r="K27" i="1"/>
  <c r="K26" i="1"/>
  <c r="F26" i="1"/>
  <c r="F27" i="1"/>
  <c r="F28" i="1"/>
  <c r="F29" i="1"/>
  <c r="F30" i="1"/>
  <c r="F31" i="1"/>
  <c r="F32" i="1"/>
  <c r="F25" i="1"/>
  <c r="E26" i="1"/>
  <c r="I34" i="1" s="1"/>
  <c r="E27" i="1"/>
  <c r="E28" i="1"/>
  <c r="E29" i="1"/>
  <c r="E30" i="1"/>
  <c r="I38" i="1" s="1"/>
  <c r="E31" i="1"/>
  <c r="E32" i="1"/>
  <c r="E25" i="1"/>
  <c r="I33" i="1" s="1"/>
  <c r="N8" i="1"/>
  <c r="P10" i="1"/>
  <c r="P9" i="1"/>
  <c r="P8" i="1"/>
  <c r="P7" i="1"/>
  <c r="P6" i="1"/>
  <c r="P5" i="1"/>
  <c r="P4" i="1"/>
  <c r="P3" i="1"/>
  <c r="O9" i="1"/>
  <c r="O7" i="1"/>
  <c r="O6" i="1"/>
  <c r="O5" i="1"/>
  <c r="O4" i="1"/>
  <c r="O3" i="1"/>
  <c r="N10" i="1"/>
  <c r="N9" i="1"/>
  <c r="N7" i="1"/>
  <c r="N6" i="1"/>
  <c r="N5" i="1"/>
  <c r="N4" i="1"/>
  <c r="N3" i="1"/>
  <c r="O10" i="1"/>
  <c r="O8" i="1"/>
  <c r="F4" i="1"/>
  <c r="F5" i="1"/>
  <c r="F6" i="1"/>
  <c r="F7" i="1"/>
  <c r="F8" i="1"/>
  <c r="F9" i="1"/>
  <c r="F10" i="1"/>
  <c r="F3" i="1"/>
  <c r="H4" i="1"/>
  <c r="H5" i="1"/>
  <c r="H6" i="1"/>
  <c r="U14" i="1" s="1"/>
  <c r="H7" i="1"/>
  <c r="H8" i="1"/>
  <c r="H9" i="1"/>
  <c r="H10" i="1"/>
  <c r="U18" i="1" s="1"/>
  <c r="H3" i="1"/>
  <c r="G4" i="1"/>
  <c r="G5" i="1"/>
  <c r="G6" i="1"/>
  <c r="S14" i="1" s="1"/>
  <c r="G7" i="1"/>
  <c r="G8" i="1"/>
  <c r="G9" i="1"/>
  <c r="G10" i="1"/>
  <c r="F18" i="1" s="1"/>
  <c r="G3" i="1"/>
  <c r="I37" i="1" l="1"/>
  <c r="K33" i="1"/>
  <c r="S17" i="1"/>
  <c r="S13" i="1"/>
  <c r="K35" i="1"/>
  <c r="S15" i="1"/>
  <c r="U15" i="1"/>
  <c r="Q15" i="1"/>
  <c r="S11" i="1"/>
  <c r="U11" i="1"/>
  <c r="Q11" i="1"/>
  <c r="P37" i="1"/>
  <c r="Q18" i="1"/>
  <c r="Q14" i="1"/>
  <c r="P40" i="1"/>
  <c r="P36" i="1"/>
  <c r="N56" i="1"/>
  <c r="N60" i="1"/>
  <c r="P60" i="1"/>
  <c r="P56" i="1"/>
  <c r="I39" i="1"/>
  <c r="I35" i="1"/>
  <c r="I59" i="1"/>
  <c r="I55" i="1"/>
  <c r="K59" i="1"/>
  <c r="K55" i="1"/>
  <c r="K39" i="1"/>
  <c r="N40" i="1"/>
  <c r="N36" i="1"/>
  <c r="N61" i="1"/>
  <c r="N57" i="1"/>
  <c r="K60" i="1"/>
  <c r="K56" i="1"/>
  <c r="I61" i="1"/>
  <c r="S16" i="1"/>
  <c r="S12" i="1"/>
  <c r="U16" i="1"/>
  <c r="U12" i="1"/>
  <c r="Q16" i="1"/>
  <c r="Q12" i="1"/>
  <c r="P38" i="1"/>
  <c r="P34" i="1"/>
  <c r="U17" i="1"/>
  <c r="U13" i="1"/>
  <c r="D59" i="1"/>
  <c r="I57" i="1"/>
  <c r="D54" i="1"/>
  <c r="M17" i="1"/>
  <c r="M13" i="1"/>
  <c r="K17" i="1"/>
  <c r="K13" i="1"/>
  <c r="F54" i="1"/>
  <c r="D58" i="1"/>
  <c r="F61" i="1"/>
  <c r="F57" i="1"/>
  <c r="K61" i="1"/>
  <c r="K57" i="1"/>
  <c r="I60" i="1"/>
  <c r="I56" i="1"/>
  <c r="K38" i="1"/>
  <c r="K34" i="1"/>
  <c r="N38" i="1"/>
  <c r="N34" i="1"/>
  <c r="N59" i="1"/>
  <c r="N55" i="1"/>
  <c r="P59" i="1"/>
  <c r="P55" i="1"/>
  <c r="D33" i="1"/>
  <c r="F58" i="1"/>
  <c r="I40" i="1"/>
  <c r="I36" i="1"/>
  <c r="K54" i="1"/>
  <c r="K58" i="1"/>
  <c r="N39" i="1"/>
  <c r="N35" i="1"/>
  <c r="P39" i="1"/>
  <c r="P35" i="1"/>
  <c r="D61" i="1"/>
  <c r="D57" i="1"/>
  <c r="F60" i="1"/>
  <c r="F56" i="1"/>
  <c r="K37" i="1"/>
  <c r="N33" i="1"/>
  <c r="N37" i="1"/>
  <c r="P33" i="1"/>
  <c r="N54" i="1"/>
  <c r="N58" i="1"/>
  <c r="Q17" i="1"/>
  <c r="Q13" i="1"/>
  <c r="S18" i="1"/>
  <c r="F59" i="1"/>
  <c r="F55" i="1"/>
  <c r="K40" i="1"/>
  <c r="K36" i="1"/>
  <c r="K12" i="1"/>
  <c r="K16" i="1"/>
  <c r="F12" i="1"/>
  <c r="F16" i="1"/>
  <c r="M11" i="1"/>
  <c r="M15" i="1"/>
  <c r="K11" i="1"/>
  <c r="K15" i="1"/>
  <c r="M16" i="1"/>
  <c r="M12" i="1"/>
  <c r="F11" i="1"/>
  <c r="F15" i="1"/>
  <c r="K18" i="1"/>
  <c r="K14" i="1"/>
  <c r="D39" i="1"/>
  <c r="D35" i="1"/>
  <c r="F13" i="1"/>
  <c r="D40" i="1"/>
  <c r="D36" i="1"/>
  <c r="F40" i="1"/>
  <c r="F36" i="1"/>
  <c r="D18" i="1"/>
  <c r="D14" i="1"/>
  <c r="F14" i="1"/>
  <c r="H18" i="1"/>
  <c r="H14" i="1"/>
  <c r="M18" i="1"/>
  <c r="M14" i="1"/>
  <c r="F39" i="1"/>
  <c r="F35" i="1"/>
  <c r="D17" i="1"/>
  <c r="D13" i="1"/>
  <c r="F17" i="1"/>
  <c r="H17" i="1"/>
  <c r="H13" i="1"/>
  <c r="D38" i="1"/>
  <c r="D34" i="1"/>
  <c r="F38" i="1"/>
  <c r="F34" i="1"/>
  <c r="D16" i="1"/>
  <c r="D12" i="1"/>
  <c r="H16" i="1"/>
  <c r="H12" i="1"/>
  <c r="D37" i="1"/>
  <c r="F33" i="1"/>
  <c r="F37" i="1"/>
  <c r="D11" i="1"/>
  <c r="D15" i="1"/>
  <c r="H11" i="1"/>
  <c r="H15" i="1"/>
  <c r="T19" i="1" l="1"/>
  <c r="V19" i="1"/>
  <c r="R19" i="1"/>
  <c r="E62" i="1"/>
  <c r="G62" i="1"/>
  <c r="G41" i="1"/>
  <c r="N19" i="1"/>
  <c r="L19" i="1"/>
  <c r="E19" i="1"/>
  <c r="E41" i="1"/>
  <c r="G19" i="1"/>
  <c r="I19" i="1"/>
  <c r="G20" i="1" l="1"/>
</calcChain>
</file>

<file path=xl/sharedStrings.xml><?xml version="1.0" encoding="utf-8"?>
<sst xmlns="http://schemas.openxmlformats.org/spreadsheetml/2006/main" count="140" uniqueCount="43">
  <si>
    <t>No Prefetch</t>
    <phoneticPr fontId="1" type="noConversion"/>
  </si>
  <si>
    <t>gcc_r</t>
    <phoneticPr fontId="1" type="noConversion"/>
  </si>
  <si>
    <t>gcc_s</t>
    <phoneticPr fontId="1" type="noConversion"/>
  </si>
  <si>
    <t>omnetpp_r</t>
    <phoneticPr fontId="1" type="noConversion"/>
  </si>
  <si>
    <t>omnetpp_s</t>
    <phoneticPr fontId="1" type="noConversion"/>
  </si>
  <si>
    <t>povaray_r</t>
    <phoneticPr fontId="1" type="noConversion"/>
  </si>
  <si>
    <t>specrand_fr</t>
    <phoneticPr fontId="1" type="noConversion"/>
  </si>
  <si>
    <t>xalancbmk_r</t>
    <phoneticPr fontId="1" type="noConversion"/>
  </si>
  <si>
    <t>xalancbmk_s</t>
    <phoneticPr fontId="1" type="noConversion"/>
  </si>
  <si>
    <t># Instruction</t>
    <phoneticPr fontId="1" type="noConversion"/>
  </si>
  <si>
    <t>L1 D</t>
    <phoneticPr fontId="1" type="noConversion"/>
  </si>
  <si>
    <t>L1 I</t>
    <phoneticPr fontId="1" type="noConversion"/>
  </si>
  <si>
    <t>L2</t>
    <phoneticPr fontId="1" type="noConversion"/>
  </si>
  <si>
    <t>Stride Prefetch</t>
    <phoneticPr fontId="1" type="noConversion"/>
  </si>
  <si>
    <t>Tagged Prefetch</t>
    <phoneticPr fontId="1" type="noConversion"/>
  </si>
  <si>
    <t>L1 D MPKI</t>
    <phoneticPr fontId="1" type="noConversion"/>
  </si>
  <si>
    <t>L1 I MPKI</t>
    <phoneticPr fontId="1" type="noConversion"/>
  </si>
  <si>
    <t>L2 MPKI</t>
    <phoneticPr fontId="1" type="noConversion"/>
  </si>
  <si>
    <t>#Instruction</t>
    <phoneticPr fontId="1" type="noConversion"/>
  </si>
  <si>
    <t>#instruction</t>
    <phoneticPr fontId="1" type="noConversion"/>
  </si>
  <si>
    <t>Gem5 AtomicSimpleCPU</t>
    <phoneticPr fontId="1" type="noConversion"/>
  </si>
  <si>
    <t>Camulator with Gem5 trace</t>
    <phoneticPr fontId="1" type="noConversion"/>
  </si>
  <si>
    <t>Gem5 O3CPU</t>
    <phoneticPr fontId="1" type="noConversion"/>
  </si>
  <si>
    <t>Camulator with DynamoRIO</t>
    <phoneticPr fontId="1" type="noConversion"/>
  </si>
  <si>
    <t>Ramulator</t>
    <phoneticPr fontId="1" type="noConversion"/>
  </si>
  <si>
    <t>Mismatch Cam_D &amp; GemO3</t>
    <phoneticPr fontId="1" type="noConversion"/>
  </si>
  <si>
    <t>Mismatch Ram &amp; GemO3</t>
    <phoneticPr fontId="1" type="noConversion"/>
  </si>
  <si>
    <t>Gem5 O3</t>
    <phoneticPr fontId="1" type="noConversion"/>
  </si>
  <si>
    <t>Camulator with DynamoRIo</t>
    <phoneticPr fontId="1" type="noConversion"/>
  </si>
  <si>
    <t>Mismatch Gem5O3 &amp; Gem5 Simple</t>
    <phoneticPr fontId="1" type="noConversion"/>
  </si>
  <si>
    <t>multi core</t>
    <phoneticPr fontId="1" type="noConversion"/>
  </si>
  <si>
    <t xml:space="preserve">Camulator with DynamoRIO </t>
    <phoneticPr fontId="1" type="noConversion"/>
  </si>
  <si>
    <t>core #0</t>
    <phoneticPr fontId="1" type="noConversion"/>
  </si>
  <si>
    <t>core #1</t>
    <phoneticPr fontId="1" type="noConversion"/>
  </si>
  <si>
    <t>LI MPKI</t>
    <phoneticPr fontId="1" type="noConversion"/>
  </si>
  <si>
    <t>blackscholes</t>
    <phoneticPr fontId="1" type="noConversion"/>
  </si>
  <si>
    <t>Camulator</t>
    <phoneticPr fontId="1" type="noConversion"/>
  </si>
  <si>
    <t>Gem Atomic</t>
    <phoneticPr fontId="1" type="noConversion"/>
  </si>
  <si>
    <t>lavaMD</t>
    <phoneticPr fontId="1" type="noConversion"/>
  </si>
  <si>
    <t>lud</t>
    <phoneticPr fontId="1" type="noConversion"/>
  </si>
  <si>
    <t>srad_v1</t>
    <phoneticPr fontId="1" type="noConversion"/>
  </si>
  <si>
    <t>srad_v2</t>
    <phoneticPr fontId="1" type="noConversion"/>
  </si>
  <si>
    <t>fluidanimate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</si>
</sst>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4"/>
  <sheetViews>
    <sheetView tabSelected="1" topLeftCell="A55" workbookViewId="0">
      <selection activeCell="F72" sqref="F72"/>
    </sheetView>
  </sheetViews>
  <sheetFormatPr defaultRowHeight="14.25" x14ac:dyDescent="0.2"/>
  <cols>
    <col min="2" max="2" width="12" customWidth="1"/>
    <col min="6" max="6" width="11.625" bestFit="1" customWidth="1"/>
    <col min="8" max="8" width="10.5" bestFit="1" customWidth="1"/>
    <col min="10" max="10" width="10.875" customWidth="1"/>
    <col min="16" max="16" width="10.75" customWidth="1"/>
    <col min="18" max="18" width="13.125" customWidth="1"/>
    <col min="24" max="24" width="10.375" customWidth="1"/>
    <col min="32" max="32" width="11" customWidth="1"/>
  </cols>
  <sheetData>
    <row r="1" spans="1:45" x14ac:dyDescent="0.2">
      <c r="B1" t="s">
        <v>22</v>
      </c>
      <c r="J1" t="s">
        <v>23</v>
      </c>
      <c r="R1" t="s">
        <v>24</v>
      </c>
      <c r="X1" t="s">
        <v>20</v>
      </c>
      <c r="AM1" t="s">
        <v>21</v>
      </c>
    </row>
    <row r="2" spans="1:45" x14ac:dyDescent="0.2">
      <c r="A2" t="s">
        <v>0</v>
      </c>
      <c r="B2" t="s">
        <v>9</v>
      </c>
      <c r="C2" t="s">
        <v>10</v>
      </c>
      <c r="D2" t="s">
        <v>11</v>
      </c>
      <c r="E2" t="s">
        <v>12</v>
      </c>
      <c r="F2" t="s">
        <v>15</v>
      </c>
      <c r="G2" t="s">
        <v>16</v>
      </c>
      <c r="H2" t="s">
        <v>17</v>
      </c>
      <c r="J2" t="s">
        <v>9</v>
      </c>
      <c r="K2" t="s">
        <v>10</v>
      </c>
      <c r="L2" t="s">
        <v>11</v>
      </c>
      <c r="M2" t="s">
        <v>12</v>
      </c>
      <c r="N2" t="s">
        <v>15</v>
      </c>
      <c r="O2" t="s">
        <v>16</v>
      </c>
      <c r="P2" t="s">
        <v>17</v>
      </c>
      <c r="R2" t="s">
        <v>18</v>
      </c>
      <c r="S2" t="s">
        <v>10</v>
      </c>
      <c r="T2" t="s">
        <v>15</v>
      </c>
      <c r="U2" t="s">
        <v>12</v>
      </c>
      <c r="V2" t="s">
        <v>17</v>
      </c>
      <c r="X2" t="s">
        <v>19</v>
      </c>
      <c r="Y2" t="s">
        <v>10</v>
      </c>
      <c r="Z2" t="s">
        <v>11</v>
      </c>
      <c r="AA2" t="s">
        <v>12</v>
      </c>
      <c r="AB2" t="s">
        <v>15</v>
      </c>
      <c r="AC2" t="s">
        <v>16</v>
      </c>
      <c r="AD2" t="s">
        <v>17</v>
      </c>
      <c r="AM2" t="s">
        <v>19</v>
      </c>
      <c r="AN2" t="s">
        <v>10</v>
      </c>
      <c r="AO2" t="s">
        <v>11</v>
      </c>
      <c r="AP2" t="s">
        <v>12</v>
      </c>
      <c r="AQ2" t="s">
        <v>15</v>
      </c>
      <c r="AR2" t="s">
        <v>16</v>
      </c>
      <c r="AS2" t="s">
        <v>17</v>
      </c>
    </row>
    <row r="3" spans="1:45" x14ac:dyDescent="0.2">
      <c r="A3" t="s">
        <v>1</v>
      </c>
      <c r="B3">
        <v>14770123</v>
      </c>
      <c r="C3">
        <v>105185</v>
      </c>
      <c r="D3">
        <v>46225</v>
      </c>
      <c r="E3">
        <v>119401</v>
      </c>
      <c r="F3">
        <f>C3*1000/B3</f>
        <v>7.1214708232287576</v>
      </c>
      <c r="G3">
        <f>D3*1000/B3</f>
        <v>3.1296286429029738</v>
      </c>
      <c r="H3">
        <f>E3*1000/B3</f>
        <v>8.0839543448622599</v>
      </c>
      <c r="J3">
        <v>14691332</v>
      </c>
      <c r="K3">
        <v>101346</v>
      </c>
      <c r="L3">
        <v>41697</v>
      </c>
      <c r="M3">
        <v>112115</v>
      </c>
      <c r="N3">
        <f>K3*1000/J3</f>
        <v>6.8983533964108901</v>
      </c>
      <c r="O3">
        <f>L3*1000/J3</f>
        <v>2.8382041873398545</v>
      </c>
      <c r="P3">
        <f>M3*1000/J3</f>
        <v>7.6313706612851711</v>
      </c>
      <c r="R3">
        <v>14691559</v>
      </c>
      <c r="S3">
        <f>1468712-321963-1046501</f>
        <v>100248</v>
      </c>
      <c r="T3">
        <f>S3*1000/R3</f>
        <v>6.823510016874315</v>
      </c>
      <c r="U3">
        <v>83750</v>
      </c>
      <c r="V3">
        <f>U3*1000/R3</f>
        <v>5.70055226950387</v>
      </c>
      <c r="X3">
        <v>14770123</v>
      </c>
      <c r="Y3">
        <v>102296</v>
      </c>
      <c r="Z3">
        <v>35880</v>
      </c>
      <c r="AA3">
        <v>111564</v>
      </c>
      <c r="AB3">
        <f>Y3*1000/X3</f>
        <v>6.9258732645625223</v>
      </c>
      <c r="AC3">
        <f>Z3*1000/X3</f>
        <v>2.4292282467789876</v>
      </c>
      <c r="AD3">
        <f>AA3*1000/X3</f>
        <v>7.5533561907372064</v>
      </c>
      <c r="AM3">
        <v>14770716</v>
      </c>
      <c r="AN3">
        <v>103404</v>
      </c>
      <c r="AO3">
        <v>38955</v>
      </c>
      <c r="AP3">
        <v>114436</v>
      </c>
      <c r="AQ3">
        <f>AN3*1000/AM3</f>
        <v>7.0006085013075872</v>
      </c>
      <c r="AR3">
        <f>AO3*1000/AM3</f>
        <v>2.6373129102204658</v>
      </c>
      <c r="AS3">
        <f>AP3*1000/AM3</f>
        <v>7.7474917261966176</v>
      </c>
    </row>
    <row r="4" spans="1:45" x14ac:dyDescent="0.2">
      <c r="A4" t="s">
        <v>2</v>
      </c>
      <c r="B4">
        <v>14804413</v>
      </c>
      <c r="C4">
        <v>105550</v>
      </c>
      <c r="D4">
        <v>46715</v>
      </c>
      <c r="E4">
        <v>120022</v>
      </c>
      <c r="F4">
        <f t="shared" ref="F4:F10" si="0">C4*1000/B4</f>
        <v>7.1296308742535084</v>
      </c>
      <c r="G4">
        <f t="shared" ref="G4:G10" si="1">D4*1000/B4</f>
        <v>3.1554780321246105</v>
      </c>
      <c r="H4">
        <f t="shared" ref="H4:H10" si="2">E4*1000/B4</f>
        <v>8.1071772315457569</v>
      </c>
      <c r="J4">
        <v>14725906</v>
      </c>
      <c r="K4">
        <v>100608</v>
      </c>
      <c r="L4">
        <v>38418</v>
      </c>
      <c r="M4">
        <v>112604</v>
      </c>
      <c r="N4">
        <f t="shared" ref="N4:N10" si="3">K4*1000/J4</f>
        <v>6.832041437722066</v>
      </c>
      <c r="O4">
        <f t="shared" ref="O4:O10" si="4">L4*1000/J4</f>
        <v>2.6088717393687015</v>
      </c>
      <c r="P4">
        <f t="shared" ref="P4:P10" si="5">M4*1000/J4</f>
        <v>7.6466602462354443</v>
      </c>
      <c r="R4">
        <v>14726800</v>
      </c>
      <c r="S4">
        <f>1470032-320674-1049996</f>
        <v>99362</v>
      </c>
      <c r="T4">
        <f t="shared" ref="T4:T10" si="6">S4*1000/R4</f>
        <v>6.7470190401173369</v>
      </c>
      <c r="U4">
        <v>84080</v>
      </c>
      <c r="V4">
        <f t="shared" ref="V4:V10" si="7">U4*1000/R4</f>
        <v>5.7093190645625658</v>
      </c>
      <c r="X4">
        <v>14804413</v>
      </c>
      <c r="Y4">
        <v>102648</v>
      </c>
      <c r="Z4">
        <v>36703</v>
      </c>
      <c r="AA4">
        <v>112180</v>
      </c>
      <c r="AB4">
        <f t="shared" ref="AB4:AB10" si="8">Y4*1000/X4</f>
        <v>6.9336082423531415</v>
      </c>
      <c r="AC4">
        <f t="shared" ref="AC4:AC10" si="9">Z4*1000/X4</f>
        <v>2.4791931973256891</v>
      </c>
      <c r="AD4">
        <f t="shared" ref="AD4:AD10" si="10">AA4*1000/X4</f>
        <v>7.5774703123994174</v>
      </c>
      <c r="AM4">
        <v>14805032</v>
      </c>
      <c r="AN4">
        <v>103840</v>
      </c>
      <c r="AO4">
        <v>38085</v>
      </c>
      <c r="AP4">
        <v>114837</v>
      </c>
      <c r="AQ4">
        <f>AN4*1000/AM4</f>
        <v>7.0138315135016258</v>
      </c>
      <c r="AR4">
        <f>AO4*1000/AM4</f>
        <v>2.5724361825087581</v>
      </c>
      <c r="AS4">
        <f>AP4*1000/AM4</f>
        <v>7.7566195061246743</v>
      </c>
    </row>
    <row r="5" spans="1:45" x14ac:dyDescent="0.2">
      <c r="A5" t="s">
        <v>3</v>
      </c>
      <c r="B5">
        <v>5896367</v>
      </c>
      <c r="C5">
        <v>34349</v>
      </c>
      <c r="D5">
        <v>9886</v>
      </c>
      <c r="E5">
        <v>36599</v>
      </c>
      <c r="F5">
        <f t="shared" si="0"/>
        <v>5.8254515025947331</v>
      </c>
      <c r="G5">
        <f t="shared" si="1"/>
        <v>1.6766256238799246</v>
      </c>
      <c r="H5">
        <f t="shared" si="2"/>
        <v>6.2070424042465469</v>
      </c>
      <c r="J5">
        <v>5827225</v>
      </c>
      <c r="K5">
        <v>33994</v>
      </c>
      <c r="L5">
        <v>8463</v>
      </c>
      <c r="M5">
        <v>35296</v>
      </c>
      <c r="N5">
        <f t="shared" si="3"/>
        <v>5.8336515236669255</v>
      </c>
      <c r="O5">
        <f t="shared" si="4"/>
        <v>1.4523207873387418</v>
      </c>
      <c r="P5">
        <f t="shared" si="5"/>
        <v>6.0570854909498086</v>
      </c>
      <c r="R5">
        <v>5831109</v>
      </c>
      <c r="S5">
        <f>430109-123633-272908</f>
        <v>33568</v>
      </c>
      <c r="T5">
        <f t="shared" si="6"/>
        <v>5.7567094012476874</v>
      </c>
      <c r="U5">
        <v>26858</v>
      </c>
      <c r="V5">
        <f t="shared" si="7"/>
        <v>4.6059848992704477</v>
      </c>
      <c r="X5" s="1">
        <v>5896367</v>
      </c>
      <c r="Y5" s="1">
        <v>33222</v>
      </c>
      <c r="Z5" s="1">
        <v>7506</v>
      </c>
      <c r="AA5" s="1">
        <v>34355</v>
      </c>
      <c r="AB5" s="1">
        <f t="shared" si="8"/>
        <v>5.6343168598562468</v>
      </c>
      <c r="AC5" s="1">
        <f t="shared" si="9"/>
        <v>1.2729872479104507</v>
      </c>
      <c r="AD5" s="1">
        <f t="shared" si="10"/>
        <v>5.8264690783324715</v>
      </c>
      <c r="AE5" s="1"/>
      <c r="AM5" s="1">
        <v>5896791</v>
      </c>
      <c r="AN5" s="1">
        <v>33586</v>
      </c>
      <c r="AO5" s="1">
        <v>8945</v>
      </c>
      <c r="AP5" s="1">
        <v>34987</v>
      </c>
      <c r="AQ5" s="1">
        <f t="shared" ref="AQ5:AQ10" si="11">AN5*1000/AM5</f>
        <v>5.6956402219444442</v>
      </c>
      <c r="AR5" s="1">
        <f t="shared" ref="AR5:AR10" si="12">AO5*1000/AM5</f>
        <v>1.5169267488028659</v>
      </c>
      <c r="AS5" s="1">
        <f t="shared" ref="AS5:AS10" si="13">AP5*1000/AM5</f>
        <v>5.9332270721482248</v>
      </c>
    </row>
    <row r="6" spans="1:45" x14ac:dyDescent="0.2">
      <c r="A6" t="s">
        <v>4</v>
      </c>
      <c r="B6">
        <v>5936767</v>
      </c>
      <c r="C6">
        <v>35077</v>
      </c>
      <c r="D6">
        <v>10607</v>
      </c>
      <c r="E6">
        <v>37212</v>
      </c>
      <c r="F6">
        <f t="shared" si="0"/>
        <v>5.9084346749670313</v>
      </c>
      <c r="G6">
        <f t="shared" si="1"/>
        <v>1.786662673471942</v>
      </c>
      <c r="H6">
        <f t="shared" si="2"/>
        <v>6.2680580187836243</v>
      </c>
      <c r="J6">
        <v>5867600</v>
      </c>
      <c r="K6">
        <v>34469</v>
      </c>
      <c r="L6">
        <v>8390</v>
      </c>
      <c r="M6">
        <v>35808</v>
      </c>
      <c r="N6">
        <f t="shared" si="3"/>
        <v>5.8744631535892013</v>
      </c>
      <c r="O6">
        <f t="shared" si="4"/>
        <v>1.4298861544754244</v>
      </c>
      <c r="P6">
        <f t="shared" si="5"/>
        <v>6.1026654850364714</v>
      </c>
      <c r="R6">
        <v>5868532</v>
      </c>
      <c r="S6">
        <f>436045-124902-276906</f>
        <v>34237</v>
      </c>
      <c r="T6">
        <f t="shared" si="6"/>
        <v>5.8339973267590599</v>
      </c>
      <c r="U6">
        <v>27283</v>
      </c>
      <c r="V6">
        <f t="shared" si="7"/>
        <v>4.6490331824040494</v>
      </c>
      <c r="X6" s="1">
        <v>5936767</v>
      </c>
      <c r="Y6" s="1">
        <v>33931</v>
      </c>
      <c r="Z6" s="1">
        <v>8073</v>
      </c>
      <c r="AA6" s="1">
        <v>34983</v>
      </c>
      <c r="AB6" s="1">
        <f t="shared" si="8"/>
        <v>5.7154003180518957</v>
      </c>
      <c r="AC6" s="1">
        <f t="shared" si="9"/>
        <v>1.3598310326142158</v>
      </c>
      <c r="AD6" s="1">
        <f t="shared" si="10"/>
        <v>5.8926011413282682</v>
      </c>
      <c r="AE6" s="1"/>
      <c r="AM6" s="1">
        <v>5937221</v>
      </c>
      <c r="AN6" s="1">
        <v>34207</v>
      </c>
      <c r="AO6" s="1">
        <v>8666</v>
      </c>
      <c r="AP6" s="1">
        <v>35660</v>
      </c>
      <c r="AQ6" s="1">
        <f t="shared" si="11"/>
        <v>5.7614496748563004</v>
      </c>
      <c r="AR6" s="1">
        <f t="shared" si="12"/>
        <v>1.4596054281961206</v>
      </c>
      <c r="AS6" s="1">
        <f t="shared" si="13"/>
        <v>6.006176963936495</v>
      </c>
    </row>
    <row r="7" spans="1:45" x14ac:dyDescent="0.2">
      <c r="A7" t="s">
        <v>5</v>
      </c>
      <c r="B7">
        <v>4624449</v>
      </c>
      <c r="C7">
        <v>22133</v>
      </c>
      <c r="D7">
        <v>4778</v>
      </c>
      <c r="E7">
        <v>20988</v>
      </c>
      <c r="F7">
        <f t="shared" si="0"/>
        <v>4.7860837042423867</v>
      </c>
      <c r="G7">
        <f t="shared" si="1"/>
        <v>1.0332041719997345</v>
      </c>
      <c r="H7">
        <f t="shared" si="2"/>
        <v>4.5384866391650123</v>
      </c>
      <c r="J7">
        <v>4484799</v>
      </c>
      <c r="K7">
        <v>20539</v>
      </c>
      <c r="L7">
        <v>4186</v>
      </c>
      <c r="M7">
        <v>20077</v>
      </c>
      <c r="N7">
        <f t="shared" si="3"/>
        <v>4.5796924232278862</v>
      </c>
      <c r="O7">
        <f t="shared" si="4"/>
        <v>0.93337516352460836</v>
      </c>
      <c r="P7">
        <f t="shared" si="5"/>
        <v>4.4766777730729963</v>
      </c>
      <c r="R7">
        <v>4484772</v>
      </c>
      <c r="S7">
        <f>214834-70641-123748</f>
        <v>20445</v>
      </c>
      <c r="T7">
        <f t="shared" si="6"/>
        <v>4.558760177774924</v>
      </c>
      <c r="U7">
        <v>15439</v>
      </c>
      <c r="V7">
        <f t="shared" si="7"/>
        <v>3.4425384389663511</v>
      </c>
      <c r="X7">
        <v>4624449</v>
      </c>
      <c r="Y7">
        <v>21441</v>
      </c>
      <c r="Z7">
        <v>3890</v>
      </c>
      <c r="AA7">
        <v>19997</v>
      </c>
      <c r="AB7">
        <f t="shared" si="8"/>
        <v>4.6364442553047942</v>
      </c>
      <c r="AC7">
        <f t="shared" si="9"/>
        <v>0.84118129532837316</v>
      </c>
      <c r="AD7">
        <f t="shared" si="10"/>
        <v>4.324190838735599</v>
      </c>
      <c r="AM7">
        <v>4692754</v>
      </c>
      <c r="AN7">
        <v>21570</v>
      </c>
      <c r="AO7">
        <v>4579</v>
      </c>
      <c r="AP7">
        <v>21132</v>
      </c>
      <c r="AQ7">
        <f t="shared" si="11"/>
        <v>4.5964480558750793</v>
      </c>
      <c r="AR7">
        <f t="shared" si="12"/>
        <v>0.97575964987723629</v>
      </c>
      <c r="AS7">
        <f t="shared" si="13"/>
        <v>4.5031126711521638</v>
      </c>
    </row>
    <row r="8" spans="1:45" x14ac:dyDescent="0.2">
      <c r="A8" t="s">
        <v>6</v>
      </c>
      <c r="B8">
        <v>64610194</v>
      </c>
      <c r="C8">
        <v>3054</v>
      </c>
      <c r="D8">
        <v>1430</v>
      </c>
      <c r="E8">
        <v>4097</v>
      </c>
      <c r="F8">
        <f t="shared" si="0"/>
        <v>4.7268082804394616E-2</v>
      </c>
      <c r="G8">
        <f t="shared" si="1"/>
        <v>2.213273032425812E-2</v>
      </c>
      <c r="H8">
        <f t="shared" si="2"/>
        <v>6.3411046250689176E-2</v>
      </c>
      <c r="J8">
        <v>65204537</v>
      </c>
      <c r="K8">
        <v>3054</v>
      </c>
      <c r="L8">
        <v>1233</v>
      </c>
      <c r="M8">
        <v>3936</v>
      </c>
      <c r="N8">
        <f t="shared" si="3"/>
        <v>4.6837231587120998E-2</v>
      </c>
      <c r="O8">
        <f t="shared" si="4"/>
        <v>1.8909727094603861E-2</v>
      </c>
      <c r="P8">
        <f t="shared" si="5"/>
        <v>6.0363897683990919E-2</v>
      </c>
      <c r="R8">
        <v>65204530</v>
      </c>
      <c r="S8">
        <f>46190-14680-28468</f>
        <v>3042</v>
      </c>
      <c r="T8">
        <f t="shared" si="6"/>
        <v>4.665320032212486E-2</v>
      </c>
      <c r="U8">
        <v>2685</v>
      </c>
      <c r="V8">
        <f t="shared" si="7"/>
        <v>4.1178120599903105E-2</v>
      </c>
      <c r="X8">
        <v>64610194</v>
      </c>
      <c r="Y8">
        <v>2993</v>
      </c>
      <c r="Z8">
        <v>1178</v>
      </c>
      <c r="AA8">
        <v>3834</v>
      </c>
      <c r="AB8">
        <f t="shared" si="8"/>
        <v>4.6323959343010174E-2</v>
      </c>
      <c r="AC8">
        <f t="shared" si="9"/>
        <v>1.8232417008374871E-2</v>
      </c>
      <c r="AD8">
        <f t="shared" si="10"/>
        <v>5.9340481163080862E-2</v>
      </c>
      <c r="AM8">
        <v>64755274</v>
      </c>
      <c r="AN8">
        <v>2959</v>
      </c>
      <c r="AO8">
        <v>1206</v>
      </c>
      <c r="AP8">
        <v>3827</v>
      </c>
      <c r="AQ8">
        <f t="shared" si="11"/>
        <v>4.5695119751944839E-2</v>
      </c>
      <c r="AR8">
        <f t="shared" si="12"/>
        <v>1.8623965671120471E-2</v>
      </c>
      <c r="AS8">
        <f t="shared" si="13"/>
        <v>5.9099433352718111E-2</v>
      </c>
    </row>
    <row r="9" spans="1:45" x14ac:dyDescent="0.2">
      <c r="A9" t="s">
        <v>7</v>
      </c>
      <c r="B9">
        <v>323495820</v>
      </c>
      <c r="C9">
        <v>3127252</v>
      </c>
      <c r="D9">
        <v>643759</v>
      </c>
      <c r="E9">
        <v>764804</v>
      </c>
      <c r="F9">
        <f t="shared" si="0"/>
        <v>9.6670553579332186</v>
      </c>
      <c r="G9">
        <f t="shared" si="1"/>
        <v>1.9900071660895031</v>
      </c>
      <c r="H9">
        <f t="shared" si="2"/>
        <v>2.3641851075540945</v>
      </c>
      <c r="J9">
        <v>326518089</v>
      </c>
      <c r="K9">
        <v>2967807</v>
      </c>
      <c r="L9">
        <v>408040</v>
      </c>
      <c r="M9">
        <v>792834</v>
      </c>
      <c r="N9">
        <f t="shared" si="3"/>
        <v>9.0892575326814438</v>
      </c>
      <c r="O9">
        <f t="shared" si="4"/>
        <v>1.2496704279069819</v>
      </c>
      <c r="P9">
        <f t="shared" si="5"/>
        <v>2.4281472503656603</v>
      </c>
      <c r="R9">
        <v>326517993</v>
      </c>
      <c r="S9">
        <f>14205478-6762524-4479516</f>
        <v>2963438</v>
      </c>
      <c r="T9">
        <f t="shared" si="6"/>
        <v>9.0758796254147018</v>
      </c>
      <c r="U9">
        <v>719471</v>
      </c>
      <c r="V9">
        <f t="shared" si="7"/>
        <v>2.2034650935760225</v>
      </c>
      <c r="X9">
        <v>323495820</v>
      </c>
      <c r="Y9">
        <v>3023117</v>
      </c>
      <c r="Z9">
        <v>485912</v>
      </c>
      <c r="AA9">
        <v>731855</v>
      </c>
      <c r="AB9">
        <f t="shared" si="8"/>
        <v>9.3451501166228361</v>
      </c>
      <c r="AC9">
        <f t="shared" si="9"/>
        <v>1.5020657763058576</v>
      </c>
      <c r="AD9">
        <f t="shared" si="10"/>
        <v>2.2623321686196749</v>
      </c>
      <c r="AM9">
        <v>323497920</v>
      </c>
      <c r="AN9">
        <v>3103908</v>
      </c>
      <c r="AO9">
        <v>452009</v>
      </c>
      <c r="AP9">
        <v>794292</v>
      </c>
      <c r="AQ9">
        <f t="shared" si="11"/>
        <v>9.5948313979885871</v>
      </c>
      <c r="AR9">
        <f t="shared" si="12"/>
        <v>1.3972547335080239</v>
      </c>
      <c r="AS9">
        <f t="shared" si="13"/>
        <v>2.4553233603480358</v>
      </c>
    </row>
    <row r="10" spans="1:45" x14ac:dyDescent="0.2">
      <c r="A10" t="s">
        <v>8</v>
      </c>
      <c r="B10">
        <v>323534812</v>
      </c>
      <c r="C10">
        <v>3306246</v>
      </c>
      <c r="D10">
        <v>533279</v>
      </c>
      <c r="E10">
        <v>771288</v>
      </c>
      <c r="F10">
        <f t="shared" si="0"/>
        <v>10.219135244092373</v>
      </c>
      <c r="G10">
        <f t="shared" si="1"/>
        <v>1.6482893964436816</v>
      </c>
      <c r="H10">
        <f t="shared" si="2"/>
        <v>2.3839412990278155</v>
      </c>
      <c r="J10">
        <v>326557671</v>
      </c>
      <c r="K10">
        <v>2887862</v>
      </c>
      <c r="L10">
        <v>420757</v>
      </c>
      <c r="M10">
        <v>796277</v>
      </c>
      <c r="N10">
        <f t="shared" si="3"/>
        <v>8.8433445496982372</v>
      </c>
      <c r="O10">
        <f t="shared" si="4"/>
        <v>1.2884615409937805</v>
      </c>
      <c r="P10">
        <f t="shared" si="5"/>
        <v>2.4383962488512481</v>
      </c>
      <c r="R10">
        <v>326557664</v>
      </c>
      <c r="S10">
        <f>13809726-6459877-4479130</f>
        <v>2870719</v>
      </c>
      <c r="T10">
        <f t="shared" si="6"/>
        <v>8.7908486508526718</v>
      </c>
      <c r="U10">
        <v>721720</v>
      </c>
      <c r="V10">
        <f t="shared" si="7"/>
        <v>2.2100844033475204</v>
      </c>
      <c r="X10">
        <v>323534812</v>
      </c>
      <c r="Y10">
        <v>3206859</v>
      </c>
      <c r="Z10">
        <v>400906</v>
      </c>
      <c r="AA10">
        <v>737947</v>
      </c>
      <c r="AB10">
        <f t="shared" si="8"/>
        <v>9.9119441897955642</v>
      </c>
      <c r="AC10">
        <f t="shared" si="9"/>
        <v>1.2391433166703556</v>
      </c>
      <c r="AD10">
        <f t="shared" si="10"/>
        <v>2.2808890191389977</v>
      </c>
      <c r="AM10">
        <v>323536940</v>
      </c>
      <c r="AN10">
        <v>3073986</v>
      </c>
      <c r="AO10">
        <v>429394</v>
      </c>
      <c r="AP10">
        <v>795523</v>
      </c>
      <c r="AQ10">
        <f t="shared" si="11"/>
        <v>9.5011901886690282</v>
      </c>
      <c r="AR10">
        <f t="shared" si="12"/>
        <v>1.327186935748357</v>
      </c>
      <c r="AS10">
        <f t="shared" si="13"/>
        <v>2.4588320579405862</v>
      </c>
    </row>
    <row r="11" spans="1:45" x14ac:dyDescent="0.2">
      <c r="C11" t="s">
        <v>25</v>
      </c>
      <c r="D11">
        <f>ABS(F3-N3)/F3</f>
        <v>3.1330245163696355E-2</v>
      </c>
      <c r="F11">
        <f>ABS(G3-O3)/G3</f>
        <v>9.311790273391686E-2</v>
      </c>
      <c r="H11">
        <f>ABS(H3-P3)/H3</f>
        <v>5.5985432904470507E-2</v>
      </c>
      <c r="J11" t="s">
        <v>26</v>
      </c>
      <c r="K11">
        <f>ABS(F3-T3)/F3</f>
        <v>4.1839784751003452E-2</v>
      </c>
      <c r="M11">
        <f>ABS(H3-V3)/H3</f>
        <v>0.29483121424023828</v>
      </c>
      <c r="P11" t="s">
        <v>29</v>
      </c>
      <c r="Q11">
        <f>ABS(F3-AB3)/F3</f>
        <v>2.7465893425868814E-2</v>
      </c>
      <c r="S11">
        <f>ABS(G3-AC3)/G3</f>
        <v>0.22379664683612763</v>
      </c>
      <c r="U11">
        <f>ABS(H3-AD3)/H3</f>
        <v>6.5635966197938017E-2</v>
      </c>
    </row>
    <row r="12" spans="1:45" x14ac:dyDescent="0.2">
      <c r="D12">
        <f t="shared" ref="D12:D18" si="14">ABS(F4-N4)/F4</f>
        <v>4.173980978539802E-2</v>
      </c>
      <c r="F12">
        <f t="shared" ref="F12:F18" si="15">ABS(G4-O4)/G4</f>
        <v>0.17322455969939815</v>
      </c>
      <c r="H12">
        <f t="shared" ref="H12:H18" si="16">ABS(H4-P4)/H4</f>
        <v>5.6803616370738698E-2</v>
      </c>
      <c r="K12">
        <f t="shared" ref="K12:K18" si="17">ABS(F4-T4)/F4</f>
        <v>5.3665027107905078E-2</v>
      </c>
      <c r="M12">
        <f t="shared" ref="M12:M18" si="18">ABS(H4-V4)/H4</f>
        <v>0.29576979736583392</v>
      </c>
      <c r="Q12">
        <f t="shared" ref="Q12:Q18" si="19">ABS(F4-AB4)/F4</f>
        <v>2.749407863571772E-2</v>
      </c>
      <c r="S12">
        <f t="shared" ref="S12:S18" si="20">ABS(G4-AC4)/G4</f>
        <v>0.21432088194370127</v>
      </c>
      <c r="U12">
        <f t="shared" ref="U12:U18" si="21">ABS(H4-AD4)/H4</f>
        <v>6.5338021362750298E-2</v>
      </c>
    </row>
    <row r="13" spans="1:45" x14ac:dyDescent="0.2">
      <c r="D13">
        <f t="shared" si="14"/>
        <v>1.4076198331648667E-3</v>
      </c>
      <c r="F13">
        <f t="shared" si="15"/>
        <v>0.13378349546043139</v>
      </c>
      <c r="H13">
        <f t="shared" si="16"/>
        <v>2.415915721699359E-2</v>
      </c>
      <c r="K13">
        <f t="shared" si="17"/>
        <v>1.1800304459907885E-2</v>
      </c>
      <c r="M13">
        <f t="shared" si="18"/>
        <v>0.25794209233704218</v>
      </c>
      <c r="Q13">
        <f t="shared" si="19"/>
        <v>3.2810271041369486E-2</v>
      </c>
      <c r="S13">
        <f t="shared" si="20"/>
        <v>0.2407444871535504</v>
      </c>
      <c r="U13">
        <f t="shared" si="21"/>
        <v>6.1313150632530906E-2</v>
      </c>
    </row>
    <row r="14" spans="1:45" x14ac:dyDescent="0.2">
      <c r="D14">
        <f t="shared" si="14"/>
        <v>5.7496652238132008E-3</v>
      </c>
      <c r="F14">
        <f t="shared" si="15"/>
        <v>0.19968879648848856</v>
      </c>
      <c r="H14">
        <f t="shared" si="16"/>
        <v>2.6386567139537881E-2</v>
      </c>
      <c r="K14">
        <f t="shared" si="17"/>
        <v>1.2598488821980043E-2</v>
      </c>
      <c r="M14">
        <f t="shared" si="18"/>
        <v>0.25829767872725623</v>
      </c>
      <c r="Q14">
        <f t="shared" si="19"/>
        <v>3.2670980984690789E-2</v>
      </c>
      <c r="S14">
        <f t="shared" si="20"/>
        <v>0.23889884038842277</v>
      </c>
      <c r="U14">
        <f t="shared" si="21"/>
        <v>5.9900032247662105E-2</v>
      </c>
      <c r="AB14" s="1"/>
      <c r="AC14" s="1"/>
      <c r="AD14" s="1"/>
      <c r="AE14" s="1"/>
      <c r="AF14" s="1"/>
    </row>
    <row r="15" spans="1:45" x14ac:dyDescent="0.2">
      <c r="D15">
        <f t="shared" si="14"/>
        <v>4.3123207567714546E-2</v>
      </c>
      <c r="F15">
        <f t="shared" si="15"/>
        <v>9.6620794979863631E-2</v>
      </c>
      <c r="H15">
        <f t="shared" si="16"/>
        <v>1.3618827377089629E-2</v>
      </c>
      <c r="K15">
        <f t="shared" si="17"/>
        <v>4.7496771998776999E-2</v>
      </c>
      <c r="M15">
        <f t="shared" si="18"/>
        <v>0.24147877637033055</v>
      </c>
      <c r="Q15">
        <f t="shared" si="19"/>
        <v>3.126553110739623E-2</v>
      </c>
      <c r="S15">
        <f t="shared" si="20"/>
        <v>0.18585182084554208</v>
      </c>
      <c r="U15">
        <f t="shared" si="21"/>
        <v>4.7217457594816083E-2</v>
      </c>
      <c r="AB15" s="1"/>
      <c r="AC15" s="1"/>
      <c r="AD15" s="1"/>
      <c r="AE15" s="1"/>
      <c r="AF15" s="1"/>
    </row>
    <row r="16" spans="1:45" x14ac:dyDescent="0.2">
      <c r="D16">
        <f t="shared" si="14"/>
        <v>9.1150559047755899E-3</v>
      </c>
      <c r="F16">
        <f t="shared" si="15"/>
        <v>0.14562158316824353</v>
      </c>
      <c r="H16">
        <f t="shared" si="16"/>
        <v>4.8053907747424046E-2</v>
      </c>
      <c r="K16">
        <f t="shared" si="17"/>
        <v>1.300840748744286E-2</v>
      </c>
      <c r="M16">
        <f t="shared" si="18"/>
        <v>0.35061597253718924</v>
      </c>
      <c r="Q16">
        <f t="shared" si="19"/>
        <v>1.9973804846103584E-2</v>
      </c>
      <c r="S16">
        <f t="shared" si="20"/>
        <v>0.17622377622377622</v>
      </c>
      <c r="U16">
        <f t="shared" si="21"/>
        <v>6.4193312179643691E-2</v>
      </c>
    </row>
    <row r="17" spans="1:22" x14ac:dyDescent="0.2">
      <c r="D17">
        <f t="shared" si="14"/>
        <v>5.976978550946313E-2</v>
      </c>
      <c r="F17">
        <f t="shared" si="15"/>
        <v>0.37202717196106</v>
      </c>
      <c r="H17">
        <f t="shared" si="16"/>
        <v>2.7054625548224867E-2</v>
      </c>
      <c r="K17">
        <f t="shared" si="17"/>
        <v>6.1153651306379606E-2</v>
      </c>
      <c r="M17">
        <f t="shared" si="18"/>
        <v>6.7981146427382524E-2</v>
      </c>
      <c r="Q17">
        <f t="shared" si="19"/>
        <v>3.3299203262161167E-2</v>
      </c>
      <c r="S17">
        <f t="shared" si="20"/>
        <v>0.24519579532091984</v>
      </c>
      <c r="U17">
        <f t="shared" si="21"/>
        <v>4.308162614212268E-2</v>
      </c>
    </row>
    <row r="18" spans="1:22" x14ac:dyDescent="0.2">
      <c r="D18">
        <f t="shared" si="14"/>
        <v>0.13462887627301662</v>
      </c>
      <c r="F18">
        <f t="shared" si="15"/>
        <v>0.21830381013568304</v>
      </c>
      <c r="H18">
        <f t="shared" si="16"/>
        <v>2.2842403814909203E-2</v>
      </c>
      <c r="K18">
        <f t="shared" si="17"/>
        <v>0.13976589595145889</v>
      </c>
      <c r="M18">
        <f t="shared" si="18"/>
        <v>7.2928345908179398E-2</v>
      </c>
      <c r="Q18">
        <f t="shared" si="19"/>
        <v>3.0060376632591673E-2</v>
      </c>
      <c r="S18">
        <f t="shared" si="20"/>
        <v>0.2482246628875317</v>
      </c>
      <c r="U18">
        <f t="shared" si="21"/>
        <v>4.3227691860887311E-2</v>
      </c>
    </row>
    <row r="19" spans="1:22" x14ac:dyDescent="0.2">
      <c r="E19">
        <f>AVERAGE(D11:D18)</f>
        <v>4.0858033157630293E-2</v>
      </c>
      <c r="G19">
        <f>AVERAGE(F11:F18)</f>
        <v>0.17904851432838564</v>
      </c>
      <c r="I19">
        <f>AVERAGE(H11:H18)</f>
        <v>3.4363067264923552E-2</v>
      </c>
      <c r="L19">
        <f>AVERAGE(K11:K18)</f>
        <v>4.7666041485606853E-2</v>
      </c>
      <c r="N19">
        <f>AVERAGE(M11:M18)</f>
        <v>0.22998062798918151</v>
      </c>
      <c r="R19">
        <f>AVERAGE(Q11:Q18)</f>
        <v>2.9380017491987435E-2</v>
      </c>
      <c r="T19">
        <f>AVERAGE(S11:S18)</f>
        <v>0.2216571139499465</v>
      </c>
      <c r="V19">
        <f>AVERAGE(U11:U18)</f>
        <v>5.6238407277293893E-2</v>
      </c>
    </row>
    <row r="20" spans="1:22" x14ac:dyDescent="0.2">
      <c r="G20">
        <f>AVERAGE(E19,G19,I19)</f>
        <v>8.4756538250313151E-2</v>
      </c>
    </row>
    <row r="23" spans="1:22" x14ac:dyDescent="0.2">
      <c r="B23" t="s">
        <v>27</v>
      </c>
      <c r="H23" t="s">
        <v>23</v>
      </c>
      <c r="N23" t="s">
        <v>20</v>
      </c>
    </row>
    <row r="24" spans="1:22" x14ac:dyDescent="0.2">
      <c r="A24" t="s">
        <v>13</v>
      </c>
      <c r="B24" t="s">
        <v>9</v>
      </c>
      <c r="C24" t="s">
        <v>10</v>
      </c>
      <c r="D24" t="s">
        <v>12</v>
      </c>
      <c r="E24" t="s">
        <v>15</v>
      </c>
      <c r="F24" t="s">
        <v>17</v>
      </c>
      <c r="H24" t="s">
        <v>9</v>
      </c>
      <c r="I24" t="s">
        <v>10</v>
      </c>
      <c r="J24" t="s">
        <v>12</v>
      </c>
      <c r="K24" t="s">
        <v>15</v>
      </c>
      <c r="L24" t="s">
        <v>17</v>
      </c>
      <c r="N24" t="s">
        <v>19</v>
      </c>
      <c r="O24" t="s">
        <v>10</v>
      </c>
      <c r="P24" t="s">
        <v>12</v>
      </c>
      <c r="Q24" t="s">
        <v>15</v>
      </c>
      <c r="R24" t="s">
        <v>17</v>
      </c>
    </row>
    <row r="25" spans="1:22" x14ac:dyDescent="0.2">
      <c r="A25" t="s">
        <v>1</v>
      </c>
      <c r="B25">
        <v>14770123</v>
      </c>
      <c r="C25">
        <v>76984</v>
      </c>
      <c r="D25">
        <v>121006</v>
      </c>
      <c r="E25">
        <f t="shared" ref="E25:E32" si="22">C25*1000/B25</f>
        <v>5.2121434601458629</v>
      </c>
      <c r="F25">
        <f t="shared" ref="F25:F32" si="23">D25*1000/B25</f>
        <v>8.1926196552323898</v>
      </c>
      <c r="H25">
        <v>14691332</v>
      </c>
      <c r="I25">
        <v>99082</v>
      </c>
      <c r="J25">
        <f>110069+7493</f>
        <v>117562</v>
      </c>
      <c r="K25">
        <f>I25*1000/H25</f>
        <v>6.7442489217451485</v>
      </c>
      <c r="L25">
        <f t="shared" ref="L25:L32" si="24">J25*1000/H25</f>
        <v>8.0021335029390119</v>
      </c>
      <c r="N25">
        <v>14770123</v>
      </c>
      <c r="O25">
        <v>102296</v>
      </c>
      <c r="P25">
        <v>111564</v>
      </c>
      <c r="Q25">
        <f>O25*1000/N25</f>
        <v>6.9258732645625223</v>
      </c>
      <c r="R25">
        <f>P25*1000/N25</f>
        <v>7.5533561907372064</v>
      </c>
    </row>
    <row r="26" spans="1:22" x14ac:dyDescent="0.2">
      <c r="A26" t="s">
        <v>2</v>
      </c>
      <c r="B26">
        <v>14804413</v>
      </c>
      <c r="C26">
        <v>77188</v>
      </c>
      <c r="D26">
        <v>121708</v>
      </c>
      <c r="E26">
        <f t="shared" si="22"/>
        <v>5.2138507619315941</v>
      </c>
      <c r="F26">
        <f t="shared" si="23"/>
        <v>8.2210621927394225</v>
      </c>
      <c r="H26">
        <v>14725906</v>
      </c>
      <c r="I26">
        <v>98411</v>
      </c>
      <c r="J26">
        <f>110414+7465</f>
        <v>117879</v>
      </c>
      <c r="K26">
        <f t="shared" ref="K26:K32" si="25">I26*1000/H26</f>
        <v>6.6828485799108046</v>
      </c>
      <c r="L26">
        <f t="shared" si="24"/>
        <v>8.0048725015628914</v>
      </c>
      <c r="N26">
        <v>14804413</v>
      </c>
      <c r="O26">
        <v>102648</v>
      </c>
      <c r="P26">
        <v>112180</v>
      </c>
      <c r="Q26">
        <f t="shared" ref="Q26:Q32" si="26">O26*1000/N26</f>
        <v>6.9336082423531415</v>
      </c>
      <c r="R26">
        <f t="shared" ref="R26:R32" si="27">P26*1000/N26</f>
        <v>7.5774703123994174</v>
      </c>
    </row>
    <row r="27" spans="1:22" x14ac:dyDescent="0.2">
      <c r="A27" t="s">
        <v>3</v>
      </c>
      <c r="B27">
        <v>5896367</v>
      </c>
      <c r="C27">
        <v>30753</v>
      </c>
      <c r="D27">
        <v>38149</v>
      </c>
      <c r="E27">
        <f t="shared" si="22"/>
        <v>5.21558444377699</v>
      </c>
      <c r="F27">
        <f t="shared" si="23"/>
        <v>6.4699161364955744</v>
      </c>
      <c r="H27">
        <v>5827225</v>
      </c>
      <c r="I27">
        <v>30069</v>
      </c>
      <c r="J27">
        <f>31476+6779</f>
        <v>38255</v>
      </c>
      <c r="K27">
        <f t="shared" si="25"/>
        <v>5.1600890646920279</v>
      </c>
      <c r="L27">
        <f t="shared" si="24"/>
        <v>6.5648743612954705</v>
      </c>
      <c r="N27">
        <v>5896367</v>
      </c>
      <c r="O27">
        <v>33222</v>
      </c>
      <c r="P27">
        <v>34355</v>
      </c>
      <c r="Q27">
        <f t="shared" si="26"/>
        <v>5.6343168598562468</v>
      </c>
      <c r="R27">
        <f t="shared" si="27"/>
        <v>5.8264690783324715</v>
      </c>
    </row>
    <row r="28" spans="1:22" x14ac:dyDescent="0.2">
      <c r="A28" t="s">
        <v>4</v>
      </c>
      <c r="B28">
        <v>5936767</v>
      </c>
      <c r="C28">
        <v>31533</v>
      </c>
      <c r="D28">
        <v>38818</v>
      </c>
      <c r="E28">
        <f t="shared" si="22"/>
        <v>5.3114767684162105</v>
      </c>
      <c r="F28">
        <f t="shared" si="23"/>
        <v>6.5385756254203677</v>
      </c>
      <c r="H28">
        <v>5867600</v>
      </c>
      <c r="I28">
        <v>30568</v>
      </c>
      <c r="J28">
        <f>32081+6759</f>
        <v>38840</v>
      </c>
      <c r="K28">
        <f t="shared" si="25"/>
        <v>5.2096257413593294</v>
      </c>
      <c r="L28">
        <f t="shared" si="24"/>
        <v>6.6194014588588175</v>
      </c>
      <c r="N28">
        <v>5936767</v>
      </c>
      <c r="O28">
        <v>33931</v>
      </c>
      <c r="P28">
        <v>34983</v>
      </c>
      <c r="Q28">
        <f t="shared" si="26"/>
        <v>5.7154003180518957</v>
      </c>
      <c r="R28">
        <f t="shared" si="27"/>
        <v>5.8926011413282682</v>
      </c>
    </row>
    <row r="29" spans="1:22" x14ac:dyDescent="0.2">
      <c r="A29" t="s">
        <v>5</v>
      </c>
      <c r="B29">
        <v>4624449</v>
      </c>
      <c r="C29">
        <v>18130</v>
      </c>
      <c r="D29">
        <v>22214</v>
      </c>
      <c r="E29">
        <f t="shared" si="22"/>
        <v>3.920467065373626</v>
      </c>
      <c r="F29">
        <f t="shared" si="23"/>
        <v>4.8035993044793015</v>
      </c>
      <c r="H29">
        <v>4484799</v>
      </c>
      <c r="I29">
        <v>16877</v>
      </c>
      <c r="J29">
        <f>16243+6035</f>
        <v>22278</v>
      </c>
      <c r="K29">
        <f t="shared" si="25"/>
        <v>3.7631563867187805</v>
      </c>
      <c r="L29">
        <f t="shared" si="24"/>
        <v>4.9674467016247554</v>
      </c>
      <c r="N29">
        <v>4624449</v>
      </c>
      <c r="O29">
        <v>21441</v>
      </c>
      <c r="P29">
        <v>19997</v>
      </c>
      <c r="Q29">
        <f t="shared" si="26"/>
        <v>4.6364442553047942</v>
      </c>
      <c r="R29">
        <f t="shared" si="27"/>
        <v>4.324190838735599</v>
      </c>
    </row>
    <row r="30" spans="1:22" x14ac:dyDescent="0.2">
      <c r="A30" t="s">
        <v>6</v>
      </c>
      <c r="B30">
        <v>64610194</v>
      </c>
      <c r="C30">
        <v>2153</v>
      </c>
      <c r="D30">
        <v>4314</v>
      </c>
      <c r="E30">
        <f t="shared" si="22"/>
        <v>3.3322914956732681E-2</v>
      </c>
      <c r="F30">
        <f t="shared" si="23"/>
        <v>6.6769649383810858E-2</v>
      </c>
      <c r="H30">
        <v>65204537</v>
      </c>
      <c r="I30">
        <v>6427</v>
      </c>
      <c r="J30">
        <f>3583+648</f>
        <v>4231</v>
      </c>
      <c r="K30">
        <f t="shared" si="25"/>
        <v>9.8566760776171145E-2</v>
      </c>
      <c r="L30">
        <f t="shared" si="24"/>
        <v>6.4888122739066453E-2</v>
      </c>
      <c r="N30">
        <v>64610194</v>
      </c>
      <c r="O30">
        <v>2993</v>
      </c>
      <c r="P30">
        <v>3834</v>
      </c>
      <c r="Q30">
        <f t="shared" si="26"/>
        <v>4.6323959343010174E-2</v>
      </c>
      <c r="R30">
        <f t="shared" si="27"/>
        <v>5.9340481163080862E-2</v>
      </c>
    </row>
    <row r="31" spans="1:22" x14ac:dyDescent="0.2">
      <c r="A31" t="s">
        <v>7</v>
      </c>
      <c r="B31">
        <v>323495820</v>
      </c>
      <c r="C31">
        <v>2799998</v>
      </c>
      <c r="D31">
        <v>806691</v>
      </c>
      <c r="E31">
        <f t="shared" si="22"/>
        <v>8.6554379589819739</v>
      </c>
      <c r="F31">
        <f t="shared" si="23"/>
        <v>2.4936674606800175</v>
      </c>
      <c r="H31">
        <v>326518089</v>
      </c>
      <c r="I31">
        <v>2725659</v>
      </c>
      <c r="J31">
        <f>697214+170771</f>
        <v>867985</v>
      </c>
      <c r="K31">
        <f t="shared" si="25"/>
        <v>8.3476508402571223</v>
      </c>
      <c r="L31">
        <f t="shared" si="24"/>
        <v>2.6583060150152966</v>
      </c>
      <c r="N31">
        <v>323495820</v>
      </c>
      <c r="O31">
        <v>3023117</v>
      </c>
      <c r="P31">
        <v>731855</v>
      </c>
      <c r="Q31">
        <f t="shared" si="26"/>
        <v>9.3451501166228361</v>
      </c>
      <c r="R31">
        <f t="shared" si="27"/>
        <v>2.2623321686196749</v>
      </c>
    </row>
    <row r="32" spans="1:22" x14ac:dyDescent="0.2">
      <c r="A32" t="s">
        <v>8</v>
      </c>
      <c r="B32">
        <v>323534812</v>
      </c>
      <c r="C32">
        <v>2972915</v>
      </c>
      <c r="D32">
        <v>813605</v>
      </c>
      <c r="E32">
        <f t="shared" si="22"/>
        <v>9.188856622946652</v>
      </c>
      <c r="F32">
        <f t="shared" si="23"/>
        <v>2.5147371158316032</v>
      </c>
      <c r="H32">
        <v>326557671</v>
      </c>
      <c r="I32">
        <v>2641868</v>
      </c>
      <c r="J32">
        <f>700037+170855</f>
        <v>870892</v>
      </c>
      <c r="K32">
        <f t="shared" si="25"/>
        <v>8.0900503482583943</v>
      </c>
      <c r="L32">
        <f t="shared" si="24"/>
        <v>2.6668857520116256</v>
      </c>
      <c r="N32">
        <v>323534812</v>
      </c>
      <c r="O32">
        <v>3206859</v>
      </c>
      <c r="P32">
        <v>737947</v>
      </c>
      <c r="Q32">
        <f t="shared" si="26"/>
        <v>9.9119441897955642</v>
      </c>
      <c r="R32">
        <f t="shared" si="27"/>
        <v>2.2808890191389977</v>
      </c>
    </row>
    <row r="33" spans="1:18" x14ac:dyDescent="0.2">
      <c r="D33">
        <f>ABS(E25-K25)/E25</f>
        <v>0.29394921174261179</v>
      </c>
      <c r="F33">
        <f t="shared" ref="F33:F40" si="28">ABS(F25-L25)/F25</f>
        <v>2.3250945400805936E-2</v>
      </c>
      <c r="I33">
        <f>ABS(E25-Q25)/E25</f>
        <v>0.32879559388963947</v>
      </c>
      <c r="K33">
        <f t="shared" ref="K33:K40" si="29">ABS(F25-R25)/F25</f>
        <v>7.8029188635274221E-2</v>
      </c>
      <c r="N33">
        <f>ABS(E25-T3)/E25</f>
        <v>0.30915621740836691</v>
      </c>
      <c r="P33">
        <f>ABS(F25-V3)/F25</f>
        <v>0.30418443557756381</v>
      </c>
    </row>
    <row r="34" spans="1:18" x14ac:dyDescent="0.2">
      <c r="D34">
        <f t="shared" ref="D34:D40" si="30">ABS(E26-K26)/E26</f>
        <v>0.28174911117612916</v>
      </c>
      <c r="F34">
        <f t="shared" si="28"/>
        <v>2.6297050929436207E-2</v>
      </c>
      <c r="I34">
        <f t="shared" ref="I34:I40" si="31">ABS(E26-Q26)/E26</f>
        <v>0.32984401720474688</v>
      </c>
      <c r="K34">
        <f t="shared" si="29"/>
        <v>7.8285733066027013E-2</v>
      </c>
      <c r="N34">
        <f t="shared" ref="N34:N40" si="32">ABS(E26-T4)/E26</f>
        <v>0.29405680142976404</v>
      </c>
      <c r="P34">
        <f t="shared" ref="P34:P40" si="33">ABS(F26-V4)/F26</f>
        <v>0.30552537729189633</v>
      </c>
    </row>
    <row r="35" spans="1:18" x14ac:dyDescent="0.2">
      <c r="D35">
        <f t="shared" si="30"/>
        <v>1.0640299219232631E-2</v>
      </c>
      <c r="F35">
        <f t="shared" si="28"/>
        <v>1.4676886500004958E-2</v>
      </c>
      <c r="I35">
        <f t="shared" si="31"/>
        <v>8.0284850258511328E-2</v>
      </c>
      <c r="K35">
        <f t="shared" si="29"/>
        <v>9.9452148155914979E-2</v>
      </c>
      <c r="N35">
        <f t="shared" si="32"/>
        <v>0.10375154755980305</v>
      </c>
      <c r="P35">
        <f t="shared" si="33"/>
        <v>0.28809202436350645</v>
      </c>
    </row>
    <row r="36" spans="1:18" x14ac:dyDescent="0.2">
      <c r="D36">
        <f t="shared" si="30"/>
        <v>1.9175651423822625E-2</v>
      </c>
      <c r="F36">
        <f t="shared" si="28"/>
        <v>1.2361382366553788E-2</v>
      </c>
      <c r="I36">
        <f t="shared" si="31"/>
        <v>7.6047315510734723E-2</v>
      </c>
      <c r="K36">
        <f t="shared" si="29"/>
        <v>9.8794373744139352E-2</v>
      </c>
      <c r="N36">
        <f t="shared" si="32"/>
        <v>9.8375758969695332E-2</v>
      </c>
      <c r="P36">
        <f t="shared" si="33"/>
        <v>0.2889838018650796</v>
      </c>
    </row>
    <row r="37" spans="1:18" x14ac:dyDescent="0.2">
      <c r="D37">
        <f t="shared" si="30"/>
        <v>4.0125494241297389E-2</v>
      </c>
      <c r="F37">
        <f t="shared" si="28"/>
        <v>3.410929737471402E-2</v>
      </c>
      <c r="I37">
        <f t="shared" si="31"/>
        <v>0.18262548262548267</v>
      </c>
      <c r="K37">
        <f t="shared" si="29"/>
        <v>9.9801926712883737E-2</v>
      </c>
      <c r="N37">
        <f t="shared" si="32"/>
        <v>0.16281047685334091</v>
      </c>
      <c r="P37">
        <f t="shared" si="33"/>
        <v>0.28334188162692436</v>
      </c>
    </row>
    <row r="38" spans="1:18" x14ac:dyDescent="0.2">
      <c r="D38">
        <f t="shared" si="30"/>
        <v>1.9579273273107327</v>
      </c>
      <c r="F38">
        <f t="shared" si="28"/>
        <v>2.8179369850047542E-2</v>
      </c>
      <c r="I38">
        <f t="shared" si="31"/>
        <v>0.39015327450069653</v>
      </c>
      <c r="K38">
        <f t="shared" si="29"/>
        <v>0.1112656467315716</v>
      </c>
      <c r="N38">
        <f t="shared" si="32"/>
        <v>0.40003359198019023</v>
      </c>
      <c r="P38">
        <f t="shared" si="33"/>
        <v>0.38328086218935187</v>
      </c>
    </row>
    <row r="39" spans="1:18" x14ac:dyDescent="0.2">
      <c r="D39">
        <f t="shared" si="30"/>
        <v>3.5559970527597948E-2</v>
      </c>
      <c r="F39">
        <f t="shared" si="28"/>
        <v>6.6022658165649117E-2</v>
      </c>
      <c r="I39">
        <f t="shared" si="31"/>
        <v>7.968541406101004E-2</v>
      </c>
      <c r="K39">
        <f t="shared" si="29"/>
        <v>9.2769102419637789E-2</v>
      </c>
      <c r="N39">
        <f t="shared" si="32"/>
        <v>4.857543528417585E-2</v>
      </c>
      <c r="P39">
        <f t="shared" si="33"/>
        <v>0.11637572839197152</v>
      </c>
    </row>
    <row r="40" spans="1:18" x14ac:dyDescent="0.2">
      <c r="D40">
        <f t="shared" si="30"/>
        <v>0.1195803046860357</v>
      </c>
      <c r="F40">
        <f t="shared" si="28"/>
        <v>6.0502799764701479E-2</v>
      </c>
      <c r="I40">
        <f t="shared" si="31"/>
        <v>7.8691789035340826E-2</v>
      </c>
      <c r="K40">
        <f t="shared" si="29"/>
        <v>9.2991070605514911E-2</v>
      </c>
      <c r="N40">
        <f t="shared" si="32"/>
        <v>4.3314199842890609E-2</v>
      </c>
      <c r="P40">
        <f t="shared" si="33"/>
        <v>0.12114694238460651</v>
      </c>
    </row>
    <row r="41" spans="1:18" x14ac:dyDescent="0.2">
      <c r="E41">
        <f>AVERAGE(D33:D40)</f>
        <v>0.34483842129093245</v>
      </c>
      <c r="G41">
        <f>AVERAGE(F33:F40)</f>
        <v>3.317504879398913E-2</v>
      </c>
    </row>
    <row r="44" spans="1:18" x14ac:dyDescent="0.2">
      <c r="B44" t="s">
        <v>27</v>
      </c>
      <c r="H44" t="s">
        <v>28</v>
      </c>
      <c r="N44" t="s">
        <v>20</v>
      </c>
    </row>
    <row r="45" spans="1:18" x14ac:dyDescent="0.2">
      <c r="A45" t="s">
        <v>14</v>
      </c>
      <c r="B45" t="s">
        <v>9</v>
      </c>
      <c r="C45" t="s">
        <v>10</v>
      </c>
      <c r="D45" t="s">
        <v>12</v>
      </c>
      <c r="E45" t="s">
        <v>15</v>
      </c>
      <c r="F45" t="s">
        <v>17</v>
      </c>
      <c r="H45" t="s">
        <v>9</v>
      </c>
      <c r="I45" t="s">
        <v>10</v>
      </c>
      <c r="J45" t="s">
        <v>12</v>
      </c>
      <c r="K45" t="s">
        <v>15</v>
      </c>
      <c r="L45" t="s">
        <v>17</v>
      </c>
      <c r="N45" t="s">
        <v>9</v>
      </c>
      <c r="O45" t="s">
        <v>10</v>
      </c>
      <c r="P45" t="s">
        <v>12</v>
      </c>
      <c r="Q45" t="s">
        <v>15</v>
      </c>
      <c r="R45" t="s">
        <v>17</v>
      </c>
    </row>
    <row r="46" spans="1:18" x14ac:dyDescent="0.2">
      <c r="A46" t="s">
        <v>1</v>
      </c>
      <c r="B46">
        <v>14770123</v>
      </c>
      <c r="C46">
        <v>69355</v>
      </c>
      <c r="D46">
        <v>142875</v>
      </c>
      <c r="E46">
        <f t="shared" ref="E46:E53" si="34">C46*1000/B46</f>
        <v>4.6956277886108326</v>
      </c>
      <c r="F46">
        <f t="shared" ref="F46:F53" si="35">D46*1000/B46</f>
        <v>9.6732437502382336</v>
      </c>
      <c r="H46">
        <v>14691332</v>
      </c>
      <c r="I46">
        <v>87169</v>
      </c>
      <c r="J46">
        <f>97154+26658</f>
        <v>123812</v>
      </c>
      <c r="K46">
        <f t="shared" ref="K46:K53" si="36">I46*1000/H46</f>
        <v>5.9333626113683904</v>
      </c>
      <c r="L46">
        <f t="shared" ref="L46:L53" si="37">J46*1000/H46</f>
        <v>8.4275544246090135</v>
      </c>
      <c r="N46">
        <v>14770123</v>
      </c>
      <c r="O46">
        <v>102296</v>
      </c>
      <c r="P46">
        <v>111564</v>
      </c>
      <c r="Q46">
        <f>O46*1000/N46</f>
        <v>6.9258732645625223</v>
      </c>
      <c r="R46">
        <f>P46*1000/N46</f>
        <v>7.5533561907372064</v>
      </c>
    </row>
    <row r="47" spans="1:18" x14ac:dyDescent="0.2">
      <c r="A47" t="s">
        <v>2</v>
      </c>
      <c r="B47">
        <v>14804413</v>
      </c>
      <c r="C47">
        <v>69944</v>
      </c>
      <c r="D47">
        <v>144025</v>
      </c>
      <c r="E47">
        <f t="shared" si="34"/>
        <v>4.7245372038729263</v>
      </c>
      <c r="F47">
        <f t="shared" si="35"/>
        <v>9.7285181114577117</v>
      </c>
      <c r="H47">
        <v>14725906</v>
      </c>
      <c r="I47">
        <v>86346</v>
      </c>
      <c r="J47">
        <f>97578+26687</f>
        <v>124265</v>
      </c>
      <c r="K47">
        <f t="shared" si="36"/>
        <v>5.8635441513751347</v>
      </c>
      <c r="L47">
        <f t="shared" si="37"/>
        <v>8.4385300300029087</v>
      </c>
      <c r="N47">
        <v>14804413</v>
      </c>
      <c r="O47">
        <v>102648</v>
      </c>
      <c r="P47">
        <v>112180</v>
      </c>
      <c r="Q47">
        <f t="shared" ref="Q47:Q53" si="38">O47*1000/N47</f>
        <v>6.9336082423531415</v>
      </c>
      <c r="R47">
        <f t="shared" ref="R47:R53" si="39">P47*1000/N47</f>
        <v>7.5774703123994174</v>
      </c>
    </row>
    <row r="48" spans="1:18" x14ac:dyDescent="0.2">
      <c r="A48" t="s">
        <v>3</v>
      </c>
      <c r="B48">
        <v>5896367</v>
      </c>
      <c r="C48">
        <v>23979</v>
      </c>
      <c r="D48">
        <v>43640</v>
      </c>
      <c r="E48">
        <f t="shared" si="34"/>
        <v>4.066741435870596</v>
      </c>
      <c r="F48">
        <f t="shared" si="35"/>
        <v>7.4011675324822894</v>
      </c>
      <c r="H48">
        <v>5827225</v>
      </c>
      <c r="I48">
        <v>24160</v>
      </c>
      <c r="J48">
        <f>26217+15784</f>
        <v>42001</v>
      </c>
      <c r="K48">
        <f t="shared" si="36"/>
        <v>4.1460557984289261</v>
      </c>
      <c r="L48">
        <f t="shared" si="37"/>
        <v>7.2077189399757176</v>
      </c>
      <c r="N48">
        <v>5896367</v>
      </c>
      <c r="O48">
        <v>33222</v>
      </c>
      <c r="P48">
        <v>34355</v>
      </c>
      <c r="Q48">
        <f t="shared" si="38"/>
        <v>5.6343168598562468</v>
      </c>
      <c r="R48">
        <f t="shared" si="39"/>
        <v>5.8264690783324715</v>
      </c>
    </row>
    <row r="49" spans="1:18" x14ac:dyDescent="0.2">
      <c r="A49" t="s">
        <v>4</v>
      </c>
      <c r="B49">
        <v>5936767</v>
      </c>
      <c r="C49">
        <v>24703</v>
      </c>
      <c r="D49">
        <v>44542</v>
      </c>
      <c r="E49">
        <f t="shared" si="34"/>
        <v>4.1610189518975567</v>
      </c>
      <c r="F49">
        <f t="shared" si="35"/>
        <v>7.5027367589127216</v>
      </c>
      <c r="H49">
        <v>5867600</v>
      </c>
      <c r="I49">
        <v>24508</v>
      </c>
      <c r="J49">
        <f>26520+16056</f>
        <v>42576</v>
      </c>
      <c r="K49">
        <f t="shared" si="36"/>
        <v>4.1768355034426339</v>
      </c>
      <c r="L49">
        <f t="shared" si="37"/>
        <v>7.2561183448087805</v>
      </c>
      <c r="N49">
        <v>5936767</v>
      </c>
      <c r="O49">
        <v>33931</v>
      </c>
      <c r="P49">
        <v>34983</v>
      </c>
      <c r="Q49">
        <f t="shared" si="38"/>
        <v>5.7154003180518957</v>
      </c>
      <c r="R49">
        <f t="shared" si="39"/>
        <v>5.8926011413282682</v>
      </c>
    </row>
    <row r="50" spans="1:18" x14ac:dyDescent="0.2">
      <c r="A50" t="s">
        <v>5</v>
      </c>
      <c r="B50">
        <v>4624449</v>
      </c>
      <c r="C50">
        <v>13534</v>
      </c>
      <c r="D50">
        <v>24544</v>
      </c>
      <c r="E50">
        <f t="shared" si="34"/>
        <v>2.9266189334123913</v>
      </c>
      <c r="F50">
        <f t="shared" si="35"/>
        <v>5.3074431137633908</v>
      </c>
      <c r="H50">
        <v>4484799</v>
      </c>
      <c r="I50">
        <v>13566</v>
      </c>
      <c r="J50">
        <f>13672+10331</f>
        <v>24003</v>
      </c>
      <c r="K50">
        <f t="shared" si="36"/>
        <v>3.0248847272754031</v>
      </c>
      <c r="L50">
        <f t="shared" si="37"/>
        <v>5.3520793239563247</v>
      </c>
      <c r="N50">
        <v>4624449</v>
      </c>
      <c r="O50">
        <v>21441</v>
      </c>
      <c r="P50">
        <v>19997</v>
      </c>
      <c r="Q50">
        <f t="shared" si="38"/>
        <v>4.6364442553047942</v>
      </c>
      <c r="R50">
        <f t="shared" si="39"/>
        <v>4.324190838735599</v>
      </c>
    </row>
    <row r="51" spans="1:18" x14ac:dyDescent="0.2">
      <c r="A51" t="s">
        <v>6</v>
      </c>
      <c r="B51">
        <v>64610194</v>
      </c>
      <c r="C51">
        <v>1582</v>
      </c>
      <c r="D51">
        <v>4320</v>
      </c>
      <c r="E51">
        <f t="shared" si="34"/>
        <v>2.4485300260822618E-2</v>
      </c>
      <c r="F51">
        <f t="shared" si="35"/>
        <v>6.6862513986569977E-2</v>
      </c>
      <c r="H51">
        <v>65204537</v>
      </c>
      <c r="I51">
        <v>1816</v>
      </c>
      <c r="J51">
        <f>2797+1378</f>
        <v>4175</v>
      </c>
      <c r="K51">
        <f t="shared" si="36"/>
        <v>2.785082271192264E-2</v>
      </c>
      <c r="L51">
        <f t="shared" si="37"/>
        <v>6.4029286796408041E-2</v>
      </c>
      <c r="N51">
        <v>64610194</v>
      </c>
      <c r="O51">
        <v>2993</v>
      </c>
      <c r="P51">
        <v>3834</v>
      </c>
      <c r="Q51">
        <f t="shared" si="38"/>
        <v>4.6323959343010174E-2</v>
      </c>
      <c r="R51">
        <f t="shared" si="39"/>
        <v>5.9340481163080862E-2</v>
      </c>
    </row>
    <row r="52" spans="1:18" x14ac:dyDescent="0.2">
      <c r="A52" t="s">
        <v>7</v>
      </c>
      <c r="B52">
        <v>323495820</v>
      </c>
      <c r="C52">
        <v>3136006</v>
      </c>
      <c r="D52">
        <v>1067086</v>
      </c>
      <c r="E52">
        <f t="shared" si="34"/>
        <v>9.6941159857954275</v>
      </c>
      <c r="F52">
        <f t="shared" si="35"/>
        <v>3.2986083096838779</v>
      </c>
      <c r="H52">
        <v>326518089</v>
      </c>
      <c r="I52">
        <v>3537927</v>
      </c>
      <c r="J52">
        <f>604656+362296</f>
        <v>966952</v>
      </c>
      <c r="K52">
        <f t="shared" si="36"/>
        <v>10.835316998317971</v>
      </c>
      <c r="L52">
        <f t="shared" si="37"/>
        <v>2.961404077064778</v>
      </c>
      <c r="N52">
        <v>323495820</v>
      </c>
      <c r="O52">
        <v>3023117</v>
      </c>
      <c r="P52">
        <v>731855</v>
      </c>
      <c r="Q52">
        <f t="shared" si="38"/>
        <v>9.3451501166228361</v>
      </c>
      <c r="R52">
        <f t="shared" si="39"/>
        <v>2.2623321686196749</v>
      </c>
    </row>
    <row r="53" spans="1:18" x14ac:dyDescent="0.2">
      <c r="A53" t="s">
        <v>8</v>
      </c>
      <c r="B53">
        <v>323534812</v>
      </c>
      <c r="C53">
        <v>3291737</v>
      </c>
      <c r="D53">
        <v>1045610</v>
      </c>
      <c r="E53">
        <f t="shared" si="34"/>
        <v>10.174289992633003</v>
      </c>
      <c r="F53">
        <f t="shared" si="35"/>
        <v>3.2318315099891013</v>
      </c>
      <c r="H53">
        <v>326557671</v>
      </c>
      <c r="I53">
        <v>3426586</v>
      </c>
      <c r="J53">
        <f>606056+367654</f>
        <v>973710</v>
      </c>
      <c r="K53">
        <f t="shared" si="36"/>
        <v>10.493050092827248</v>
      </c>
      <c r="L53">
        <f t="shared" si="37"/>
        <v>2.9817397858646535</v>
      </c>
      <c r="N53">
        <v>323534812</v>
      </c>
      <c r="O53">
        <v>3206859</v>
      </c>
      <c r="P53">
        <v>737947</v>
      </c>
      <c r="Q53">
        <f t="shared" si="38"/>
        <v>9.9119441897955642</v>
      </c>
      <c r="R53">
        <f t="shared" si="39"/>
        <v>2.2808890191389977</v>
      </c>
    </row>
    <row r="54" spans="1:18" x14ac:dyDescent="0.2">
      <c r="D54">
        <f>ABS(E46-K46)/E46</f>
        <v>0.2635930440993775</v>
      </c>
      <c r="F54">
        <f t="shared" ref="F54:F61" si="40">ABS(F46-L46)/F46</f>
        <v>0.12877679481596244</v>
      </c>
      <c r="I54">
        <f>ABS(E46-Q46)/E46</f>
        <v>0.47496215125081104</v>
      </c>
      <c r="K54">
        <f t="shared" ref="K54:K61" si="41">ABS(F46-R46)/F46</f>
        <v>0.21914960629921254</v>
      </c>
      <c r="N54">
        <f>ABS(E46-T3)/E46</f>
        <v>0.4531624575151858</v>
      </c>
      <c r="P54">
        <f>ABS(F46-V3)/F46</f>
        <v>0.41068865659841597</v>
      </c>
    </row>
    <row r="55" spans="1:18" x14ac:dyDescent="0.2">
      <c r="D55">
        <f t="shared" ref="D55:D61" si="42">ABS(E47-K47)/E47</f>
        <v>0.24108328463759596</v>
      </c>
      <c r="F55">
        <f t="shared" si="40"/>
        <v>0.13259862053764657</v>
      </c>
      <c r="I55">
        <f t="shared" ref="I55:I61" si="43">ABS(E47-Q47)/E47</f>
        <v>0.46757405924739792</v>
      </c>
      <c r="K55">
        <f t="shared" si="41"/>
        <v>0.22110744662385004</v>
      </c>
      <c r="N55">
        <f t="shared" ref="N55:N61" si="44">ABS(E47-T4)/E47</f>
        <v>0.4280804127410589</v>
      </c>
      <c r="P55">
        <f t="shared" ref="P55:P61" si="45">ABS(F47-V4)/F47</f>
        <v>0.41313579322646837</v>
      </c>
    </row>
    <row r="56" spans="1:18" x14ac:dyDescent="0.2">
      <c r="D56">
        <f t="shared" si="42"/>
        <v>1.9503173193835165E-2</v>
      </c>
      <c r="F56">
        <f t="shared" si="40"/>
        <v>2.6137577842625978E-2</v>
      </c>
      <c r="I56">
        <f t="shared" si="43"/>
        <v>0.38546227949455775</v>
      </c>
      <c r="K56">
        <f t="shared" si="41"/>
        <v>0.21276351970669111</v>
      </c>
      <c r="N56">
        <f t="shared" si="44"/>
        <v>0.41555825272557756</v>
      </c>
      <c r="P56">
        <f t="shared" si="45"/>
        <v>0.37766779645837323</v>
      </c>
    </row>
    <row r="57" spans="1:18" x14ac:dyDescent="0.2">
      <c r="D57">
        <f t="shared" si="42"/>
        <v>3.8011246110437368E-3</v>
      </c>
      <c r="F57">
        <f t="shared" si="40"/>
        <v>3.287046074367142E-2</v>
      </c>
      <c r="I57">
        <f t="shared" si="43"/>
        <v>0.37355786746548986</v>
      </c>
      <c r="K57">
        <f t="shared" si="41"/>
        <v>0.21460643886668768</v>
      </c>
      <c r="N57">
        <f t="shared" si="44"/>
        <v>0.40205978251999358</v>
      </c>
      <c r="P57">
        <f t="shared" si="45"/>
        <v>0.38035501820301421</v>
      </c>
    </row>
    <row r="58" spans="1:18" x14ac:dyDescent="0.2">
      <c r="D58">
        <f t="shared" si="42"/>
        <v>3.3576559196395094E-2</v>
      </c>
      <c r="F58">
        <f t="shared" si="40"/>
        <v>8.4101156123901049E-3</v>
      </c>
      <c r="I58">
        <f t="shared" si="43"/>
        <v>0.58423230382739777</v>
      </c>
      <c r="K58">
        <f t="shared" si="41"/>
        <v>0.18525912646675347</v>
      </c>
      <c r="N58">
        <f t="shared" si="44"/>
        <v>0.55768833643793925</v>
      </c>
      <c r="P58">
        <f t="shared" si="45"/>
        <v>0.35137534869868381</v>
      </c>
    </row>
    <row r="59" spans="1:18" x14ac:dyDescent="0.2">
      <c r="D59">
        <f t="shared" si="42"/>
        <v>0.13745073228630081</v>
      </c>
      <c r="F59">
        <f t="shared" si="40"/>
        <v>4.2373925556119803E-2</v>
      </c>
      <c r="I59">
        <f t="shared" si="43"/>
        <v>0.89190897597977237</v>
      </c>
      <c r="K59">
        <f t="shared" si="41"/>
        <v>0.11249999999999989</v>
      </c>
      <c r="N59">
        <f t="shared" si="44"/>
        <v>0.90535545103245874</v>
      </c>
      <c r="P59">
        <f t="shared" si="45"/>
        <v>0.38413741654742217</v>
      </c>
    </row>
    <row r="60" spans="1:18" x14ac:dyDescent="0.2">
      <c r="D60">
        <f t="shared" si="42"/>
        <v>0.11772099840714925</v>
      </c>
      <c r="F60">
        <f t="shared" si="40"/>
        <v>0.10222621207530269</v>
      </c>
      <c r="I60">
        <f t="shared" si="43"/>
        <v>3.5997698983994346E-2</v>
      </c>
      <c r="K60">
        <f t="shared" si="41"/>
        <v>0.31415556009543749</v>
      </c>
      <c r="N60">
        <f t="shared" si="44"/>
        <v>6.3774392764292656E-2</v>
      </c>
      <c r="P60">
        <f t="shared" si="45"/>
        <v>0.33200159379117322</v>
      </c>
    </row>
    <row r="61" spans="1:18" x14ac:dyDescent="0.2">
      <c r="D61">
        <f t="shared" si="42"/>
        <v>3.132996016675884E-2</v>
      </c>
      <c r="F61">
        <f t="shared" si="40"/>
        <v>7.7383899300273604E-2</v>
      </c>
      <c r="I61">
        <f t="shared" si="43"/>
        <v>2.5785170564963086E-2</v>
      </c>
      <c r="K61">
        <f t="shared" si="41"/>
        <v>0.29424259523149165</v>
      </c>
      <c r="N61">
        <f t="shared" si="44"/>
        <v>0.13597423926210608</v>
      </c>
      <c r="P61">
        <f t="shared" si="45"/>
        <v>0.31615110610918778</v>
      </c>
    </row>
    <row r="62" spans="1:18" x14ac:dyDescent="0.2">
      <c r="E62">
        <f>AVERAGE(D54:D61)</f>
        <v>0.10600735957480704</v>
      </c>
      <c r="G62">
        <f>AVERAGE(F54:F61)</f>
        <v>6.8847200810499068E-2</v>
      </c>
    </row>
    <row r="64" spans="1:18" x14ac:dyDescent="0.2">
      <c r="A64" t="s">
        <v>30</v>
      </c>
      <c r="B64" t="s">
        <v>27</v>
      </c>
      <c r="J64" t="s">
        <v>31</v>
      </c>
      <c r="R64" t="s">
        <v>20</v>
      </c>
    </row>
    <row r="65" spans="1:24" x14ac:dyDescent="0.2">
      <c r="B65" t="s">
        <v>9</v>
      </c>
      <c r="C65" t="s">
        <v>10</v>
      </c>
      <c r="D65" t="s">
        <v>11</v>
      </c>
      <c r="E65" t="s">
        <v>12</v>
      </c>
      <c r="F65" t="s">
        <v>15</v>
      </c>
      <c r="G65" t="s">
        <v>34</v>
      </c>
      <c r="H65" t="s">
        <v>17</v>
      </c>
      <c r="J65" t="s">
        <v>9</v>
      </c>
      <c r="K65" t="s">
        <v>10</v>
      </c>
      <c r="L65" t="s">
        <v>11</v>
      </c>
      <c r="M65" t="s">
        <v>12</v>
      </c>
      <c r="N65" t="s">
        <v>15</v>
      </c>
      <c r="O65" t="s">
        <v>16</v>
      </c>
      <c r="P65" t="s">
        <v>17</v>
      </c>
      <c r="R65" t="s">
        <v>9</v>
      </c>
      <c r="S65" t="s">
        <v>10</v>
      </c>
      <c r="T65" t="s">
        <v>11</v>
      </c>
      <c r="U65" t="s">
        <v>12</v>
      </c>
      <c r="V65" t="s">
        <v>15</v>
      </c>
      <c r="W65" t="s">
        <v>16</v>
      </c>
      <c r="X65" t="s">
        <v>17</v>
      </c>
    </row>
    <row r="66" spans="1:24" x14ac:dyDescent="0.2">
      <c r="A66" t="s">
        <v>32</v>
      </c>
      <c r="B66">
        <v>53080196</v>
      </c>
      <c r="C66">
        <v>298956</v>
      </c>
      <c r="D66">
        <v>9789</v>
      </c>
      <c r="E66">
        <v>222958</v>
      </c>
      <c r="F66">
        <f>C66*1000/B66</f>
        <v>5.6321570477998986</v>
      </c>
      <c r="G66">
        <f>D66*1000/B66</f>
        <v>0.18441906280828352</v>
      </c>
      <c r="H66">
        <f>E66*1000/B68</f>
        <v>2.3116234458531877</v>
      </c>
      <c r="J66">
        <v>55052893</v>
      </c>
      <c r="K66">
        <v>377219</v>
      </c>
      <c r="L66">
        <v>11440</v>
      </c>
      <c r="M66">
        <v>189864</v>
      </c>
      <c r="N66">
        <f>K66*1000/J66</f>
        <v>6.8519378264099577</v>
      </c>
      <c r="O66">
        <f>L66*1000/J66</f>
        <v>0.2078001604747638</v>
      </c>
      <c r="P66">
        <f>M66*1000/J68</f>
        <v>1.8992276020277914</v>
      </c>
      <c r="R66">
        <v>53034189</v>
      </c>
      <c r="S66">
        <v>355175</v>
      </c>
      <c r="T66">
        <v>7313</v>
      </c>
      <c r="U66">
        <v>272743</v>
      </c>
      <c r="V66">
        <f>S66*1000/R66</f>
        <v>6.6970949626475855</v>
      </c>
      <c r="W66">
        <f>T66*1000/R66</f>
        <v>0.13789218121163313</v>
      </c>
      <c r="X66">
        <f>U66*1000/R68</f>
        <v>2.8439780105797028</v>
      </c>
    </row>
    <row r="67" spans="1:24" x14ac:dyDescent="0.2">
      <c r="A67" t="s">
        <v>33</v>
      </c>
      <c r="B67">
        <v>43370634</v>
      </c>
      <c r="C67">
        <v>222973</v>
      </c>
      <c r="D67">
        <v>697</v>
      </c>
      <c r="F67">
        <f>C67*1000/B67</f>
        <v>5.1411053848094541</v>
      </c>
      <c r="G67">
        <f>D67*1000/B67</f>
        <v>1.6070781902796257E-2</v>
      </c>
      <c r="J67">
        <v>44916168</v>
      </c>
      <c r="K67">
        <v>315470</v>
      </c>
      <c r="L67">
        <v>2561</v>
      </c>
      <c r="N67">
        <f>K67*1000/J67</f>
        <v>7.0235288103829339</v>
      </c>
      <c r="O67">
        <f>L67*1000/J67</f>
        <v>5.7017330596857686E-2</v>
      </c>
      <c r="R67">
        <v>42867748</v>
      </c>
      <c r="S67">
        <v>312953</v>
      </c>
      <c r="T67">
        <v>549</v>
      </c>
      <c r="V67">
        <f>S67*1000/R67</f>
        <v>7.3004301508910618</v>
      </c>
      <c r="W67">
        <f>T67*1000/R67</f>
        <v>1.2806830907002626E-2</v>
      </c>
    </row>
    <row r="68" spans="1:24" x14ac:dyDescent="0.2">
      <c r="B68">
        <v>96450830</v>
      </c>
      <c r="J68">
        <f>J66+J67</f>
        <v>99969061</v>
      </c>
      <c r="R68">
        <v>95901937</v>
      </c>
      <c r="U68">
        <f>ABS(P66-H66)/H66</f>
        <v>0.17840096083347468</v>
      </c>
      <c r="W68">
        <f>ABS(X66-H66)/H66</f>
        <v>0.2302946726386185</v>
      </c>
    </row>
    <row r="70" spans="1:24" x14ac:dyDescent="0.2">
      <c r="B70" t="s">
        <v>27</v>
      </c>
      <c r="F70" t="s">
        <v>36</v>
      </c>
      <c r="J70" t="s">
        <v>37</v>
      </c>
    </row>
    <row r="71" spans="1:24" x14ac:dyDescent="0.2">
      <c r="A71" t="s">
        <v>38</v>
      </c>
      <c r="B71">
        <v>71141287</v>
      </c>
      <c r="C71">
        <v>6928</v>
      </c>
      <c r="D71">
        <f>C71*1000/B71</f>
        <v>9.7383675389510455E-2</v>
      </c>
      <c r="F71">
        <f>32845024+33448745</f>
        <v>66293769</v>
      </c>
      <c r="G71">
        <v>6901</v>
      </c>
      <c r="H71">
        <f t="shared" ref="H71:H76" si="46">G71*1000/F71</f>
        <v>0.10409726440504537</v>
      </c>
      <c r="J71">
        <v>71054501</v>
      </c>
      <c r="K71">
        <v>6430</v>
      </c>
      <c r="L71">
        <f t="shared" ref="L71:L76" si="47">K71*1000/J71</f>
        <v>9.0493915367866704E-2</v>
      </c>
    </row>
    <row r="72" spans="1:24" x14ac:dyDescent="0.2">
      <c r="A72" t="s">
        <v>39</v>
      </c>
      <c r="B72">
        <v>130393012</v>
      </c>
      <c r="C72">
        <v>13913</v>
      </c>
      <c r="D72">
        <f>C72*1000/B72</f>
        <v>0.10670050324475977</v>
      </c>
      <c r="F72">
        <f>123570944+6586592+7301102+7361104</f>
        <v>144819742</v>
      </c>
      <c r="G72">
        <v>21377</v>
      </c>
      <c r="H72">
        <f t="shared" si="46"/>
        <v>0.14761109020619578</v>
      </c>
      <c r="J72">
        <v>129215820</v>
      </c>
      <c r="K72">
        <v>13024</v>
      </c>
      <c r="L72">
        <f t="shared" si="47"/>
        <v>0.10079261192631057</v>
      </c>
    </row>
    <row r="73" spans="1:24" x14ac:dyDescent="0.2">
      <c r="A73" t="s">
        <v>40</v>
      </c>
      <c r="B73">
        <v>3162466146</v>
      </c>
      <c r="C73">
        <v>18793812</v>
      </c>
      <c r="D73">
        <f t="shared" ref="D73:D76" si="48">C73*1000/B73</f>
        <v>5.9427709680848553</v>
      </c>
      <c r="F73">
        <f>920837615+696667731+697462430+696146700</f>
        <v>3011114476</v>
      </c>
      <c r="G73">
        <v>19151248</v>
      </c>
      <c r="H73">
        <f t="shared" si="46"/>
        <v>6.3601859552814952</v>
      </c>
      <c r="J73">
        <v>2987197006</v>
      </c>
      <c r="K73">
        <v>18780580</v>
      </c>
      <c r="L73">
        <f t="shared" si="47"/>
        <v>6.2870242445603202</v>
      </c>
    </row>
    <row r="74" spans="1:24" x14ac:dyDescent="0.2">
      <c r="A74" t="s">
        <v>41</v>
      </c>
      <c r="B74">
        <v>1264355084</v>
      </c>
      <c r="C74">
        <v>7099667</v>
      </c>
      <c r="D74">
        <f t="shared" si="48"/>
        <v>5.6152477178634097</v>
      </c>
      <c r="F74">
        <f>866365093+392755485</f>
        <v>1259120578</v>
      </c>
      <c r="G74">
        <v>7362400</v>
      </c>
      <c r="H74">
        <f t="shared" si="46"/>
        <v>5.8472557185067311</v>
      </c>
      <c r="J74">
        <v>1262893545</v>
      </c>
      <c r="K74">
        <v>7089852</v>
      </c>
      <c r="L74">
        <f t="shared" si="47"/>
        <v>5.6139743750135329</v>
      </c>
    </row>
    <row r="75" spans="1:24" x14ac:dyDescent="0.2">
      <c r="A75" t="s">
        <v>35</v>
      </c>
      <c r="B75">
        <v>998121</v>
      </c>
      <c r="C75">
        <v>5515</v>
      </c>
      <c r="D75">
        <f t="shared" si="48"/>
        <v>5.5253821931409117</v>
      </c>
      <c r="F75">
        <f>480663+257372+256532</f>
        <v>994567</v>
      </c>
      <c r="G75">
        <v>5180</v>
      </c>
      <c r="H75">
        <f t="shared" si="46"/>
        <v>5.2082966758398381</v>
      </c>
      <c r="J75">
        <v>996312</v>
      </c>
      <c r="K75">
        <v>5049</v>
      </c>
      <c r="L75">
        <f t="shared" si="47"/>
        <v>5.0676896393900703</v>
      </c>
    </row>
    <row r="76" spans="1:24" x14ac:dyDescent="0.2">
      <c r="A76" t="s">
        <v>42</v>
      </c>
      <c r="B76">
        <v>83307022</v>
      </c>
      <c r="C76">
        <v>217500</v>
      </c>
      <c r="D76">
        <f t="shared" si="48"/>
        <v>2.6108243312310457</v>
      </c>
      <c r="F76">
        <f>18479487+34231326+31593490</f>
        <v>84304303</v>
      </c>
      <c r="G76">
        <v>231302</v>
      </c>
      <c r="H76">
        <f t="shared" si="46"/>
        <v>2.7436559199119408</v>
      </c>
      <c r="J76">
        <v>83400943</v>
      </c>
      <c r="K76">
        <v>212880</v>
      </c>
      <c r="L76">
        <f t="shared" si="47"/>
        <v>2.5524891247332779</v>
      </c>
    </row>
    <row r="78" spans="1:24" x14ac:dyDescent="0.2">
      <c r="F78">
        <f>ABS(D71-H71)/D71</f>
        <v>6.8939573174684854E-2</v>
      </c>
      <c r="H78">
        <f>ABS(D71-L71)/D71</f>
        <v>7.074861360578584E-2</v>
      </c>
    </row>
    <row r="79" spans="1:24" x14ac:dyDescent="0.2">
      <c r="F79">
        <f t="shared" ref="F79:F83" si="49">ABS(D72-H72)/D72</f>
        <v>0.383415126614646</v>
      </c>
      <c r="H79">
        <f t="shared" ref="H79:H83" si="50">ABS(D72-L72)/D72</f>
        <v>5.5368917097767686E-2</v>
      </c>
    </row>
    <row r="80" spans="1:24" x14ac:dyDescent="0.2">
      <c r="F80">
        <f t="shared" si="49"/>
        <v>7.0239117313847618E-2</v>
      </c>
      <c r="H80">
        <f t="shared" si="50"/>
        <v>5.7928074011979892E-2</v>
      </c>
    </row>
    <row r="81" spans="6:9" x14ac:dyDescent="0.2">
      <c r="F81">
        <f t="shared" si="49"/>
        <v>4.1317500545033831E-2</v>
      </c>
      <c r="H81">
        <f t="shared" si="50"/>
        <v>2.2676521390605631E-4</v>
      </c>
    </row>
    <row r="82" spans="6:9" x14ac:dyDescent="0.2">
      <c r="F82">
        <f t="shared" si="49"/>
        <v>5.7387074091398892E-2</v>
      </c>
      <c r="H82">
        <f t="shared" si="50"/>
        <v>8.2834551122818414E-2</v>
      </c>
    </row>
    <row r="83" spans="6:9" x14ac:dyDescent="0.2">
      <c r="F83">
        <f t="shared" si="49"/>
        <v>5.0877260140387473E-2</v>
      </c>
      <c r="H83">
        <f t="shared" si="50"/>
        <v>2.2343596924524527E-2</v>
      </c>
    </row>
    <row r="84" spans="6:9" x14ac:dyDescent="0.2">
      <c r="G84">
        <f>AVERAGE(F78:F83)</f>
        <v>0.11202927531333311</v>
      </c>
      <c r="I84">
        <f>AVERAGE(H78:H83)</f>
        <v>4.8241752996130399E-2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2023-05-09T14:28:43Z</dcterms:modified>
</cp:coreProperties>
</file>