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7E0ED39-8E92-4866-BAFA-1ED4CAD8E5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" i="1" l="1"/>
  <c r="F78" i="1"/>
  <c r="H72" i="1"/>
  <c r="H73" i="1"/>
  <c r="H74" i="1"/>
  <c r="H75" i="1"/>
  <c r="H76" i="1"/>
  <c r="H77" i="1"/>
  <c r="E72" i="1"/>
  <c r="E73" i="1"/>
  <c r="E74" i="1"/>
  <c r="E75" i="1"/>
  <c r="E76" i="1"/>
  <c r="E77" i="1"/>
  <c r="H71" i="1"/>
  <c r="E71" i="1"/>
  <c r="F67" i="1"/>
  <c r="L65" i="1"/>
  <c r="L66" i="1"/>
  <c r="L67" i="1"/>
  <c r="L68" i="1"/>
  <c r="L69" i="1"/>
  <c r="L70" i="1"/>
  <c r="L64" i="1"/>
  <c r="D65" i="1"/>
  <c r="D66" i="1"/>
  <c r="D67" i="1"/>
  <c r="D68" i="1"/>
  <c r="D69" i="1"/>
  <c r="D70" i="1"/>
  <c r="D64" i="1"/>
  <c r="H65" i="1"/>
  <c r="H66" i="1"/>
  <c r="H67" i="1"/>
  <c r="H68" i="1"/>
  <c r="H69" i="1"/>
  <c r="H70" i="1"/>
  <c r="H64" i="1"/>
  <c r="F66" i="1"/>
  <c r="F68" i="1"/>
  <c r="F65" i="1"/>
  <c r="F69" i="1"/>
  <c r="F64" i="1"/>
  <c r="F70" i="1"/>
  <c r="J31" i="1" l="1"/>
  <c r="J30" i="1"/>
  <c r="J29" i="1"/>
  <c r="J28" i="1"/>
  <c r="J27" i="1"/>
  <c r="J26" i="1"/>
  <c r="J25" i="1"/>
  <c r="J24" i="1"/>
  <c r="J52" i="1" l="1"/>
  <c r="J51" i="1"/>
  <c r="J50" i="1"/>
  <c r="J49" i="1"/>
  <c r="L49" i="1" s="1"/>
  <c r="E57" i="1" s="1"/>
  <c r="J48" i="1"/>
  <c r="L48" i="1" s="1"/>
  <c r="E56" i="1" s="1"/>
  <c r="J47" i="1"/>
  <c r="J46" i="1"/>
  <c r="L46" i="1" s="1"/>
  <c r="E54" i="1" s="1"/>
  <c r="J45" i="1"/>
  <c r="Q54" i="1"/>
  <c r="Q55" i="1"/>
  <c r="Q56" i="1"/>
  <c r="Q57" i="1"/>
  <c r="Q58" i="1"/>
  <c r="Q59" i="1"/>
  <c r="Q60" i="1"/>
  <c r="O54" i="1"/>
  <c r="O55" i="1"/>
  <c r="O56" i="1"/>
  <c r="O57" i="1"/>
  <c r="O58" i="1"/>
  <c r="O59" i="1"/>
  <c r="O60" i="1"/>
  <c r="Q53" i="1"/>
  <c r="O53" i="1"/>
  <c r="K54" i="1"/>
  <c r="K55" i="1"/>
  <c r="K56" i="1"/>
  <c r="K57" i="1"/>
  <c r="K58" i="1"/>
  <c r="K59" i="1"/>
  <c r="K60" i="1"/>
  <c r="I54" i="1"/>
  <c r="I55" i="1"/>
  <c r="I56" i="1"/>
  <c r="I57" i="1"/>
  <c r="I58" i="1"/>
  <c r="I59" i="1"/>
  <c r="I60" i="1"/>
  <c r="K53" i="1"/>
  <c r="I53" i="1"/>
  <c r="C54" i="1"/>
  <c r="C55" i="1"/>
  <c r="C56" i="1"/>
  <c r="C57" i="1"/>
  <c r="C58" i="1"/>
  <c r="C59" i="1"/>
  <c r="C60" i="1"/>
  <c r="E53" i="1"/>
  <c r="C53" i="1"/>
  <c r="Q33" i="1"/>
  <c r="Q34" i="1"/>
  <c r="Q35" i="1"/>
  <c r="Q36" i="1"/>
  <c r="Q37" i="1"/>
  <c r="Q38" i="1"/>
  <c r="Q39" i="1"/>
  <c r="O33" i="1"/>
  <c r="O34" i="1"/>
  <c r="O35" i="1"/>
  <c r="O36" i="1"/>
  <c r="O37" i="1"/>
  <c r="O38" i="1"/>
  <c r="O39" i="1"/>
  <c r="Q32" i="1"/>
  <c r="O32" i="1"/>
  <c r="K33" i="1"/>
  <c r="K34" i="1"/>
  <c r="K35" i="1"/>
  <c r="K36" i="1"/>
  <c r="K37" i="1"/>
  <c r="K38" i="1"/>
  <c r="K39" i="1"/>
  <c r="I33" i="1"/>
  <c r="I34" i="1"/>
  <c r="I35" i="1"/>
  <c r="I36" i="1"/>
  <c r="I37" i="1"/>
  <c r="I38" i="1"/>
  <c r="I39" i="1"/>
  <c r="K32" i="1"/>
  <c r="I32" i="1"/>
  <c r="C33" i="1"/>
  <c r="C34" i="1"/>
  <c r="C35" i="1"/>
  <c r="C36" i="1"/>
  <c r="C37" i="1"/>
  <c r="C38" i="1"/>
  <c r="C39" i="1"/>
  <c r="C32" i="1"/>
  <c r="T19" i="1"/>
  <c r="R19" i="1"/>
  <c r="O19" i="1"/>
  <c r="M19" i="1"/>
  <c r="K19" i="1"/>
  <c r="H19" i="1"/>
  <c r="F19" i="1"/>
  <c r="D19" i="1"/>
  <c r="S12" i="1"/>
  <c r="S13" i="1"/>
  <c r="S14" i="1"/>
  <c r="S15" i="1"/>
  <c r="S16" i="1"/>
  <c r="S17" i="1"/>
  <c r="S18" i="1"/>
  <c r="Q12" i="1"/>
  <c r="Q13" i="1"/>
  <c r="Q14" i="1"/>
  <c r="Q15" i="1"/>
  <c r="Q16" i="1"/>
  <c r="Q17" i="1"/>
  <c r="Q18" i="1"/>
  <c r="S11" i="1"/>
  <c r="Q11" i="1"/>
  <c r="N12" i="1"/>
  <c r="N13" i="1"/>
  <c r="N14" i="1"/>
  <c r="N15" i="1"/>
  <c r="N16" i="1"/>
  <c r="N17" i="1"/>
  <c r="N18" i="1"/>
  <c r="L12" i="1"/>
  <c r="L13" i="1"/>
  <c r="L14" i="1"/>
  <c r="L15" i="1"/>
  <c r="L16" i="1"/>
  <c r="L17" i="1"/>
  <c r="L18" i="1"/>
  <c r="J12" i="1"/>
  <c r="J13" i="1"/>
  <c r="J14" i="1"/>
  <c r="J15" i="1"/>
  <c r="J16" i="1"/>
  <c r="J17" i="1"/>
  <c r="J18" i="1"/>
  <c r="N11" i="1"/>
  <c r="L11" i="1"/>
  <c r="J11" i="1"/>
  <c r="G12" i="1"/>
  <c r="G13" i="1"/>
  <c r="G14" i="1"/>
  <c r="G15" i="1"/>
  <c r="G16" i="1"/>
  <c r="G17" i="1"/>
  <c r="G18" i="1"/>
  <c r="E12" i="1"/>
  <c r="E13" i="1"/>
  <c r="E14" i="1"/>
  <c r="E15" i="1"/>
  <c r="E16" i="1"/>
  <c r="E17" i="1"/>
  <c r="E18" i="1"/>
  <c r="C12" i="1"/>
  <c r="C13" i="1"/>
  <c r="C14" i="1"/>
  <c r="C15" i="1"/>
  <c r="C16" i="1"/>
  <c r="C17" i="1"/>
  <c r="C18" i="1"/>
  <c r="G11" i="1"/>
  <c r="E11" i="1"/>
  <c r="C11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25" i="1"/>
  <c r="R26" i="1"/>
  <c r="R27" i="1"/>
  <c r="R28" i="1"/>
  <c r="R29" i="1"/>
  <c r="R30" i="1"/>
  <c r="R31" i="1"/>
  <c r="Q25" i="1"/>
  <c r="Q26" i="1"/>
  <c r="Q27" i="1"/>
  <c r="Q28" i="1"/>
  <c r="Q29" i="1"/>
  <c r="Q30" i="1"/>
  <c r="Q31" i="1"/>
  <c r="R24" i="1"/>
  <c r="Q24" i="1"/>
  <c r="X4" i="1"/>
  <c r="X5" i="1"/>
  <c r="X6" i="1"/>
  <c r="X7" i="1"/>
  <c r="X8" i="1"/>
  <c r="X9" i="1"/>
  <c r="X10" i="1"/>
  <c r="W4" i="1"/>
  <c r="W5" i="1"/>
  <c r="W6" i="1"/>
  <c r="W7" i="1"/>
  <c r="W8" i="1"/>
  <c r="W9" i="1"/>
  <c r="W10" i="1"/>
  <c r="V4" i="1"/>
  <c r="V5" i="1"/>
  <c r="V6" i="1"/>
  <c r="V7" i="1"/>
  <c r="V8" i="1"/>
  <c r="V9" i="1"/>
  <c r="V10" i="1"/>
  <c r="X3" i="1"/>
  <c r="W3" i="1"/>
  <c r="V3" i="1"/>
  <c r="F46" i="1"/>
  <c r="F47" i="1"/>
  <c r="F48" i="1"/>
  <c r="F49" i="1"/>
  <c r="F50" i="1"/>
  <c r="F51" i="1"/>
  <c r="F52" i="1"/>
  <c r="E46" i="1"/>
  <c r="E47" i="1"/>
  <c r="E48" i="1"/>
  <c r="E49" i="1"/>
  <c r="E50" i="1"/>
  <c r="E51" i="1"/>
  <c r="E52" i="1"/>
  <c r="F45" i="1"/>
  <c r="E45" i="1"/>
  <c r="F25" i="1"/>
  <c r="F26" i="1"/>
  <c r="F27" i="1"/>
  <c r="F28" i="1"/>
  <c r="F29" i="1"/>
  <c r="F30" i="1"/>
  <c r="F31" i="1"/>
  <c r="E25" i="1"/>
  <c r="E26" i="1"/>
  <c r="E27" i="1"/>
  <c r="E28" i="1"/>
  <c r="E29" i="1"/>
  <c r="E30" i="1"/>
  <c r="E31" i="1"/>
  <c r="F24" i="1"/>
  <c r="E24" i="1"/>
  <c r="L47" i="1"/>
  <c r="E55" i="1" s="1"/>
  <c r="L50" i="1"/>
  <c r="E58" i="1" s="1"/>
  <c r="L51" i="1"/>
  <c r="E59" i="1" s="1"/>
  <c r="L52" i="1"/>
  <c r="E60" i="1" s="1"/>
  <c r="K46" i="1"/>
  <c r="K47" i="1"/>
  <c r="K48" i="1"/>
  <c r="K49" i="1"/>
  <c r="K50" i="1"/>
  <c r="K51" i="1"/>
  <c r="K52" i="1"/>
  <c r="L45" i="1"/>
  <c r="K45" i="1"/>
  <c r="L25" i="1"/>
  <c r="E33" i="1" s="1"/>
  <c r="L26" i="1"/>
  <c r="E34" i="1" s="1"/>
  <c r="L27" i="1"/>
  <c r="E35" i="1" s="1"/>
  <c r="L28" i="1"/>
  <c r="E36" i="1" s="1"/>
  <c r="L29" i="1"/>
  <c r="E37" i="1" s="1"/>
  <c r="L30" i="1"/>
  <c r="E38" i="1" s="1"/>
  <c r="L31" i="1"/>
  <c r="E39" i="1" s="1"/>
  <c r="K25" i="1"/>
  <c r="K26" i="1"/>
  <c r="K27" i="1"/>
  <c r="K28" i="1"/>
  <c r="K29" i="1"/>
  <c r="K30" i="1"/>
  <c r="K31" i="1"/>
  <c r="L24" i="1"/>
  <c r="E32" i="1" s="1"/>
  <c r="K24" i="1"/>
  <c r="AD4" i="1"/>
  <c r="AD5" i="1"/>
  <c r="AD6" i="1"/>
  <c r="AD7" i="1"/>
  <c r="AD8" i="1"/>
  <c r="AD9" i="1"/>
  <c r="AD10" i="1"/>
  <c r="AC4" i="1"/>
  <c r="AC5" i="1"/>
  <c r="AC6" i="1"/>
  <c r="AC7" i="1"/>
  <c r="AC8" i="1"/>
  <c r="AC9" i="1"/>
  <c r="AC10" i="1"/>
  <c r="AD3" i="1"/>
  <c r="AC3" i="1"/>
  <c r="AA10" i="1"/>
  <c r="AA9" i="1"/>
  <c r="AA8" i="1"/>
  <c r="AA7" i="1"/>
  <c r="AA6" i="1"/>
  <c r="AA5" i="1"/>
  <c r="AA4" i="1"/>
  <c r="AA3" i="1"/>
  <c r="P4" i="1"/>
  <c r="P5" i="1"/>
  <c r="P6" i="1"/>
  <c r="P7" i="1"/>
  <c r="P8" i="1"/>
  <c r="P9" i="1"/>
  <c r="P10" i="1"/>
  <c r="O4" i="1"/>
  <c r="O5" i="1"/>
  <c r="O6" i="1"/>
  <c r="O7" i="1"/>
  <c r="O8" i="1"/>
  <c r="O9" i="1"/>
  <c r="O10" i="1"/>
  <c r="N4" i="1"/>
  <c r="N5" i="1"/>
  <c r="N6" i="1"/>
  <c r="N7" i="1"/>
  <c r="N8" i="1"/>
  <c r="N9" i="1"/>
  <c r="N10" i="1"/>
  <c r="H4" i="1"/>
  <c r="H5" i="1"/>
  <c r="H6" i="1"/>
  <c r="H7" i="1"/>
  <c r="H8" i="1"/>
  <c r="H9" i="1"/>
  <c r="H10" i="1"/>
  <c r="G4" i="1"/>
  <c r="G5" i="1"/>
  <c r="G6" i="1"/>
  <c r="G7" i="1"/>
  <c r="G8" i="1"/>
  <c r="G9" i="1"/>
  <c r="G10" i="1"/>
  <c r="F4" i="1"/>
  <c r="F5" i="1"/>
  <c r="F6" i="1"/>
  <c r="F7" i="1"/>
  <c r="F8" i="1"/>
  <c r="F9" i="1"/>
  <c r="F10" i="1"/>
  <c r="P3" i="1"/>
  <c r="O3" i="1"/>
  <c r="N3" i="1"/>
  <c r="G3" i="1"/>
  <c r="H3" i="1"/>
  <c r="F3" i="1"/>
</calcChain>
</file>

<file path=xl/sharedStrings.xml><?xml version="1.0" encoding="utf-8"?>
<sst xmlns="http://schemas.openxmlformats.org/spreadsheetml/2006/main" count="124" uniqueCount="38">
  <si>
    <t>Gem5 O3CPU</t>
    <phoneticPr fontId="1" type="noConversion"/>
  </si>
  <si>
    <t>Camulator with DynamoRIO</t>
    <phoneticPr fontId="1" type="noConversion"/>
  </si>
  <si>
    <t>Ramulator</t>
    <phoneticPr fontId="1" type="noConversion"/>
  </si>
  <si>
    <t>Gem5 AtomicSimpleCPU</t>
    <phoneticPr fontId="1" type="noConversion"/>
  </si>
  <si>
    <t>No Prefetch</t>
    <phoneticPr fontId="1" type="noConversion"/>
  </si>
  <si>
    <t># Instruction</t>
    <phoneticPr fontId="1" type="noConversion"/>
  </si>
  <si>
    <t>L1 D</t>
    <phoneticPr fontId="1" type="noConversion"/>
  </si>
  <si>
    <t>L1 I</t>
    <phoneticPr fontId="1" type="noConversion"/>
  </si>
  <si>
    <t>L2</t>
    <phoneticPr fontId="1" type="noConversion"/>
  </si>
  <si>
    <t>L1 D MPKI</t>
    <phoneticPr fontId="1" type="noConversion"/>
  </si>
  <si>
    <t>L1 I MPKI</t>
    <phoneticPr fontId="1" type="noConversion"/>
  </si>
  <si>
    <t>L2 MPKI</t>
    <phoneticPr fontId="1" type="noConversion"/>
  </si>
  <si>
    <t>#Instruction</t>
    <phoneticPr fontId="1" type="noConversion"/>
  </si>
  <si>
    <t>#instruction</t>
    <phoneticPr fontId="1" type="noConversion"/>
  </si>
  <si>
    <t>gcc_r</t>
    <phoneticPr fontId="1" type="noConversion"/>
  </si>
  <si>
    <t>gcc_s</t>
    <phoneticPr fontId="1" type="noConversion"/>
  </si>
  <si>
    <t>omnetpp_r</t>
    <phoneticPr fontId="1" type="noConversion"/>
  </si>
  <si>
    <t>omnetpp_s</t>
    <phoneticPr fontId="1" type="noConversion"/>
  </si>
  <si>
    <t>povaray_r</t>
    <phoneticPr fontId="1" type="noConversion"/>
  </si>
  <si>
    <t>specrand_fr</t>
    <phoneticPr fontId="1" type="noConversion"/>
  </si>
  <si>
    <t>xalancbmk_r</t>
    <phoneticPr fontId="1" type="noConversion"/>
  </si>
  <si>
    <t>xalancbmk_s</t>
    <phoneticPr fontId="1" type="noConversion"/>
  </si>
  <si>
    <t>Gem5 O3</t>
    <phoneticPr fontId="1" type="noConversion"/>
  </si>
  <si>
    <t>Stride Prefetch</t>
    <phoneticPr fontId="1" type="noConversion"/>
  </si>
  <si>
    <t>Camulator with DynamoRIo</t>
    <phoneticPr fontId="1" type="noConversion"/>
  </si>
  <si>
    <t>Tagged Prefetch</t>
    <phoneticPr fontId="1" type="noConversion"/>
  </si>
  <si>
    <t>Mismatch_Cam</t>
    <phoneticPr fontId="1" type="noConversion"/>
  </si>
  <si>
    <t>Mismatch_Simple</t>
    <phoneticPr fontId="1" type="noConversion"/>
  </si>
  <si>
    <t>Mismatch_Ram</t>
    <phoneticPr fontId="1" type="noConversion"/>
  </si>
  <si>
    <t>Multi-Core</t>
    <phoneticPr fontId="1" type="noConversion"/>
  </si>
  <si>
    <t>imagick_s</t>
    <phoneticPr fontId="1" type="noConversion"/>
  </si>
  <si>
    <t>lavaMD</t>
    <phoneticPr fontId="1" type="noConversion"/>
  </si>
  <si>
    <t>lud</t>
    <phoneticPr fontId="1" type="noConversion"/>
  </si>
  <si>
    <t>srad_v1</t>
    <phoneticPr fontId="1" type="noConversion"/>
  </si>
  <si>
    <t>srad_v2</t>
    <phoneticPr fontId="1" type="noConversion"/>
  </si>
  <si>
    <t>blackscholes</t>
    <phoneticPr fontId="1" type="noConversion"/>
  </si>
  <si>
    <t>fluidanimate</t>
    <phoneticPr fontId="1" type="noConversion"/>
  </si>
  <si>
    <t>Camulator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</si>
</sst>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8"/>
  <sheetViews>
    <sheetView tabSelected="1" topLeftCell="A58" workbookViewId="0">
      <selection activeCell="M71" sqref="M71"/>
    </sheetView>
  </sheetViews>
  <sheetFormatPr defaultRowHeight="14.25" x14ac:dyDescent="0.2"/>
  <cols>
    <col min="6" max="6" width="11.625" bestFit="1" customWidth="1"/>
  </cols>
  <sheetData>
    <row r="1" spans="1:30" x14ac:dyDescent="0.2">
      <c r="B1" t="s">
        <v>0</v>
      </c>
      <c r="J1" t="s">
        <v>1</v>
      </c>
      <c r="R1" t="s">
        <v>3</v>
      </c>
      <c r="Z1" t="s">
        <v>2</v>
      </c>
    </row>
    <row r="2" spans="1:30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R2" t="s">
        <v>13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Z2" t="s">
        <v>12</v>
      </c>
      <c r="AA2" t="s">
        <v>6</v>
      </c>
      <c r="AB2" t="s">
        <v>8</v>
      </c>
      <c r="AC2" t="s">
        <v>9</v>
      </c>
      <c r="AD2" t="s">
        <v>11</v>
      </c>
    </row>
    <row r="3" spans="1:30" x14ac:dyDescent="0.2">
      <c r="A3" t="s">
        <v>14</v>
      </c>
      <c r="B3" s="1">
        <v>14770123</v>
      </c>
      <c r="C3" s="1">
        <v>120079</v>
      </c>
      <c r="D3" s="1">
        <v>74289</v>
      </c>
      <c r="E3" s="1">
        <v>141868</v>
      </c>
      <c r="F3">
        <f>C3*1000/B3</f>
        <v>8.1298578217662776</v>
      </c>
      <c r="G3">
        <f>D3*1000/B3</f>
        <v>5.0296805246645544</v>
      </c>
      <c r="H3">
        <f>E3*1000/B3</f>
        <v>9.60506557731442</v>
      </c>
      <c r="J3">
        <v>14691332</v>
      </c>
      <c r="K3">
        <v>114664</v>
      </c>
      <c r="L3">
        <v>63382</v>
      </c>
      <c r="M3">
        <v>132780</v>
      </c>
      <c r="N3">
        <f>K3*1000/J3</f>
        <v>7.8048743299790653</v>
      </c>
      <c r="O3">
        <f>L3*1000/J3</f>
        <v>4.3142446171660946</v>
      </c>
      <c r="P3">
        <f>M3*1000/J3</f>
        <v>9.0379823966948667</v>
      </c>
      <c r="R3">
        <v>14770123</v>
      </c>
      <c r="S3">
        <v>115300</v>
      </c>
      <c r="T3">
        <v>58024</v>
      </c>
      <c r="U3">
        <v>130575</v>
      </c>
      <c r="V3">
        <f>S3*1000/R3</f>
        <v>7.8062992434118526</v>
      </c>
      <c r="W3">
        <f>T3*1000/R3</f>
        <v>3.9284710086706793</v>
      </c>
      <c r="X3">
        <f>U3*1000/R3</f>
        <v>8.8404815586166752</v>
      </c>
      <c r="Z3">
        <v>14691559</v>
      </c>
      <c r="AA3">
        <f>1552496-341685-1098073</f>
        <v>112738</v>
      </c>
      <c r="AB3">
        <v>92395</v>
      </c>
      <c r="AC3">
        <f>AA3*1000/Z3</f>
        <v>7.6736580508576386</v>
      </c>
      <c r="AD3">
        <f>AB3*1000/Z3</f>
        <v>6.2889853963081794</v>
      </c>
    </row>
    <row r="4" spans="1:30" x14ac:dyDescent="0.2">
      <c r="A4" t="s">
        <v>15</v>
      </c>
      <c r="B4" s="1">
        <v>14804413</v>
      </c>
      <c r="C4" s="1">
        <v>120593</v>
      </c>
      <c r="D4" s="1">
        <v>74666</v>
      </c>
      <c r="E4" s="1">
        <v>142386</v>
      </c>
      <c r="F4">
        <f t="shared" ref="F4:F10" si="0">C4*1000/B4</f>
        <v>8.1457468121160908</v>
      </c>
      <c r="G4">
        <f t="shared" ref="G4:G10" si="1">D4*1000/B4</f>
        <v>5.043496152127072</v>
      </c>
      <c r="H4">
        <f t="shared" ref="H4:H10" si="2">E4*1000/B4</f>
        <v>9.6178078793127426</v>
      </c>
      <c r="J4">
        <v>14725906</v>
      </c>
      <c r="K4">
        <v>114985</v>
      </c>
      <c r="L4">
        <v>64004</v>
      </c>
      <c r="M4">
        <v>133425</v>
      </c>
      <c r="N4">
        <f t="shared" ref="N4:N10" si="3">K4*1000/J4</f>
        <v>7.8083480907728191</v>
      </c>
      <c r="O4">
        <f t="shared" ref="O4:O10" si="4">L4*1000/J4</f>
        <v>4.3463539696640741</v>
      </c>
      <c r="P4">
        <f t="shared" ref="P4:P10" si="5">M4*1000/J4</f>
        <v>9.0605630648464004</v>
      </c>
      <c r="R4">
        <v>14804413</v>
      </c>
      <c r="S4">
        <v>115738</v>
      </c>
      <c r="T4">
        <v>58897</v>
      </c>
      <c r="U4">
        <v>131044</v>
      </c>
      <c r="V4">
        <f t="shared" ref="V4:V10" si="6">S4*1000/R4</f>
        <v>7.8178040561283986</v>
      </c>
      <c r="W4">
        <f t="shared" ref="W4:W10" si="7">T4*1000/R4</f>
        <v>3.9783407825761143</v>
      </c>
      <c r="X4">
        <f t="shared" ref="X4:X10" si="8">U4*1000/R4</f>
        <v>8.8516849671783682</v>
      </c>
      <c r="Z4">
        <v>14726800</v>
      </c>
      <c r="AA4">
        <f>1553850-340547-1100812</f>
        <v>112491</v>
      </c>
      <c r="AB4">
        <v>92365</v>
      </c>
      <c r="AC4">
        <f t="shared" ref="AC4:AC10" si="9">AA4*1000/Z4</f>
        <v>7.6385229649346771</v>
      </c>
      <c r="AD4">
        <f t="shared" ref="AD4:AD10" si="10">AB4*1000/Z4</f>
        <v>6.2718988510742317</v>
      </c>
    </row>
    <row r="5" spans="1:30" x14ac:dyDescent="0.2">
      <c r="A5" t="s">
        <v>16</v>
      </c>
      <c r="B5" s="1">
        <v>5896367</v>
      </c>
      <c r="C5" s="1">
        <v>39653</v>
      </c>
      <c r="D5" s="1">
        <v>20373</v>
      </c>
      <c r="E5" s="1">
        <v>40449</v>
      </c>
      <c r="F5">
        <f t="shared" si="0"/>
        <v>6.7249884547552758</v>
      </c>
      <c r="G5">
        <f t="shared" si="1"/>
        <v>3.455178417489956</v>
      </c>
      <c r="H5">
        <f t="shared" si="2"/>
        <v>6.8599868359618732</v>
      </c>
      <c r="J5">
        <v>5827225</v>
      </c>
      <c r="K5">
        <v>38904</v>
      </c>
      <c r="L5">
        <v>15780</v>
      </c>
      <c r="M5">
        <v>40844</v>
      </c>
      <c r="N5">
        <f t="shared" si="3"/>
        <v>6.6762481283973072</v>
      </c>
      <c r="O5">
        <f t="shared" si="4"/>
        <v>2.7079784974837939</v>
      </c>
      <c r="P5">
        <f t="shared" si="5"/>
        <v>7.0091681718142</v>
      </c>
      <c r="R5">
        <v>5896367</v>
      </c>
      <c r="S5">
        <v>37769</v>
      </c>
      <c r="T5">
        <v>13991</v>
      </c>
      <c r="U5">
        <v>37685</v>
      </c>
      <c r="V5">
        <f t="shared" si="6"/>
        <v>6.4054696731054905</v>
      </c>
      <c r="W5">
        <f t="shared" si="7"/>
        <v>2.3728170244491227</v>
      </c>
      <c r="X5">
        <f t="shared" si="8"/>
        <v>6.3912236127771562</v>
      </c>
      <c r="Z5">
        <v>5831109</v>
      </c>
      <c r="AA5">
        <f>449088-129143-281558</f>
        <v>38387</v>
      </c>
      <c r="AB5">
        <v>30251</v>
      </c>
      <c r="AC5">
        <f t="shared" si="9"/>
        <v>6.5831388163040687</v>
      </c>
      <c r="AD5">
        <f t="shared" si="10"/>
        <v>5.1878639209110995</v>
      </c>
    </row>
    <row r="6" spans="1:30" x14ac:dyDescent="0.2">
      <c r="A6" t="s">
        <v>17</v>
      </c>
      <c r="B6" s="1">
        <v>5936767</v>
      </c>
      <c r="C6" s="1">
        <v>40285</v>
      </c>
      <c r="D6" s="1">
        <v>16925</v>
      </c>
      <c r="E6" s="1">
        <v>41207</v>
      </c>
      <c r="F6">
        <f t="shared" si="0"/>
        <v>6.7856798152934079</v>
      </c>
      <c r="G6">
        <f t="shared" si="1"/>
        <v>2.850878264213502</v>
      </c>
      <c r="H6">
        <f t="shared" si="2"/>
        <v>6.9409831984310655</v>
      </c>
      <c r="J6">
        <v>5867600</v>
      </c>
      <c r="K6">
        <v>39607</v>
      </c>
      <c r="L6">
        <v>13107</v>
      </c>
      <c r="M6">
        <v>41386</v>
      </c>
      <c r="N6">
        <f t="shared" si="3"/>
        <v>6.7501192992023995</v>
      </c>
      <c r="O6">
        <f t="shared" si="4"/>
        <v>2.2337923512168518</v>
      </c>
      <c r="P6">
        <f t="shared" si="5"/>
        <v>7.0533097007294296</v>
      </c>
      <c r="R6">
        <v>5936767</v>
      </c>
      <c r="S6">
        <v>38245</v>
      </c>
      <c r="T6">
        <v>11924</v>
      </c>
      <c r="U6">
        <v>38349</v>
      </c>
      <c r="V6">
        <f t="shared" si="6"/>
        <v>6.4420584469627995</v>
      </c>
      <c r="W6">
        <f t="shared" si="7"/>
        <v>2.0085005862618495</v>
      </c>
      <c r="X6">
        <f t="shared" si="8"/>
        <v>6.4595763990737716</v>
      </c>
      <c r="Z6">
        <v>5868532</v>
      </c>
      <c r="AA6">
        <f>455184-130733-285203</f>
        <v>39248</v>
      </c>
      <c r="AB6">
        <v>30744</v>
      </c>
      <c r="AC6">
        <f t="shared" si="9"/>
        <v>6.6878735602021084</v>
      </c>
      <c r="AD6">
        <f t="shared" si="10"/>
        <v>5.2387888487274159</v>
      </c>
    </row>
    <row r="7" spans="1:30" x14ac:dyDescent="0.2">
      <c r="A7" t="s">
        <v>18</v>
      </c>
      <c r="B7" s="1">
        <v>4624449</v>
      </c>
      <c r="C7" s="1">
        <v>27000</v>
      </c>
      <c r="D7" s="1">
        <v>7054</v>
      </c>
      <c r="E7" s="1">
        <v>23542</v>
      </c>
      <c r="F7">
        <f t="shared" si="0"/>
        <v>5.838533412304904</v>
      </c>
      <c r="G7">
        <f t="shared" si="1"/>
        <v>1.5253709144592145</v>
      </c>
      <c r="H7">
        <f t="shared" si="2"/>
        <v>5.0907686515734092</v>
      </c>
      <c r="J7">
        <v>4484799</v>
      </c>
      <c r="K7">
        <v>23862</v>
      </c>
      <c r="L7">
        <v>6011</v>
      </c>
      <c r="M7">
        <v>23229</v>
      </c>
      <c r="N7">
        <f t="shared" si="3"/>
        <v>5.3206397878700917</v>
      </c>
      <c r="O7">
        <f t="shared" si="4"/>
        <v>1.3403053291797469</v>
      </c>
      <c r="P7">
        <f t="shared" si="5"/>
        <v>5.1794963386318988</v>
      </c>
      <c r="R7">
        <v>4624449</v>
      </c>
      <c r="S7">
        <v>25749</v>
      </c>
      <c r="T7">
        <v>5433</v>
      </c>
      <c r="U7">
        <v>22279</v>
      </c>
      <c r="V7">
        <f t="shared" si="6"/>
        <v>5.5680146975347764</v>
      </c>
      <c r="W7">
        <f t="shared" si="7"/>
        <v>1.1748426677426866</v>
      </c>
      <c r="X7">
        <f t="shared" si="8"/>
        <v>4.8176550330644794</v>
      </c>
      <c r="Z7">
        <v>4484772</v>
      </c>
      <c r="AA7">
        <f>227588-74377-129395</f>
        <v>23816</v>
      </c>
      <c r="AB7">
        <v>17368</v>
      </c>
      <c r="AC7">
        <f t="shared" si="9"/>
        <v>5.3104148884268811</v>
      </c>
      <c r="AD7">
        <f t="shared" si="10"/>
        <v>3.8726606391584677</v>
      </c>
    </row>
    <row r="8" spans="1:30" x14ac:dyDescent="0.2">
      <c r="A8" t="s">
        <v>19</v>
      </c>
      <c r="B8" s="1">
        <v>64610194</v>
      </c>
      <c r="C8" s="1">
        <v>3247</v>
      </c>
      <c r="D8" s="1">
        <v>82370</v>
      </c>
      <c r="E8" s="1">
        <v>4242</v>
      </c>
      <c r="F8">
        <f t="shared" si="0"/>
        <v>5.0255227526479797E-2</v>
      </c>
      <c r="G8">
        <f t="shared" si="1"/>
        <v>1.2748762215448541</v>
      </c>
      <c r="H8">
        <f t="shared" si="2"/>
        <v>6.5655274150701354E-2</v>
      </c>
      <c r="J8">
        <v>65204537</v>
      </c>
      <c r="K8">
        <v>6520</v>
      </c>
      <c r="L8">
        <v>69379</v>
      </c>
      <c r="M8">
        <v>4293</v>
      </c>
      <c r="N8">
        <f t="shared" si="3"/>
        <v>9.9993041895228854E-2</v>
      </c>
      <c r="O8">
        <f t="shared" si="4"/>
        <v>1.0640210511731722</v>
      </c>
      <c r="P8">
        <f t="shared" si="5"/>
        <v>6.5838976818438269E-2</v>
      </c>
      <c r="R8">
        <v>64610194</v>
      </c>
      <c r="S8">
        <v>3171</v>
      </c>
      <c r="T8">
        <v>81535</v>
      </c>
      <c r="U8">
        <v>3936</v>
      </c>
      <c r="V8">
        <f t="shared" si="6"/>
        <v>4.9078942558197551E-2</v>
      </c>
      <c r="W8">
        <f t="shared" si="7"/>
        <v>1.2619525643275424</v>
      </c>
      <c r="X8">
        <f t="shared" si="8"/>
        <v>6.0919179409985987E-2</v>
      </c>
      <c r="Z8">
        <v>65204530</v>
      </c>
      <c r="AA8">
        <f>52100-16461-29126</f>
        <v>6513</v>
      </c>
      <c r="AB8">
        <v>2735</v>
      </c>
      <c r="AC8">
        <f t="shared" si="9"/>
        <v>9.9885698125575018E-2</v>
      </c>
      <c r="AD8">
        <f t="shared" si="10"/>
        <v>4.1944938488169457E-2</v>
      </c>
    </row>
    <row r="9" spans="1:30" x14ac:dyDescent="0.2">
      <c r="A9" t="s">
        <v>20</v>
      </c>
      <c r="B9" s="1">
        <v>323495820</v>
      </c>
      <c r="C9" s="1">
        <v>6941974</v>
      </c>
      <c r="D9" s="1">
        <v>2185848</v>
      </c>
      <c r="E9" s="1">
        <v>1292913</v>
      </c>
      <c r="F9">
        <f t="shared" si="0"/>
        <v>21.459238638694003</v>
      </c>
      <c r="G9">
        <f t="shared" si="1"/>
        <v>6.7569590234581698</v>
      </c>
      <c r="H9">
        <f t="shared" si="2"/>
        <v>3.9966915183015348</v>
      </c>
      <c r="J9">
        <v>326518089</v>
      </c>
      <c r="K9">
        <v>6478762</v>
      </c>
      <c r="L9">
        <v>1761035</v>
      </c>
      <c r="M9">
        <v>1049370</v>
      </c>
      <c r="N9">
        <f t="shared" si="3"/>
        <v>19.841969612899454</v>
      </c>
      <c r="O9">
        <f t="shared" si="4"/>
        <v>5.3933765366365352</v>
      </c>
      <c r="P9">
        <f t="shared" si="5"/>
        <v>3.2138188827878382</v>
      </c>
      <c r="R9">
        <v>323495820</v>
      </c>
      <c r="S9">
        <v>6728938</v>
      </c>
      <c r="T9">
        <v>1788846</v>
      </c>
      <c r="U9">
        <v>1168461</v>
      </c>
      <c r="V9">
        <f t="shared" si="6"/>
        <v>20.800695353652483</v>
      </c>
      <c r="W9">
        <f t="shared" si="7"/>
        <v>5.5297345109436034</v>
      </c>
      <c r="X9">
        <f t="shared" si="8"/>
        <v>3.6119817560548388</v>
      </c>
      <c r="Z9">
        <v>326517993</v>
      </c>
      <c r="AA9">
        <f>30420583-15622429-8419691</f>
        <v>6378463</v>
      </c>
      <c r="AB9">
        <v>863062</v>
      </c>
      <c r="AC9">
        <f t="shared" si="9"/>
        <v>19.534797887845649</v>
      </c>
      <c r="AD9">
        <f t="shared" si="10"/>
        <v>2.6432295264046903</v>
      </c>
    </row>
    <row r="10" spans="1:30" x14ac:dyDescent="0.2">
      <c r="A10" t="s">
        <v>21</v>
      </c>
      <c r="B10" s="1">
        <v>323534812</v>
      </c>
      <c r="C10" s="1">
        <v>7187531</v>
      </c>
      <c r="D10" s="1">
        <v>2189275</v>
      </c>
      <c r="E10" s="1">
        <v>1298026</v>
      </c>
      <c r="F10">
        <f t="shared" si="0"/>
        <v>22.215634093805029</v>
      </c>
      <c r="G10">
        <f t="shared" si="1"/>
        <v>6.7667370520857579</v>
      </c>
      <c r="H10">
        <f t="shared" si="2"/>
        <v>4.0120133965676619</v>
      </c>
      <c r="J10">
        <v>326557671</v>
      </c>
      <c r="K10">
        <v>6420924</v>
      </c>
      <c r="L10">
        <v>1758032</v>
      </c>
      <c r="M10">
        <v>1063335</v>
      </c>
      <c r="N10">
        <f t="shared" si="3"/>
        <v>19.66245037312261</v>
      </c>
      <c r="O10">
        <f t="shared" si="4"/>
        <v>5.3835268809226653</v>
      </c>
      <c r="P10">
        <f t="shared" si="5"/>
        <v>3.2561936050799432</v>
      </c>
      <c r="R10">
        <v>323534812</v>
      </c>
      <c r="S10">
        <v>6988753</v>
      </c>
      <c r="T10">
        <v>1790640</v>
      </c>
      <c r="U10">
        <v>1180441</v>
      </c>
      <c r="V10">
        <f t="shared" si="6"/>
        <v>21.60123962178141</v>
      </c>
      <c r="W10">
        <f t="shared" si="7"/>
        <v>5.5346130727966303</v>
      </c>
      <c r="X10">
        <f t="shared" si="8"/>
        <v>3.6485749174960498</v>
      </c>
      <c r="Z10">
        <v>326557664</v>
      </c>
      <c r="AA10">
        <f>30797133-15870194-8514821</f>
        <v>6412118</v>
      </c>
      <c r="AB10">
        <v>865634</v>
      </c>
      <c r="AC10">
        <f t="shared" si="9"/>
        <v>19.635484653638386</v>
      </c>
      <c r="AD10">
        <f t="shared" si="10"/>
        <v>2.6507845181058132</v>
      </c>
    </row>
    <row r="11" spans="1:30" x14ac:dyDescent="0.2">
      <c r="B11" t="s">
        <v>26</v>
      </c>
      <c r="C11">
        <f>ABS(F3-N3)/F3</f>
        <v>3.9974068293928293E-2</v>
      </c>
      <c r="E11">
        <f>ABS(G3-O3)/G3</f>
        <v>0.14224281323438023</v>
      </c>
      <c r="G11">
        <f>ABS(H3-P3)/H3</f>
        <v>5.9040011341402E-2</v>
      </c>
      <c r="I11" t="s">
        <v>27</v>
      </c>
      <c r="J11">
        <f>ABS(F3-V3)/F3</f>
        <v>3.9798799123910052E-2</v>
      </c>
      <c r="L11">
        <f>ABS(G3-W3)/G3</f>
        <v>0.2189422390932709</v>
      </c>
      <c r="N11">
        <f>ABS(H3-X3)/H3</f>
        <v>7.9602165393182336E-2</v>
      </c>
      <c r="P11" t="s">
        <v>28</v>
      </c>
      <c r="Q11">
        <f>ABS(F3-AC3)/F3</f>
        <v>5.6114114282201047E-2</v>
      </c>
      <c r="S11">
        <f>ABS(H3-AD3)/H3</f>
        <v>0.34524284652863535</v>
      </c>
    </row>
    <row r="12" spans="1:30" x14ac:dyDescent="0.2">
      <c r="C12">
        <f t="shared" ref="C12:C18" si="11">ABS(F4-N4)/F4</f>
        <v>4.1420231824713771E-2</v>
      </c>
      <c r="E12">
        <f t="shared" ref="E12:E18" si="12">ABS(G4-O4)/G4</f>
        <v>0.13822597686903784</v>
      </c>
      <c r="G12">
        <f t="shared" ref="G12:G18" si="13">ABS(H4-P4)/H4</f>
        <v>5.7938858985209958E-2</v>
      </c>
      <c r="J12">
        <f t="shared" ref="J12:J18" si="14">ABS(F4-V4)/F4</f>
        <v>4.0259384873085648E-2</v>
      </c>
      <c r="L12">
        <f t="shared" ref="L12:L18" si="15">ABS(G4-W4)/G4</f>
        <v>0.21119384994508883</v>
      </c>
      <c r="N12">
        <f t="shared" ref="N12:N18" si="16">ABS(H4-X4)/H4</f>
        <v>7.9656707822398212E-2</v>
      </c>
      <c r="Q12">
        <f t="shared" ref="Q12:Q18" si="17">ABS(F4-AC4)/F4</f>
        <v>6.2268550555360042E-2</v>
      </c>
      <c r="S12">
        <f t="shared" ref="S12:S18" si="18">ABS(H4-AD4)/H4</f>
        <v>0.34788686468101904</v>
      </c>
    </row>
    <row r="13" spans="1:30" x14ac:dyDescent="0.2">
      <c r="C13">
        <f t="shared" si="11"/>
        <v>7.2476446146913613E-3</v>
      </c>
      <c r="E13">
        <f t="shared" si="12"/>
        <v>0.21625509010587415</v>
      </c>
      <c r="G13">
        <f t="shared" si="13"/>
        <v>2.1746592146544459E-2</v>
      </c>
      <c r="J13">
        <f t="shared" si="14"/>
        <v>4.7512168057902295E-2</v>
      </c>
      <c r="L13">
        <f t="shared" si="15"/>
        <v>0.31325774309134635</v>
      </c>
      <c r="N13">
        <f t="shared" si="16"/>
        <v>6.8332962495982599E-2</v>
      </c>
      <c r="Q13">
        <f t="shared" si="17"/>
        <v>2.1092919252657525E-2</v>
      </c>
      <c r="S13">
        <f t="shared" si="18"/>
        <v>0.24375016381737954</v>
      </c>
    </row>
    <row r="14" spans="1:30" x14ac:dyDescent="0.2">
      <c r="C14">
        <f t="shared" si="11"/>
        <v>5.2405237292309226E-3</v>
      </c>
      <c r="E14">
        <f t="shared" si="12"/>
        <v>0.21645466968646285</v>
      </c>
      <c r="G14">
        <f t="shared" si="13"/>
        <v>1.6183082293550914E-2</v>
      </c>
      <c r="J14">
        <f t="shared" si="14"/>
        <v>5.0639195730420777E-2</v>
      </c>
      <c r="L14">
        <f t="shared" si="15"/>
        <v>0.29548005908419489</v>
      </c>
      <c r="N14">
        <f t="shared" si="16"/>
        <v>6.9357148057368978E-2</v>
      </c>
      <c r="Q14">
        <f t="shared" si="17"/>
        <v>1.441362660095839E-2</v>
      </c>
      <c r="S14">
        <f t="shared" si="18"/>
        <v>0.24523821784908115</v>
      </c>
    </row>
    <row r="15" spans="1:30" x14ac:dyDescent="0.2">
      <c r="C15">
        <f t="shared" si="11"/>
        <v>8.8702690874960854E-2</v>
      </c>
      <c r="E15">
        <f t="shared" si="12"/>
        <v>0.12132497317551015</v>
      </c>
      <c r="G15">
        <f t="shared" si="13"/>
        <v>1.74291336203358E-2</v>
      </c>
      <c r="J15">
        <f t="shared" si="14"/>
        <v>4.6333333333333393E-2</v>
      </c>
      <c r="L15">
        <f t="shared" si="15"/>
        <v>0.22979869577544662</v>
      </c>
      <c r="N15">
        <f t="shared" si="16"/>
        <v>5.3648797893127258E-2</v>
      </c>
      <c r="Q15">
        <f t="shared" si="17"/>
        <v>9.0453969615896246E-2</v>
      </c>
      <c r="S15">
        <f t="shared" si="18"/>
        <v>0.23927781751356145</v>
      </c>
    </row>
    <row r="16" spans="1:30" x14ac:dyDescent="0.2">
      <c r="C16">
        <f t="shared" si="11"/>
        <v>0.98970429180808883</v>
      </c>
      <c r="E16">
        <f t="shared" si="12"/>
        <v>0.16539266072134778</v>
      </c>
      <c r="G16">
        <f t="shared" si="13"/>
        <v>2.7979879775576698E-3</v>
      </c>
      <c r="J16">
        <f t="shared" si="14"/>
        <v>2.3406221127194256E-2</v>
      </c>
      <c r="L16">
        <f t="shared" si="15"/>
        <v>1.0137185868641607E-2</v>
      </c>
      <c r="N16">
        <f t="shared" si="16"/>
        <v>7.2135785007072045E-2</v>
      </c>
      <c r="Q16">
        <f t="shared" si="17"/>
        <v>0.9875683195931132</v>
      </c>
      <c r="S16">
        <f t="shared" si="18"/>
        <v>0.36113375458776625</v>
      </c>
    </row>
    <row r="17" spans="1:20" x14ac:dyDescent="0.2">
      <c r="C17">
        <f t="shared" si="11"/>
        <v>7.5364697369942432E-2</v>
      </c>
      <c r="E17">
        <f t="shared" si="12"/>
        <v>0.20180416694665132</v>
      </c>
      <c r="G17">
        <f t="shared" si="13"/>
        <v>0.19588017537225194</v>
      </c>
      <c r="J17">
        <f t="shared" si="14"/>
        <v>3.0688101107840586E-2</v>
      </c>
      <c r="L17">
        <f t="shared" si="15"/>
        <v>0.18162379085828473</v>
      </c>
      <c r="N17">
        <f t="shared" si="16"/>
        <v>9.6257056739316532E-2</v>
      </c>
      <c r="Q17">
        <f t="shared" si="17"/>
        <v>8.9678892306007507E-2</v>
      </c>
      <c r="S17">
        <f t="shared" si="18"/>
        <v>0.33864559866557381</v>
      </c>
    </row>
    <row r="18" spans="1:20" x14ac:dyDescent="0.2">
      <c r="C18">
        <f t="shared" si="11"/>
        <v>0.11492733945390246</v>
      </c>
      <c r="E18">
        <f t="shared" si="12"/>
        <v>0.20441316996893447</v>
      </c>
      <c r="G18">
        <f t="shared" si="13"/>
        <v>0.18838914948148827</v>
      </c>
      <c r="J18">
        <f t="shared" si="14"/>
        <v>2.7655950283901505E-2</v>
      </c>
      <c r="L18">
        <f t="shared" si="15"/>
        <v>0.18208539356636322</v>
      </c>
      <c r="N18">
        <f t="shared" si="16"/>
        <v>9.058755371618131E-2</v>
      </c>
      <c r="Q18">
        <f t="shared" si="17"/>
        <v>0.11614115668596352</v>
      </c>
      <c r="S18">
        <f t="shared" si="18"/>
        <v>0.33928821863516223</v>
      </c>
    </row>
    <row r="19" spans="1:20" x14ac:dyDescent="0.2">
      <c r="D19">
        <f>AVERAGE(C11:C18)</f>
        <v>0.17032268599618239</v>
      </c>
      <c r="F19">
        <f>AVERAGE(E11:E18)</f>
        <v>0.17576419008852484</v>
      </c>
      <c r="H19">
        <f>AVERAGE(G11:G18)</f>
        <v>6.9925623902292622E-2</v>
      </c>
      <c r="K19">
        <f>AVERAGE(J11:J18)</f>
        <v>3.8286644204698565E-2</v>
      </c>
      <c r="M19">
        <f>AVERAGE(L11:L18)</f>
        <v>0.20531486966032964</v>
      </c>
      <c r="O19">
        <f>AVERAGE(N11:N18)</f>
        <v>7.6197272140578656E-2</v>
      </c>
      <c r="R19">
        <f>AVERAGE(Q11:Q18)</f>
        <v>0.17971644361151967</v>
      </c>
      <c r="T19">
        <f>AVERAGE(S11:S18)</f>
        <v>0.30755793528477232</v>
      </c>
    </row>
    <row r="22" spans="1:20" x14ac:dyDescent="0.2">
      <c r="B22" t="s">
        <v>22</v>
      </c>
      <c r="H22" t="s">
        <v>1</v>
      </c>
      <c r="N22" t="s">
        <v>3</v>
      </c>
    </row>
    <row r="23" spans="1:20" x14ac:dyDescent="0.2">
      <c r="A23" t="s">
        <v>23</v>
      </c>
      <c r="B23" t="s">
        <v>5</v>
      </c>
      <c r="C23" t="s">
        <v>6</v>
      </c>
      <c r="D23" t="s">
        <v>8</v>
      </c>
      <c r="E23" t="s">
        <v>9</v>
      </c>
      <c r="F23" t="s">
        <v>11</v>
      </c>
      <c r="H23" t="s">
        <v>5</v>
      </c>
      <c r="I23" t="s">
        <v>6</v>
      </c>
      <c r="J23" t="s">
        <v>8</v>
      </c>
      <c r="K23" t="s">
        <v>9</v>
      </c>
      <c r="L23" t="s">
        <v>11</v>
      </c>
      <c r="N23" t="s">
        <v>13</v>
      </c>
      <c r="O23" t="s">
        <v>6</v>
      </c>
      <c r="P23" t="s">
        <v>8</v>
      </c>
      <c r="Q23" t="s">
        <v>9</v>
      </c>
      <c r="R23" t="s">
        <v>11</v>
      </c>
    </row>
    <row r="24" spans="1:20" x14ac:dyDescent="0.2">
      <c r="A24" t="s">
        <v>14</v>
      </c>
      <c r="B24" s="1">
        <v>14770123</v>
      </c>
      <c r="C24">
        <v>90473</v>
      </c>
      <c r="D24">
        <v>143939</v>
      </c>
      <c r="E24">
        <f>C24*1000/B24</f>
        <v>6.1254059969575065</v>
      </c>
      <c r="F24">
        <f>D24*1000/B24</f>
        <v>9.7452810650256598</v>
      </c>
      <c r="H24">
        <v>14691332</v>
      </c>
      <c r="I24">
        <v>112831</v>
      </c>
      <c r="J24">
        <f>130907+7954</f>
        <v>138861</v>
      </c>
      <c r="K24">
        <f>I24*1000/H24</f>
        <v>7.6801068820716871</v>
      </c>
      <c r="L24">
        <f>J24*1000/H24</f>
        <v>9.4518999366429135</v>
      </c>
      <c r="N24">
        <v>14770123</v>
      </c>
      <c r="O24">
        <v>115300</v>
      </c>
      <c r="P24">
        <v>130575</v>
      </c>
      <c r="Q24">
        <f>O24*1000/N24</f>
        <v>7.8062992434118526</v>
      </c>
      <c r="R24">
        <f>P24*1000/N24</f>
        <v>8.8404815586166752</v>
      </c>
    </row>
    <row r="25" spans="1:20" x14ac:dyDescent="0.2">
      <c r="A25" t="s">
        <v>15</v>
      </c>
      <c r="B25" s="1">
        <v>14804413</v>
      </c>
      <c r="C25">
        <v>90538</v>
      </c>
      <c r="D25">
        <v>144518</v>
      </c>
      <c r="E25">
        <f t="shared" ref="E25:E31" si="19">C25*1000/B25</f>
        <v>6.1156089066145345</v>
      </c>
      <c r="F25">
        <f t="shared" ref="F25:F31" si="20">D25*1000/B25</f>
        <v>9.7618189927557406</v>
      </c>
      <c r="H25">
        <v>14725906</v>
      </c>
      <c r="I25">
        <v>113237</v>
      </c>
      <c r="J25">
        <f>131435+7916</f>
        <v>139351</v>
      </c>
      <c r="K25">
        <f t="shared" ref="K25:K31" si="21">I25*1000/H25</f>
        <v>7.6896457168747379</v>
      </c>
      <c r="L25">
        <f t="shared" ref="L25:L31" si="22">J25*1000/H25</f>
        <v>9.4629831264711317</v>
      </c>
      <c r="N25">
        <v>14804413</v>
      </c>
      <c r="O25">
        <v>115738</v>
      </c>
      <c r="P25">
        <v>131044</v>
      </c>
      <c r="Q25">
        <f t="shared" ref="Q25:Q31" si="23">O25*1000/N25</f>
        <v>7.8178040561283986</v>
      </c>
      <c r="R25">
        <f t="shared" ref="R25:R31" si="24">P25*1000/N25</f>
        <v>8.8516849671783682</v>
      </c>
    </row>
    <row r="26" spans="1:20" x14ac:dyDescent="0.2">
      <c r="A26" t="s">
        <v>16</v>
      </c>
      <c r="B26" s="1">
        <v>5896367</v>
      </c>
      <c r="C26">
        <v>36265</v>
      </c>
      <c r="D26">
        <v>42513</v>
      </c>
      <c r="E26">
        <f t="shared" si="19"/>
        <v>6.1503973548457891</v>
      </c>
      <c r="F26">
        <f t="shared" si="20"/>
        <v>7.2100328897438031</v>
      </c>
      <c r="H26">
        <v>5827225</v>
      </c>
      <c r="I26">
        <v>35700</v>
      </c>
      <c r="J26">
        <f>37581+7435</f>
        <v>45016</v>
      </c>
      <c r="K26">
        <f t="shared" si="21"/>
        <v>6.1264152319500278</v>
      </c>
      <c r="L26">
        <f t="shared" si="22"/>
        <v>7.725117873430321</v>
      </c>
      <c r="N26">
        <v>5896367</v>
      </c>
      <c r="O26">
        <v>37769</v>
      </c>
      <c r="P26">
        <v>37685</v>
      </c>
      <c r="Q26">
        <f t="shared" si="23"/>
        <v>6.4054696731054905</v>
      </c>
      <c r="R26">
        <f t="shared" si="24"/>
        <v>6.3912236127771562</v>
      </c>
    </row>
    <row r="27" spans="1:20" x14ac:dyDescent="0.2">
      <c r="A27" t="s">
        <v>17</v>
      </c>
      <c r="B27" s="1">
        <v>5936767</v>
      </c>
      <c r="C27">
        <v>36853</v>
      </c>
      <c r="D27">
        <v>43295</v>
      </c>
      <c r="E27">
        <f t="shared" si="19"/>
        <v>6.2075873956313261</v>
      </c>
      <c r="F27">
        <f t="shared" si="20"/>
        <v>7.2926897754282765</v>
      </c>
      <c r="H27">
        <v>5867600</v>
      </c>
      <c r="I27">
        <v>36352</v>
      </c>
      <c r="J27">
        <f>38177+7495</f>
        <v>45672</v>
      </c>
      <c r="K27">
        <f t="shared" si="21"/>
        <v>6.1953780080441749</v>
      </c>
      <c r="L27">
        <f t="shared" si="22"/>
        <v>7.7837616742790923</v>
      </c>
      <c r="N27">
        <v>5936767</v>
      </c>
      <c r="O27">
        <v>38245</v>
      </c>
      <c r="P27">
        <v>38349</v>
      </c>
      <c r="Q27">
        <f t="shared" si="23"/>
        <v>6.4420584469627995</v>
      </c>
      <c r="R27">
        <f t="shared" si="24"/>
        <v>6.4595763990737716</v>
      </c>
    </row>
    <row r="28" spans="1:20" x14ac:dyDescent="0.2">
      <c r="A28" t="s">
        <v>18</v>
      </c>
      <c r="B28" s="1">
        <v>4624449</v>
      </c>
      <c r="C28">
        <v>22925</v>
      </c>
      <c r="D28">
        <v>25218</v>
      </c>
      <c r="E28">
        <f t="shared" si="19"/>
        <v>4.9573473510033299</v>
      </c>
      <c r="F28">
        <f t="shared" si="20"/>
        <v>5.4531902070927805</v>
      </c>
      <c r="H28">
        <v>4484799</v>
      </c>
      <c r="I28">
        <v>20709</v>
      </c>
      <c r="J28">
        <f>19728+6590</f>
        <v>26318</v>
      </c>
      <c r="K28">
        <f t="shared" si="21"/>
        <v>4.6175982468779537</v>
      </c>
      <c r="L28">
        <f t="shared" si="22"/>
        <v>5.8682674518969522</v>
      </c>
      <c r="N28">
        <v>4624449</v>
      </c>
      <c r="O28">
        <v>25749</v>
      </c>
      <c r="P28">
        <v>22279</v>
      </c>
      <c r="Q28">
        <f t="shared" si="23"/>
        <v>5.5680146975347764</v>
      </c>
      <c r="R28">
        <f t="shared" si="24"/>
        <v>4.8176550330644794</v>
      </c>
    </row>
    <row r="29" spans="1:20" x14ac:dyDescent="0.2">
      <c r="A29" t="s">
        <v>19</v>
      </c>
      <c r="B29" s="1">
        <v>64610194</v>
      </c>
      <c r="C29">
        <v>2334</v>
      </c>
      <c r="D29">
        <v>4485</v>
      </c>
      <c r="E29">
        <f t="shared" si="19"/>
        <v>3.6124330473299618E-2</v>
      </c>
      <c r="F29">
        <f t="shared" si="20"/>
        <v>6.9416290562445915E-2</v>
      </c>
      <c r="H29">
        <v>65204537</v>
      </c>
      <c r="I29">
        <v>13824</v>
      </c>
      <c r="J29">
        <f>4009+618</f>
        <v>4627</v>
      </c>
      <c r="K29">
        <f t="shared" si="21"/>
        <v>0.21200978698767542</v>
      </c>
      <c r="L29">
        <f t="shared" si="22"/>
        <v>7.0961319762150907E-2</v>
      </c>
      <c r="N29">
        <v>64610194</v>
      </c>
      <c r="O29">
        <v>3171</v>
      </c>
      <c r="P29">
        <v>3936</v>
      </c>
      <c r="Q29">
        <f t="shared" si="23"/>
        <v>4.9078942558197551E-2</v>
      </c>
      <c r="R29">
        <f t="shared" si="24"/>
        <v>6.0919179409985987E-2</v>
      </c>
    </row>
    <row r="30" spans="1:20" x14ac:dyDescent="0.2">
      <c r="A30" t="s">
        <v>20</v>
      </c>
      <c r="B30" s="1">
        <v>323495820</v>
      </c>
      <c r="C30">
        <v>5871067</v>
      </c>
      <c r="D30">
        <v>1402215</v>
      </c>
      <c r="E30">
        <f t="shared" si="19"/>
        <v>18.148818738987107</v>
      </c>
      <c r="F30">
        <f t="shared" si="20"/>
        <v>4.334569145282928</v>
      </c>
      <c r="H30">
        <v>326518089</v>
      </c>
      <c r="I30">
        <v>5731273</v>
      </c>
      <c r="J30">
        <f>1009557+183378</f>
        <v>1192935</v>
      </c>
      <c r="K30">
        <f t="shared" si="21"/>
        <v>17.552696751205108</v>
      </c>
      <c r="L30">
        <f t="shared" si="22"/>
        <v>3.6535035582668747</v>
      </c>
      <c r="N30">
        <v>323495820</v>
      </c>
      <c r="O30">
        <v>6728938</v>
      </c>
      <c r="P30">
        <v>1168461</v>
      </c>
      <c r="Q30">
        <f t="shared" si="23"/>
        <v>20.800695353652483</v>
      </c>
      <c r="R30">
        <f t="shared" si="24"/>
        <v>3.6119817560548388</v>
      </c>
    </row>
    <row r="31" spans="1:20" x14ac:dyDescent="0.2">
      <c r="A31" t="s">
        <v>21</v>
      </c>
      <c r="B31" s="1">
        <v>323534812</v>
      </c>
      <c r="C31">
        <v>6104324</v>
      </c>
      <c r="D31">
        <v>1413931</v>
      </c>
      <c r="E31">
        <f t="shared" si="19"/>
        <v>18.867595614409492</v>
      </c>
      <c r="F31">
        <f t="shared" si="20"/>
        <v>4.3702592350402156</v>
      </c>
      <c r="H31">
        <v>326557671</v>
      </c>
      <c r="I31">
        <v>5619554</v>
      </c>
      <c r="J31">
        <f>1017165+181741</f>
        <v>1198906</v>
      </c>
      <c r="K31">
        <f t="shared" si="21"/>
        <v>17.20845810417358</v>
      </c>
      <c r="L31">
        <f t="shared" si="22"/>
        <v>3.6713453900153521</v>
      </c>
      <c r="N31">
        <v>323534812</v>
      </c>
      <c r="O31">
        <v>6988753</v>
      </c>
      <c r="P31">
        <v>1180441</v>
      </c>
      <c r="Q31">
        <f t="shared" si="23"/>
        <v>21.60123962178141</v>
      </c>
      <c r="R31">
        <f t="shared" si="24"/>
        <v>3.6485749174960498</v>
      </c>
    </row>
    <row r="32" spans="1:20" x14ac:dyDescent="0.2">
      <c r="B32" t="s">
        <v>26</v>
      </c>
      <c r="C32">
        <f>ABS(E24-K24)/E24</f>
        <v>0.25381189196053316</v>
      </c>
      <c r="E32">
        <f>ABS(F24-L24)/F24</f>
        <v>3.0104942733324216E-2</v>
      </c>
      <c r="H32" t="s">
        <v>27</v>
      </c>
      <c r="I32">
        <f>ABS(E24-Q24)/E24</f>
        <v>0.27441336089219992</v>
      </c>
      <c r="K32">
        <f>ABS(F24-R24)/F24</f>
        <v>9.2844885680739703E-2</v>
      </c>
      <c r="N32" t="s">
        <v>28</v>
      </c>
      <c r="O32">
        <f>ABS(E24-AC3)/E24</f>
        <v>0.2527590913433575</v>
      </c>
      <c r="Q32">
        <f>ABS(F24-AD3)/F24</f>
        <v>0.35466351823567233</v>
      </c>
    </row>
    <row r="33" spans="1:18" x14ac:dyDescent="0.2">
      <c r="C33">
        <f t="shared" ref="C33:C39" si="25">ABS(E25-K25)/E25</f>
        <v>0.25738022726694526</v>
      </c>
      <c r="E33">
        <f t="shared" ref="E33:E39" si="26">ABS(F25-L25)/F25</f>
        <v>3.0612723561702526E-2</v>
      </c>
      <c r="I33">
        <f t="shared" ref="I33:I39" si="27">ABS(E25-Q25)/E25</f>
        <v>0.27833616823875051</v>
      </c>
      <c r="K33">
        <f t="shared" ref="K33:K39" si="28">ABS(F25-R25)/F25</f>
        <v>9.3234060809034069E-2</v>
      </c>
      <c r="O33">
        <f t="shared" ref="O33:O39" si="29">ABS(E25-AC4)/E25</f>
        <v>0.24902083857471424</v>
      </c>
      <c r="Q33">
        <f t="shared" ref="Q33:Q39" si="30">ABS(F25-AD4)/F25</f>
        <v>0.3575071556101771</v>
      </c>
    </row>
    <row r="34" spans="1:18" x14ac:dyDescent="0.2">
      <c r="C34">
        <f t="shared" si="25"/>
        <v>3.8992802435547035E-3</v>
      </c>
      <c r="E34">
        <f t="shared" si="26"/>
        <v>7.1440032460770173E-2</v>
      </c>
      <c r="I34">
        <f t="shared" si="27"/>
        <v>4.147249414035574E-2</v>
      </c>
      <c r="K34">
        <f t="shared" si="28"/>
        <v>0.11356526239032759</v>
      </c>
      <c r="O34">
        <f t="shared" si="29"/>
        <v>7.0359919285106071E-2</v>
      </c>
      <c r="Q34">
        <f t="shared" si="30"/>
        <v>0.28046598396370953</v>
      </c>
    </row>
    <row r="35" spans="1:18" x14ac:dyDescent="0.2">
      <c r="C35">
        <f t="shared" si="25"/>
        <v>1.9668490846771968E-3</v>
      </c>
      <c r="E35">
        <f t="shared" si="26"/>
        <v>6.7337554999996788E-2</v>
      </c>
      <c r="I35">
        <f t="shared" si="27"/>
        <v>3.7771687515263268E-2</v>
      </c>
      <c r="K35">
        <f t="shared" si="28"/>
        <v>0.11423951957500877</v>
      </c>
      <c r="O35">
        <f t="shared" si="29"/>
        <v>7.7370826048907534E-2</v>
      </c>
      <c r="Q35">
        <f t="shared" si="30"/>
        <v>0.28163832412304163</v>
      </c>
    </row>
    <row r="36" spans="1:18" x14ac:dyDescent="0.2">
      <c r="C36">
        <f t="shared" si="25"/>
        <v>6.8534456044645226E-2</v>
      </c>
      <c r="E36">
        <f t="shared" si="26"/>
        <v>7.6116406917971571E-2</v>
      </c>
      <c r="I36">
        <f t="shared" si="27"/>
        <v>0.12318429661941119</v>
      </c>
      <c r="K36">
        <f t="shared" si="28"/>
        <v>0.11654373859941322</v>
      </c>
      <c r="O36">
        <f t="shared" si="29"/>
        <v>7.1221060866774447E-2</v>
      </c>
      <c r="Q36">
        <f t="shared" si="30"/>
        <v>0.28983576730526861</v>
      </c>
    </row>
    <row r="37" spans="1:18" x14ac:dyDescent="0.2">
      <c r="C37">
        <f t="shared" si="25"/>
        <v>4.8688918025588626</v>
      </c>
      <c r="E37">
        <f t="shared" si="26"/>
        <v>2.2257443997459148E-2</v>
      </c>
      <c r="I37">
        <f t="shared" si="27"/>
        <v>0.35861182519280199</v>
      </c>
      <c r="K37">
        <f t="shared" si="28"/>
        <v>0.12240802675585274</v>
      </c>
      <c r="O37">
        <f t="shared" si="29"/>
        <v>1.7650532706593136</v>
      </c>
      <c r="Q37">
        <f t="shared" si="30"/>
        <v>0.39574791236595419</v>
      </c>
    </row>
    <row r="38" spans="1:18" x14ac:dyDescent="0.2">
      <c r="C38">
        <f t="shared" si="25"/>
        <v>3.2846324400244042E-2</v>
      </c>
      <c r="E38">
        <f t="shared" si="26"/>
        <v>0.15712417178930446</v>
      </c>
      <c r="I38">
        <f t="shared" si="27"/>
        <v>0.14611841425076563</v>
      </c>
      <c r="K38">
        <f t="shared" si="28"/>
        <v>0.16670339427263287</v>
      </c>
      <c r="O38">
        <f t="shared" si="29"/>
        <v>7.6367457782869144E-2</v>
      </c>
      <c r="Q38">
        <f t="shared" si="30"/>
        <v>0.39019786331447248</v>
      </c>
    </row>
    <row r="39" spans="1:18" x14ac:dyDescent="0.2">
      <c r="C39">
        <f t="shared" si="25"/>
        <v>8.7935820978100737E-2</v>
      </c>
      <c r="E39">
        <f t="shared" si="26"/>
        <v>0.15992503131646196</v>
      </c>
      <c r="I39">
        <f t="shared" si="27"/>
        <v>0.14488565810071685</v>
      </c>
      <c r="K39">
        <f t="shared" si="28"/>
        <v>0.16513535667582083</v>
      </c>
      <c r="O39">
        <f t="shared" si="29"/>
        <v>4.0698828558867604E-2</v>
      </c>
      <c r="Q39">
        <f t="shared" si="30"/>
        <v>0.39344913527048003</v>
      </c>
    </row>
    <row r="43" spans="1:18" x14ac:dyDescent="0.2">
      <c r="B43" t="s">
        <v>22</v>
      </c>
      <c r="H43" t="s">
        <v>24</v>
      </c>
      <c r="N43" t="s">
        <v>3</v>
      </c>
    </row>
    <row r="44" spans="1:18" x14ac:dyDescent="0.2">
      <c r="A44" t="s">
        <v>25</v>
      </c>
      <c r="B44" t="s">
        <v>5</v>
      </c>
      <c r="C44" t="s">
        <v>6</v>
      </c>
      <c r="D44" t="s">
        <v>8</v>
      </c>
      <c r="E44" t="s">
        <v>9</v>
      </c>
      <c r="F44" t="s">
        <v>11</v>
      </c>
      <c r="H44" t="s">
        <v>5</v>
      </c>
      <c r="I44" t="s">
        <v>6</v>
      </c>
      <c r="J44" t="s">
        <v>8</v>
      </c>
      <c r="K44" t="s">
        <v>9</v>
      </c>
      <c r="L44" t="s">
        <v>11</v>
      </c>
      <c r="N44" t="s">
        <v>5</v>
      </c>
      <c r="O44" t="s">
        <v>6</v>
      </c>
      <c r="P44" t="s">
        <v>8</v>
      </c>
      <c r="Q44" t="s">
        <v>9</v>
      </c>
      <c r="R44" t="s">
        <v>11</v>
      </c>
    </row>
    <row r="45" spans="1:18" x14ac:dyDescent="0.2">
      <c r="A45" t="s">
        <v>14</v>
      </c>
      <c r="B45" s="1">
        <v>14770123</v>
      </c>
      <c r="C45">
        <v>85179</v>
      </c>
      <c r="D45">
        <v>179565</v>
      </c>
      <c r="E45">
        <f>C45*1000/B45</f>
        <v>5.7669797333441295</v>
      </c>
      <c r="F45">
        <f>D45*1000/B45</f>
        <v>12.157312434026446</v>
      </c>
      <c r="H45">
        <v>14691332</v>
      </c>
      <c r="I45">
        <v>111016</v>
      </c>
      <c r="J45">
        <f>119299+29556</f>
        <v>148855</v>
      </c>
      <c r="K45">
        <f>I45*1000/H45</f>
        <v>7.5565646464187184</v>
      </c>
      <c r="L45">
        <f>J45*1000/H45</f>
        <v>10.132165007230114</v>
      </c>
      <c r="N45">
        <v>14770123</v>
      </c>
      <c r="O45">
        <v>115300</v>
      </c>
      <c r="P45">
        <v>130575</v>
      </c>
      <c r="Q45">
        <f>O45*1000/N45</f>
        <v>7.8062992434118526</v>
      </c>
      <c r="R45">
        <f>P45*1000/N45</f>
        <v>8.8404815586166752</v>
      </c>
    </row>
    <row r="46" spans="1:18" x14ac:dyDescent="0.2">
      <c r="A46" t="s">
        <v>15</v>
      </c>
      <c r="B46" s="1">
        <v>14804413</v>
      </c>
      <c r="C46">
        <v>85918</v>
      </c>
      <c r="D46">
        <v>180615</v>
      </c>
      <c r="E46">
        <f t="shared" ref="E46:E52" si="31">C46*1000/B46</f>
        <v>5.8035397958703259</v>
      </c>
      <c r="F46">
        <f t="shared" ref="F46:F52" si="32">D46*1000/B46</f>
        <v>12.200078449581216</v>
      </c>
      <c r="H46">
        <v>14725906</v>
      </c>
      <c r="I46">
        <v>110545</v>
      </c>
      <c r="J46">
        <f>120291+29035</f>
        <v>149326</v>
      </c>
      <c r="K46">
        <f t="shared" ref="K46:K52" si="33">I46*1000/H46</f>
        <v>7.5068386284687678</v>
      </c>
      <c r="L46">
        <f t="shared" ref="L46:L52" si="34">J46*1000/H46</f>
        <v>10.140360803606923</v>
      </c>
      <c r="N46">
        <v>14804413</v>
      </c>
      <c r="O46">
        <v>115738</v>
      </c>
      <c r="P46">
        <v>131044</v>
      </c>
      <c r="Q46">
        <f t="shared" ref="Q46:Q52" si="35">O46*1000/N46</f>
        <v>7.8178040561283986</v>
      </c>
      <c r="R46">
        <f t="shared" ref="R46:R52" si="36">P46*1000/N46</f>
        <v>8.8516849671783682</v>
      </c>
    </row>
    <row r="47" spans="1:18" x14ac:dyDescent="0.2">
      <c r="A47" t="s">
        <v>16</v>
      </c>
      <c r="B47" s="1">
        <v>5896367</v>
      </c>
      <c r="C47">
        <v>29835</v>
      </c>
      <c r="D47">
        <v>51045</v>
      </c>
      <c r="E47">
        <f t="shared" si="31"/>
        <v>5.0598953559030502</v>
      </c>
      <c r="F47">
        <f t="shared" si="32"/>
        <v>8.6570255888074801</v>
      </c>
      <c r="H47">
        <v>5827225</v>
      </c>
      <c r="I47">
        <v>31728</v>
      </c>
      <c r="J47">
        <f>32371+18406</f>
        <v>50777</v>
      </c>
      <c r="K47">
        <f t="shared" si="33"/>
        <v>5.4447871842944116</v>
      </c>
      <c r="L47">
        <f t="shared" si="34"/>
        <v>8.713753115762648</v>
      </c>
      <c r="N47">
        <v>5896367</v>
      </c>
      <c r="O47">
        <v>37769</v>
      </c>
      <c r="P47">
        <v>37685</v>
      </c>
      <c r="Q47">
        <f t="shared" si="35"/>
        <v>6.4054696731054905</v>
      </c>
      <c r="R47">
        <f t="shared" si="36"/>
        <v>6.3912236127771562</v>
      </c>
    </row>
    <row r="48" spans="1:18" x14ac:dyDescent="0.2">
      <c r="A48" t="s">
        <v>17</v>
      </c>
      <c r="B48" s="1">
        <v>5936767</v>
      </c>
      <c r="C48">
        <v>30492</v>
      </c>
      <c r="D48">
        <v>52310</v>
      </c>
      <c r="E48">
        <f t="shared" si="31"/>
        <v>5.1361288054592675</v>
      </c>
      <c r="F48">
        <f t="shared" si="32"/>
        <v>8.811193028124567</v>
      </c>
      <c r="H48">
        <v>5867600</v>
      </c>
      <c r="I48">
        <v>33746</v>
      </c>
      <c r="J48">
        <f>33004+18329</f>
        <v>51333</v>
      </c>
      <c r="K48">
        <f t="shared" si="33"/>
        <v>5.7512441202535962</v>
      </c>
      <c r="L48">
        <f t="shared" si="34"/>
        <v>8.7485513668280053</v>
      </c>
      <c r="N48">
        <v>5936767</v>
      </c>
      <c r="O48">
        <v>38245</v>
      </c>
      <c r="P48">
        <v>38349</v>
      </c>
      <c r="Q48">
        <f t="shared" si="35"/>
        <v>6.4420584469627995</v>
      </c>
      <c r="R48">
        <f t="shared" si="36"/>
        <v>6.4595763990737716</v>
      </c>
    </row>
    <row r="49" spans="1:18" x14ac:dyDescent="0.2">
      <c r="A49" t="s">
        <v>18</v>
      </c>
      <c r="B49" s="1">
        <v>4624449</v>
      </c>
      <c r="C49">
        <v>18012</v>
      </c>
      <c r="D49">
        <v>29792</v>
      </c>
      <c r="E49">
        <f t="shared" si="31"/>
        <v>3.8949505119420715</v>
      </c>
      <c r="F49">
        <f t="shared" si="32"/>
        <v>6.4422810155328776</v>
      </c>
      <c r="H49">
        <v>4484799</v>
      </c>
      <c r="I49">
        <v>18492</v>
      </c>
      <c r="J49">
        <f>17429+12199</f>
        <v>29628</v>
      </c>
      <c r="K49">
        <f t="shared" si="33"/>
        <v>4.1232617113944237</v>
      </c>
      <c r="L49">
        <f t="shared" si="34"/>
        <v>6.6063161359070941</v>
      </c>
      <c r="N49">
        <v>4624449</v>
      </c>
      <c r="O49">
        <v>25749</v>
      </c>
      <c r="P49">
        <v>22279</v>
      </c>
      <c r="Q49">
        <f t="shared" si="35"/>
        <v>5.5680146975347764</v>
      </c>
      <c r="R49">
        <f t="shared" si="36"/>
        <v>4.8176550330644794</v>
      </c>
    </row>
    <row r="50" spans="1:18" x14ac:dyDescent="0.2">
      <c r="A50" t="s">
        <v>19</v>
      </c>
      <c r="B50" s="1">
        <v>64610194</v>
      </c>
      <c r="C50">
        <v>1736</v>
      </c>
      <c r="D50">
        <v>4605</v>
      </c>
      <c r="E50">
        <f t="shared" si="31"/>
        <v>2.6868825064973494E-2</v>
      </c>
      <c r="F50">
        <f t="shared" si="32"/>
        <v>7.1273582617628423E-2</v>
      </c>
      <c r="H50">
        <v>65204537</v>
      </c>
      <c r="I50">
        <v>8960</v>
      </c>
      <c r="J50">
        <f>3516+1112</f>
        <v>4628</v>
      </c>
      <c r="K50">
        <f t="shared" si="33"/>
        <v>0.13741375082534518</v>
      </c>
      <c r="L50">
        <f t="shared" si="34"/>
        <v>7.097665611826981E-2</v>
      </c>
      <c r="N50">
        <v>64610194</v>
      </c>
      <c r="O50">
        <v>3171</v>
      </c>
      <c r="P50">
        <v>3936</v>
      </c>
      <c r="Q50">
        <f t="shared" si="35"/>
        <v>4.9078942558197551E-2</v>
      </c>
      <c r="R50">
        <f t="shared" si="36"/>
        <v>6.0919179409985987E-2</v>
      </c>
    </row>
    <row r="51" spans="1:18" x14ac:dyDescent="0.2">
      <c r="A51" t="s">
        <v>20</v>
      </c>
      <c r="B51" s="1">
        <v>323495820</v>
      </c>
      <c r="C51">
        <v>6489850</v>
      </c>
      <c r="D51">
        <v>2938703</v>
      </c>
      <c r="E51">
        <f t="shared" si="31"/>
        <v>20.061619343334947</v>
      </c>
      <c r="F51">
        <f t="shared" si="32"/>
        <v>9.08420702313866</v>
      </c>
      <c r="H51">
        <v>326518089</v>
      </c>
      <c r="I51">
        <v>7138530</v>
      </c>
      <c r="J51">
        <f>1191563+531339</f>
        <v>1722902</v>
      </c>
      <c r="K51">
        <f t="shared" si="33"/>
        <v>21.862586608486492</v>
      </c>
      <c r="L51">
        <f t="shared" si="34"/>
        <v>5.2765897450784109</v>
      </c>
      <c r="N51">
        <v>323495820</v>
      </c>
      <c r="O51">
        <v>6728938</v>
      </c>
      <c r="P51">
        <v>1168461</v>
      </c>
      <c r="Q51">
        <f t="shared" si="35"/>
        <v>20.800695353652483</v>
      </c>
      <c r="R51">
        <f t="shared" si="36"/>
        <v>3.6119817560548388</v>
      </c>
    </row>
    <row r="52" spans="1:18" x14ac:dyDescent="0.2">
      <c r="A52" t="s">
        <v>21</v>
      </c>
      <c r="B52" s="1">
        <v>323534812</v>
      </c>
      <c r="C52">
        <v>6807345</v>
      </c>
      <c r="D52">
        <v>2981734</v>
      </c>
      <c r="E52">
        <f t="shared" si="31"/>
        <v>21.040533344523062</v>
      </c>
      <c r="F52">
        <f t="shared" si="32"/>
        <v>9.2161148952342113</v>
      </c>
      <c r="H52">
        <v>326557671</v>
      </c>
      <c r="I52">
        <v>6994942</v>
      </c>
      <c r="J52">
        <f>1174840+518259</f>
        <v>1693099</v>
      </c>
      <c r="K52">
        <f t="shared" si="33"/>
        <v>21.420234835028573</v>
      </c>
      <c r="L52">
        <f t="shared" si="34"/>
        <v>5.1846860458531383</v>
      </c>
      <c r="N52">
        <v>323534812</v>
      </c>
      <c r="O52">
        <v>6988753</v>
      </c>
      <c r="P52">
        <v>1180441</v>
      </c>
      <c r="Q52">
        <f t="shared" si="35"/>
        <v>21.60123962178141</v>
      </c>
      <c r="R52">
        <f t="shared" si="36"/>
        <v>3.6485749174960498</v>
      </c>
    </row>
    <row r="53" spans="1:18" x14ac:dyDescent="0.2">
      <c r="B53" t="s">
        <v>26</v>
      </c>
      <c r="C53">
        <f>ABS(E45-K45)/E45</f>
        <v>0.31031579714549345</v>
      </c>
      <c r="E53">
        <f>ABS(F45-L45)/F45</f>
        <v>0.16657854585757426</v>
      </c>
      <c r="H53" t="s">
        <v>27</v>
      </c>
      <c r="I53">
        <f>ABS(E45-Q45)/E45</f>
        <v>0.35362002371476547</v>
      </c>
      <c r="K53">
        <f>ABS(F45-R45)/F45</f>
        <v>0.27282599615738029</v>
      </c>
      <c r="N53" t="s">
        <v>28</v>
      </c>
      <c r="O53">
        <f>ABS(E45-AC3)/E45</f>
        <v>0.33061990949773518</v>
      </c>
      <c r="Q53">
        <f>ABS(F45-AD3)/F45</f>
        <v>0.48269936875963826</v>
      </c>
    </row>
    <row r="54" spans="1:18" x14ac:dyDescent="0.2">
      <c r="C54">
        <f t="shared" ref="C54:C60" si="37">ABS(E46-K46)/E46</f>
        <v>0.29349309085645847</v>
      </c>
      <c r="E54">
        <f t="shared" ref="E54:E60" si="38">ABS(F46-L46)/F46</f>
        <v>0.16882822962871982</v>
      </c>
      <c r="I54">
        <f t="shared" ref="I54:I60" si="39">ABS(E46-Q46)/E46</f>
        <v>0.34707511813589698</v>
      </c>
      <c r="K54">
        <f t="shared" ref="K54:K60" si="40">ABS(F46-R46)/F46</f>
        <v>0.27445671732691079</v>
      </c>
      <c r="O54">
        <f t="shared" ref="O54:O60" si="41">ABS(E46-AC4)/E46</f>
        <v>0.31618343866101956</v>
      </c>
      <c r="Q54">
        <f t="shared" ref="Q54:Q60" si="42">ABS(F46-AD4)/F46</f>
        <v>0.48591323596861602</v>
      </c>
    </row>
    <row r="55" spans="1:18" x14ac:dyDescent="0.2">
      <c r="C55">
        <f t="shared" si="37"/>
        <v>7.6067151851734086E-2</v>
      </c>
      <c r="E55">
        <f t="shared" si="38"/>
        <v>6.5527733946530043E-3</v>
      </c>
      <c r="I55">
        <f t="shared" si="39"/>
        <v>0.26592927769398361</v>
      </c>
      <c r="K55">
        <f t="shared" si="40"/>
        <v>0.26172984621412465</v>
      </c>
      <c r="O55">
        <f t="shared" si="41"/>
        <v>0.30104248275094259</v>
      </c>
      <c r="Q55">
        <f t="shared" si="42"/>
        <v>0.40073367374373947</v>
      </c>
    </row>
    <row r="56" spans="1:18" x14ac:dyDescent="0.2">
      <c r="C56">
        <f t="shared" si="37"/>
        <v>0.1197624393960902</v>
      </c>
      <c r="E56">
        <f t="shared" si="38"/>
        <v>7.1093279986733813E-3</v>
      </c>
      <c r="I56">
        <f t="shared" si="39"/>
        <v>0.2542634133543224</v>
      </c>
      <c r="K56">
        <f t="shared" si="40"/>
        <v>0.2668896960428217</v>
      </c>
      <c r="O56">
        <f t="shared" si="41"/>
        <v>0.30212341113670443</v>
      </c>
      <c r="Q56">
        <f t="shared" si="42"/>
        <v>0.40543932790875714</v>
      </c>
    </row>
    <row r="57" spans="1:18" x14ac:dyDescent="0.2">
      <c r="C57">
        <f t="shared" si="37"/>
        <v>5.861722729270654E-2</v>
      </c>
      <c r="E57">
        <f t="shared" si="38"/>
        <v>2.5462273374712178E-2</v>
      </c>
      <c r="I57">
        <f t="shared" si="39"/>
        <v>0.42954696868754155</v>
      </c>
      <c r="K57">
        <f t="shared" si="40"/>
        <v>0.25218179377013966</v>
      </c>
      <c r="O57">
        <f t="shared" si="41"/>
        <v>0.36341010550581843</v>
      </c>
      <c r="Q57">
        <f t="shared" si="42"/>
        <v>0.39886809814394009</v>
      </c>
    </row>
    <row r="58" spans="1:18" x14ac:dyDescent="0.2">
      <c r="C58">
        <f t="shared" si="37"/>
        <v>4.1142448727495458</v>
      </c>
      <c r="E58">
        <f t="shared" si="38"/>
        <v>4.1660105813899799E-3</v>
      </c>
      <c r="I58">
        <f t="shared" si="39"/>
        <v>0.82661290322580638</v>
      </c>
      <c r="K58">
        <f t="shared" si="40"/>
        <v>0.14527687296416938</v>
      </c>
      <c r="O58">
        <f t="shared" si="41"/>
        <v>2.7175312982251372</v>
      </c>
      <c r="Q58">
        <f t="shared" si="42"/>
        <v>0.41149389510560364</v>
      </c>
    </row>
    <row r="59" spans="1:18" x14ac:dyDescent="0.2">
      <c r="C59">
        <f t="shared" si="37"/>
        <v>8.9771779352890518E-2</v>
      </c>
      <c r="E59">
        <f t="shared" si="38"/>
        <v>0.4191469071941834</v>
      </c>
      <c r="I59">
        <f t="shared" si="39"/>
        <v>3.684029677111178E-2</v>
      </c>
      <c r="K59">
        <f t="shared" si="40"/>
        <v>0.60238887699777754</v>
      </c>
      <c r="O59">
        <f t="shared" si="41"/>
        <v>2.6260166065025216E-2</v>
      </c>
      <c r="Q59">
        <f t="shared" si="42"/>
        <v>0.70903024120079605</v>
      </c>
    </row>
    <row r="60" spans="1:18" x14ac:dyDescent="0.2">
      <c r="C60">
        <f t="shared" si="37"/>
        <v>1.8046191334039952E-2</v>
      </c>
      <c r="E60">
        <f t="shared" si="38"/>
        <v>0.43743257274991049</v>
      </c>
      <c r="I60">
        <f t="shared" si="39"/>
        <v>2.6648862368515089E-2</v>
      </c>
      <c r="K60">
        <f t="shared" si="40"/>
        <v>0.60410921966882358</v>
      </c>
      <c r="O60">
        <f t="shared" si="41"/>
        <v>6.6778187980221351E-2</v>
      </c>
      <c r="Q60">
        <f t="shared" si="42"/>
        <v>0.7123750573599541</v>
      </c>
    </row>
    <row r="62" spans="1:18" x14ac:dyDescent="0.2">
      <c r="B62" t="s">
        <v>22</v>
      </c>
      <c r="F62" t="s">
        <v>37</v>
      </c>
      <c r="J62" t="s">
        <v>3</v>
      </c>
    </row>
    <row r="63" spans="1:18" x14ac:dyDescent="0.2">
      <c r="A63" t="s">
        <v>29</v>
      </c>
      <c r="B63" t="s">
        <v>13</v>
      </c>
      <c r="C63" t="s">
        <v>8</v>
      </c>
      <c r="D63" t="s">
        <v>11</v>
      </c>
      <c r="F63" t="s">
        <v>13</v>
      </c>
      <c r="G63" t="s">
        <v>8</v>
      </c>
      <c r="H63" t="s">
        <v>11</v>
      </c>
      <c r="J63" t="s">
        <v>13</v>
      </c>
      <c r="K63" t="s">
        <v>8</v>
      </c>
      <c r="L63" t="s">
        <v>11</v>
      </c>
    </row>
    <row r="64" spans="1:18" x14ac:dyDescent="0.2">
      <c r="A64" t="s">
        <v>30</v>
      </c>
      <c r="B64">
        <v>96874053</v>
      </c>
      <c r="C64">
        <v>327760</v>
      </c>
      <c r="D64">
        <f>C64*1000/B64</f>
        <v>3.3833621062597641</v>
      </c>
      <c r="F64">
        <f>55380858+44703617</f>
        <v>100084475</v>
      </c>
      <c r="G64">
        <v>422224</v>
      </c>
      <c r="H64">
        <f>G64*1000/F64</f>
        <v>4.2186762732181986</v>
      </c>
      <c r="J64">
        <v>95901937</v>
      </c>
      <c r="K64">
        <v>452225</v>
      </c>
      <c r="L64">
        <f>K64*1000/J64</f>
        <v>4.7154939112439411</v>
      </c>
    </row>
    <row r="65" spans="1:12" x14ac:dyDescent="0.2">
      <c r="A65" t="s">
        <v>31</v>
      </c>
      <c r="B65">
        <v>71182564</v>
      </c>
      <c r="C65">
        <v>7879</v>
      </c>
      <c r="D65">
        <f t="shared" ref="D65:D70" si="43">C65*1000/B65</f>
        <v>0.11068721829126582</v>
      </c>
      <c r="F65">
        <f>33118502+33448913</f>
        <v>66567415</v>
      </c>
      <c r="G65">
        <v>8168</v>
      </c>
      <c r="H65">
        <f t="shared" ref="H65:H70" si="44">G65*1000/F65</f>
        <v>0.12270267667747051</v>
      </c>
      <c r="J65">
        <v>71054579</v>
      </c>
      <c r="K65">
        <v>7085</v>
      </c>
      <c r="L65">
        <f t="shared" ref="L65:L70" si="45">K65*1000/J65</f>
        <v>9.9712081891302179E-2</v>
      </c>
    </row>
    <row r="66" spans="1:12" x14ac:dyDescent="0.2">
      <c r="A66" t="s">
        <v>32</v>
      </c>
      <c r="B66">
        <v>130725966</v>
      </c>
      <c r="C66">
        <v>33932</v>
      </c>
      <c r="D66">
        <f t="shared" si="43"/>
        <v>0.25956587691231903</v>
      </c>
      <c r="F66">
        <f>121436738+5336443+5370144+5382404</f>
        <v>137525729</v>
      </c>
      <c r="G66">
        <v>43601</v>
      </c>
      <c r="H66">
        <f t="shared" si="44"/>
        <v>0.31703885750716509</v>
      </c>
      <c r="J66">
        <v>129215820</v>
      </c>
      <c r="K66">
        <v>33372</v>
      </c>
      <c r="L66">
        <f t="shared" si="45"/>
        <v>0.25826559008022393</v>
      </c>
    </row>
    <row r="67" spans="1:12" x14ac:dyDescent="0.2">
      <c r="A67" t="s">
        <v>33</v>
      </c>
      <c r="B67">
        <v>3503696045</v>
      </c>
      <c r="C67">
        <v>19135720</v>
      </c>
      <c r="D67">
        <f t="shared" si="43"/>
        <v>5.4615810715966377</v>
      </c>
      <c r="F67">
        <f>920837615+696667731+697462430+696146700</f>
        <v>3011114476</v>
      </c>
      <c r="G67">
        <v>21200105</v>
      </c>
      <c r="H67">
        <f t="shared" si="44"/>
        <v>7.0406174089277638</v>
      </c>
      <c r="J67">
        <v>2987197006</v>
      </c>
      <c r="K67">
        <v>19001490</v>
      </c>
      <c r="L67">
        <f t="shared" si="45"/>
        <v>6.3609765147173558</v>
      </c>
    </row>
    <row r="68" spans="1:12" x14ac:dyDescent="0.2">
      <c r="A68" t="s">
        <v>34</v>
      </c>
      <c r="B68">
        <v>1267539330</v>
      </c>
      <c r="C68">
        <v>8177354</v>
      </c>
      <c r="D68">
        <f t="shared" si="43"/>
        <v>6.4513611581583037</v>
      </c>
      <c r="F68">
        <f>866365093+392755485</f>
        <v>1259120578</v>
      </c>
      <c r="G68">
        <v>7749432</v>
      </c>
      <c r="H68">
        <f t="shared" si="44"/>
        <v>6.1546385115151381</v>
      </c>
      <c r="J68">
        <v>1262893155</v>
      </c>
      <c r="K68">
        <v>8029477</v>
      </c>
      <c r="L68">
        <f t="shared" si="45"/>
        <v>6.3580018374555207</v>
      </c>
    </row>
    <row r="69" spans="1:12" x14ac:dyDescent="0.2">
      <c r="A69" t="s">
        <v>35</v>
      </c>
      <c r="B69">
        <v>998121</v>
      </c>
      <c r="C69">
        <v>5947</v>
      </c>
      <c r="D69">
        <f t="shared" si="43"/>
        <v>5.9581954492491391</v>
      </c>
      <c r="F69">
        <f>480663+258135+256532</f>
        <v>995330</v>
      </c>
      <c r="G69">
        <v>5762</v>
      </c>
      <c r="H69">
        <f t="shared" si="44"/>
        <v>5.7890347924808854</v>
      </c>
      <c r="J69">
        <v>996312</v>
      </c>
      <c r="K69">
        <v>5366</v>
      </c>
      <c r="L69">
        <f t="shared" si="45"/>
        <v>5.3858630629762567</v>
      </c>
    </row>
    <row r="70" spans="1:12" x14ac:dyDescent="0.2">
      <c r="A70" t="s">
        <v>36</v>
      </c>
      <c r="B70">
        <v>83220904</v>
      </c>
      <c r="C70">
        <v>224370</v>
      </c>
      <c r="D70">
        <f t="shared" si="43"/>
        <v>2.6960774182409746</v>
      </c>
      <c r="F70">
        <f>18479487+34231326+31593490</f>
        <v>84304303</v>
      </c>
      <c r="G70">
        <v>265341</v>
      </c>
      <c r="H70">
        <f t="shared" si="44"/>
        <v>3.1474194146412668</v>
      </c>
      <c r="J70">
        <v>83400943</v>
      </c>
      <c r="K70">
        <v>220200</v>
      </c>
      <c r="L70">
        <f t="shared" si="45"/>
        <v>2.6402579165082103</v>
      </c>
    </row>
    <row r="71" spans="1:12" x14ac:dyDescent="0.2">
      <c r="D71" t="s">
        <v>26</v>
      </c>
      <c r="E71">
        <f>ABS(D64-H64)/D64</f>
        <v>0.24688878716616497</v>
      </c>
      <c r="G71" t="s">
        <v>27</v>
      </c>
      <c r="H71">
        <f>ABS(D64-L64)/D64</f>
        <v>0.39373019001410431</v>
      </c>
    </row>
    <row r="72" spans="1:12" x14ac:dyDescent="0.2">
      <c r="E72">
        <f t="shared" ref="E72:E78" si="46">ABS(D65-H65)/D65</f>
        <v>0.10855326000321763</v>
      </c>
      <c r="H72">
        <f t="shared" ref="H72:H77" si="47">ABS(D65-L65)/D65</f>
        <v>9.9154505546280178E-2</v>
      </c>
    </row>
    <row r="73" spans="1:12" x14ac:dyDescent="0.2">
      <c r="E73">
        <f t="shared" si="46"/>
        <v>0.22141963064837045</v>
      </c>
      <c r="H73">
        <f t="shared" si="47"/>
        <v>5.0094675292559118E-3</v>
      </c>
    </row>
    <row r="74" spans="1:12" x14ac:dyDescent="0.2">
      <c r="E74">
        <f t="shared" si="46"/>
        <v>0.28911707372486384</v>
      </c>
      <c r="H74">
        <f t="shared" si="47"/>
        <v>0.1646767540993013</v>
      </c>
    </row>
    <row r="75" spans="1:12" x14ac:dyDescent="0.2">
      <c r="E75">
        <f t="shared" si="46"/>
        <v>4.5993804930287339E-2</v>
      </c>
      <c r="H75">
        <f t="shared" si="47"/>
        <v>1.4471259384497804E-2</v>
      </c>
    </row>
    <row r="76" spans="1:12" x14ac:dyDescent="0.2">
      <c r="E76">
        <f t="shared" si="46"/>
        <v>2.8391256750325576E-2</v>
      </c>
      <c r="H76">
        <f t="shared" si="47"/>
        <v>9.6058008024058464E-2</v>
      </c>
    </row>
    <row r="77" spans="1:12" x14ac:dyDescent="0.2">
      <c r="E77">
        <f t="shared" si="46"/>
        <v>0.16740691248204781</v>
      </c>
      <c r="H77">
        <f t="shared" si="47"/>
        <v>2.0703968422829302E-2</v>
      </c>
    </row>
    <row r="78" spans="1:12" x14ac:dyDescent="0.2">
      <c r="F78">
        <f>AVERAGE(E71:E77)</f>
        <v>0.15825296081503967</v>
      </c>
      <c r="I78">
        <f>AVERAGE(H71:H77)</f>
        <v>0.11340059328861818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2023-05-12T06:00:30Z</dcterms:modified>
</cp:coreProperties>
</file>