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astilloj\Dropbox\03_UNINORTE\05_PORTAFOLIO UNINORTE\Actividades_2016\ACTIVIDAD  - CEDU\"/>
    </mc:Choice>
  </mc:AlternateContent>
  <bookViews>
    <workbookView xWindow="0" yWindow="0" windowWidth="19200" windowHeight="11595" activeTab="1"/>
  </bookViews>
  <sheets>
    <sheet name="interfaz gráfica" sheetId="1" r:id="rId1"/>
    <sheet name="Prueba de escritorio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6" i="2" l="1"/>
  <c r="X26" i="2"/>
  <c r="D26" i="2"/>
  <c r="D27" i="2"/>
  <c r="D30" i="2"/>
  <c r="D29" i="2"/>
  <c r="F30" i="2"/>
  <c r="F29" i="2"/>
  <c r="D31" i="2"/>
  <c r="D32" i="2"/>
  <c r="Q6" i="2"/>
  <c r="Q16" i="2"/>
  <c r="Q19" i="2"/>
  <c r="Q20" i="2"/>
  <c r="Q22" i="2"/>
  <c r="I26" i="2"/>
  <c r="I27" i="2"/>
  <c r="I30" i="2"/>
  <c r="I29" i="2"/>
  <c r="K30" i="2"/>
  <c r="K29" i="2"/>
  <c r="I31" i="2"/>
  <c r="I32" i="2"/>
  <c r="X6" i="2"/>
  <c r="X8" i="2"/>
  <c r="X10" i="2"/>
  <c r="X25" i="2"/>
  <c r="X15" i="2"/>
  <c r="Q7" i="2"/>
  <c r="Q11" i="2"/>
  <c r="Q21" i="2"/>
  <c r="X11" i="2"/>
  <c r="X20" i="2"/>
  <c r="X36" i="2"/>
  <c r="X35" i="2"/>
  <c r="X4" i="2"/>
  <c r="X54" i="2"/>
  <c r="X55" i="2"/>
  <c r="X40" i="2"/>
  <c r="X56" i="2"/>
  <c r="X57" i="2"/>
  <c r="X44" i="2"/>
  <c r="X58" i="2"/>
  <c r="X47" i="2"/>
  <c r="W54" i="2"/>
  <c r="W55" i="2"/>
  <c r="X39" i="2"/>
  <c r="W56" i="2"/>
  <c r="W57" i="2"/>
  <c r="X43" i="2"/>
  <c r="W58" i="2"/>
  <c r="X52" i="2"/>
  <c r="W52" i="2"/>
  <c r="Q51" i="2"/>
  <c r="Q36" i="2"/>
  <c r="Q52" i="2"/>
  <c r="Q53" i="2"/>
  <c r="Q40" i="2"/>
  <c r="Q54" i="2"/>
  <c r="Q43" i="2"/>
  <c r="P50" i="2"/>
  <c r="P51" i="2"/>
  <c r="Q35" i="2"/>
  <c r="P52" i="2"/>
  <c r="P53" i="2"/>
  <c r="Q39" i="2"/>
  <c r="P54" i="2"/>
  <c r="Q50" i="2"/>
  <c r="Q32" i="2"/>
  <c r="Q48" i="2"/>
  <c r="Q31" i="2"/>
  <c r="P48" i="2"/>
  <c r="X24" i="2"/>
  <c r="X23" i="2"/>
  <c r="X19" i="2"/>
  <c r="Q12" i="2"/>
  <c r="X14" i="2"/>
  <c r="Q10" i="2"/>
  <c r="X9" i="2"/>
  <c r="Q15" i="2"/>
  <c r="Q25" i="2"/>
  <c r="Q4" i="2"/>
  <c r="Q26" i="2"/>
  <c r="Q27" i="2"/>
  <c r="Q28" i="2"/>
</calcChain>
</file>

<file path=xl/sharedStrings.xml><?xml version="1.0" encoding="utf-8"?>
<sst xmlns="http://schemas.openxmlformats.org/spreadsheetml/2006/main" count="301" uniqueCount="145">
  <si>
    <t>Conexión</t>
  </si>
  <si>
    <t>eff (pu)</t>
  </si>
  <si>
    <t>Sp (W/Hz)</t>
  </si>
  <si>
    <t>Delta</t>
  </si>
  <si>
    <t>No. Polos</t>
  </si>
  <si>
    <t>Parámetros del generador</t>
  </si>
  <si>
    <r>
      <t>S</t>
    </r>
    <r>
      <rPr>
        <vertAlign val="subscript"/>
        <sz val="11"/>
        <color theme="1"/>
        <rFont val="Calibri"/>
        <family val="2"/>
        <scheme val="minor"/>
      </rPr>
      <t>nom</t>
    </r>
    <r>
      <rPr>
        <sz val="11"/>
        <color theme="1"/>
        <rFont val="Calibri"/>
        <family val="2"/>
        <scheme val="minor"/>
      </rPr>
      <t xml:space="preserve"> (VA)</t>
    </r>
  </si>
  <si>
    <r>
      <t>V</t>
    </r>
    <r>
      <rPr>
        <vertAlign val="subscript"/>
        <sz val="11"/>
        <color theme="1"/>
        <rFont val="Calibri"/>
        <family val="2"/>
        <scheme val="minor"/>
      </rPr>
      <t>nom</t>
    </r>
    <r>
      <rPr>
        <sz val="11"/>
        <color theme="1"/>
        <rFont val="Calibri"/>
        <family val="2"/>
        <scheme val="minor"/>
      </rPr>
      <t xml:space="preserve"> (V)</t>
    </r>
  </si>
  <si>
    <r>
      <t>fp</t>
    </r>
    <r>
      <rPr>
        <vertAlign val="subscript"/>
        <sz val="11"/>
        <color theme="1"/>
        <rFont val="Calibri"/>
        <family val="2"/>
        <scheme val="minor"/>
      </rPr>
      <t>nom</t>
    </r>
  </si>
  <si>
    <r>
      <t>f</t>
    </r>
    <r>
      <rPr>
        <vertAlign val="subscript"/>
        <sz val="11"/>
        <color theme="1"/>
        <rFont val="Calibri"/>
        <family val="2"/>
        <scheme val="minor"/>
      </rPr>
      <t>nom</t>
    </r>
    <r>
      <rPr>
        <sz val="11"/>
        <color theme="1"/>
        <rFont val="Calibri"/>
        <family val="2"/>
        <scheme val="minor"/>
      </rPr>
      <t xml:space="preserve"> (Hz)</t>
    </r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</si>
  <si>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</si>
  <si>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X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(Ω)</t>
    </r>
  </si>
  <si>
    <r>
      <t>P</t>
    </r>
    <r>
      <rPr>
        <vertAlign val="subscript"/>
        <sz val="11"/>
        <color theme="1"/>
        <rFont val="Calibri"/>
        <family val="2"/>
        <scheme val="minor"/>
      </rPr>
      <t>motor</t>
    </r>
    <r>
      <rPr>
        <sz val="11"/>
        <color theme="1"/>
        <rFont val="Calibri"/>
        <family val="2"/>
        <scheme val="minor"/>
      </rPr>
      <t xml:space="preserve"> (W)</t>
    </r>
  </si>
  <si>
    <t>Carga</t>
  </si>
  <si>
    <t>fp</t>
  </si>
  <si>
    <t>I (A)</t>
  </si>
  <si>
    <t>IF (A)</t>
  </si>
  <si>
    <t>Con bus inf.</t>
  </si>
  <si>
    <t>Solo</t>
  </si>
  <si>
    <t>√</t>
  </si>
  <si>
    <t>Operación del generador</t>
  </si>
  <si>
    <r>
      <t>f</t>
    </r>
    <r>
      <rPr>
        <vertAlign val="subscript"/>
        <sz val="11"/>
        <color theme="1"/>
        <rFont val="Calibri"/>
        <family val="2"/>
        <scheme val="minor"/>
      </rPr>
      <t>carga</t>
    </r>
    <r>
      <rPr>
        <sz val="11"/>
        <color theme="1"/>
        <rFont val="Calibri"/>
        <family val="2"/>
        <scheme val="minor"/>
      </rPr>
      <t xml:space="preserve"> (Hz)</t>
    </r>
  </si>
  <si>
    <r>
      <t>V</t>
    </r>
    <r>
      <rPr>
        <vertAlign val="subscript"/>
        <sz val="11"/>
        <color theme="1"/>
        <rFont val="Calibri"/>
        <family val="2"/>
        <scheme val="minor"/>
      </rPr>
      <t>carga</t>
    </r>
    <r>
      <rPr>
        <sz val="11"/>
        <color theme="1"/>
        <rFont val="Calibri"/>
        <family val="2"/>
        <scheme val="minor"/>
      </rPr>
      <t xml:space="preserve"> (V)</t>
    </r>
  </si>
  <si>
    <t>ENTRADAS</t>
  </si>
  <si>
    <t>Motor primario</t>
  </si>
  <si>
    <t>Cargar Curva de magnetización</t>
  </si>
  <si>
    <r>
      <t>n</t>
    </r>
    <r>
      <rPr>
        <vertAlign val="subscript"/>
        <sz val="11"/>
        <color theme="1"/>
        <rFont val="Calibri"/>
        <family val="2"/>
        <scheme val="minor"/>
      </rPr>
      <t>vacio</t>
    </r>
    <r>
      <rPr>
        <sz val="11"/>
        <color theme="1"/>
        <rFont val="Calibri"/>
        <family val="2"/>
        <scheme val="minor"/>
      </rPr>
      <t xml:space="preserve"> (rpm)</t>
    </r>
  </si>
  <si>
    <t>Generador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</si>
  <si>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gen </t>
    </r>
    <r>
      <rPr>
        <sz val="11"/>
        <color theme="1"/>
        <rFont val="Calibri"/>
        <family val="2"/>
        <scheme val="minor"/>
      </rPr>
      <t>(W)</t>
    </r>
  </si>
  <si>
    <r>
      <t>I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(A)</t>
    </r>
  </si>
  <si>
    <t>δ (°)</t>
  </si>
  <si>
    <t>θ (°)</t>
  </si>
  <si>
    <t>Red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</si>
  <si>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red </t>
    </r>
    <r>
      <rPr>
        <sz val="11"/>
        <color theme="1"/>
        <rFont val="Calibri"/>
        <family val="2"/>
        <scheme val="minor"/>
      </rPr>
      <t>(W)</t>
    </r>
  </si>
  <si>
    <r>
      <t>fp</t>
    </r>
    <r>
      <rPr>
        <vertAlign val="subscript"/>
        <sz val="11"/>
        <color theme="1"/>
        <rFont val="Calibri"/>
        <family val="2"/>
        <scheme val="minor"/>
      </rPr>
      <t>red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</si>
  <si>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red </t>
    </r>
    <r>
      <rPr>
        <sz val="11"/>
        <color theme="1"/>
        <rFont val="Calibri"/>
        <family val="2"/>
        <scheme val="minor"/>
      </rPr>
      <t>(VA)</t>
    </r>
  </si>
  <si>
    <t>SALIDAS</t>
  </si>
  <si>
    <r>
      <t>P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(W)</t>
    </r>
  </si>
  <si>
    <r>
      <t>P</t>
    </r>
    <r>
      <rPr>
        <vertAlign val="subscript"/>
        <sz val="11"/>
        <color theme="1"/>
        <rFont val="Calibri"/>
        <family val="2"/>
        <scheme val="minor"/>
      </rPr>
      <t>carga</t>
    </r>
    <r>
      <rPr>
        <sz val="11"/>
        <color theme="1"/>
        <rFont val="Calibri"/>
        <family val="2"/>
        <scheme val="minor"/>
      </rPr>
      <t xml:space="preserve"> (W)</t>
    </r>
  </si>
  <si>
    <r>
      <t>Q</t>
    </r>
    <r>
      <rPr>
        <vertAlign val="subscript"/>
        <sz val="11"/>
        <color theme="1"/>
        <rFont val="Calibri"/>
        <family val="2"/>
        <scheme val="minor"/>
      </rPr>
      <t>carga</t>
    </r>
    <r>
      <rPr>
        <sz val="11"/>
        <color theme="1"/>
        <rFont val="Calibri"/>
        <family val="2"/>
        <scheme val="minor"/>
      </rPr>
      <t xml:space="preserve"> (VAR)</t>
    </r>
  </si>
  <si>
    <r>
      <t>Q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(VAR)</t>
    </r>
  </si>
  <si>
    <t>Diagrama fasorial</t>
  </si>
  <si>
    <t>DIAGRAMA FASORIAL MÁQUINAS SÍNCRONAS</t>
  </si>
  <si>
    <t>EJECUTAR CÁLCULOS</t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</si>
  <si>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gen </t>
    </r>
    <r>
      <rPr>
        <sz val="11"/>
        <color theme="1"/>
        <rFont val="Calibri"/>
        <family val="2"/>
        <scheme val="minor"/>
      </rPr>
      <t>(W)</t>
    </r>
  </si>
  <si>
    <t>Polos</t>
  </si>
  <si>
    <r>
      <t>V</t>
    </r>
    <r>
      <rPr>
        <vertAlign val="subscript"/>
        <sz val="12"/>
        <color theme="1"/>
        <rFont val="Arial"/>
        <family val="2"/>
      </rPr>
      <t>nom</t>
    </r>
  </si>
  <si>
    <t>(V)</t>
  </si>
  <si>
    <r>
      <t>fp</t>
    </r>
    <r>
      <rPr>
        <vertAlign val="subscript"/>
        <sz val="12"/>
        <color theme="1"/>
        <rFont val="Arial"/>
        <family val="2"/>
      </rPr>
      <t>nom</t>
    </r>
  </si>
  <si>
    <r>
      <t>R</t>
    </r>
    <r>
      <rPr>
        <vertAlign val="subscript"/>
        <sz val="12"/>
        <color theme="1"/>
        <rFont val="Arial"/>
        <family val="2"/>
      </rPr>
      <t>A</t>
    </r>
  </si>
  <si>
    <t>(Ω)</t>
  </si>
  <si>
    <r>
      <t>X</t>
    </r>
    <r>
      <rPr>
        <vertAlign val="subscript"/>
        <sz val="12"/>
        <color theme="1"/>
        <rFont val="Arial"/>
        <family val="2"/>
      </rPr>
      <t>S</t>
    </r>
  </si>
  <si>
    <t>0.8↓</t>
  </si>
  <si>
    <t>EA (V)</t>
  </si>
  <si>
    <t>Generador síncrono</t>
  </si>
  <si>
    <t>n (rpm)</t>
  </si>
  <si>
    <t>Pnom (W)</t>
  </si>
  <si>
    <t>Vcarga (V)</t>
  </si>
  <si>
    <t>fcarga (Hz)</t>
  </si>
  <si>
    <r>
      <t>S</t>
    </r>
    <r>
      <rPr>
        <vertAlign val="subscript"/>
        <sz val="12"/>
        <color theme="1"/>
        <rFont val="Arial"/>
        <family val="2"/>
      </rPr>
      <t>nom</t>
    </r>
    <r>
      <rPr>
        <sz val="12"/>
        <color theme="1"/>
        <rFont val="Arial"/>
        <family val="2"/>
      </rPr>
      <t xml:space="preserve"> (VA)</t>
    </r>
  </si>
  <si>
    <t>Curva magnetización</t>
  </si>
  <si>
    <t>Entradas</t>
  </si>
  <si>
    <t>Paso 1</t>
  </si>
  <si>
    <t>Paso 2</t>
  </si>
  <si>
    <t>Paso 3</t>
  </si>
  <si>
    <t>Paso 4</t>
  </si>
  <si>
    <t>Scarga</t>
  </si>
  <si>
    <t>I</t>
  </si>
  <si>
    <t>Pasos para determinar salidas 1 y 2</t>
  </si>
  <si>
    <t>Pasos para determinar salidas 3 y 7</t>
  </si>
  <si>
    <t>Pgen</t>
  </si>
  <si>
    <t>Cálculos previos</t>
  </si>
  <si>
    <t>fsc</t>
  </si>
  <si>
    <t>EA</t>
  </si>
  <si>
    <t>Dato dado</t>
  </si>
  <si>
    <t>If</t>
  </si>
  <si>
    <t>fnom</t>
  </si>
  <si>
    <t>(Hz)</t>
  </si>
  <si>
    <t>δ</t>
  </si>
  <si>
    <t>Vf</t>
  </si>
  <si>
    <t>eff</t>
  </si>
  <si>
    <t>(pu)</t>
  </si>
  <si>
    <t>W</t>
  </si>
  <si>
    <t>°</t>
  </si>
  <si>
    <t>A</t>
  </si>
  <si>
    <t>VA</t>
  </si>
  <si>
    <t>V</t>
  </si>
  <si>
    <t>Hz</t>
  </si>
  <si>
    <t>&lt;--</t>
  </si>
  <si>
    <t>Salida 1</t>
  </si>
  <si>
    <t>salida 2</t>
  </si>
  <si>
    <t>Salida 3</t>
  </si>
  <si>
    <t>Salida 7</t>
  </si>
  <si>
    <t>Pasos para determinar salidas 4-6 y 8</t>
  </si>
  <si>
    <t>Qgen</t>
  </si>
  <si>
    <t>VAR</t>
  </si>
  <si>
    <t>Salida 4</t>
  </si>
  <si>
    <t>fpgen</t>
  </si>
  <si>
    <t>Salida 5</t>
  </si>
  <si>
    <t>Salida 6</t>
  </si>
  <si>
    <t>Salida 8</t>
  </si>
  <si>
    <t>Igen</t>
  </si>
  <si>
    <t>θ</t>
  </si>
  <si>
    <t>Pasos para determinar salidas 9-12</t>
  </si>
  <si>
    <t>Pred</t>
  </si>
  <si>
    <t>Qred</t>
  </si>
  <si>
    <t>Sred</t>
  </si>
  <si>
    <t>fpred</t>
  </si>
  <si>
    <t>Salida 9</t>
  </si>
  <si>
    <t>Salida 10</t>
  </si>
  <si>
    <t>Salida 11</t>
  </si>
  <si>
    <t>Salida 12</t>
  </si>
  <si>
    <t>Cálculo del vector 13</t>
  </si>
  <si>
    <t>Componente en x</t>
  </si>
  <si>
    <t>Componente en y</t>
  </si>
  <si>
    <t>EAx</t>
  </si>
  <si>
    <t>EAy</t>
  </si>
  <si>
    <t>Cálculo del vector 14</t>
  </si>
  <si>
    <t>VRAx</t>
  </si>
  <si>
    <t>VRAy</t>
  </si>
  <si>
    <t>Cálculo del vector 15</t>
  </si>
  <si>
    <t>VXSx</t>
  </si>
  <si>
    <t>VXSy</t>
  </si>
  <si>
    <t>Cálculo del vector 16</t>
  </si>
  <si>
    <t>Vfx</t>
  </si>
  <si>
    <t>Vfy</t>
  </si>
  <si>
    <t>Cálculos – SI Operación generador = con bus inf.</t>
  </si>
  <si>
    <t>Pcarga (W)</t>
  </si>
  <si>
    <t>Qcarga (VAR)</t>
  </si>
  <si>
    <t>Cálculos – SI Operación generador = Solo</t>
  </si>
  <si>
    <t>B</t>
  </si>
  <si>
    <t>C</t>
  </si>
  <si>
    <t>VT</t>
  </si>
  <si>
    <t>X</t>
  </si>
  <si>
    <t>Y</t>
  </si>
  <si>
    <t>VX</t>
  </si>
  <si>
    <t>VR</t>
  </si>
  <si>
    <t>IF</t>
  </si>
  <si>
    <t>Posición</t>
  </si>
  <si>
    <t>EA0</t>
  </si>
  <si>
    <t>EA1</t>
  </si>
  <si>
    <t>m</t>
  </si>
  <si>
    <t>IF0</t>
  </si>
  <si>
    <t>IF1</t>
  </si>
  <si>
    <t>CÁLCULOS INTERNOS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</si>
</sst>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4" tint="0.40000610370189521"/>
        </stop>
        <stop position="0.5">
          <color theme="0"/>
        </stop>
        <stop position="1">
          <color theme="4" tint="0.40000610370189521"/>
        </stop>
      </gradient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1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0" xfId="0" applyFill="1"/>
    <xf numFmtId="0" fontId="0" fillId="3" borderId="0" xfId="0" applyFill="1"/>
    <xf numFmtId="3" fontId="0" fillId="7" borderId="1" xfId="0" applyNumberFormat="1" applyFill="1" applyBorder="1" applyAlignment="1">
      <alignment horizontal="center" vertical="center"/>
    </xf>
    <xf numFmtId="4" fontId="0" fillId="7" borderId="1" xfId="0" applyNumberFormat="1" applyFill="1" applyBorder="1" applyAlignment="1">
      <alignment horizontal="center" vertical="center"/>
    </xf>
    <xf numFmtId="0" fontId="1" fillId="3" borderId="0" xfId="0" applyFont="1" applyFill="1"/>
    <xf numFmtId="3" fontId="3" fillId="4" borderId="1" xfId="0" applyNumberFormat="1" applyFont="1" applyFill="1" applyBorder="1" applyAlignment="1">
      <alignment horizontal="center" vertical="center"/>
    </xf>
    <xf numFmtId="0" fontId="0" fillId="8" borderId="0" xfId="0" applyFill="1"/>
    <xf numFmtId="0" fontId="1" fillId="3" borderId="0" xfId="0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6" fillId="4" borderId="2" xfId="0" applyFont="1" applyFill="1" applyBorder="1"/>
    <xf numFmtId="0" fontId="6" fillId="4" borderId="12" xfId="0" applyFont="1" applyFill="1" applyBorder="1"/>
    <xf numFmtId="0" fontId="6" fillId="4" borderId="3" xfId="0" applyFont="1" applyFill="1" applyBorder="1"/>
    <xf numFmtId="0" fontId="6" fillId="4" borderId="0" xfId="0" applyFont="1" applyFill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0" xfId="0" applyFont="1" applyFill="1" applyBorder="1"/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/>
    <xf numFmtId="0" fontId="6" fillId="4" borderId="1" xfId="0" applyFont="1" applyFill="1" applyBorder="1" applyAlignment="1">
      <alignment horizontal="center" vertical="center"/>
    </xf>
    <xf numFmtId="0" fontId="8" fillId="4" borderId="0" xfId="0" applyFont="1" applyFill="1" applyBorder="1"/>
    <xf numFmtId="0" fontId="6" fillId="4" borderId="6" xfId="0" applyFont="1" applyFill="1" applyBorder="1"/>
    <xf numFmtId="0" fontId="6" fillId="4" borderId="14" xfId="0" applyFont="1" applyFill="1" applyBorder="1"/>
    <xf numFmtId="0" fontId="6" fillId="4" borderId="7" xfId="0" applyFont="1" applyFill="1" applyBorder="1"/>
    <xf numFmtId="0" fontId="4" fillId="6" borderId="0" xfId="0" applyFont="1" applyFill="1" applyAlignment="1">
      <alignment horizontal="left"/>
    </xf>
    <xf numFmtId="0" fontId="5" fillId="8" borderId="0" xfId="0" applyFont="1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left" vertical="top"/>
    </xf>
    <xf numFmtId="0" fontId="9" fillId="4" borderId="0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/>
    </xf>
    <xf numFmtId="0" fontId="6" fillId="11" borderId="0" xfId="0" applyFont="1" applyFill="1"/>
    <xf numFmtId="0" fontId="6" fillId="10" borderId="0" xfId="0" applyFont="1" applyFill="1"/>
    <xf numFmtId="0" fontId="6" fillId="13" borderId="0" xfId="0" applyFont="1" applyFill="1"/>
    <xf numFmtId="0" fontId="6" fillId="9" borderId="0" xfId="0" applyFont="1" applyFill="1"/>
    <xf numFmtId="0" fontId="6" fillId="13" borderId="0" xfId="0" applyFont="1" applyFill="1" applyAlignment="1">
      <alignment horizontal="center"/>
    </xf>
    <xf numFmtId="0" fontId="6" fillId="14" borderId="4" xfId="0" applyFont="1" applyFill="1" applyBorder="1"/>
    <xf numFmtId="0" fontId="6" fillId="14" borderId="0" xfId="0" applyFont="1" applyFill="1" applyBorder="1"/>
    <xf numFmtId="0" fontId="6" fillId="14" borderId="5" xfId="0" applyFont="1" applyFill="1" applyBorder="1"/>
    <xf numFmtId="0" fontId="6" fillId="15" borderId="8" xfId="0" applyFont="1" applyFill="1" applyBorder="1" applyAlignment="1">
      <alignment horizontal="center"/>
    </xf>
    <xf numFmtId="0" fontId="6" fillId="15" borderId="9" xfId="0" applyFont="1" applyFill="1" applyBorder="1" applyAlignment="1">
      <alignment horizontal="center"/>
    </xf>
    <xf numFmtId="0" fontId="6" fillId="15" borderId="10" xfId="0" applyFont="1" applyFill="1" applyBorder="1" applyAlignment="1">
      <alignment horizontal="center"/>
    </xf>
    <xf numFmtId="0" fontId="6" fillId="15" borderId="4" xfId="0" applyFont="1" applyFill="1" applyBorder="1"/>
    <xf numFmtId="0" fontId="6" fillId="15" borderId="0" xfId="0" applyFont="1" applyFill="1" applyBorder="1"/>
    <xf numFmtId="0" fontId="6" fillId="15" borderId="2" xfId="0" applyFont="1" applyFill="1" applyBorder="1"/>
    <xf numFmtId="0" fontId="6" fillId="15" borderId="12" xfId="0" applyFont="1" applyFill="1" applyBorder="1"/>
    <xf numFmtId="0" fontId="6" fillId="15" borderId="3" xfId="0" applyFont="1" applyFill="1" applyBorder="1"/>
    <xf numFmtId="0" fontId="6" fillId="15" borderId="5" xfId="0" applyFont="1" applyFill="1" applyBorder="1"/>
    <xf numFmtId="0" fontId="6" fillId="15" borderId="6" xfId="0" applyFont="1" applyFill="1" applyBorder="1"/>
    <xf numFmtId="0" fontId="6" fillId="15" borderId="14" xfId="0" applyFont="1" applyFill="1" applyBorder="1"/>
    <xf numFmtId="0" fontId="6" fillId="15" borderId="7" xfId="0" applyFont="1" applyFill="1" applyBorder="1"/>
    <xf numFmtId="0" fontId="8" fillId="1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de escritorio'!$O$47:$O$48</c:f>
              <c:strCache>
                <c:ptCount val="2"/>
                <c:pt idx="0">
                  <c:v>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'Prueba de escritorio'!$P$47:$P$48</c:f>
              <c:numCache>
                <c:formatCode>General</c:formatCode>
                <c:ptCount val="2"/>
                <c:pt idx="0">
                  <c:v>0</c:v>
                </c:pt>
                <c:pt idx="1">
                  <c:v>256.65649196859414</c:v>
                </c:pt>
              </c:numCache>
            </c:numRef>
          </c:xVal>
          <c:yVal>
            <c:numRef>
              <c:f>'Prueba de escritorio'!$Q$47:$Q$48</c:f>
              <c:numCache>
                <c:formatCode>General</c:formatCode>
                <c:ptCount val="2"/>
                <c:pt idx="0">
                  <c:v>0</c:v>
                </c:pt>
                <c:pt idx="1">
                  <c:v>36.307992522314166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'Prueba de escritorio'!$O$49:$O$50</c:f>
              <c:strCache>
                <c:ptCount val="2"/>
                <c:pt idx="0">
                  <c:v>Vf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'Prueba de escritorio'!$P$49:$P$50</c:f>
              <c:numCache>
                <c:formatCode>General</c:formatCode>
                <c:ptCount val="2"/>
                <c:pt idx="0">
                  <c:v>0</c:v>
                </c:pt>
                <c:pt idx="1">
                  <c:v>220</c:v>
                </c:pt>
              </c:numCache>
            </c:numRef>
          </c:xVal>
          <c:yVal>
            <c:numRef>
              <c:f>'Prueba de escritorio'!$Q$49:$Q$50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'Prueba de escritorio'!$O$51:$O$52</c:f>
              <c:strCache>
                <c:ptCount val="2"/>
                <c:pt idx="0">
                  <c:v>VR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'Prueba de escritorio'!$P$51:$P$52</c:f>
              <c:numCache>
                <c:formatCode>General</c:formatCode>
                <c:ptCount val="2"/>
                <c:pt idx="0">
                  <c:v>220</c:v>
                </c:pt>
                <c:pt idx="1">
                  <c:v>223.54545454545453</c:v>
                </c:pt>
              </c:numCache>
            </c:numRef>
          </c:xVal>
          <c:yVal>
            <c:numRef>
              <c:f>'Prueba de escritorio'!$Q$51:$Q$52</c:f>
              <c:numCache>
                <c:formatCode>General</c:formatCode>
                <c:ptCount val="2"/>
                <c:pt idx="0">
                  <c:v>0</c:v>
                </c:pt>
                <c:pt idx="1">
                  <c:v>-2.9874620231404121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'Prueba de escritorio'!$O$53:$O$54</c:f>
              <c:strCache>
                <c:ptCount val="2"/>
                <c:pt idx="0">
                  <c:v>VX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'Prueba de escritorio'!$P$53:$P$54</c:f>
              <c:numCache>
                <c:formatCode>General</c:formatCode>
                <c:ptCount val="2"/>
                <c:pt idx="0">
                  <c:v>223.54545454545453</c:v>
                </c:pt>
                <c:pt idx="1">
                  <c:v>256.65649196859408</c:v>
                </c:pt>
              </c:numCache>
            </c:numRef>
          </c:xVal>
          <c:yVal>
            <c:numRef>
              <c:f>'Prueba de escritorio'!$Q$53:$Q$54</c:f>
              <c:numCache>
                <c:formatCode>General</c:formatCode>
                <c:ptCount val="2"/>
                <c:pt idx="0">
                  <c:v>-2.9874620231404121</c:v>
                </c:pt>
                <c:pt idx="1">
                  <c:v>36.307992522314137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29968"/>
        <c:axId val="430231536"/>
      </c:scatterChart>
      <c:valAx>
        <c:axId val="43022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0231536"/>
        <c:crosses val="autoZero"/>
        <c:crossBetween val="midCat"/>
      </c:valAx>
      <c:valAx>
        <c:axId val="4302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022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de escritorio'!$V$51:$V$52</c:f>
              <c:strCache>
                <c:ptCount val="2"/>
                <c:pt idx="0">
                  <c:v>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'Prueba de escritorio'!$W$51:$W$52</c:f>
              <c:numCache>
                <c:formatCode>General</c:formatCode>
                <c:ptCount val="2"/>
                <c:pt idx="0">
                  <c:v>0</c:v>
                </c:pt>
                <c:pt idx="1">
                  <c:v>254.79543751924589</c:v>
                </c:pt>
              </c:numCache>
            </c:numRef>
          </c:xVal>
          <c:yVal>
            <c:numRef>
              <c:f>'Prueba de escritorio'!$X$51:$X$52</c:f>
              <c:numCache>
                <c:formatCode>General</c:formatCode>
                <c:ptCount val="2"/>
                <c:pt idx="0">
                  <c:v>0</c:v>
                </c:pt>
                <c:pt idx="1">
                  <c:v>47.645673570655859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'Prueba de escritorio'!$V$53:$V$54</c:f>
              <c:strCache>
                <c:ptCount val="2"/>
                <c:pt idx="0">
                  <c:v>Vf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'Prueba de escritorio'!$W$53:$W$54</c:f>
              <c:numCache>
                <c:formatCode>General</c:formatCode>
                <c:ptCount val="2"/>
                <c:pt idx="0">
                  <c:v>0</c:v>
                </c:pt>
                <c:pt idx="1">
                  <c:v>220.02697302174033</c:v>
                </c:pt>
              </c:numCache>
            </c:numRef>
          </c:xVal>
          <c:yVal>
            <c:numRef>
              <c:f>'Prueba de escritorio'!$X$53:$X$54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'Prueba de escritorio'!$V$55:$V$56</c:f>
              <c:strCache>
                <c:ptCount val="2"/>
                <c:pt idx="0">
                  <c:v>VR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'Prueba de escritorio'!$W$55:$W$56</c:f>
              <c:numCache>
                <c:formatCode>General</c:formatCode>
                <c:ptCount val="2"/>
                <c:pt idx="0">
                  <c:v>220.02697302174033</c:v>
                </c:pt>
                <c:pt idx="1">
                  <c:v>224.57187034167569</c:v>
                </c:pt>
              </c:numCache>
            </c:numRef>
          </c:xVal>
          <c:yVal>
            <c:numRef>
              <c:f>'Prueba de escritorio'!$X$55:$X$56</c:f>
              <c:numCache>
                <c:formatCode>General</c:formatCode>
                <c:ptCount val="2"/>
                <c:pt idx="0">
                  <c:v>0</c:v>
                </c:pt>
                <c:pt idx="1">
                  <c:v>-2.7269383919612222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'Prueba de escritorio'!$V$57:$V$58</c:f>
              <c:strCache>
                <c:ptCount val="2"/>
                <c:pt idx="0">
                  <c:v>VX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'Prueba de escritorio'!$W$57:$W$58</c:f>
              <c:numCache>
                <c:formatCode>General</c:formatCode>
                <c:ptCount val="2"/>
                <c:pt idx="0">
                  <c:v>224.57187034167569</c:v>
                </c:pt>
                <c:pt idx="1">
                  <c:v>254.79543751924592</c:v>
                </c:pt>
              </c:numCache>
            </c:numRef>
          </c:xVal>
          <c:yVal>
            <c:numRef>
              <c:f>'Prueba de escritorio'!$X$57:$X$58</c:f>
              <c:numCache>
                <c:formatCode>General</c:formatCode>
                <c:ptCount val="2"/>
                <c:pt idx="0">
                  <c:v>-2.7269383919612222</c:v>
                </c:pt>
                <c:pt idx="1">
                  <c:v>47.645673570655816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47056"/>
        <c:axId val="478147448"/>
      </c:scatterChart>
      <c:valAx>
        <c:axId val="47814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8147448"/>
        <c:crosses val="autoZero"/>
        <c:crossBetween val="midCat"/>
      </c:valAx>
      <c:valAx>
        <c:axId val="47814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814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21</xdr:row>
      <xdr:rowOff>180975</xdr:rowOff>
    </xdr:from>
    <xdr:to>
      <xdr:col>9</xdr:col>
      <xdr:colOff>1</xdr:colOff>
      <xdr:row>30</xdr:row>
      <xdr:rowOff>61072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1" y="3800475"/>
          <a:ext cx="2743200" cy="1733549"/>
        </a:xfrm>
        <a:prstGeom prst="rect">
          <a:avLst/>
        </a:prstGeom>
      </xdr:spPr>
    </xdr:pic>
    <xdr:clientData/>
  </xdr:twoCellAnchor>
  <xdr:twoCellAnchor>
    <xdr:from>
      <xdr:col>6</xdr:col>
      <xdr:colOff>12159</xdr:colOff>
      <xdr:row>23</xdr:row>
      <xdr:rowOff>156453</xdr:rowOff>
    </xdr:from>
    <xdr:to>
      <xdr:col>6</xdr:col>
      <xdr:colOff>84159</xdr:colOff>
      <xdr:row>24</xdr:row>
      <xdr:rowOff>37953</xdr:rowOff>
    </xdr:to>
    <xdr:sp macro="" textlink="">
      <xdr:nvSpPr>
        <xdr:cNvPr id="3" name="Elipse 2"/>
        <xdr:cNvSpPr/>
      </xdr:nvSpPr>
      <xdr:spPr>
        <a:xfrm>
          <a:off x="1966689" y="4195053"/>
          <a:ext cx="72000" cy="7200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180802</xdr:colOff>
      <xdr:row>30</xdr:row>
      <xdr:rowOff>122853</xdr:rowOff>
    </xdr:from>
    <xdr:to>
      <xdr:col>8</xdr:col>
      <xdr:colOff>370619</xdr:colOff>
      <xdr:row>31</xdr:row>
      <xdr:rowOff>152400</xdr:rowOff>
    </xdr:to>
    <xdr:grpSp>
      <xdr:nvGrpSpPr>
        <xdr:cNvPr id="15" name="Grupo 14"/>
        <xdr:cNvGrpSpPr/>
      </xdr:nvGrpSpPr>
      <xdr:grpSpPr>
        <a:xfrm>
          <a:off x="1122096" y="6286088"/>
          <a:ext cx="2419788" cy="253665"/>
          <a:chOff x="1432805" y="5618065"/>
          <a:chExt cx="2419533" cy="253665"/>
        </a:xfrm>
      </xdr:grpSpPr>
      <xdr:sp macro="" textlink="">
        <xdr:nvSpPr>
          <xdr:cNvPr id="4" name="Rectángulo 3"/>
          <xdr:cNvSpPr/>
        </xdr:nvSpPr>
        <xdr:spPr>
          <a:xfrm>
            <a:off x="1435130" y="5619067"/>
            <a:ext cx="2410190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" name="Rectángulo 4"/>
          <xdr:cNvSpPr/>
        </xdr:nvSpPr>
        <xdr:spPr>
          <a:xfrm>
            <a:off x="1432805" y="5621072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" name="Triángulo isósceles 5"/>
          <xdr:cNvSpPr/>
        </xdr:nvSpPr>
        <xdr:spPr>
          <a:xfrm rot="16200000">
            <a:off x="1513518" y="5691755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Rectángulo 6"/>
          <xdr:cNvSpPr/>
        </xdr:nvSpPr>
        <xdr:spPr>
          <a:xfrm rot="10800000">
            <a:off x="3508435" y="5618065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" name="Triángulo isósceles 7"/>
          <xdr:cNvSpPr/>
        </xdr:nvSpPr>
        <xdr:spPr>
          <a:xfrm rot="5400000">
            <a:off x="3589148" y="5688748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" name="Rectángulo 8"/>
          <xdr:cNvSpPr/>
        </xdr:nvSpPr>
        <xdr:spPr>
          <a:xfrm>
            <a:off x="2530870" y="5618065"/>
            <a:ext cx="46122" cy="25065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6</xdr:col>
      <xdr:colOff>48638</xdr:colOff>
      <xdr:row>22</xdr:row>
      <xdr:rowOff>101086</xdr:rowOff>
    </xdr:from>
    <xdr:to>
      <xdr:col>6</xdr:col>
      <xdr:colOff>48638</xdr:colOff>
      <xdr:row>31</xdr:row>
      <xdr:rowOff>89304</xdr:rowOff>
    </xdr:to>
    <xdr:cxnSp macro="">
      <xdr:nvCxnSpPr>
        <xdr:cNvPr id="11" name="Conector recto 10"/>
        <xdr:cNvCxnSpPr/>
      </xdr:nvCxnSpPr>
      <xdr:spPr>
        <a:xfrm flipH="1" flipV="1">
          <a:off x="2003168" y="3911086"/>
          <a:ext cx="0" cy="1740818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216101</xdr:colOff>
      <xdr:row>25</xdr:row>
      <xdr:rowOff>122853</xdr:rowOff>
    </xdr:from>
    <xdr:to>
      <xdr:col>15</xdr:col>
      <xdr:colOff>317953</xdr:colOff>
      <xdr:row>26</xdr:row>
      <xdr:rowOff>186018</xdr:rowOff>
    </xdr:to>
    <xdr:grpSp>
      <xdr:nvGrpSpPr>
        <xdr:cNvPr id="16" name="Grupo 15"/>
        <xdr:cNvGrpSpPr/>
      </xdr:nvGrpSpPr>
      <xdr:grpSpPr>
        <a:xfrm>
          <a:off x="4339866" y="5266353"/>
          <a:ext cx="1805146" cy="253665"/>
          <a:chOff x="1432805" y="5618065"/>
          <a:chExt cx="1803706" cy="253665"/>
        </a:xfrm>
      </xdr:grpSpPr>
      <xdr:sp macro="" textlink="">
        <xdr:nvSpPr>
          <xdr:cNvPr id="17" name="Rectángulo 16"/>
          <xdr:cNvSpPr/>
        </xdr:nvSpPr>
        <xdr:spPr>
          <a:xfrm>
            <a:off x="1435130" y="5619067"/>
            <a:ext cx="1798561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8" name="Rectángulo 17"/>
          <xdr:cNvSpPr/>
        </xdr:nvSpPr>
        <xdr:spPr>
          <a:xfrm>
            <a:off x="1432805" y="5621072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Triángulo isósceles 18"/>
          <xdr:cNvSpPr/>
        </xdr:nvSpPr>
        <xdr:spPr>
          <a:xfrm rot="16200000">
            <a:off x="1513518" y="5691755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0" name="Rectángulo 19"/>
          <xdr:cNvSpPr/>
        </xdr:nvSpPr>
        <xdr:spPr>
          <a:xfrm rot="10800000">
            <a:off x="2892608" y="5618065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1" name="Triángulo isósceles 20"/>
          <xdr:cNvSpPr/>
        </xdr:nvSpPr>
        <xdr:spPr>
          <a:xfrm rot="5400000">
            <a:off x="2973321" y="5688748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2" name="Rectángulo 21"/>
          <xdr:cNvSpPr/>
        </xdr:nvSpPr>
        <xdr:spPr>
          <a:xfrm>
            <a:off x="2025864" y="5618065"/>
            <a:ext cx="46122" cy="25065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11</xdr:col>
      <xdr:colOff>211619</xdr:colOff>
      <xdr:row>29</xdr:row>
      <xdr:rowOff>95960</xdr:rowOff>
    </xdr:from>
    <xdr:to>
      <xdr:col>15</xdr:col>
      <xdr:colOff>313471</xdr:colOff>
      <xdr:row>30</xdr:row>
      <xdr:rowOff>159125</xdr:rowOff>
    </xdr:to>
    <xdr:grpSp>
      <xdr:nvGrpSpPr>
        <xdr:cNvPr id="30" name="Grupo 29"/>
        <xdr:cNvGrpSpPr/>
      </xdr:nvGrpSpPr>
      <xdr:grpSpPr>
        <a:xfrm>
          <a:off x="4335384" y="6068695"/>
          <a:ext cx="1805146" cy="253665"/>
          <a:chOff x="1432805" y="5618065"/>
          <a:chExt cx="1803706" cy="253665"/>
        </a:xfrm>
      </xdr:grpSpPr>
      <xdr:sp macro="" textlink="">
        <xdr:nvSpPr>
          <xdr:cNvPr id="31" name="Rectángulo 30"/>
          <xdr:cNvSpPr/>
        </xdr:nvSpPr>
        <xdr:spPr>
          <a:xfrm>
            <a:off x="1435130" y="5619067"/>
            <a:ext cx="1798561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2" name="Rectángulo 31"/>
          <xdr:cNvSpPr/>
        </xdr:nvSpPr>
        <xdr:spPr>
          <a:xfrm>
            <a:off x="1432805" y="5621072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3" name="Triángulo isósceles 32"/>
          <xdr:cNvSpPr/>
        </xdr:nvSpPr>
        <xdr:spPr>
          <a:xfrm rot="16200000">
            <a:off x="1513518" y="5691755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4" name="Rectángulo 33"/>
          <xdr:cNvSpPr/>
        </xdr:nvSpPr>
        <xdr:spPr>
          <a:xfrm rot="10800000">
            <a:off x="2892608" y="5618065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5" name="Triángulo isósceles 34"/>
          <xdr:cNvSpPr/>
        </xdr:nvSpPr>
        <xdr:spPr>
          <a:xfrm rot="5400000">
            <a:off x="2973321" y="5688748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6" name="Rectángulo 35"/>
          <xdr:cNvSpPr/>
        </xdr:nvSpPr>
        <xdr:spPr>
          <a:xfrm>
            <a:off x="2227411" y="5618065"/>
            <a:ext cx="46122" cy="25065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 editAs="oneCell">
    <xdr:from>
      <xdr:col>27</xdr:col>
      <xdr:colOff>19050</xdr:colOff>
      <xdr:row>9</xdr:row>
      <xdr:rowOff>182335</xdr:rowOff>
    </xdr:from>
    <xdr:to>
      <xdr:col>30</xdr:col>
      <xdr:colOff>161925</xdr:colOff>
      <xdr:row>32</xdr:row>
      <xdr:rowOff>202711</xdr:rowOff>
    </xdr:to>
    <xdr:pic>
      <xdr:nvPicPr>
        <xdr:cNvPr id="37" name="Imagen 3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1317"/>
        <a:stretch/>
      </xdr:blipFill>
      <xdr:spPr>
        <a:xfrm>
          <a:off x="10791825" y="1706335"/>
          <a:ext cx="2428875" cy="47828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212911</xdr:colOff>
      <xdr:row>54</xdr:row>
      <xdr:rowOff>113179</xdr:rowOff>
    </xdr:from>
    <xdr:to>
      <xdr:col>20</xdr:col>
      <xdr:colOff>22412</xdr:colOff>
      <xdr:row>68</xdr:row>
      <xdr:rowOff>189379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59</xdr:row>
      <xdr:rowOff>0</xdr:rowOff>
    </xdr:from>
    <xdr:to>
      <xdr:col>27</xdr:col>
      <xdr:colOff>78442</xdr:colOff>
      <xdr:row>73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6"/>
  <sheetViews>
    <sheetView zoomScale="85" zoomScaleNormal="85" workbookViewId="0">
      <selection activeCell="R38" sqref="R38"/>
    </sheetView>
  </sheetViews>
  <sheetFormatPr baseColWidth="10" defaultRowHeight="15" x14ac:dyDescent="0.25"/>
  <cols>
    <col min="1" max="1" width="3.85546875" customWidth="1"/>
    <col min="2" max="2" width="3.140625" customWidth="1"/>
    <col min="3" max="3" width="3.28515625" customWidth="1"/>
    <col min="4" max="4" width="3.7109375" customWidth="1"/>
    <col min="6" max="6" width="7.7109375" customWidth="1"/>
    <col min="7" max="7" width="2.85546875" customWidth="1"/>
    <col min="9" max="9" width="7.7109375" customWidth="1"/>
    <col min="10" max="10" width="3.42578125" customWidth="1"/>
    <col min="11" max="11" width="3.140625" customWidth="1"/>
    <col min="12" max="12" width="3.28515625" customWidth="1"/>
    <col min="14" max="14" width="7.5703125" bestFit="1" customWidth="1"/>
    <col min="15" max="15" width="3.140625" customWidth="1"/>
    <col min="17" max="17" width="9.28515625" bestFit="1" customWidth="1"/>
    <col min="18" max="18" width="3.140625" customWidth="1"/>
    <col min="19" max="20" width="3" customWidth="1"/>
    <col min="21" max="21" width="3.140625" customWidth="1"/>
    <col min="22" max="22" width="3" customWidth="1"/>
    <col min="24" max="24" width="7.7109375" bestFit="1" customWidth="1"/>
    <col min="25" max="25" width="3.7109375" customWidth="1"/>
    <col min="26" max="26" width="3.5703125" customWidth="1"/>
    <col min="27" max="27" width="4.42578125" customWidth="1"/>
    <col min="31" max="31" width="6.5703125" customWidth="1"/>
    <col min="32" max="32" width="3.5703125" customWidth="1"/>
    <col min="33" max="33" width="4" customWidth="1"/>
  </cols>
  <sheetData>
    <row r="2" spans="2:33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2:33" ht="26.25" x14ac:dyDescent="0.4">
      <c r="B3" s="12"/>
      <c r="C3" s="34" t="s">
        <v>42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12"/>
    </row>
    <row r="4" spans="2:33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2:33" x14ac:dyDescent="0.25">
      <c r="B5" s="1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12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12"/>
    </row>
    <row r="6" spans="2:33" x14ac:dyDescent="0.25">
      <c r="B6" s="12"/>
      <c r="C6" s="6"/>
      <c r="D6" s="44" t="s">
        <v>23</v>
      </c>
      <c r="E6" s="44"/>
      <c r="F6" s="44"/>
      <c r="G6" s="44"/>
      <c r="H6" s="44"/>
      <c r="I6" s="44"/>
      <c r="J6" s="44"/>
      <c r="K6" s="15"/>
      <c r="L6" s="15"/>
      <c r="M6" s="15"/>
      <c r="N6" s="15"/>
      <c r="O6" s="15"/>
      <c r="P6" s="15"/>
      <c r="Q6" s="15"/>
      <c r="R6" s="15"/>
      <c r="S6" s="6"/>
      <c r="T6" s="12"/>
      <c r="U6" s="6"/>
      <c r="V6" s="33" t="s">
        <v>36</v>
      </c>
      <c r="W6" s="33"/>
      <c r="X6" s="33"/>
      <c r="Y6" s="33"/>
      <c r="Z6" s="6"/>
      <c r="AA6" s="35" t="s">
        <v>43</v>
      </c>
      <c r="AB6" s="36"/>
      <c r="AC6" s="36"/>
      <c r="AD6" s="36"/>
      <c r="AE6" s="37"/>
      <c r="AF6" s="6"/>
      <c r="AG6" s="12"/>
    </row>
    <row r="7" spans="2:33" x14ac:dyDescent="0.25">
      <c r="B7" s="1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12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12"/>
    </row>
    <row r="8" spans="2:33" x14ac:dyDescent="0.25">
      <c r="B8" s="12"/>
      <c r="C8" s="6"/>
      <c r="D8" s="7"/>
      <c r="E8" s="7"/>
      <c r="F8" s="7"/>
      <c r="G8" s="7"/>
      <c r="H8" s="7"/>
      <c r="I8" s="7"/>
      <c r="J8" s="7"/>
      <c r="K8" s="6"/>
      <c r="L8" s="7"/>
      <c r="M8" s="7"/>
      <c r="N8" s="7"/>
      <c r="O8" s="7"/>
      <c r="P8" s="7"/>
      <c r="Q8" s="7"/>
      <c r="R8" s="7"/>
      <c r="S8" s="6"/>
      <c r="T8" s="12"/>
      <c r="U8" s="6"/>
      <c r="V8" s="7"/>
      <c r="W8" s="7"/>
      <c r="X8" s="7"/>
      <c r="Y8" s="7"/>
      <c r="Z8" s="6"/>
      <c r="AA8" s="7"/>
      <c r="AB8" s="7"/>
      <c r="AC8" s="7"/>
      <c r="AD8" s="7"/>
      <c r="AE8" s="7"/>
      <c r="AF8" s="6"/>
      <c r="AG8" s="12"/>
    </row>
    <row r="9" spans="2:33" x14ac:dyDescent="0.25">
      <c r="B9" s="12"/>
      <c r="C9" s="6"/>
      <c r="D9" s="2"/>
      <c r="E9" s="13" t="s">
        <v>5</v>
      </c>
      <c r="F9" s="13"/>
      <c r="G9" s="13"/>
      <c r="H9" s="13"/>
      <c r="I9" s="13"/>
      <c r="J9" s="2"/>
      <c r="K9" s="6"/>
      <c r="L9" s="7"/>
      <c r="M9" s="10" t="s">
        <v>20</v>
      </c>
      <c r="N9" s="7"/>
      <c r="O9" s="7"/>
      <c r="P9" s="7"/>
      <c r="Q9" s="7"/>
      <c r="R9" s="7"/>
      <c r="S9" s="6"/>
      <c r="T9" s="12"/>
      <c r="U9" s="6"/>
      <c r="V9" s="7"/>
      <c r="W9" s="10" t="s">
        <v>27</v>
      </c>
      <c r="X9" s="7"/>
      <c r="Y9" s="7"/>
      <c r="Z9" s="6"/>
      <c r="AA9" s="7"/>
      <c r="AB9" s="10" t="s">
        <v>41</v>
      </c>
      <c r="AC9" s="7"/>
      <c r="AD9" s="7"/>
      <c r="AE9" s="7"/>
      <c r="AF9" s="6"/>
      <c r="AG9" s="12"/>
    </row>
    <row r="10" spans="2:33" x14ac:dyDescent="0.25">
      <c r="B10" s="12"/>
      <c r="C10" s="6"/>
      <c r="D10" s="2"/>
      <c r="E10" s="2"/>
      <c r="F10" s="2"/>
      <c r="G10" s="2"/>
      <c r="H10" s="2"/>
      <c r="I10" s="2"/>
      <c r="J10" s="2"/>
      <c r="K10" s="6"/>
      <c r="L10" s="7"/>
      <c r="M10" s="7"/>
      <c r="N10" s="7"/>
      <c r="O10" s="7"/>
      <c r="P10" s="7"/>
      <c r="Q10" s="7"/>
      <c r="R10" s="7"/>
      <c r="S10" s="6"/>
      <c r="T10" s="12"/>
      <c r="U10" s="6"/>
      <c r="V10" s="7"/>
      <c r="W10" s="7"/>
      <c r="X10" s="7"/>
      <c r="Y10" s="7"/>
      <c r="Z10" s="6"/>
      <c r="AA10" s="7"/>
      <c r="AB10" s="7"/>
      <c r="AC10" s="7"/>
      <c r="AD10" s="7"/>
      <c r="AE10" s="7"/>
      <c r="AF10" s="6"/>
      <c r="AG10" s="12"/>
    </row>
    <row r="11" spans="2:33" ht="18" x14ac:dyDescent="0.35">
      <c r="B11" s="12"/>
      <c r="C11" s="6"/>
      <c r="D11" s="2"/>
      <c r="E11" s="1" t="s">
        <v>6</v>
      </c>
      <c r="F11" s="4">
        <v>400000</v>
      </c>
      <c r="G11" s="2"/>
      <c r="H11" s="1" t="s">
        <v>4</v>
      </c>
      <c r="I11" s="5">
        <v>4</v>
      </c>
      <c r="J11" s="2"/>
      <c r="K11" s="6"/>
      <c r="L11" s="7"/>
      <c r="M11" s="1" t="s">
        <v>17</v>
      </c>
      <c r="N11" s="11" t="s">
        <v>19</v>
      </c>
      <c r="O11" s="7"/>
      <c r="P11" s="1" t="s">
        <v>18</v>
      </c>
      <c r="Q11" s="11"/>
      <c r="R11" s="7"/>
      <c r="S11" s="6"/>
      <c r="T11" s="12"/>
      <c r="U11" s="6"/>
      <c r="V11" s="7"/>
      <c r="W11" s="1" t="s">
        <v>28</v>
      </c>
      <c r="X11" s="8">
        <v>400000</v>
      </c>
      <c r="Y11" s="7"/>
      <c r="Z11" s="6"/>
      <c r="AA11" s="7"/>
      <c r="AB11" s="7"/>
      <c r="AC11" s="7"/>
      <c r="AD11" s="7"/>
      <c r="AE11" s="7"/>
      <c r="AF11" s="6"/>
      <c r="AG11" s="12"/>
    </row>
    <row r="12" spans="2:33" x14ac:dyDescent="0.25">
      <c r="B12" s="12"/>
      <c r="C12" s="6"/>
      <c r="D12" s="2"/>
      <c r="E12" s="2"/>
      <c r="F12" s="3"/>
      <c r="G12" s="2"/>
      <c r="H12" s="2"/>
      <c r="I12" s="3"/>
      <c r="J12" s="2"/>
      <c r="K12" s="6"/>
      <c r="L12" s="7"/>
      <c r="M12" s="7"/>
      <c r="N12" s="7"/>
      <c r="O12" s="7"/>
      <c r="P12" s="7"/>
      <c r="Q12" s="7"/>
      <c r="R12" s="7"/>
      <c r="S12" s="6"/>
      <c r="T12" s="12"/>
      <c r="U12" s="6"/>
      <c r="V12" s="7"/>
      <c r="W12" s="7"/>
      <c r="X12" s="7"/>
      <c r="Y12" s="7"/>
      <c r="Z12" s="6"/>
      <c r="AA12" s="7"/>
      <c r="AB12" s="7"/>
      <c r="AC12" s="7"/>
      <c r="AD12" s="7"/>
      <c r="AE12" s="7"/>
      <c r="AF12" s="6"/>
      <c r="AG12" s="12"/>
    </row>
    <row r="13" spans="2:33" ht="18" x14ac:dyDescent="0.35">
      <c r="B13" s="12"/>
      <c r="C13" s="6"/>
      <c r="D13" s="2"/>
      <c r="E13" s="1" t="s">
        <v>7</v>
      </c>
      <c r="F13" s="5">
        <v>220</v>
      </c>
      <c r="G13" s="2"/>
      <c r="H13" s="1" t="s">
        <v>10</v>
      </c>
      <c r="I13" s="5">
        <v>1.2E-2</v>
      </c>
      <c r="J13" s="2"/>
      <c r="K13" s="6"/>
      <c r="L13" s="6"/>
      <c r="M13" s="6"/>
      <c r="N13" s="6"/>
      <c r="O13" s="6"/>
      <c r="P13" s="6"/>
      <c r="Q13" s="6"/>
      <c r="R13" s="6"/>
      <c r="S13" s="6"/>
      <c r="T13" s="12"/>
      <c r="U13" s="6"/>
      <c r="V13" s="7"/>
      <c r="W13" s="1" t="s">
        <v>44</v>
      </c>
      <c r="X13" s="8">
        <v>400000</v>
      </c>
      <c r="Y13" s="7"/>
      <c r="Z13" s="6"/>
      <c r="AA13" s="7"/>
      <c r="AB13" s="7"/>
      <c r="AC13" s="7"/>
      <c r="AD13" s="7"/>
      <c r="AE13" s="7"/>
      <c r="AF13" s="6"/>
      <c r="AG13" s="12"/>
    </row>
    <row r="14" spans="2:33" x14ac:dyDescent="0.25">
      <c r="B14" s="12"/>
      <c r="C14" s="6"/>
      <c r="D14" s="2"/>
      <c r="E14" s="2"/>
      <c r="F14" s="3"/>
      <c r="G14" s="2"/>
      <c r="H14" s="2"/>
      <c r="I14" s="3"/>
      <c r="J14" s="2"/>
      <c r="K14" s="6"/>
      <c r="L14" s="7"/>
      <c r="M14" s="7"/>
      <c r="N14" s="7"/>
      <c r="O14" s="7"/>
      <c r="P14" s="7"/>
      <c r="Q14" s="7"/>
      <c r="R14" s="7"/>
      <c r="S14" s="6"/>
      <c r="T14" s="12"/>
      <c r="U14" s="6"/>
      <c r="V14" s="7"/>
      <c r="W14" s="7"/>
      <c r="X14" s="7"/>
      <c r="Y14" s="7"/>
      <c r="Z14" s="6"/>
      <c r="AA14" s="7"/>
      <c r="AB14" s="7"/>
      <c r="AC14" s="7"/>
      <c r="AD14" s="7"/>
      <c r="AE14" s="7"/>
      <c r="AF14" s="6"/>
      <c r="AG14" s="12"/>
    </row>
    <row r="15" spans="2:33" ht="18" x14ac:dyDescent="0.35">
      <c r="B15" s="12"/>
      <c r="C15" s="6"/>
      <c r="D15" s="2"/>
      <c r="E15" s="1" t="s">
        <v>0</v>
      </c>
      <c r="F15" s="5" t="s">
        <v>3</v>
      </c>
      <c r="G15" s="2"/>
      <c r="H15" s="1" t="s">
        <v>11</v>
      </c>
      <c r="I15" s="5">
        <v>0.13300000000000001</v>
      </c>
      <c r="J15" s="2"/>
      <c r="K15" s="6"/>
      <c r="L15" s="7"/>
      <c r="M15" s="10" t="s">
        <v>24</v>
      </c>
      <c r="N15" s="7"/>
      <c r="O15" s="7"/>
      <c r="P15" s="7"/>
      <c r="Q15" s="7"/>
      <c r="R15" s="7"/>
      <c r="S15" s="6"/>
      <c r="T15" s="12"/>
      <c r="U15" s="6"/>
      <c r="V15" s="7"/>
      <c r="W15" s="1" t="s">
        <v>8</v>
      </c>
      <c r="X15" s="14">
        <v>0.8</v>
      </c>
      <c r="Y15" s="7"/>
      <c r="Z15" s="6"/>
      <c r="AA15" s="7"/>
      <c r="AB15" s="7"/>
      <c r="AC15" s="7"/>
      <c r="AD15" s="7"/>
      <c r="AE15" s="7"/>
      <c r="AF15" s="6"/>
      <c r="AG15" s="12"/>
    </row>
    <row r="16" spans="2:33" x14ac:dyDescent="0.25">
      <c r="B16" s="12"/>
      <c r="C16" s="6"/>
      <c r="D16" s="2"/>
      <c r="E16" s="2"/>
      <c r="F16" s="3"/>
      <c r="G16" s="2"/>
      <c r="H16" s="2"/>
      <c r="I16" s="3"/>
      <c r="J16" s="2"/>
      <c r="K16" s="6"/>
      <c r="L16" s="7"/>
      <c r="M16" s="7"/>
      <c r="N16" s="7"/>
      <c r="O16" s="7"/>
      <c r="P16" s="7"/>
      <c r="Q16" s="7"/>
      <c r="R16" s="7"/>
      <c r="S16" s="6"/>
      <c r="T16" s="12"/>
      <c r="U16" s="6"/>
      <c r="V16" s="7"/>
      <c r="W16" s="7"/>
      <c r="X16" s="7"/>
      <c r="Y16" s="7"/>
      <c r="Z16" s="6"/>
      <c r="AA16" s="7"/>
      <c r="AB16" s="7"/>
      <c r="AC16" s="7"/>
      <c r="AD16" s="7"/>
      <c r="AE16" s="7"/>
      <c r="AF16" s="6"/>
      <c r="AG16" s="12"/>
    </row>
    <row r="17" spans="2:33" ht="18" x14ac:dyDescent="0.35">
      <c r="B17" s="12"/>
      <c r="C17" s="6"/>
      <c r="D17" s="2"/>
      <c r="E17" s="1" t="s">
        <v>8</v>
      </c>
      <c r="F17" s="5">
        <v>0.8</v>
      </c>
      <c r="G17" s="2"/>
      <c r="H17" s="1" t="s">
        <v>2</v>
      </c>
      <c r="I17" s="4">
        <v>195000</v>
      </c>
      <c r="J17" s="2"/>
      <c r="K17" s="6"/>
      <c r="L17" s="7"/>
      <c r="M17" s="1" t="s">
        <v>12</v>
      </c>
      <c r="N17" s="4">
        <v>320000</v>
      </c>
      <c r="O17" s="7"/>
      <c r="P17" s="1" t="s">
        <v>26</v>
      </c>
      <c r="Q17" s="4">
        <v>1840</v>
      </c>
      <c r="R17" s="7"/>
      <c r="S17" s="6"/>
      <c r="T17" s="12"/>
      <c r="U17" s="6"/>
      <c r="V17" s="7"/>
      <c r="W17" s="1" t="s">
        <v>29</v>
      </c>
      <c r="X17" s="14">
        <v>500</v>
      </c>
      <c r="Y17" s="7"/>
      <c r="Z17" s="6"/>
      <c r="AA17" s="7"/>
      <c r="AB17" s="7"/>
      <c r="AC17" s="7"/>
      <c r="AD17" s="7"/>
      <c r="AE17" s="7"/>
      <c r="AF17" s="6"/>
      <c r="AG17" s="12"/>
    </row>
    <row r="18" spans="2:33" x14ac:dyDescent="0.25">
      <c r="B18" s="12"/>
      <c r="C18" s="6"/>
      <c r="D18" s="2"/>
      <c r="E18" s="2"/>
      <c r="F18" s="3"/>
      <c r="G18" s="2"/>
      <c r="H18" s="2"/>
      <c r="I18" s="3"/>
      <c r="J18" s="2"/>
      <c r="K18" s="6"/>
      <c r="L18" s="7"/>
      <c r="M18" s="7"/>
      <c r="N18" s="7"/>
      <c r="O18" s="7"/>
      <c r="P18" s="7"/>
      <c r="Q18" s="7"/>
      <c r="R18" s="7"/>
      <c r="S18" s="6"/>
      <c r="T18" s="12"/>
      <c r="U18" s="6"/>
      <c r="V18" s="7"/>
      <c r="W18" s="7"/>
      <c r="X18" s="7"/>
      <c r="Y18" s="7"/>
      <c r="Z18" s="6"/>
      <c r="AA18" s="7"/>
      <c r="AB18" s="7"/>
      <c r="AC18" s="7"/>
      <c r="AD18" s="7"/>
      <c r="AE18" s="7"/>
      <c r="AF18" s="6"/>
      <c r="AG18" s="12"/>
    </row>
    <row r="19" spans="2:33" ht="18" x14ac:dyDescent="0.35">
      <c r="B19" s="12"/>
      <c r="C19" s="6"/>
      <c r="D19" s="2"/>
      <c r="E19" s="1" t="s">
        <v>9</v>
      </c>
      <c r="F19" s="5">
        <v>60</v>
      </c>
      <c r="G19" s="2"/>
      <c r="H19" s="38" t="s">
        <v>25</v>
      </c>
      <c r="I19" s="39"/>
      <c r="J19" s="2"/>
      <c r="K19" s="6"/>
      <c r="L19" s="6"/>
      <c r="M19" s="6"/>
      <c r="N19" s="6"/>
      <c r="O19" s="6"/>
      <c r="P19" s="6"/>
      <c r="Q19" s="6"/>
      <c r="R19" s="6"/>
      <c r="S19" s="6"/>
      <c r="T19" s="12"/>
      <c r="U19" s="6"/>
      <c r="V19" s="7"/>
      <c r="W19" s="1" t="s">
        <v>30</v>
      </c>
      <c r="X19" s="14">
        <v>15</v>
      </c>
      <c r="Y19" s="7"/>
      <c r="Z19" s="6"/>
      <c r="AA19" s="7"/>
      <c r="AB19" s="7"/>
      <c r="AC19" s="7"/>
      <c r="AD19" s="7"/>
      <c r="AE19" s="7"/>
      <c r="AF19" s="6"/>
      <c r="AG19" s="12"/>
    </row>
    <row r="20" spans="2:33" x14ac:dyDescent="0.25">
      <c r="B20" s="12"/>
      <c r="C20" s="6"/>
      <c r="D20" s="2"/>
      <c r="E20" s="2"/>
      <c r="F20" s="3"/>
      <c r="G20" s="2"/>
      <c r="H20" s="40"/>
      <c r="I20" s="41"/>
      <c r="J20" s="2"/>
      <c r="K20" s="6"/>
      <c r="L20" s="7"/>
      <c r="M20" s="7"/>
      <c r="N20" s="7"/>
      <c r="O20" s="7"/>
      <c r="P20" s="7"/>
      <c r="Q20" s="7"/>
      <c r="R20" s="7"/>
      <c r="S20" s="6"/>
      <c r="T20" s="12"/>
      <c r="U20" s="6"/>
      <c r="V20" s="7"/>
      <c r="W20" s="7"/>
      <c r="X20" s="7"/>
      <c r="Y20" s="7"/>
      <c r="Z20" s="6"/>
      <c r="AA20" s="7"/>
      <c r="AB20" s="7"/>
      <c r="AC20" s="7"/>
      <c r="AD20" s="7"/>
      <c r="AE20" s="7"/>
      <c r="AF20" s="6"/>
      <c r="AG20" s="12"/>
    </row>
    <row r="21" spans="2:33" x14ac:dyDescent="0.25">
      <c r="B21" s="12"/>
      <c r="C21" s="6"/>
      <c r="D21" s="2"/>
      <c r="E21" s="1" t="s">
        <v>1</v>
      </c>
      <c r="F21" s="5">
        <v>0.8</v>
      </c>
      <c r="G21" s="2"/>
      <c r="H21" s="42"/>
      <c r="I21" s="43"/>
      <c r="J21" s="2"/>
      <c r="K21" s="6"/>
      <c r="L21" s="7"/>
      <c r="M21" s="13" t="s">
        <v>13</v>
      </c>
      <c r="N21" s="13"/>
      <c r="O21" s="7"/>
      <c r="P21" s="7"/>
      <c r="Q21" s="7"/>
      <c r="R21" s="7"/>
      <c r="S21" s="6"/>
      <c r="T21" s="12"/>
      <c r="U21" s="6"/>
      <c r="V21" s="7"/>
      <c r="W21" s="1" t="s">
        <v>31</v>
      </c>
      <c r="X21" s="14">
        <v>36</v>
      </c>
      <c r="Y21" s="7"/>
      <c r="Z21" s="6"/>
      <c r="AA21" s="7"/>
      <c r="AB21" s="7"/>
      <c r="AC21" s="7"/>
      <c r="AD21" s="7"/>
      <c r="AE21" s="7"/>
      <c r="AF21" s="6"/>
      <c r="AG21" s="12"/>
    </row>
    <row r="22" spans="2:33" x14ac:dyDescent="0.25">
      <c r="B22" s="12"/>
      <c r="C22" s="6"/>
      <c r="D22" s="2"/>
      <c r="E22" s="2"/>
      <c r="F22" s="2"/>
      <c r="G22" s="2"/>
      <c r="H22" s="2"/>
      <c r="I22" s="2"/>
      <c r="J22" s="2"/>
      <c r="K22" s="6"/>
      <c r="L22" s="7"/>
      <c r="M22" s="2"/>
      <c r="N22" s="2"/>
      <c r="O22" s="7"/>
      <c r="P22" s="7"/>
      <c r="Q22" s="7"/>
      <c r="R22" s="7"/>
      <c r="S22" s="6"/>
      <c r="T22" s="12"/>
      <c r="U22" s="6"/>
      <c r="V22" s="7"/>
      <c r="W22" s="7"/>
      <c r="X22" s="7"/>
      <c r="Y22" s="7"/>
      <c r="Z22" s="6"/>
      <c r="AA22" s="7"/>
      <c r="AB22" s="7"/>
      <c r="AC22" s="7"/>
      <c r="AD22" s="7"/>
      <c r="AE22" s="7"/>
      <c r="AF22" s="6"/>
      <c r="AG22" s="12"/>
    </row>
    <row r="23" spans="2:33" ht="18" x14ac:dyDescent="0.35">
      <c r="B23" s="12"/>
      <c r="C23" s="6"/>
      <c r="D23" s="7"/>
      <c r="E23" s="7"/>
      <c r="F23" s="7"/>
      <c r="G23" s="7"/>
      <c r="H23" s="7"/>
      <c r="I23" s="7"/>
      <c r="J23" s="7"/>
      <c r="K23" s="6"/>
      <c r="L23" s="7"/>
      <c r="M23" s="1" t="s">
        <v>22</v>
      </c>
      <c r="N23" s="4">
        <v>220</v>
      </c>
      <c r="O23" s="7"/>
      <c r="P23" s="1" t="s">
        <v>21</v>
      </c>
      <c r="Q23" s="4">
        <v>60</v>
      </c>
      <c r="R23" s="7"/>
      <c r="S23" s="6"/>
      <c r="T23" s="12"/>
      <c r="U23" s="6"/>
      <c r="V23" s="6"/>
      <c r="W23" s="6"/>
      <c r="X23" s="6"/>
      <c r="Y23" s="6"/>
      <c r="Z23" s="6"/>
      <c r="AA23" s="7"/>
      <c r="AB23" s="7"/>
      <c r="AC23" s="7"/>
      <c r="AD23" s="7"/>
      <c r="AE23" s="7"/>
      <c r="AF23" s="6"/>
      <c r="AG23" s="12"/>
    </row>
    <row r="24" spans="2:33" x14ac:dyDescent="0.25">
      <c r="B24" s="12"/>
      <c r="C24" s="6"/>
      <c r="D24" s="7"/>
      <c r="E24" s="7"/>
      <c r="F24" s="7"/>
      <c r="G24" s="7"/>
      <c r="H24" s="7"/>
      <c r="I24" s="7"/>
      <c r="J24" s="7"/>
      <c r="K24" s="6"/>
      <c r="L24" s="7"/>
      <c r="M24" s="7"/>
      <c r="N24" s="7"/>
      <c r="O24" s="7"/>
      <c r="P24" s="7"/>
      <c r="Q24" s="7"/>
      <c r="R24" s="7"/>
      <c r="S24" s="6"/>
      <c r="T24" s="12"/>
      <c r="U24" s="6"/>
      <c r="V24" s="7"/>
      <c r="W24" s="7"/>
      <c r="X24" s="7"/>
      <c r="Y24" s="7"/>
      <c r="Z24" s="6"/>
      <c r="AA24" s="7"/>
      <c r="AB24" s="7"/>
      <c r="AC24" s="7"/>
      <c r="AD24" s="7"/>
      <c r="AE24" s="7"/>
      <c r="AF24" s="6"/>
      <c r="AG24" s="12"/>
    </row>
    <row r="25" spans="2:33" ht="18" x14ac:dyDescent="0.35">
      <c r="B25" s="12"/>
      <c r="C25" s="6"/>
      <c r="D25" s="7"/>
      <c r="E25" s="7"/>
      <c r="F25" s="7"/>
      <c r="G25" s="7"/>
      <c r="H25" s="7"/>
      <c r="I25" s="7"/>
      <c r="J25" s="7"/>
      <c r="K25" s="6"/>
      <c r="L25" s="7"/>
      <c r="M25" s="1" t="s">
        <v>37</v>
      </c>
      <c r="N25" s="4">
        <v>250000</v>
      </c>
      <c r="O25" s="7"/>
      <c r="P25" s="1" t="s">
        <v>38</v>
      </c>
      <c r="Q25" s="8">
        <v>200000</v>
      </c>
      <c r="R25" s="7"/>
      <c r="S25" s="6"/>
      <c r="T25" s="12"/>
      <c r="U25" s="6"/>
      <c r="V25" s="7"/>
      <c r="W25" s="10" t="s">
        <v>32</v>
      </c>
      <c r="X25" s="7"/>
      <c r="Y25" s="7"/>
      <c r="Z25" s="6"/>
      <c r="AA25" s="7"/>
      <c r="AB25" s="7"/>
      <c r="AC25" s="7"/>
      <c r="AD25" s="7"/>
      <c r="AE25" s="7"/>
      <c r="AF25" s="6"/>
      <c r="AG25" s="12"/>
    </row>
    <row r="26" spans="2:33" x14ac:dyDescent="0.25">
      <c r="B26" s="12"/>
      <c r="C26" s="6"/>
      <c r="D26" s="7"/>
      <c r="E26" s="7"/>
      <c r="F26" s="7"/>
      <c r="G26" s="7"/>
      <c r="H26" s="7"/>
      <c r="I26" s="7"/>
      <c r="J26" s="7"/>
      <c r="K26" s="6"/>
      <c r="L26" s="7"/>
      <c r="M26" s="7"/>
      <c r="N26" s="7"/>
      <c r="O26" s="7"/>
      <c r="P26" s="7"/>
      <c r="Q26" s="7"/>
      <c r="R26" s="7"/>
      <c r="S26" s="6"/>
      <c r="T26" s="12"/>
      <c r="U26" s="6"/>
      <c r="V26" s="7"/>
      <c r="W26" s="7"/>
      <c r="X26" s="7"/>
      <c r="Y26" s="7"/>
      <c r="Z26" s="6"/>
      <c r="AA26" s="7"/>
      <c r="AB26" s="7"/>
      <c r="AC26" s="7"/>
      <c r="AD26" s="7"/>
      <c r="AE26" s="7"/>
      <c r="AF26" s="6"/>
      <c r="AG26" s="12"/>
    </row>
    <row r="27" spans="2:33" ht="18" x14ac:dyDescent="0.35">
      <c r="B27" s="12"/>
      <c r="C27" s="6"/>
      <c r="D27" s="7"/>
      <c r="E27" s="7"/>
      <c r="F27" s="7"/>
      <c r="G27" s="7"/>
      <c r="H27" s="7"/>
      <c r="I27" s="7"/>
      <c r="J27" s="7"/>
      <c r="K27" s="6"/>
      <c r="L27" s="7"/>
      <c r="M27" s="7"/>
      <c r="N27" s="7"/>
      <c r="O27" s="7"/>
      <c r="P27" s="7"/>
      <c r="Q27" s="7"/>
      <c r="R27" s="7"/>
      <c r="S27" s="6"/>
      <c r="T27" s="12"/>
      <c r="U27" s="6"/>
      <c r="V27" s="7"/>
      <c r="W27" s="1" t="s">
        <v>33</v>
      </c>
      <c r="X27" s="8">
        <v>400000</v>
      </c>
      <c r="Y27" s="7"/>
      <c r="Z27" s="6"/>
      <c r="AA27" s="7"/>
      <c r="AB27" s="7"/>
      <c r="AC27" s="7"/>
      <c r="AD27" s="7"/>
      <c r="AE27" s="7"/>
      <c r="AF27" s="6"/>
      <c r="AG27" s="12"/>
    </row>
    <row r="28" spans="2:33" x14ac:dyDescent="0.25">
      <c r="B28" s="12"/>
      <c r="C28" s="6"/>
      <c r="D28" s="7"/>
      <c r="E28" s="7"/>
      <c r="F28" s="7"/>
      <c r="G28" s="7"/>
      <c r="H28" s="7"/>
      <c r="I28" s="7"/>
      <c r="J28" s="7"/>
      <c r="K28" s="6"/>
      <c r="L28" s="7"/>
      <c r="M28" s="7"/>
      <c r="N28" s="7"/>
      <c r="O28" s="7"/>
      <c r="P28" s="7"/>
      <c r="Q28" s="7"/>
      <c r="R28" s="7"/>
      <c r="S28" s="6"/>
      <c r="T28" s="12"/>
      <c r="U28" s="6"/>
      <c r="V28" s="7"/>
      <c r="W28" s="7"/>
      <c r="X28" s="7"/>
      <c r="Y28" s="7"/>
      <c r="Z28" s="6"/>
      <c r="AA28" s="7"/>
      <c r="AB28" s="7"/>
      <c r="AC28" s="7"/>
      <c r="AD28" s="7"/>
      <c r="AE28" s="7"/>
      <c r="AF28" s="6"/>
      <c r="AG28" s="12"/>
    </row>
    <row r="29" spans="2:33" ht="18" x14ac:dyDescent="0.35">
      <c r="B29" s="12"/>
      <c r="C29" s="6"/>
      <c r="D29" s="7"/>
      <c r="E29" s="7"/>
      <c r="F29" s="7"/>
      <c r="G29" s="7"/>
      <c r="H29" s="7"/>
      <c r="I29" s="7"/>
      <c r="J29" s="7"/>
      <c r="K29" s="6"/>
      <c r="L29" s="7"/>
      <c r="M29" s="1" t="s">
        <v>40</v>
      </c>
      <c r="N29" s="4">
        <v>150000</v>
      </c>
      <c r="O29" s="7"/>
      <c r="P29" s="1" t="s">
        <v>39</v>
      </c>
      <c r="Q29" s="8">
        <v>300000</v>
      </c>
      <c r="R29" s="7"/>
      <c r="S29" s="6"/>
      <c r="T29" s="12"/>
      <c r="U29" s="6"/>
      <c r="V29" s="7"/>
      <c r="W29" s="1" t="s">
        <v>33</v>
      </c>
      <c r="X29" s="8">
        <v>400000</v>
      </c>
      <c r="Y29" s="7"/>
      <c r="Z29" s="6"/>
      <c r="AA29" s="7"/>
      <c r="AB29" s="7"/>
      <c r="AC29" s="7"/>
      <c r="AD29" s="7"/>
      <c r="AE29" s="7"/>
      <c r="AF29" s="6"/>
      <c r="AG29" s="12"/>
    </row>
    <row r="30" spans="2:33" x14ac:dyDescent="0.25">
      <c r="B30" s="12"/>
      <c r="C30" s="6"/>
      <c r="D30" s="7"/>
      <c r="E30" s="7"/>
      <c r="F30" s="7"/>
      <c r="G30" s="7"/>
      <c r="H30" s="7"/>
      <c r="I30" s="7"/>
      <c r="J30" s="7"/>
      <c r="K30" s="6"/>
      <c r="L30" s="7"/>
      <c r="M30" s="7"/>
      <c r="N30" s="7"/>
      <c r="O30" s="7"/>
      <c r="P30" s="7"/>
      <c r="Q30" s="7"/>
      <c r="R30" s="7"/>
      <c r="S30" s="6"/>
      <c r="T30" s="12"/>
      <c r="U30" s="6"/>
      <c r="V30" s="7"/>
      <c r="W30" s="7"/>
      <c r="X30" s="7"/>
      <c r="Y30" s="7"/>
      <c r="Z30" s="6"/>
      <c r="AA30" s="7"/>
      <c r="AB30" s="7"/>
      <c r="AC30" s="7"/>
      <c r="AD30" s="7"/>
      <c r="AE30" s="7"/>
      <c r="AF30" s="6"/>
      <c r="AG30" s="12"/>
    </row>
    <row r="31" spans="2:33" ht="18" x14ac:dyDescent="0.35">
      <c r="B31" s="12"/>
      <c r="C31" s="6"/>
      <c r="D31" s="7"/>
      <c r="E31" s="7"/>
      <c r="F31" s="7"/>
      <c r="G31" s="7"/>
      <c r="H31" s="7"/>
      <c r="I31" s="7"/>
      <c r="J31" s="7"/>
      <c r="K31" s="6"/>
      <c r="L31" s="7"/>
      <c r="M31" s="7"/>
      <c r="N31" s="7"/>
      <c r="O31" s="7"/>
      <c r="P31" s="7"/>
      <c r="Q31" s="7"/>
      <c r="R31" s="7"/>
      <c r="S31" s="6"/>
      <c r="T31" s="12"/>
      <c r="U31" s="6"/>
      <c r="V31" s="7"/>
      <c r="W31" s="1" t="s">
        <v>35</v>
      </c>
      <c r="X31" s="8">
        <v>400000</v>
      </c>
      <c r="Y31" s="7"/>
      <c r="Z31" s="6"/>
      <c r="AA31" s="7"/>
      <c r="AB31" s="7"/>
      <c r="AC31" s="7"/>
      <c r="AD31" s="7"/>
      <c r="AE31" s="7"/>
      <c r="AF31" s="6"/>
      <c r="AG31" s="12"/>
    </row>
    <row r="32" spans="2:33" x14ac:dyDescent="0.25">
      <c r="B32" s="12"/>
      <c r="C32" s="6"/>
      <c r="D32" s="7"/>
      <c r="E32" s="7"/>
      <c r="F32" s="7"/>
      <c r="G32" s="7"/>
      <c r="H32" s="7"/>
      <c r="I32" s="7"/>
      <c r="J32" s="7"/>
      <c r="K32" s="6"/>
      <c r="L32" s="7"/>
      <c r="M32" s="7"/>
      <c r="N32" s="7"/>
      <c r="O32" s="7"/>
      <c r="P32" s="7"/>
      <c r="Q32" s="7"/>
      <c r="R32" s="7"/>
      <c r="S32" s="6"/>
      <c r="T32" s="12"/>
      <c r="U32" s="6"/>
      <c r="V32" s="7"/>
      <c r="W32" s="7"/>
      <c r="X32" s="7"/>
      <c r="Y32" s="7"/>
      <c r="Z32" s="6"/>
      <c r="AA32" s="7"/>
      <c r="AB32" s="7"/>
      <c r="AC32" s="7"/>
      <c r="AD32" s="7"/>
      <c r="AE32" s="7"/>
      <c r="AF32" s="6"/>
      <c r="AG32" s="12"/>
    </row>
    <row r="33" spans="2:33" ht="18" x14ac:dyDescent="0.35">
      <c r="B33" s="12"/>
      <c r="C33" s="6"/>
      <c r="D33" s="7"/>
      <c r="E33" s="1" t="s">
        <v>16</v>
      </c>
      <c r="F33" s="9">
        <v>0.3</v>
      </c>
      <c r="G33" s="7"/>
      <c r="H33" s="7"/>
      <c r="I33" s="7"/>
      <c r="J33" s="7"/>
      <c r="K33" s="6"/>
      <c r="L33" s="7"/>
      <c r="M33" s="1" t="s">
        <v>15</v>
      </c>
      <c r="N33" s="9">
        <v>946.21</v>
      </c>
      <c r="O33" s="7"/>
      <c r="P33" s="1" t="s">
        <v>14</v>
      </c>
      <c r="Q33" s="9">
        <v>0.55000000000000004</v>
      </c>
      <c r="R33" s="7"/>
      <c r="S33" s="6"/>
      <c r="T33" s="12"/>
      <c r="U33" s="6"/>
      <c r="V33" s="7"/>
      <c r="W33" s="1" t="s">
        <v>34</v>
      </c>
      <c r="X33" s="14">
        <v>0.8</v>
      </c>
      <c r="Y33" s="7"/>
      <c r="Z33" s="6"/>
      <c r="AA33" s="7"/>
      <c r="AB33" s="7"/>
      <c r="AC33" s="7"/>
      <c r="AD33" s="7"/>
      <c r="AE33" s="7"/>
      <c r="AF33" s="6"/>
      <c r="AG33" s="12"/>
    </row>
    <row r="34" spans="2:33" x14ac:dyDescent="0.25">
      <c r="B34" s="12"/>
      <c r="C34" s="6"/>
      <c r="D34" s="7"/>
      <c r="E34" s="7"/>
      <c r="F34" s="7"/>
      <c r="G34" s="7"/>
      <c r="H34" s="7"/>
      <c r="I34" s="7"/>
      <c r="J34" s="7"/>
      <c r="K34" s="6"/>
      <c r="L34" s="7"/>
      <c r="M34" s="7"/>
      <c r="N34" s="7"/>
      <c r="O34" s="7"/>
      <c r="P34" s="7"/>
      <c r="Q34" s="7"/>
      <c r="R34" s="7"/>
      <c r="S34" s="6"/>
      <c r="T34" s="12"/>
      <c r="U34" s="6"/>
      <c r="V34" s="7"/>
      <c r="W34" s="7"/>
      <c r="X34" s="7"/>
      <c r="Y34" s="7"/>
      <c r="Z34" s="6"/>
      <c r="AA34" s="7"/>
      <c r="AB34" s="7"/>
      <c r="AC34" s="7"/>
      <c r="AD34" s="7"/>
      <c r="AE34" s="7"/>
      <c r="AF34" s="6"/>
      <c r="AG34" s="12"/>
    </row>
    <row r="35" spans="2:33" x14ac:dyDescent="0.25">
      <c r="B35" s="12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12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12"/>
    </row>
    <row r="36" spans="2:33" x14ac:dyDescent="0.25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</sheetData>
  <mergeCells count="5">
    <mergeCell ref="V6:Y6"/>
    <mergeCell ref="C3:AF3"/>
    <mergeCell ref="AA6:AE6"/>
    <mergeCell ref="H19:I21"/>
    <mergeCell ref="D6:J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8"/>
  <sheetViews>
    <sheetView tabSelected="1" topLeftCell="L1" zoomScale="85" zoomScaleNormal="85" workbookViewId="0">
      <selection activeCell="Q21" sqref="Q21"/>
    </sheetView>
  </sheetViews>
  <sheetFormatPr baseColWidth="10" defaultRowHeight="15" x14ac:dyDescent="0.2"/>
  <cols>
    <col min="1" max="1" width="2.85546875" style="19" customWidth="1"/>
    <col min="2" max="2" width="3" style="19" customWidth="1"/>
    <col min="3" max="8" width="11.42578125" style="19"/>
    <col min="9" max="9" width="12.5703125" style="19" bestFit="1" customWidth="1"/>
    <col min="10" max="10" width="12.85546875" style="19" bestFit="1" customWidth="1"/>
    <col min="11" max="11" width="12.7109375" style="19" bestFit="1" customWidth="1"/>
    <col min="12" max="12" width="15.7109375" style="19" bestFit="1" customWidth="1"/>
    <col min="13" max="13" width="3.28515625" style="19" customWidth="1"/>
    <col min="14" max="14" width="3.5703125" style="19" customWidth="1"/>
    <col min="15" max="15" width="20.140625" style="19" bestFit="1" customWidth="1"/>
    <col min="16" max="16" width="11.42578125" style="19"/>
    <col min="17" max="17" width="13.7109375" style="19" customWidth="1"/>
    <col min="18" max="18" width="6" style="19" bestFit="1" customWidth="1"/>
    <col min="19" max="21" width="11.42578125" style="19"/>
    <col min="22" max="22" width="20.140625" style="19" bestFit="1" customWidth="1"/>
    <col min="23" max="23" width="11.42578125" style="19"/>
    <col min="24" max="24" width="14.85546875" style="19" bestFit="1" customWidth="1"/>
    <col min="25" max="25" width="6" style="19" bestFit="1" customWidth="1"/>
    <col min="26" max="16384" width="11.42578125" style="19"/>
  </cols>
  <sheetData>
    <row r="2" spans="2:27" ht="15.75" x14ac:dyDescent="0.25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8"/>
      <c r="O2" s="58" t="s">
        <v>126</v>
      </c>
      <c r="P2" s="59"/>
      <c r="Q2" s="59"/>
      <c r="R2" s="59"/>
      <c r="S2" s="59"/>
      <c r="T2" s="60"/>
      <c r="V2" s="58" t="s">
        <v>129</v>
      </c>
      <c r="W2" s="59"/>
      <c r="X2" s="59"/>
      <c r="Y2" s="59"/>
      <c r="Z2" s="59"/>
      <c r="AA2" s="60"/>
    </row>
    <row r="3" spans="2:27" ht="15.75" x14ac:dyDescent="0.2">
      <c r="B3" s="20"/>
      <c r="C3" s="46" t="s">
        <v>61</v>
      </c>
      <c r="D3" s="46"/>
      <c r="E3" s="46"/>
      <c r="F3" s="46"/>
      <c r="G3" s="46"/>
      <c r="H3" s="46"/>
      <c r="I3" s="46"/>
      <c r="J3" s="46"/>
      <c r="K3" s="46"/>
      <c r="L3" s="46"/>
      <c r="M3" s="21"/>
      <c r="O3" s="47" t="s">
        <v>71</v>
      </c>
      <c r="P3" s="48"/>
      <c r="Q3" s="48"/>
      <c r="R3" s="22"/>
      <c r="S3" s="22"/>
      <c r="T3" s="21"/>
      <c r="V3" s="47" t="s">
        <v>71</v>
      </c>
      <c r="W3" s="48"/>
      <c r="X3" s="48"/>
      <c r="Y3" s="22"/>
      <c r="Z3" s="22"/>
      <c r="AA3" s="21"/>
    </row>
    <row r="4" spans="2:27" x14ac:dyDescent="0.2"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1"/>
      <c r="O4" s="20"/>
      <c r="P4" s="22" t="s">
        <v>72</v>
      </c>
      <c r="Q4" s="22">
        <f>C8*L12/120</f>
        <v>61</v>
      </c>
      <c r="R4" s="22" t="s">
        <v>87</v>
      </c>
      <c r="S4" s="22"/>
      <c r="T4" s="21"/>
      <c r="V4" s="20"/>
      <c r="W4" s="22" t="s">
        <v>72</v>
      </c>
      <c r="X4" s="22">
        <f>C8*L12/120</f>
        <v>61</v>
      </c>
      <c r="Y4" s="22" t="s">
        <v>87</v>
      </c>
      <c r="Z4" s="22"/>
      <c r="AA4" s="21"/>
    </row>
    <row r="5" spans="2:27" x14ac:dyDescent="0.2">
      <c r="B5" s="20"/>
      <c r="C5" s="45" t="s">
        <v>54</v>
      </c>
      <c r="D5" s="45"/>
      <c r="E5" s="45"/>
      <c r="F5" s="45"/>
      <c r="G5" s="45"/>
      <c r="H5" s="45"/>
      <c r="I5" s="45"/>
      <c r="J5" s="45"/>
      <c r="K5" s="45"/>
      <c r="L5" s="45"/>
      <c r="M5" s="21"/>
      <c r="O5" s="20" t="s">
        <v>74</v>
      </c>
      <c r="P5" s="22" t="s">
        <v>75</v>
      </c>
      <c r="Q5" s="22">
        <v>1.52</v>
      </c>
      <c r="R5" s="22" t="s">
        <v>84</v>
      </c>
      <c r="S5" s="22"/>
      <c r="T5" s="21"/>
      <c r="V5" s="20" t="s">
        <v>74</v>
      </c>
      <c r="W5" s="22" t="s">
        <v>75</v>
      </c>
      <c r="X5" s="22">
        <v>1.52</v>
      </c>
      <c r="Y5" s="22" t="s">
        <v>84</v>
      </c>
      <c r="Z5" s="22"/>
      <c r="AA5" s="21"/>
    </row>
    <row r="6" spans="2:27" ht="19.5" x14ac:dyDescent="0.2">
      <c r="B6" s="20"/>
      <c r="C6" s="54" t="s">
        <v>45</v>
      </c>
      <c r="D6" s="23" t="s">
        <v>46</v>
      </c>
      <c r="E6" s="54" t="s">
        <v>59</v>
      </c>
      <c r="F6" s="56" t="s">
        <v>48</v>
      </c>
      <c r="G6" s="23" t="s">
        <v>49</v>
      </c>
      <c r="H6" s="23" t="s">
        <v>51</v>
      </c>
      <c r="I6" s="23" t="s">
        <v>80</v>
      </c>
      <c r="J6" s="23" t="s">
        <v>0</v>
      </c>
      <c r="K6" s="23" t="s">
        <v>76</v>
      </c>
      <c r="L6" s="54" t="s">
        <v>2</v>
      </c>
      <c r="M6" s="21"/>
      <c r="O6" s="20"/>
      <c r="P6" s="22" t="s">
        <v>73</v>
      </c>
      <c r="Q6" s="22">
        <f>IF(J8="Delta",D32,D32/SQRT(3))</f>
        <v>259.21193103448275</v>
      </c>
      <c r="R6" s="22" t="s">
        <v>86</v>
      </c>
      <c r="S6" s="22"/>
      <c r="T6" s="21"/>
      <c r="V6" s="20"/>
      <c r="W6" s="22" t="s">
        <v>73</v>
      </c>
      <c r="X6" s="22">
        <f>IF(J8="Delta",I32,I32/SQRT(3))</f>
        <v>259.21193103448275</v>
      </c>
      <c r="Y6" s="22" t="s">
        <v>86</v>
      </c>
      <c r="Z6" s="22"/>
      <c r="AA6" s="21"/>
    </row>
    <row r="7" spans="2:27" x14ac:dyDescent="0.2">
      <c r="B7" s="20"/>
      <c r="C7" s="55"/>
      <c r="D7" s="24" t="s">
        <v>47</v>
      </c>
      <c r="E7" s="55"/>
      <c r="F7" s="57"/>
      <c r="G7" s="24" t="s">
        <v>50</v>
      </c>
      <c r="H7" s="24" t="s">
        <v>50</v>
      </c>
      <c r="I7" s="24" t="s">
        <v>81</v>
      </c>
      <c r="J7" s="24"/>
      <c r="K7" s="24" t="s">
        <v>77</v>
      </c>
      <c r="L7" s="55"/>
      <c r="M7" s="21"/>
      <c r="O7" s="20"/>
      <c r="P7" s="22" t="s">
        <v>79</v>
      </c>
      <c r="Q7" s="22">
        <f>IF(J8="Delta",D8,D8/SQRT(3))</f>
        <v>220</v>
      </c>
      <c r="R7" s="22" t="s">
        <v>86</v>
      </c>
      <c r="S7" s="22"/>
      <c r="T7" s="21"/>
      <c r="V7" s="20"/>
      <c r="W7" s="22" t="s">
        <v>84</v>
      </c>
      <c r="X7" s="22">
        <v>1</v>
      </c>
      <c r="Y7" s="22"/>
      <c r="Z7" s="22"/>
      <c r="AA7" s="21"/>
    </row>
    <row r="8" spans="2:27" x14ac:dyDescent="0.2">
      <c r="B8" s="20"/>
      <c r="C8" s="25">
        <v>4</v>
      </c>
      <c r="D8" s="25">
        <v>220</v>
      </c>
      <c r="E8" s="26">
        <v>400000</v>
      </c>
      <c r="F8" s="25" t="s">
        <v>52</v>
      </c>
      <c r="G8" s="25">
        <v>1.2E-2</v>
      </c>
      <c r="H8" s="25">
        <v>0.13300000000000001</v>
      </c>
      <c r="I8" s="25">
        <v>0.8</v>
      </c>
      <c r="J8" s="25" t="s">
        <v>3</v>
      </c>
      <c r="K8" s="25">
        <v>60</v>
      </c>
      <c r="L8" s="26">
        <v>195000</v>
      </c>
      <c r="M8" s="21"/>
      <c r="O8" s="20"/>
      <c r="P8" s="22"/>
      <c r="Q8" s="22"/>
      <c r="R8" s="22"/>
      <c r="S8" s="22"/>
      <c r="T8" s="21"/>
      <c r="V8" s="20"/>
      <c r="W8" s="22" t="s">
        <v>130</v>
      </c>
      <c r="X8" s="22">
        <f>2*G8*(K16/3)+2*H8*(L16/3)-X6^2</f>
        <v>-51890.825190625445</v>
      </c>
      <c r="Y8" s="22"/>
      <c r="Z8" s="22"/>
      <c r="AA8" s="21"/>
    </row>
    <row r="9" spans="2:27" ht="15.75" x14ac:dyDescent="0.2">
      <c r="B9" s="20"/>
      <c r="C9" s="22"/>
      <c r="D9" s="22"/>
      <c r="E9" s="22"/>
      <c r="F9" s="22"/>
      <c r="G9" s="22"/>
      <c r="H9" s="22"/>
      <c r="I9" s="22"/>
      <c r="J9" s="22"/>
      <c r="K9" s="22"/>
      <c r="L9" s="22"/>
      <c r="M9" s="21"/>
      <c r="O9" s="47" t="s">
        <v>68</v>
      </c>
      <c r="P9" s="48"/>
      <c r="Q9" s="48"/>
      <c r="R9" s="22"/>
      <c r="S9" s="22"/>
      <c r="T9" s="21"/>
      <c r="V9" s="20"/>
      <c r="W9" s="22" t="s">
        <v>131</v>
      </c>
      <c r="X9" s="22">
        <f>(G8^2+H8^2)*(K16^2+L16^2)/9</f>
        <v>168422777.77777779</v>
      </c>
      <c r="Y9" s="22"/>
      <c r="Z9" s="22"/>
      <c r="AA9" s="21"/>
    </row>
    <row r="10" spans="2:27" x14ac:dyDescent="0.2">
      <c r="B10" s="20"/>
      <c r="C10" s="45" t="s">
        <v>60</v>
      </c>
      <c r="D10" s="45"/>
      <c r="E10" s="22"/>
      <c r="F10" s="22"/>
      <c r="G10" s="22"/>
      <c r="K10" s="49" t="s">
        <v>24</v>
      </c>
      <c r="L10" s="50"/>
      <c r="M10" s="21"/>
      <c r="O10" s="20" t="s">
        <v>62</v>
      </c>
      <c r="P10" s="22" t="s">
        <v>66</v>
      </c>
      <c r="Q10" s="27">
        <f>SQRT(K16^2+L16^2)</f>
        <v>291547.59474226501</v>
      </c>
      <c r="R10" s="22" t="s">
        <v>85</v>
      </c>
      <c r="S10" s="22"/>
      <c r="T10" s="21"/>
      <c r="V10" s="20"/>
      <c r="W10" s="22" t="s">
        <v>79</v>
      </c>
      <c r="X10" s="22">
        <f>SQRT((-X8+SQRT(X8^2-4*X7*X9))/(2*X7))</f>
        <v>220.02697302174033</v>
      </c>
      <c r="Y10" s="22" t="s">
        <v>86</v>
      </c>
      <c r="Z10" s="22"/>
      <c r="AA10" s="21"/>
    </row>
    <row r="11" spans="2:27" x14ac:dyDescent="0.2">
      <c r="B11" s="20"/>
      <c r="C11" s="28" t="s">
        <v>16</v>
      </c>
      <c r="D11" s="28" t="s">
        <v>53</v>
      </c>
      <c r="E11" s="22"/>
      <c r="F11" s="22"/>
      <c r="G11" s="22"/>
      <c r="K11" s="28" t="s">
        <v>56</v>
      </c>
      <c r="L11" s="28" t="s">
        <v>55</v>
      </c>
      <c r="M11" s="21"/>
      <c r="O11" s="71" t="s">
        <v>63</v>
      </c>
      <c r="P11" s="72" t="s">
        <v>67</v>
      </c>
      <c r="Q11" s="72">
        <f>Q10/(3*Q7)</f>
        <v>441.73877991252272</v>
      </c>
      <c r="R11" s="72" t="s">
        <v>84</v>
      </c>
      <c r="S11" s="72" t="s">
        <v>88</v>
      </c>
      <c r="T11" s="73" t="s">
        <v>89</v>
      </c>
      <c r="V11" s="20"/>
      <c r="W11" s="22" t="s">
        <v>132</v>
      </c>
      <c r="X11" s="22">
        <f>IF(J8="Delta",X10,SQRT(3)*X10)</f>
        <v>220.02697302174033</v>
      </c>
      <c r="Y11" s="22" t="s">
        <v>86</v>
      </c>
      <c r="Z11" s="22"/>
      <c r="AA11" s="21"/>
    </row>
    <row r="12" spans="2:27" x14ac:dyDescent="0.2">
      <c r="B12" s="20"/>
      <c r="C12" s="28">
        <v>0</v>
      </c>
      <c r="D12" s="28">
        <v>0</v>
      </c>
      <c r="E12" s="22"/>
      <c r="F12" s="22"/>
      <c r="G12" s="22"/>
      <c r="K12" s="26">
        <v>320000</v>
      </c>
      <c r="L12" s="26">
        <v>1830</v>
      </c>
      <c r="M12" s="21"/>
      <c r="O12" s="20" t="s">
        <v>64</v>
      </c>
      <c r="P12" s="22" t="s">
        <v>14</v>
      </c>
      <c r="Q12" s="22">
        <f>K16/Q10</f>
        <v>0.85749292571254421</v>
      </c>
      <c r="R12" s="22"/>
      <c r="S12" s="22" t="s">
        <v>88</v>
      </c>
      <c r="T12" s="21" t="s">
        <v>90</v>
      </c>
      <c r="V12" s="20"/>
      <c r="W12" s="22"/>
      <c r="X12" s="22"/>
      <c r="Y12" s="22"/>
      <c r="Z12" s="22"/>
      <c r="AA12" s="21"/>
    </row>
    <row r="13" spans="2:27" ht="15.75" x14ac:dyDescent="0.2">
      <c r="B13" s="20"/>
      <c r="C13" s="28">
        <v>0.25</v>
      </c>
      <c r="D13" s="28">
        <v>60.495689655172406</v>
      </c>
      <c r="E13" s="22"/>
      <c r="F13" s="22"/>
      <c r="G13" s="22"/>
      <c r="H13" s="22"/>
      <c r="I13" s="22"/>
      <c r="J13" s="22"/>
      <c r="K13" s="22"/>
      <c r="L13" s="22"/>
      <c r="M13" s="21"/>
      <c r="O13" s="20"/>
      <c r="P13" s="22"/>
      <c r="Q13" s="22"/>
      <c r="R13" s="22"/>
      <c r="S13" s="22"/>
      <c r="T13" s="21"/>
      <c r="V13" s="47" t="s">
        <v>68</v>
      </c>
      <c r="W13" s="48"/>
      <c r="X13" s="48"/>
      <c r="Y13" s="22"/>
      <c r="Z13" s="22"/>
      <c r="AA13" s="21"/>
    </row>
    <row r="14" spans="2:27" ht="15.75" x14ac:dyDescent="0.2">
      <c r="B14" s="20"/>
      <c r="C14" s="28">
        <v>0.5</v>
      </c>
      <c r="D14" s="28">
        <v>120.99137931034481</v>
      </c>
      <c r="E14" s="22"/>
      <c r="G14" s="22"/>
      <c r="H14" s="22"/>
      <c r="I14" s="51" t="s">
        <v>13</v>
      </c>
      <c r="J14" s="52"/>
      <c r="K14" s="52"/>
      <c r="L14" s="53"/>
      <c r="M14" s="21"/>
      <c r="O14" s="47" t="s">
        <v>69</v>
      </c>
      <c r="P14" s="48"/>
      <c r="Q14" s="48"/>
      <c r="R14" s="22"/>
      <c r="S14" s="22"/>
      <c r="T14" s="21"/>
      <c r="V14" s="20" t="s">
        <v>62</v>
      </c>
      <c r="W14" s="22" t="s">
        <v>66</v>
      </c>
      <c r="X14" s="27">
        <f>SQRT(K16^2+L16^2)</f>
        <v>291547.59474226501</v>
      </c>
      <c r="Y14" s="22" t="s">
        <v>85</v>
      </c>
      <c r="Z14" s="22"/>
      <c r="AA14" s="21"/>
    </row>
    <row r="15" spans="2:27" x14ac:dyDescent="0.2">
      <c r="B15" s="20"/>
      <c r="C15" s="28">
        <v>0.75</v>
      </c>
      <c r="D15" s="28">
        <v>179.06724137931036</v>
      </c>
      <c r="E15" s="22"/>
      <c r="I15" s="28" t="s">
        <v>57</v>
      </c>
      <c r="J15" s="28" t="s">
        <v>58</v>
      </c>
      <c r="K15" s="28" t="s">
        <v>127</v>
      </c>
      <c r="L15" s="28" t="s">
        <v>128</v>
      </c>
      <c r="M15" s="21"/>
      <c r="O15" s="20" t="s">
        <v>62</v>
      </c>
      <c r="P15" s="22" t="s">
        <v>70</v>
      </c>
      <c r="Q15" s="27">
        <f>L8*(Q4-K8)</f>
        <v>195000</v>
      </c>
      <c r="R15" s="22" t="s">
        <v>82</v>
      </c>
      <c r="S15" s="22" t="s">
        <v>88</v>
      </c>
      <c r="T15" s="21" t="s">
        <v>91</v>
      </c>
      <c r="V15" s="71" t="s">
        <v>63</v>
      </c>
      <c r="W15" s="72" t="s">
        <v>67</v>
      </c>
      <c r="X15" s="72">
        <f>X14/(SQRT(3)*X10)</f>
        <v>765.02021545059768</v>
      </c>
      <c r="Y15" s="72" t="s">
        <v>84</v>
      </c>
      <c r="Z15" s="72" t="s">
        <v>88</v>
      </c>
      <c r="AA15" s="73" t="s">
        <v>89</v>
      </c>
    </row>
    <row r="16" spans="2:27" ht="15.75" x14ac:dyDescent="0.25">
      <c r="B16" s="20"/>
      <c r="C16" s="28">
        <v>1</v>
      </c>
      <c r="D16" s="28">
        <v>214.8806896551724</v>
      </c>
      <c r="E16" s="22"/>
      <c r="I16" s="28">
        <v>220</v>
      </c>
      <c r="J16" s="28">
        <v>60</v>
      </c>
      <c r="K16" s="26">
        <v>250000</v>
      </c>
      <c r="L16" s="26">
        <v>150000</v>
      </c>
      <c r="M16" s="21"/>
      <c r="O16" s="20" t="s">
        <v>63</v>
      </c>
      <c r="P16" s="29" t="s">
        <v>78</v>
      </c>
      <c r="Q16" s="22">
        <f>(180/PI())*(-ACOS(SQRT(G8^2+H8^2)*Q15/(3*Q6*Q7)+Q7*COS(-ATAN(H8/G8))/Q6)+ATAN(H8/G8))</f>
        <v>8.0519364541616358</v>
      </c>
      <c r="R16" s="22" t="s">
        <v>83</v>
      </c>
      <c r="S16" s="22" t="s">
        <v>88</v>
      </c>
      <c r="T16" s="21" t="s">
        <v>92</v>
      </c>
      <c r="V16" s="20" t="s">
        <v>64</v>
      </c>
      <c r="W16" s="22" t="s">
        <v>14</v>
      </c>
      <c r="X16" s="22">
        <f>K16/X14</f>
        <v>0.85749292571254421</v>
      </c>
      <c r="Y16" s="22"/>
      <c r="Z16" s="22" t="s">
        <v>88</v>
      </c>
      <c r="AA16" s="21" t="s">
        <v>90</v>
      </c>
    </row>
    <row r="17" spans="2:27" x14ac:dyDescent="0.2">
      <c r="B17" s="20"/>
      <c r="C17" s="28">
        <v>1.25</v>
      </c>
      <c r="D17" s="28">
        <v>241.98275862068962</v>
      </c>
      <c r="E17" s="22"/>
      <c r="F17" s="22"/>
      <c r="G17" s="22"/>
      <c r="H17" s="22"/>
      <c r="I17" s="22"/>
      <c r="J17" s="22"/>
      <c r="K17" s="22"/>
      <c r="L17" s="22"/>
      <c r="M17" s="21"/>
      <c r="O17" s="20"/>
      <c r="P17" s="22"/>
      <c r="Q17" s="22"/>
      <c r="R17" s="22"/>
      <c r="S17" s="22"/>
      <c r="T17" s="21"/>
      <c r="V17" s="20"/>
      <c r="W17" s="22"/>
      <c r="X17" s="22"/>
      <c r="Y17" s="22"/>
      <c r="Z17" s="22"/>
      <c r="AA17" s="21"/>
    </row>
    <row r="18" spans="2:27" ht="15.75" x14ac:dyDescent="0.2">
      <c r="B18" s="20"/>
      <c r="C18" s="28">
        <v>1.5</v>
      </c>
      <c r="D18" s="28">
        <v>258.43758620689653</v>
      </c>
      <c r="E18" s="22"/>
      <c r="F18" s="22"/>
      <c r="G18" s="22"/>
      <c r="H18" s="22"/>
      <c r="I18" s="22"/>
      <c r="J18" s="22"/>
      <c r="K18" s="22"/>
      <c r="L18" s="22"/>
      <c r="M18" s="21"/>
      <c r="O18" s="47" t="s">
        <v>93</v>
      </c>
      <c r="P18" s="48"/>
      <c r="Q18" s="48"/>
      <c r="R18" s="22"/>
      <c r="S18" s="22"/>
      <c r="T18" s="21"/>
      <c r="V18" s="47" t="s">
        <v>69</v>
      </c>
      <c r="W18" s="48"/>
      <c r="X18" s="48"/>
      <c r="Y18" s="22"/>
      <c r="Z18" s="22"/>
      <c r="AA18" s="21"/>
    </row>
    <row r="19" spans="2:27" x14ac:dyDescent="0.2">
      <c r="B19" s="20"/>
      <c r="C19" s="28">
        <v>1.75</v>
      </c>
      <c r="D19" s="28">
        <v>268.11689655172415</v>
      </c>
      <c r="E19" s="22"/>
      <c r="F19" s="22"/>
      <c r="G19" s="22"/>
      <c r="H19" s="22"/>
      <c r="I19" s="22"/>
      <c r="J19" s="22"/>
      <c r="K19" s="22"/>
      <c r="L19" s="22"/>
      <c r="M19" s="21"/>
      <c r="O19" s="20" t="s">
        <v>62</v>
      </c>
      <c r="P19" s="22" t="s">
        <v>94</v>
      </c>
      <c r="Q19" s="27">
        <f>(-3*Q6*Q7*SIN(Q16*PI()/180-ATAN(H8/G8))+3*Q7*Q7*SIN(-ATAN(H8/G8)))/SQRT(G8^2+H8^2)</f>
        <v>164310.41127272265</v>
      </c>
      <c r="R19" s="22" t="s">
        <v>95</v>
      </c>
      <c r="S19" s="22" t="s">
        <v>88</v>
      </c>
      <c r="T19" s="21" t="s">
        <v>96</v>
      </c>
      <c r="V19" s="20" t="s">
        <v>62</v>
      </c>
      <c r="W19" s="22" t="s">
        <v>70</v>
      </c>
      <c r="X19" s="27">
        <f>K16</f>
        <v>250000</v>
      </c>
      <c r="Y19" s="22" t="s">
        <v>82</v>
      </c>
      <c r="Z19" s="22" t="s">
        <v>88</v>
      </c>
      <c r="AA19" s="21" t="s">
        <v>91</v>
      </c>
    </row>
    <row r="20" spans="2:27" ht="15.75" x14ac:dyDescent="0.25">
      <c r="B20" s="20"/>
      <c r="C20" s="28">
        <v>2</v>
      </c>
      <c r="D20" s="28">
        <v>275.86034482758618</v>
      </c>
      <c r="E20" s="22"/>
      <c r="F20" s="22"/>
      <c r="G20" s="22"/>
      <c r="H20" s="22"/>
      <c r="I20" s="22"/>
      <c r="J20" s="22"/>
      <c r="K20" s="22"/>
      <c r="L20" s="22"/>
      <c r="M20" s="21"/>
      <c r="O20" s="20" t="s">
        <v>63</v>
      </c>
      <c r="P20" s="22" t="s">
        <v>97</v>
      </c>
      <c r="Q20" s="22">
        <f>Q15/SQRT(Q15^2+Q19^2)</f>
        <v>0.76471816467433307</v>
      </c>
      <c r="R20" s="22"/>
      <c r="S20" s="22" t="s">
        <v>88</v>
      </c>
      <c r="T20" s="21" t="s">
        <v>98</v>
      </c>
      <c r="V20" s="20" t="s">
        <v>63</v>
      </c>
      <c r="W20" s="29" t="s">
        <v>78</v>
      </c>
      <c r="X20" s="22">
        <f>(180/PI())*(-ACOS(SQRT(G8^2+H8^2)*X19/(3*X6*X10)+X10*COS(-ATAN(H8/G8))/X6)+ATAN(H8/G8))</f>
        <v>10.591744642816032</v>
      </c>
      <c r="Y20" s="22" t="s">
        <v>83</v>
      </c>
      <c r="Z20" s="22" t="s">
        <v>88</v>
      </c>
      <c r="AA20" s="21" t="s">
        <v>92</v>
      </c>
    </row>
    <row r="21" spans="2:27" x14ac:dyDescent="0.2">
      <c r="B21" s="20"/>
      <c r="C21" s="28">
        <v>2.25</v>
      </c>
      <c r="D21" s="28">
        <v>279.73206896551721</v>
      </c>
      <c r="E21" s="22"/>
      <c r="F21" s="22"/>
      <c r="G21" s="22"/>
      <c r="H21" s="22"/>
      <c r="I21" s="22"/>
      <c r="J21" s="22"/>
      <c r="K21" s="22"/>
      <c r="L21" s="22"/>
      <c r="M21" s="21"/>
      <c r="O21" s="71" t="s">
        <v>64</v>
      </c>
      <c r="P21" s="72" t="s">
        <v>101</v>
      </c>
      <c r="Q21" s="72">
        <f>SQRT(Q15^2+Q19^2)/(3*Q7)</f>
        <v>386.35743088484014</v>
      </c>
      <c r="R21" s="72" t="s">
        <v>84</v>
      </c>
      <c r="S21" s="72" t="s">
        <v>88</v>
      </c>
      <c r="T21" s="73" t="s">
        <v>99</v>
      </c>
      <c r="V21" s="20"/>
      <c r="W21" s="22"/>
      <c r="X21" s="22"/>
      <c r="Y21" s="22"/>
      <c r="Z21" s="22"/>
      <c r="AA21" s="21"/>
    </row>
    <row r="22" spans="2:27" ht="15.75" x14ac:dyDescent="0.25">
      <c r="B22" s="20"/>
      <c r="C22" s="28">
        <v>2.5</v>
      </c>
      <c r="D22" s="28">
        <v>280.7</v>
      </c>
      <c r="E22" s="22"/>
      <c r="F22" s="22"/>
      <c r="G22" s="22"/>
      <c r="H22" s="22"/>
      <c r="I22" s="22"/>
      <c r="J22" s="22"/>
      <c r="K22" s="22"/>
      <c r="L22" s="22"/>
      <c r="M22" s="21"/>
      <c r="O22" s="71" t="s">
        <v>65</v>
      </c>
      <c r="P22" s="86" t="s">
        <v>102</v>
      </c>
      <c r="Q22" s="72">
        <f>(IF(Q19&lt;0,-1,1))*ACOS(Q20)*180/PI()</f>
        <v>40.118074788615502</v>
      </c>
      <c r="R22" s="72" t="s">
        <v>83</v>
      </c>
      <c r="S22" s="72" t="s">
        <v>88</v>
      </c>
      <c r="T22" s="73" t="s">
        <v>100</v>
      </c>
      <c r="V22" s="47" t="s">
        <v>93</v>
      </c>
      <c r="W22" s="48"/>
      <c r="X22" s="48"/>
      <c r="Y22" s="22"/>
      <c r="Z22" s="22"/>
      <c r="AA22" s="21"/>
    </row>
    <row r="23" spans="2:27" x14ac:dyDescent="0.2"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2"/>
      <c r="O23" s="20"/>
      <c r="P23" s="22"/>
      <c r="Q23" s="22"/>
      <c r="R23" s="22"/>
      <c r="S23" s="22"/>
      <c r="T23" s="21"/>
      <c r="V23" s="20" t="s">
        <v>62</v>
      </c>
      <c r="W23" s="22" t="s">
        <v>94</v>
      </c>
      <c r="X23" s="27">
        <f>L16</f>
        <v>150000</v>
      </c>
      <c r="Y23" s="22" t="s">
        <v>95</v>
      </c>
      <c r="Z23" s="22" t="s">
        <v>88</v>
      </c>
      <c r="AA23" s="21" t="s">
        <v>96</v>
      </c>
    </row>
    <row r="24" spans="2:27" ht="15.75" x14ac:dyDescent="0.2">
      <c r="O24" s="47" t="s">
        <v>103</v>
      </c>
      <c r="P24" s="48"/>
      <c r="Q24" s="48"/>
      <c r="R24" s="22"/>
      <c r="S24" s="22"/>
      <c r="T24" s="21"/>
      <c r="V24" s="20" t="s">
        <v>63</v>
      </c>
      <c r="W24" s="22" t="s">
        <v>97</v>
      </c>
      <c r="X24" s="22">
        <f>X19/SQRT(X19^2+X23^2)</f>
        <v>0.85749292571254421</v>
      </c>
      <c r="Y24" s="22"/>
      <c r="Z24" s="22" t="s">
        <v>88</v>
      </c>
      <c r="AA24" s="21" t="s">
        <v>98</v>
      </c>
    </row>
    <row r="25" spans="2:27" x14ac:dyDescent="0.2">
      <c r="C25" s="74" t="s">
        <v>144</v>
      </c>
      <c r="D25" s="75"/>
      <c r="E25" s="75"/>
      <c r="F25" s="75"/>
      <c r="G25" s="75"/>
      <c r="H25" s="75"/>
      <c r="I25" s="75"/>
      <c r="J25" s="75"/>
      <c r="K25" s="76"/>
      <c r="O25" s="20" t="s">
        <v>62</v>
      </c>
      <c r="P25" s="22" t="s">
        <v>104</v>
      </c>
      <c r="Q25" s="27">
        <f>K16-Q15</f>
        <v>55000</v>
      </c>
      <c r="R25" s="22" t="s">
        <v>82</v>
      </c>
      <c r="S25" s="22" t="s">
        <v>88</v>
      </c>
      <c r="T25" s="21" t="s">
        <v>108</v>
      </c>
      <c r="V25" s="71" t="s">
        <v>64</v>
      </c>
      <c r="W25" s="72" t="s">
        <v>101</v>
      </c>
      <c r="X25" s="72">
        <f>SQRT(X19^2+X23^2)/(3*X10)</f>
        <v>441.68462732590802</v>
      </c>
      <c r="Y25" s="72" t="s">
        <v>84</v>
      </c>
      <c r="Z25" s="72" t="s">
        <v>88</v>
      </c>
      <c r="AA25" s="73" t="s">
        <v>99</v>
      </c>
    </row>
    <row r="26" spans="2:27" ht="15.75" x14ac:dyDescent="0.25">
      <c r="C26" s="77" t="s">
        <v>137</v>
      </c>
      <c r="D26" s="78">
        <f>Q5</f>
        <v>1.52</v>
      </c>
      <c r="E26" s="79"/>
      <c r="F26" s="80"/>
      <c r="G26" s="81"/>
      <c r="H26" s="79" t="s">
        <v>137</v>
      </c>
      <c r="I26" s="80">
        <f>X5</f>
        <v>1.52</v>
      </c>
      <c r="J26" s="79"/>
      <c r="K26" s="81"/>
      <c r="O26" s="20" t="s">
        <v>63</v>
      </c>
      <c r="P26" s="22" t="s">
        <v>105</v>
      </c>
      <c r="Q26" s="27">
        <f>L16-Q19</f>
        <v>-14310.411272722646</v>
      </c>
      <c r="R26" s="22" t="s">
        <v>95</v>
      </c>
      <c r="S26" s="22" t="s">
        <v>88</v>
      </c>
      <c r="T26" s="21" t="s">
        <v>109</v>
      </c>
      <c r="V26" s="71" t="s">
        <v>65</v>
      </c>
      <c r="W26" s="86" t="s">
        <v>102</v>
      </c>
      <c r="X26" s="72">
        <f>(IF(X23&lt;0,-1,1))*ACOS(X24)*180/PI()</f>
        <v>30.963756532073518</v>
      </c>
      <c r="Y26" s="72" t="s">
        <v>83</v>
      </c>
      <c r="Z26" s="72" t="s">
        <v>88</v>
      </c>
      <c r="AA26" s="73" t="s">
        <v>100</v>
      </c>
    </row>
    <row r="27" spans="2:27" x14ac:dyDescent="0.2">
      <c r="C27" s="77" t="s">
        <v>138</v>
      </c>
      <c r="D27" s="78">
        <f>MATCH(D26,C12:C22,1)</f>
        <v>7</v>
      </c>
      <c r="E27" s="77"/>
      <c r="F27" s="78"/>
      <c r="G27" s="82"/>
      <c r="H27" s="77" t="s">
        <v>138</v>
      </c>
      <c r="I27" s="78">
        <f>MATCH(I26,C12:C22,1)</f>
        <v>7</v>
      </c>
      <c r="J27" s="77"/>
      <c r="K27" s="82"/>
      <c r="O27" s="20" t="s">
        <v>64</v>
      </c>
      <c r="P27" s="22" t="s">
        <v>106</v>
      </c>
      <c r="Q27" s="27">
        <f>SQRT(Q25^2+Q26^2)</f>
        <v>56831.222675519377</v>
      </c>
      <c r="R27" s="22" t="s">
        <v>85</v>
      </c>
      <c r="S27" s="22" t="s">
        <v>88</v>
      </c>
      <c r="T27" s="21" t="s">
        <v>110</v>
      </c>
      <c r="V27" s="20"/>
      <c r="W27" s="22"/>
      <c r="X27" s="22"/>
      <c r="Y27" s="22"/>
      <c r="Z27" s="22"/>
      <c r="AA27" s="21"/>
    </row>
    <row r="28" spans="2:27" ht="15.75" x14ac:dyDescent="0.2">
      <c r="C28" s="77"/>
      <c r="D28" s="78"/>
      <c r="E28" s="77"/>
      <c r="F28" s="78"/>
      <c r="G28" s="82"/>
      <c r="H28" s="77"/>
      <c r="I28" s="78"/>
      <c r="J28" s="77"/>
      <c r="K28" s="82"/>
      <c r="O28" s="20" t="s">
        <v>65</v>
      </c>
      <c r="P28" s="22" t="s">
        <v>107</v>
      </c>
      <c r="Q28" s="22">
        <f>Q25/Q27</f>
        <v>0.96777787650329417</v>
      </c>
      <c r="R28" s="22"/>
      <c r="S28" s="22" t="s">
        <v>88</v>
      </c>
      <c r="T28" s="21" t="s">
        <v>111</v>
      </c>
      <c r="V28" s="47" t="s">
        <v>103</v>
      </c>
      <c r="W28" s="48"/>
      <c r="X28" s="48"/>
      <c r="Y28" s="22"/>
      <c r="Z28" s="22"/>
      <c r="AA28" s="21"/>
    </row>
    <row r="29" spans="2:27" x14ac:dyDescent="0.2">
      <c r="C29" s="77" t="s">
        <v>139</v>
      </c>
      <c r="D29" s="78">
        <f>INDEX(D12:D22,D27)</f>
        <v>258.43758620689653</v>
      </c>
      <c r="E29" s="77" t="s">
        <v>142</v>
      </c>
      <c r="F29" s="78">
        <f>INDEX(C12:C22,D27)</f>
        <v>1.5</v>
      </c>
      <c r="G29" s="82"/>
      <c r="H29" s="77" t="s">
        <v>139</v>
      </c>
      <c r="I29" s="78">
        <f>INDEX(D12:D22,I27)</f>
        <v>258.43758620689653</v>
      </c>
      <c r="J29" s="77" t="s">
        <v>142</v>
      </c>
      <c r="K29" s="82">
        <f>INDEX(C12:C22,I27)</f>
        <v>1.5</v>
      </c>
      <c r="O29" s="20"/>
      <c r="P29" s="22"/>
      <c r="Q29" s="22"/>
      <c r="R29" s="22"/>
      <c r="S29" s="22"/>
      <c r="T29" s="21"/>
      <c r="V29" s="20" t="s">
        <v>62</v>
      </c>
      <c r="W29" s="22" t="s">
        <v>104</v>
      </c>
      <c r="X29" s="22">
        <v>0</v>
      </c>
      <c r="Y29" s="22" t="s">
        <v>82</v>
      </c>
      <c r="Z29" s="22" t="s">
        <v>88</v>
      </c>
      <c r="AA29" s="21" t="s">
        <v>108</v>
      </c>
    </row>
    <row r="30" spans="2:27" ht="15.75" x14ac:dyDescent="0.2">
      <c r="C30" s="77" t="s">
        <v>140</v>
      </c>
      <c r="D30" s="78">
        <f>INDEX(D12:D22,D27+1)</f>
        <v>268.11689655172415</v>
      </c>
      <c r="E30" s="77" t="s">
        <v>143</v>
      </c>
      <c r="F30" s="78">
        <f>INDEX(C12:C22,D27+1)</f>
        <v>1.75</v>
      </c>
      <c r="G30" s="82"/>
      <c r="H30" s="77" t="s">
        <v>140</v>
      </c>
      <c r="I30" s="78">
        <f>INDEX(D12:D22,I27+1)</f>
        <v>268.11689655172415</v>
      </c>
      <c r="J30" s="77" t="s">
        <v>143</v>
      </c>
      <c r="K30" s="82">
        <f>INDEX(C12:C22,I27+1)</f>
        <v>1.75</v>
      </c>
      <c r="O30" s="47" t="s">
        <v>112</v>
      </c>
      <c r="P30" s="48"/>
      <c r="Q30" s="48"/>
      <c r="R30" s="22"/>
      <c r="S30" s="22"/>
      <c r="T30" s="21"/>
      <c r="V30" s="20" t="s">
        <v>63</v>
      </c>
      <c r="W30" s="22" t="s">
        <v>105</v>
      </c>
      <c r="X30" s="22">
        <v>0</v>
      </c>
      <c r="Y30" s="22" t="s">
        <v>95</v>
      </c>
      <c r="Z30" s="22" t="s">
        <v>88</v>
      </c>
      <c r="AA30" s="21" t="s">
        <v>109</v>
      </c>
    </row>
    <row r="31" spans="2:27" x14ac:dyDescent="0.2">
      <c r="C31" s="77" t="s">
        <v>141</v>
      </c>
      <c r="D31" s="78">
        <f>((D30-D29)/(F30-F29))</f>
        <v>38.717241379310508</v>
      </c>
      <c r="E31" s="77"/>
      <c r="F31" s="78"/>
      <c r="G31" s="82"/>
      <c r="H31" s="77" t="s">
        <v>141</v>
      </c>
      <c r="I31" s="78">
        <f>((I30-I29)/(K30-K29))</f>
        <v>38.717241379310508</v>
      </c>
      <c r="J31" s="77"/>
      <c r="K31" s="82"/>
      <c r="O31" s="20" t="s">
        <v>113</v>
      </c>
      <c r="P31" s="22" t="s">
        <v>115</v>
      </c>
      <c r="Q31" s="22">
        <f>Q6*COS(Q16*PI()/180)</f>
        <v>256.65649196859414</v>
      </c>
      <c r="R31" s="22"/>
      <c r="S31" s="22"/>
      <c r="T31" s="21"/>
      <c r="V31" s="20" t="s">
        <v>64</v>
      </c>
      <c r="W31" s="22" t="s">
        <v>106</v>
      </c>
      <c r="X31" s="22">
        <v>0</v>
      </c>
      <c r="Y31" s="22" t="s">
        <v>85</v>
      </c>
      <c r="Z31" s="22" t="s">
        <v>88</v>
      </c>
      <c r="AA31" s="21" t="s">
        <v>110</v>
      </c>
    </row>
    <row r="32" spans="2:27" x14ac:dyDescent="0.2">
      <c r="C32" s="83" t="s">
        <v>73</v>
      </c>
      <c r="D32" s="84">
        <f>IF(D26&lt;MAX(C12:C22),D31*D26-D31*F29+D29,MAX(D12:D22))</f>
        <v>259.21193103448275</v>
      </c>
      <c r="E32" s="83"/>
      <c r="F32" s="84"/>
      <c r="G32" s="85"/>
      <c r="H32" s="83" t="s">
        <v>73</v>
      </c>
      <c r="I32" s="84">
        <f>IF(I26&lt;MAX(C12:C22),I31*I26-I31*K29+I29,MAX(D12:D22))</f>
        <v>259.21193103448275</v>
      </c>
      <c r="J32" s="83"/>
      <c r="K32" s="85"/>
      <c r="O32" s="20" t="s">
        <v>114</v>
      </c>
      <c r="P32" s="22" t="s">
        <v>116</v>
      </c>
      <c r="Q32" s="22">
        <f>Q6*SIN(Q16*PI()/180)</f>
        <v>36.307992522314166</v>
      </c>
      <c r="R32" s="22"/>
      <c r="S32" s="22"/>
      <c r="T32" s="21"/>
      <c r="V32" s="20" t="s">
        <v>65</v>
      </c>
      <c r="W32" s="22" t="s">
        <v>107</v>
      </c>
      <c r="X32" s="22">
        <v>0</v>
      </c>
      <c r="Y32" s="22"/>
      <c r="Z32" s="22" t="s">
        <v>88</v>
      </c>
      <c r="AA32" s="21" t="s">
        <v>111</v>
      </c>
    </row>
    <row r="33" spans="15:27" x14ac:dyDescent="0.2">
      <c r="O33" s="20"/>
      <c r="P33" s="22"/>
      <c r="Q33" s="22"/>
      <c r="R33" s="22"/>
      <c r="S33" s="22"/>
      <c r="T33" s="21"/>
      <c r="V33" s="20"/>
      <c r="W33" s="22"/>
      <c r="X33" s="22"/>
      <c r="Y33" s="22"/>
      <c r="Z33" s="22"/>
      <c r="AA33" s="21"/>
    </row>
    <row r="34" spans="15:27" ht="15.75" x14ac:dyDescent="0.2">
      <c r="O34" s="47" t="s">
        <v>117</v>
      </c>
      <c r="P34" s="48"/>
      <c r="Q34" s="48"/>
      <c r="R34" s="22"/>
      <c r="S34" s="22"/>
      <c r="T34" s="21"/>
      <c r="V34" s="47" t="s">
        <v>112</v>
      </c>
      <c r="W34" s="48"/>
      <c r="X34" s="48"/>
      <c r="Y34" s="22"/>
      <c r="Z34" s="22"/>
      <c r="AA34" s="21"/>
    </row>
    <row r="35" spans="15:27" x14ac:dyDescent="0.2">
      <c r="O35" s="20" t="s">
        <v>113</v>
      </c>
      <c r="P35" s="22" t="s">
        <v>118</v>
      </c>
      <c r="Q35" s="22">
        <f>Q21*G8*COS(-Q22*PI()/180)</f>
        <v>3.5454545454545454</v>
      </c>
      <c r="R35" s="22"/>
      <c r="S35" s="22"/>
      <c r="T35" s="21"/>
      <c r="V35" s="20" t="s">
        <v>113</v>
      </c>
      <c r="W35" s="22" t="s">
        <v>115</v>
      </c>
      <c r="X35" s="22">
        <f>X6*COS(X20*PI()/180)</f>
        <v>254.79543751924589</v>
      </c>
      <c r="Y35" s="22"/>
      <c r="Z35" s="22"/>
      <c r="AA35" s="21"/>
    </row>
    <row r="36" spans="15:27" x14ac:dyDescent="0.2">
      <c r="O36" s="20" t="s">
        <v>114</v>
      </c>
      <c r="P36" s="22" t="s">
        <v>119</v>
      </c>
      <c r="Q36" s="22">
        <f>Q21*G8*SIN(-Q22*PI()/180)</f>
        <v>-2.9874620231404121</v>
      </c>
      <c r="R36" s="22"/>
      <c r="S36" s="22"/>
      <c r="T36" s="21"/>
      <c r="V36" s="20" t="s">
        <v>114</v>
      </c>
      <c r="W36" s="22" t="s">
        <v>116</v>
      </c>
      <c r="X36" s="22">
        <f>X6*SIN(X20*PI()/180)</f>
        <v>47.645673570655859</v>
      </c>
      <c r="Y36" s="22"/>
      <c r="Z36" s="22"/>
      <c r="AA36" s="21"/>
    </row>
    <row r="37" spans="15:27" x14ac:dyDescent="0.2">
      <c r="O37" s="20"/>
      <c r="P37" s="22"/>
      <c r="Q37" s="22"/>
      <c r="R37" s="22"/>
      <c r="S37" s="22"/>
      <c r="T37" s="21"/>
      <c r="V37" s="20"/>
      <c r="W37" s="22"/>
      <c r="X37" s="22"/>
      <c r="Y37" s="22"/>
      <c r="Z37" s="22"/>
      <c r="AA37" s="21"/>
    </row>
    <row r="38" spans="15:27" ht="15.75" x14ac:dyDescent="0.2">
      <c r="O38" s="47" t="s">
        <v>120</v>
      </c>
      <c r="P38" s="48"/>
      <c r="Q38" s="48"/>
      <c r="R38" s="22"/>
      <c r="S38" s="22"/>
      <c r="T38" s="21"/>
      <c r="V38" s="47" t="s">
        <v>117</v>
      </c>
      <c r="W38" s="48"/>
      <c r="X38" s="48"/>
      <c r="Y38" s="22"/>
      <c r="Z38" s="22"/>
      <c r="AA38" s="21"/>
    </row>
    <row r="39" spans="15:27" x14ac:dyDescent="0.2">
      <c r="O39" s="20" t="s">
        <v>113</v>
      </c>
      <c r="P39" s="22" t="s">
        <v>121</v>
      </c>
      <c r="Q39" s="22">
        <f>Q21*H8*COS(PI()/2-Q22*PI()/180)</f>
        <v>33.111037423139571</v>
      </c>
      <c r="R39" s="22"/>
      <c r="S39" s="22"/>
      <c r="T39" s="21"/>
      <c r="V39" s="20" t="s">
        <v>113</v>
      </c>
      <c r="W39" s="22" t="s">
        <v>118</v>
      </c>
      <c r="X39" s="22">
        <f>X25*G8*COS(-X26*PI()/180)</f>
        <v>4.5448973199353713</v>
      </c>
      <c r="Y39" s="22"/>
      <c r="Z39" s="22"/>
      <c r="AA39" s="21"/>
    </row>
    <row r="40" spans="15:27" x14ac:dyDescent="0.2">
      <c r="O40" s="20" t="s">
        <v>114</v>
      </c>
      <c r="P40" s="22" t="s">
        <v>122</v>
      </c>
      <c r="Q40" s="22">
        <f>Q21*H8*SIN(PI()/2-Q22*PI()/180)</f>
        <v>39.295454545454547</v>
      </c>
      <c r="R40" s="22"/>
      <c r="S40" s="22"/>
      <c r="T40" s="21"/>
      <c r="V40" s="20" t="s">
        <v>114</v>
      </c>
      <c r="W40" s="22" t="s">
        <v>119</v>
      </c>
      <c r="X40" s="22">
        <f>X25*G8*SIN(-X26*PI()/180)</f>
        <v>-2.7269383919612222</v>
      </c>
      <c r="Y40" s="22"/>
      <c r="Z40" s="22"/>
      <c r="AA40" s="21"/>
    </row>
    <row r="41" spans="15:27" x14ac:dyDescent="0.2">
      <c r="O41" s="20"/>
      <c r="P41" s="22"/>
      <c r="Q41" s="22"/>
      <c r="R41" s="22"/>
      <c r="S41" s="22"/>
      <c r="T41" s="21"/>
      <c r="V41" s="20"/>
      <c r="W41" s="22"/>
      <c r="X41" s="22"/>
      <c r="Y41" s="22"/>
      <c r="Z41" s="22"/>
      <c r="AA41" s="21"/>
    </row>
    <row r="42" spans="15:27" ht="15.75" x14ac:dyDescent="0.2">
      <c r="O42" s="47" t="s">
        <v>123</v>
      </c>
      <c r="P42" s="48"/>
      <c r="Q42" s="48"/>
      <c r="R42" s="22"/>
      <c r="S42" s="22"/>
      <c r="T42" s="21"/>
      <c r="V42" s="47" t="s">
        <v>120</v>
      </c>
      <c r="W42" s="48"/>
      <c r="X42" s="48"/>
      <c r="Y42" s="22"/>
      <c r="Z42" s="22"/>
      <c r="AA42" s="21"/>
    </row>
    <row r="43" spans="15:27" x14ac:dyDescent="0.2">
      <c r="O43" s="20" t="s">
        <v>113</v>
      </c>
      <c r="P43" s="22" t="s">
        <v>124</v>
      </c>
      <c r="Q43" s="22">
        <f>Q7</f>
        <v>220</v>
      </c>
      <c r="R43" s="22"/>
      <c r="S43" s="22"/>
      <c r="T43" s="21"/>
      <c r="V43" s="20" t="s">
        <v>113</v>
      </c>
      <c r="W43" s="22" t="s">
        <v>121</v>
      </c>
      <c r="X43" s="22">
        <f>X25*H8*COS(PI()/2-X26*PI()/180)</f>
        <v>30.223567177570217</v>
      </c>
      <c r="Y43" s="22"/>
      <c r="Z43" s="22"/>
      <c r="AA43" s="21"/>
    </row>
    <row r="44" spans="15:27" x14ac:dyDescent="0.2">
      <c r="O44" s="30" t="s">
        <v>114</v>
      </c>
      <c r="P44" s="31" t="s">
        <v>125</v>
      </c>
      <c r="Q44" s="31">
        <v>0</v>
      </c>
      <c r="R44" s="31"/>
      <c r="S44" s="31"/>
      <c r="T44" s="32"/>
      <c r="V44" s="20" t="s">
        <v>114</v>
      </c>
      <c r="W44" s="22" t="s">
        <v>122</v>
      </c>
      <c r="X44" s="22">
        <f>X25*H8*SIN(PI()/2-X26*PI()/180)</f>
        <v>50.372611962617036</v>
      </c>
      <c r="Y44" s="22"/>
      <c r="Z44" s="22"/>
      <c r="AA44" s="21"/>
    </row>
    <row r="45" spans="15:27" x14ac:dyDescent="0.2">
      <c r="V45" s="20"/>
      <c r="W45" s="22"/>
      <c r="X45" s="22"/>
      <c r="Y45" s="22"/>
      <c r="Z45" s="22"/>
      <c r="AA45" s="21"/>
    </row>
    <row r="46" spans="15:27" ht="15.75" x14ac:dyDescent="0.2">
      <c r="O46" s="68"/>
      <c r="P46" s="70" t="s">
        <v>133</v>
      </c>
      <c r="Q46" s="70" t="s">
        <v>134</v>
      </c>
      <c r="V46" s="47" t="s">
        <v>123</v>
      </c>
      <c r="W46" s="48"/>
      <c r="X46" s="48"/>
      <c r="Y46" s="22"/>
      <c r="Z46" s="22"/>
      <c r="AA46" s="21"/>
    </row>
    <row r="47" spans="15:27" x14ac:dyDescent="0.2">
      <c r="O47" s="64" t="s">
        <v>73</v>
      </c>
      <c r="P47" s="65">
        <v>0</v>
      </c>
      <c r="Q47" s="65">
        <v>0</v>
      </c>
      <c r="V47" s="20" t="s">
        <v>113</v>
      </c>
      <c r="W47" s="22" t="s">
        <v>124</v>
      </c>
      <c r="X47" s="22">
        <f>X10</f>
        <v>220.02697302174033</v>
      </c>
      <c r="Y47" s="22"/>
      <c r="Z47" s="22"/>
      <c r="AA47" s="21"/>
    </row>
    <row r="48" spans="15:27" x14ac:dyDescent="0.2">
      <c r="O48" s="64"/>
      <c r="P48" s="65">
        <f>Q31</f>
        <v>256.65649196859414</v>
      </c>
      <c r="Q48" s="65">
        <f>Q32</f>
        <v>36.307992522314166</v>
      </c>
      <c r="V48" s="30" t="s">
        <v>114</v>
      </c>
      <c r="W48" s="31" t="s">
        <v>125</v>
      </c>
      <c r="X48" s="31">
        <v>0</v>
      </c>
      <c r="Y48" s="31"/>
      <c r="Z48" s="31"/>
      <c r="AA48" s="32"/>
    </row>
    <row r="49" spans="15:24" x14ac:dyDescent="0.2">
      <c r="O49" s="63" t="s">
        <v>79</v>
      </c>
      <c r="P49" s="66">
        <v>0</v>
      </c>
      <c r="Q49" s="66">
        <v>0</v>
      </c>
    </row>
    <row r="50" spans="15:24" x14ac:dyDescent="0.2">
      <c r="O50" s="63"/>
      <c r="P50" s="66">
        <f>Q43</f>
        <v>220</v>
      </c>
      <c r="Q50" s="66">
        <f>Q44</f>
        <v>0</v>
      </c>
      <c r="V50" s="68"/>
      <c r="W50" s="70" t="s">
        <v>133</v>
      </c>
      <c r="X50" s="70" t="s">
        <v>134</v>
      </c>
    </row>
    <row r="51" spans="15:24" x14ac:dyDescent="0.2">
      <c r="O51" s="62" t="s">
        <v>136</v>
      </c>
      <c r="P51" s="67">
        <f>P50</f>
        <v>220</v>
      </c>
      <c r="Q51" s="67">
        <f>Q50</f>
        <v>0</v>
      </c>
      <c r="V51" s="64" t="s">
        <v>73</v>
      </c>
      <c r="W51" s="65">
        <v>0</v>
      </c>
      <c r="X51" s="65">
        <v>0</v>
      </c>
    </row>
    <row r="52" spans="15:24" x14ac:dyDescent="0.2">
      <c r="O52" s="62"/>
      <c r="P52" s="67">
        <f>P51+Q35</f>
        <v>223.54545454545453</v>
      </c>
      <c r="Q52" s="67">
        <f>Q51+Q36</f>
        <v>-2.9874620231404121</v>
      </c>
      <c r="V52" s="64"/>
      <c r="W52" s="65">
        <f>X35</f>
        <v>254.79543751924589</v>
      </c>
      <c r="X52" s="65">
        <f>X36</f>
        <v>47.645673570655859</v>
      </c>
    </row>
    <row r="53" spans="15:24" x14ac:dyDescent="0.2">
      <c r="O53" s="61" t="s">
        <v>135</v>
      </c>
      <c r="P53" s="69">
        <f>P52</f>
        <v>223.54545454545453</v>
      </c>
      <c r="Q53" s="69">
        <f>Q52</f>
        <v>-2.9874620231404121</v>
      </c>
      <c r="V53" s="63" t="s">
        <v>79</v>
      </c>
      <c r="W53" s="66">
        <v>0</v>
      </c>
      <c r="X53" s="66">
        <v>0</v>
      </c>
    </row>
    <row r="54" spans="15:24" x14ac:dyDescent="0.2">
      <c r="O54" s="61"/>
      <c r="P54" s="69">
        <f>P53+Q39</f>
        <v>256.65649196859408</v>
      </c>
      <c r="Q54" s="69">
        <f>Q53+Q40</f>
        <v>36.307992522314137</v>
      </c>
      <c r="V54" s="63"/>
      <c r="W54" s="66">
        <f>X47</f>
        <v>220.02697302174033</v>
      </c>
      <c r="X54" s="66">
        <f>X48</f>
        <v>0</v>
      </c>
    </row>
    <row r="55" spans="15:24" x14ac:dyDescent="0.2">
      <c r="V55" s="62" t="s">
        <v>136</v>
      </c>
      <c r="W55" s="67">
        <f>W54</f>
        <v>220.02697302174033</v>
      </c>
      <c r="X55" s="67">
        <f>X54</f>
        <v>0</v>
      </c>
    </row>
    <row r="56" spans="15:24" x14ac:dyDescent="0.2">
      <c r="V56" s="62"/>
      <c r="W56" s="67">
        <f>W55+X39</f>
        <v>224.57187034167569</v>
      </c>
      <c r="X56" s="67">
        <f>X55+X40</f>
        <v>-2.7269383919612222</v>
      </c>
    </row>
    <row r="57" spans="15:24" x14ac:dyDescent="0.2">
      <c r="V57" s="61" t="s">
        <v>135</v>
      </c>
      <c r="W57" s="69">
        <f>W56</f>
        <v>224.57187034167569</v>
      </c>
      <c r="X57" s="69">
        <f>X56</f>
        <v>-2.7269383919612222</v>
      </c>
    </row>
    <row r="58" spans="15:24" x14ac:dyDescent="0.2">
      <c r="V58" s="61"/>
      <c r="W58" s="69">
        <f>W57+X43</f>
        <v>254.79543751924592</v>
      </c>
      <c r="X58" s="69">
        <f>X57+X44</f>
        <v>47.645673570655816</v>
      </c>
    </row>
  </sheetData>
  <mergeCells count="38">
    <mergeCell ref="V55:V56"/>
    <mergeCell ref="V57:V58"/>
    <mergeCell ref="C25:K25"/>
    <mergeCell ref="O47:O48"/>
    <mergeCell ref="O49:O50"/>
    <mergeCell ref="O51:O52"/>
    <mergeCell ref="O53:O54"/>
    <mergeCell ref="V51:V52"/>
    <mergeCell ref="V53:V54"/>
    <mergeCell ref="V28:X28"/>
    <mergeCell ref="V34:X34"/>
    <mergeCell ref="V38:X38"/>
    <mergeCell ref="V42:X42"/>
    <mergeCell ref="V46:X46"/>
    <mergeCell ref="O30:Q30"/>
    <mergeCell ref="O34:Q34"/>
    <mergeCell ref="O38:Q38"/>
    <mergeCell ref="O42:Q42"/>
    <mergeCell ref="O2:T2"/>
    <mergeCell ref="O18:Q18"/>
    <mergeCell ref="O24:Q24"/>
    <mergeCell ref="V2:AA2"/>
    <mergeCell ref="V3:X3"/>
    <mergeCell ref="V13:X13"/>
    <mergeCell ref="V18:X18"/>
    <mergeCell ref="V22:X22"/>
    <mergeCell ref="C10:D10"/>
    <mergeCell ref="C3:L3"/>
    <mergeCell ref="O9:Q9"/>
    <mergeCell ref="O14:Q14"/>
    <mergeCell ref="O3:Q3"/>
    <mergeCell ref="K10:L10"/>
    <mergeCell ref="I14:L14"/>
    <mergeCell ref="C6:C7"/>
    <mergeCell ref="E6:E7"/>
    <mergeCell ref="F6:F7"/>
    <mergeCell ref="L6:L7"/>
    <mergeCell ref="C5:L5"/>
  </mergeCells>
  <pageMargins left="0.7" right="0.7" top="0.75" bottom="0.75" header="0.3" footer="0.3"/>
  <ignoredErrors>
    <ignoredError sqref="P52:Q52 W56:X5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interfaz gráfica</vt:lpstr>
      <vt:lpstr>Prueba de escritorio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Castillo Sierra</dc:creator>
  <cp:lastModifiedBy>Rafael Castillo Sierra</cp:lastModifiedBy>
  <dcterms:created xsi:type="dcterms:W3CDTF">2016-06-13T13:55:38Z</dcterms:created>
  <dcterms:modified xsi:type="dcterms:W3CDTF">2017-01-27T16:46:15Z</dcterms:modified>
</cp:coreProperties>
</file>