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2" i="1"/>
  <c r="X3" i="1"/>
  <c r="X4" i="1"/>
  <c r="X5" i="1"/>
  <c r="X6" i="1"/>
  <c r="X7" i="1"/>
  <c r="X8" i="1"/>
  <c r="X9" i="1"/>
  <c r="X10" i="1"/>
  <c r="X11" i="1"/>
  <c r="X2" i="1"/>
  <c r="S11" i="1"/>
  <c r="D11" i="1" l="1"/>
  <c r="J11" i="1" s="1"/>
  <c r="D10" i="1"/>
  <c r="J10" i="1" s="1"/>
  <c r="D9" i="1"/>
  <c r="D8" i="1"/>
  <c r="D7" i="1"/>
  <c r="J7" i="1" s="1"/>
  <c r="H11" i="1"/>
  <c r="F11" i="1"/>
  <c r="J9" i="1"/>
  <c r="H9" i="1"/>
  <c r="F9" i="1"/>
  <c r="H10" i="1"/>
  <c r="F10" i="1"/>
  <c r="J8" i="1"/>
  <c r="H8" i="1"/>
  <c r="F8" i="1"/>
  <c r="H7" i="1"/>
  <c r="F7" i="1"/>
  <c r="I8" i="1" l="1"/>
  <c r="O8" i="1" s="1"/>
  <c r="I9" i="1"/>
  <c r="O9" i="1" s="1"/>
  <c r="P9" i="1" s="1"/>
  <c r="S9" i="1" s="1"/>
  <c r="T9" i="1" s="1"/>
  <c r="I7" i="1"/>
  <c r="O7" i="1" s="1"/>
  <c r="P7" i="1" s="1"/>
  <c r="S7" i="1" s="1"/>
  <c r="T7" i="1" s="1"/>
  <c r="I11" i="1"/>
  <c r="O11" i="1" s="1"/>
  <c r="R11" i="1" s="1"/>
  <c r="I10" i="1"/>
  <c r="O10" i="1" s="1"/>
  <c r="R7" i="1"/>
  <c r="U7" i="1"/>
  <c r="D3" i="1"/>
  <c r="J3" i="1" s="1"/>
  <c r="F3" i="1"/>
  <c r="H3" i="1"/>
  <c r="P8" i="1" l="1"/>
  <c r="S8" i="1" s="1"/>
  <c r="T8" i="1" s="1"/>
  <c r="R8" i="1"/>
  <c r="R9" i="1"/>
  <c r="P10" i="1"/>
  <c r="R10" i="1"/>
  <c r="P11" i="1"/>
  <c r="T11" i="1" s="1"/>
  <c r="U9" i="1"/>
  <c r="U8" i="1"/>
  <c r="I3" i="1"/>
  <c r="O3" i="1" s="1"/>
  <c r="P3" i="1" s="1"/>
  <c r="D2" i="1"/>
  <c r="J2" i="1" s="1"/>
  <c r="F2" i="1"/>
  <c r="H2" i="1"/>
  <c r="D4" i="1"/>
  <c r="J4" i="1" s="1"/>
  <c r="F4" i="1"/>
  <c r="H4" i="1"/>
  <c r="D5" i="1"/>
  <c r="J5" i="1" s="1"/>
  <c r="I5" i="1" s="1"/>
  <c r="O5" i="1" s="1"/>
  <c r="P5" i="1" s="1"/>
  <c r="F5" i="1"/>
  <c r="H5" i="1"/>
  <c r="D6" i="1"/>
  <c r="F6" i="1"/>
  <c r="H6" i="1"/>
  <c r="J6" i="1"/>
  <c r="U11" i="1" l="1"/>
  <c r="S10" i="1"/>
  <c r="T10" i="1" s="1"/>
  <c r="U10" i="1"/>
  <c r="I6" i="1"/>
  <c r="O6" i="1" s="1"/>
  <c r="P6" i="1" s="1"/>
  <c r="I4" i="1"/>
  <c r="O4" i="1" s="1"/>
  <c r="P4" i="1" s="1"/>
  <c r="I2" i="1"/>
  <c r="O2" i="1" s="1"/>
  <c r="P2" i="1" s="1"/>
  <c r="R3" i="1"/>
  <c r="S4" i="1" l="1"/>
  <c r="T4" i="1" s="1"/>
  <c r="R4" i="1"/>
  <c r="U3" i="1"/>
  <c r="S3" i="1"/>
  <c r="T3" i="1" s="1"/>
  <c r="S5" i="1"/>
  <c r="T5" i="1" s="1"/>
  <c r="R5" i="1"/>
  <c r="R2" i="1"/>
  <c r="S2" i="1"/>
  <c r="T2" i="1" s="1"/>
  <c r="S6" i="1"/>
  <c r="T6" i="1" s="1"/>
  <c r="R6" i="1"/>
  <c r="U6" i="1" l="1"/>
  <c r="U5" i="1"/>
  <c r="U2" i="1"/>
  <c r="U4" i="1"/>
  <c r="U12" i="1" l="1"/>
</calcChain>
</file>

<file path=xl/sharedStrings.xml><?xml version="1.0" encoding="utf-8"?>
<sst xmlns="http://schemas.openxmlformats.org/spreadsheetml/2006/main" count="35" uniqueCount="35">
  <si>
    <t>Distance</t>
  </si>
  <si>
    <t>Energy</t>
  </si>
  <si>
    <t>Branching Ratio</t>
  </si>
  <si>
    <t>Half-Life (s)</t>
  </si>
  <si>
    <t>Current Date</t>
  </si>
  <si>
    <t>Activity (Bq)</t>
  </si>
  <si>
    <t xml:space="preserve">Initial Date </t>
  </si>
  <si>
    <t>Time Since (s)</t>
  </si>
  <si>
    <t>Current Activity (Bq)</t>
  </si>
  <si>
    <t>Lamba (1/s)</t>
  </si>
  <si>
    <t>Initial Activity (uCi)</t>
  </si>
  <si>
    <t>Live Time (s)</t>
  </si>
  <si>
    <t>Counts</t>
  </si>
  <si>
    <t>Uncertainty</t>
  </si>
  <si>
    <t>Efficiency</t>
  </si>
  <si>
    <t>MCNP Model Efficiency</t>
  </si>
  <si>
    <t>Ratio</t>
  </si>
  <si>
    <t>3 Sig Eff</t>
  </si>
  <si>
    <t>3 Sig Ratio</t>
  </si>
  <si>
    <t>18cm Bottom</t>
  </si>
  <si>
    <t>18cmCenter</t>
  </si>
  <si>
    <t>18cm Left</t>
  </si>
  <si>
    <t>18cm Right</t>
  </si>
  <si>
    <t>18cm Top</t>
  </si>
  <si>
    <t>Efficiency Uncert</t>
  </si>
  <si>
    <t>Chi**2</t>
  </si>
  <si>
    <t>1cm Bottom</t>
  </si>
  <si>
    <t>1cmCenter</t>
  </si>
  <si>
    <t>1cm Left</t>
  </si>
  <si>
    <t>1cm Right</t>
  </si>
  <si>
    <t>1cm Top</t>
  </si>
  <si>
    <t>Total Counts Data</t>
  </si>
  <si>
    <t>Total Counts Eff Data</t>
  </si>
  <si>
    <t>Total Counts MCNP Eff</t>
  </si>
  <si>
    <t>Ratio of Total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</si>
</sst>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;[Red]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65" fontId="0" fillId="2" borderId="0" xfId="0" applyNumberFormat="1" applyFill="1"/>
    <xf numFmtId="165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</a:t>
            </a:r>
            <a:r>
              <a:rPr lang="en-US" baseline="0"/>
              <a:t>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Sheet1!$P$2:$P$6</c:f>
                <c:numCache>
                  <c:formatCode>General</c:formatCode>
                  <c:ptCount val="5"/>
                  <c:pt idx="0">
                    <c:v>3.6440879725641458E-5</c:v>
                  </c:pt>
                  <c:pt idx="1">
                    <c:v>3.7180691077143448E-5</c:v>
                  </c:pt>
                  <c:pt idx="2">
                    <c:v>3.6719180821702987E-5</c:v>
                  </c:pt>
                  <c:pt idx="3">
                    <c:v>3.6602620147657855E-5</c:v>
                  </c:pt>
                  <c:pt idx="4">
                    <c:v>3.6438787582501609E-5</c:v>
                  </c:pt>
                </c:numCache>
              </c:numRef>
            </c:plus>
            <c:minus>
              <c:numRef>
                <c:f>Sheet1!$P$2:$P$6</c:f>
                <c:numCache>
                  <c:formatCode>General</c:formatCode>
                  <c:ptCount val="5"/>
                  <c:pt idx="0">
                    <c:v>3.6440879725641458E-5</c:v>
                  </c:pt>
                  <c:pt idx="1">
                    <c:v>3.7180691077143448E-5</c:v>
                  </c:pt>
                  <c:pt idx="2">
                    <c:v>3.6719180821702987E-5</c:v>
                  </c:pt>
                  <c:pt idx="3">
                    <c:v>3.6602620147657855E-5</c:v>
                  </c:pt>
                  <c:pt idx="4">
                    <c:v>3.6438787582501609E-5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Sheet1!$O$2:$O$6</c:f>
              <c:numCache>
                <c:formatCode>0.00E+00</c:formatCode>
                <c:ptCount val="5"/>
                <c:pt idx="0">
                  <c:v>1.6292166551842952E-3</c:v>
                </c:pt>
                <c:pt idx="1">
                  <c:v>1.6596406035800258E-3</c:v>
                </c:pt>
                <c:pt idx="2">
                  <c:v>1.638800812638878E-3</c:v>
                </c:pt>
                <c:pt idx="3">
                  <c:v>1.6356705923779825E-3</c:v>
                </c:pt>
                <c:pt idx="4">
                  <c:v>1.6270648612971867E-3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4E-4BDF-942C-C06877FF6F66}"/>
            </c:ext>
          </c:extLst>
        </c:ser>
        <c:ser>
          <c:idx val="1"/>
          <c:order val="1"/>
          <c:tx>
            <c:v>MCNP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Sheet1!$Q$2:$Q$6</c:f>
              <c:numCache>
                <c:formatCode>0.00E+00</c:formatCode>
                <c:ptCount val="5"/>
                <c:pt idx="0">
                  <c:v>1.6037E-3</c:v>
                </c:pt>
                <c:pt idx="1">
                  <c:v>1.6167E-3</c:v>
                </c:pt>
                <c:pt idx="2">
                  <c:v>1.6027000000000001E-3</c:v>
                </c:pt>
                <c:pt idx="3">
                  <c:v>1.5705999999999999E-3</c:v>
                </c:pt>
                <c:pt idx="4">
                  <c:v>1.5923000000000001E-3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4E-4BDF-942C-C06877FF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72144"/>
        <c:axId val="422072536"/>
      </c:scatterChart>
      <c:valAx>
        <c:axId val="4220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72536"/>
        <c:crosses val="autoZero"/>
        <c:crossBetween val="midCat"/>
      </c:valAx>
      <c:valAx>
        <c:axId val="4220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7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270768377346603E-2"/>
          <c:y val="0.1120742978173002"/>
          <c:w val="0.94065320615239567"/>
          <c:h val="0.83146008303935848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Sheet1!$P$7:$P$11</c:f>
                <c:numCache>
                  <c:formatCode>General</c:formatCode>
                  <c:ptCount val="5"/>
                  <c:pt idx="0">
                    <c:v>9.4359981502925008E-4</c:v>
                  </c:pt>
                  <c:pt idx="1">
                    <c:v>1.6057028788690132E-3</c:v>
                  </c:pt>
                  <c:pt idx="2">
                    <c:v>1.0141405728368677E-3</c:v>
                  </c:pt>
                  <c:pt idx="3">
                    <c:v>1.0732042982709198E-3</c:v>
                  </c:pt>
                  <c:pt idx="4">
                    <c:v>1.2442764650411491E-3</c:v>
                  </c:pt>
                </c:numCache>
              </c:numRef>
            </c:plus>
            <c:minus>
              <c:numRef>
                <c:f>Sheet1!$P$7:$P$11</c:f>
                <c:numCache>
                  <c:formatCode>General</c:formatCode>
                  <c:ptCount val="5"/>
                  <c:pt idx="0">
                    <c:v>9.4359981502925008E-4</c:v>
                  </c:pt>
                  <c:pt idx="1">
                    <c:v>1.6057028788690132E-3</c:v>
                  </c:pt>
                  <c:pt idx="2">
                    <c:v>1.0141405728368677E-3</c:v>
                  </c:pt>
                  <c:pt idx="3">
                    <c:v>1.0732042982709198E-3</c:v>
                  </c:pt>
                  <c:pt idx="4">
                    <c:v>1.2442764650411491E-3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Sheet1!$A$7:$A$11</c:f>
              <c:strCache>
                <c:ptCount val="5"/>
                <c:pt idx="0">
                  <c:v>1cm Bottom</c:v>
                </c:pt>
                <c:pt idx="1">
                  <c:v>1cmCenter</c:v>
                </c:pt>
                <c:pt idx="2">
                  <c:v>1cm Left</c:v>
                </c:pt>
                <c:pt idx="3">
                  <c:v>1cm Right</c:v>
                </c:pt>
                <c:pt idx="4">
                  <c:v>1cm Top</c:v>
                </c:pt>
              </c:strCache>
            </c:strRef>
          </c:xVal>
          <c:yVal>
            <c:numRef>
              <c:f>Sheet1!$O$7:$O$11</c:f>
              <c:numCache>
                <c:formatCode>0.00E+00</c:formatCode>
                <c:ptCount val="5"/>
                <c:pt idx="0">
                  <c:v>3.0297830356941006E-2</c:v>
                </c:pt>
                <c:pt idx="1">
                  <c:v>4.1851898270809561E-2</c:v>
                </c:pt>
                <c:pt idx="2">
                  <c:v>3.2818668584155629E-2</c:v>
                </c:pt>
                <c:pt idx="3">
                  <c:v>3.2796098698359658E-2</c:v>
                </c:pt>
                <c:pt idx="4">
                  <c:v>3.6693035189762045E-2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4A-4D41-94F2-C836EE882FFF}"/>
            </c:ext>
          </c:extLst>
        </c:ser>
        <c:ser>
          <c:idx val="1"/>
          <c:order val="1"/>
          <c:tx>
            <c:v>MCNP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Sheet1!$A$7:$A$11</c:f>
              <c:strCache>
                <c:ptCount val="5"/>
                <c:pt idx="0">
                  <c:v>1cm Bottom</c:v>
                </c:pt>
                <c:pt idx="1">
                  <c:v>1cmCenter</c:v>
                </c:pt>
                <c:pt idx="2">
                  <c:v>1cm Left</c:v>
                </c:pt>
                <c:pt idx="3">
                  <c:v>1cm Right</c:v>
                </c:pt>
                <c:pt idx="4">
                  <c:v>1cm Top</c:v>
                </c:pt>
              </c:strCache>
            </c:strRef>
          </c:xVal>
          <c:yVal>
            <c:numRef>
              <c:f>Sheet1!$Q$7:$Q$11</c:f>
              <c:numCache>
                <c:formatCode>0.00E+00</c:formatCode>
                <c:ptCount val="5"/>
                <c:pt idx="0">
                  <c:v>3.2863999999999997E-2</c:v>
                </c:pt>
                <c:pt idx="1">
                  <c:v>4.3739E-2</c:v>
                </c:pt>
                <c:pt idx="2">
                  <c:v>3.2815700000000003E-2</c:v>
                </c:pt>
                <c:pt idx="3">
                  <c:v>3.2927699999999997E-2</c:v>
                </c:pt>
                <c:pt idx="4">
                  <c:v>3.27893E-2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C0-49B7-8A76-87A76E78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73320"/>
        <c:axId val="422073712"/>
      </c:scatterChart>
      <c:valAx>
        <c:axId val="42207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73712"/>
        <c:crosses val="autoZero"/>
        <c:crossBetween val="midCat"/>
      </c:valAx>
      <c:valAx>
        <c:axId val="422073712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7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1063336</xdr:colOff>
      <xdr:row>13</xdr:row>
      <xdr:rowOff>15240</xdr:rowOff>
    </xdr:from>
    <xdr:to>
      <xdr:col>39</xdr:col>
      <xdr:colOff>290946</xdr:colOff>
      <xdr:row>38</xdr:row>
      <xdr:rowOff>55419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78C694-7289-435E-8A7F-823492F07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13</xdr:row>
      <xdr:rowOff>15240</xdr:rowOff>
    </xdr:from>
    <xdr:to>
      <xdr:col>23</xdr:col>
      <xdr:colOff>942109</xdr:colOff>
      <xdr:row>38</xdr:row>
      <xdr:rowOff>55419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803B8BA-66BB-433A-B114-135A0E71F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zoomScale="55" zoomScaleNormal="55" workbookViewId="0">
      <selection activeCell="AA6" sqref="AA6"/>
    </sheetView>
  </sheetViews>
  <sheetFormatPr defaultRowHeight="14.4" x14ac:dyDescent="0.3"/>
  <cols>
    <col min="1" max="1" width="12.21875" customWidth="1"/>
    <col min="2" max="2" width="0.21875" customWidth="1"/>
    <col min="3" max="3" width="11.88671875" hidden="1" customWidth="1"/>
    <col min="4" max="4" width="0.33203125" customWidth="1"/>
    <col min="5" max="5" width="11" hidden="1" customWidth="1"/>
    <col min="6" max="6" width="11.88671875" hidden="1" customWidth="1"/>
    <col min="7" max="7" width="10.21875" hidden="1" customWidth="1"/>
    <col min="8" max="8" width="9.6640625" hidden="1" customWidth="1"/>
    <col min="9" max="9" width="9.33203125" hidden="1" customWidth="1"/>
    <col min="10" max="10" width="9.77734375" hidden="1" customWidth="1"/>
    <col min="11" max="11" width="0.21875" customWidth="1"/>
    <col min="12" max="12" width="14.5546875" customWidth="1"/>
    <col min="13" max="13" width="9.5546875" customWidth="1"/>
    <col min="14" max="14" width="11.6640625" customWidth="1"/>
    <col min="15" max="15" width="9.88671875" customWidth="1"/>
    <col min="16" max="16" width="19.33203125" customWidth="1"/>
    <col min="17" max="17" width="21.5546875" customWidth="1"/>
    <col min="18" max="18" width="12.109375" customWidth="1"/>
    <col min="19" max="19" width="11.6640625" customWidth="1"/>
    <col min="20" max="20" width="12.21875" customWidth="1"/>
    <col min="21" max="21" width="13.5546875" customWidth="1"/>
    <col min="22" max="22" width="22.5546875" bestFit="1" customWidth="1"/>
    <col min="23" max="23" width="0.21875" customWidth="1"/>
    <col min="24" max="24" width="23.5546875" customWidth="1"/>
    <col min="25" max="25" width="22.441406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</v>
      </c>
      <c r="Q1" t="s">
        <v>15</v>
      </c>
      <c r="R1" t="s">
        <v>16</v>
      </c>
      <c r="S1" t="s">
        <v>17</v>
      </c>
      <c r="T1" s="3" t="s">
        <v>18</v>
      </c>
      <c r="U1" s="11" t="s">
        <v>25</v>
      </c>
      <c r="V1" s="11" t="s">
        <v>33</v>
      </c>
      <c r="W1" s="11" t="s">
        <v>31</v>
      </c>
      <c r="X1" s="11" t="s">
        <v>32</v>
      </c>
      <c r="Y1" s="11" t="s">
        <v>34</v>
      </c>
    </row>
    <row r="2" spans="1:25" x14ac:dyDescent="0.3">
      <c r="A2" s="8" t="s">
        <v>19</v>
      </c>
      <c r="B2">
        <v>661</v>
      </c>
      <c r="C2">
        <v>0.85099999999999998</v>
      </c>
      <c r="D2">
        <f>30.07*365*24*3600</f>
        <v>948287519.99999988</v>
      </c>
      <c r="E2" s="1">
        <v>42814</v>
      </c>
      <c r="F2">
        <f>K2*37000</f>
        <v>38554</v>
      </c>
      <c r="G2" s="1">
        <v>39814</v>
      </c>
      <c r="H2">
        <f>(E2-G2)*24*3600</f>
        <v>259200000</v>
      </c>
      <c r="I2">
        <f>F2*EXP(-J2*H2)</f>
        <v>31899.763472592538</v>
      </c>
      <c r="J2">
        <f>LN(2)/D2</f>
        <v>7.3094622247052809E-10</v>
      </c>
      <c r="K2">
        <v>1.042</v>
      </c>
      <c r="L2">
        <v>226.9</v>
      </c>
      <c r="M2">
        <v>10035.299999999999</v>
      </c>
      <c r="N2">
        <v>100.4</v>
      </c>
      <c r="O2" s="2">
        <f>(M2/L2)/(I2*C2)</f>
        <v>1.6292166551842952E-3</v>
      </c>
      <c r="P2" s="2">
        <f>SQRT((N2/M2)^2+(0.01/L2^2)+0.02^2)*O2</f>
        <v>3.6440879725641458E-5</v>
      </c>
      <c r="Q2" s="2">
        <v>1.6037E-3</v>
      </c>
      <c r="R2" s="10">
        <f>Q2/O2</f>
        <v>0.98433808351817464</v>
      </c>
      <c r="S2" s="2">
        <f>3*P2+O2</f>
        <v>1.7385392943612195E-3</v>
      </c>
      <c r="T2" s="3">
        <f>0.97*Q2/S2</f>
        <v>0.89476781171722675</v>
      </c>
      <c r="U2" s="3">
        <f t="shared" ref="U2:U8" si="0">(O2-Q2)^2/P2^2</f>
        <v>0.49030890858207027</v>
      </c>
      <c r="V2" s="2">
        <v>7.3232000000000002E-3</v>
      </c>
      <c r="W2">
        <v>38674</v>
      </c>
      <c r="X2" s="2">
        <f>(W2/L2)/(I2*C2)</f>
        <v>6.2786687914260101E-3</v>
      </c>
      <c r="Y2" s="2">
        <f>V2/X2</f>
        <v>1.1663618902784576</v>
      </c>
    </row>
    <row r="3" spans="1:25" x14ac:dyDescent="0.3">
      <c r="A3" s="8" t="s">
        <v>20</v>
      </c>
      <c r="B3" s="4">
        <v>661</v>
      </c>
      <c r="C3" s="4">
        <v>0.85099999999999998</v>
      </c>
      <c r="D3" s="4">
        <f>30.07*365*24*3600</f>
        <v>948287519.99999988</v>
      </c>
      <c r="E3" s="5">
        <v>42814</v>
      </c>
      <c r="F3" s="4">
        <f t="shared" ref="F3" si="1">K3*37000</f>
        <v>38554</v>
      </c>
      <c r="G3" s="5">
        <v>39814</v>
      </c>
      <c r="H3" s="4">
        <f>(E3-G3)*24*3600</f>
        <v>259200000</v>
      </c>
      <c r="I3" s="4">
        <f t="shared" ref="I3" si="2">F3*EXP(-J3*H3)</f>
        <v>31899.763472592538</v>
      </c>
      <c r="J3" s="4">
        <f t="shared" ref="J3" si="3">LN(2)/D3</f>
        <v>7.3094622247052809E-10</v>
      </c>
      <c r="K3" s="4">
        <v>1.042</v>
      </c>
      <c r="L3" s="4">
        <v>223.2</v>
      </c>
      <c r="M3" s="4">
        <v>10056</v>
      </c>
      <c r="N3" s="4">
        <v>100.5</v>
      </c>
      <c r="O3" s="6">
        <f t="shared" ref="O3:O11" si="4">(M3/L3)/(I3*C3)</f>
        <v>1.6596406035800258E-3</v>
      </c>
      <c r="P3" s="6">
        <f t="shared" ref="P3:P11" si="5">SQRT((N3/M3)^2+(0.1/L3^2)+0.02^2)*O3</f>
        <v>3.7180691077143448E-5</v>
      </c>
      <c r="Q3" s="6">
        <v>1.6167E-3</v>
      </c>
      <c r="R3" s="9">
        <f>Q3/O3</f>
        <v>0.97412656481927584</v>
      </c>
      <c r="S3" s="6">
        <f>3*P3+O3</f>
        <v>1.7711826768114561E-3</v>
      </c>
      <c r="T3" s="7">
        <f>0.97*Q3/S3</f>
        <v>0.88539653223298553</v>
      </c>
      <c r="U3" s="7">
        <f t="shared" si="0"/>
        <v>1.3338327415794129</v>
      </c>
      <c r="V3" s="6">
        <v>7.4644000000000004E-3</v>
      </c>
      <c r="W3" s="4">
        <v>37078</v>
      </c>
      <c r="X3" s="6">
        <f t="shared" ref="X3:X11" si="6">(W3/L3)/(I3*C3)</f>
        <v>6.1193470862709026E-3</v>
      </c>
      <c r="Y3" s="6">
        <f t="shared" ref="Y3:Y11" si="7">V3/X3</f>
        <v>1.219803337638226</v>
      </c>
    </row>
    <row r="4" spans="1:25" x14ac:dyDescent="0.3">
      <c r="A4" s="8" t="s">
        <v>21</v>
      </c>
      <c r="B4">
        <v>661</v>
      </c>
      <c r="C4">
        <v>0.85099999999999998</v>
      </c>
      <c r="D4">
        <f t="shared" ref="D4:D6" si="8">30.07*365*24*3600</f>
        <v>948287519.99999988</v>
      </c>
      <c r="E4" s="1">
        <v>42814</v>
      </c>
      <c r="F4">
        <f>K4*37000</f>
        <v>38554</v>
      </c>
      <c r="G4" s="1">
        <v>39814</v>
      </c>
      <c r="H4">
        <f t="shared" ref="H4:H6" si="9">(E4-G4)*24*3600</f>
        <v>259200000</v>
      </c>
      <c r="I4">
        <f>F4*EXP(-J4*H4)</f>
        <v>31899.763472592538</v>
      </c>
      <c r="J4">
        <f>LN(2)/D4</f>
        <v>7.3094622247052809E-10</v>
      </c>
      <c r="K4">
        <v>1.042</v>
      </c>
      <c r="L4">
        <v>225.6</v>
      </c>
      <c r="M4">
        <v>10036.5</v>
      </c>
      <c r="N4">
        <v>100.4</v>
      </c>
      <c r="O4" s="2">
        <f t="shared" si="4"/>
        <v>1.638800812638878E-3</v>
      </c>
      <c r="P4" s="2">
        <f t="shared" si="5"/>
        <v>3.6719180821702987E-5</v>
      </c>
      <c r="Q4" s="2">
        <v>1.6027000000000001E-3</v>
      </c>
      <c r="R4" s="10">
        <f>Q4/O4</f>
        <v>0.97797120164912132</v>
      </c>
      <c r="S4" s="2">
        <f>3*P4+O4</f>
        <v>1.7489583551039869E-3</v>
      </c>
      <c r="T4" s="3">
        <f t="shared" ref="T4:T11" si="10">0.97*Q4/S4</f>
        <v>0.88888280013252119</v>
      </c>
      <c r="U4" s="3">
        <f t="shared" si="0"/>
        <v>0.96660266572601283</v>
      </c>
      <c r="V4" s="2">
        <v>7.3026000000000002E-3</v>
      </c>
      <c r="W4">
        <v>42961</v>
      </c>
      <c r="X4" s="2">
        <f t="shared" si="6"/>
        <v>7.0148479760652454E-3</v>
      </c>
      <c r="Y4" s="2">
        <f t="shared" si="7"/>
        <v>1.0410204219559096</v>
      </c>
    </row>
    <row r="5" spans="1:25" x14ac:dyDescent="0.3">
      <c r="A5" s="8" t="s">
        <v>22</v>
      </c>
      <c r="B5" s="4">
        <v>661</v>
      </c>
      <c r="C5" s="4">
        <v>0.85099999999999998</v>
      </c>
      <c r="D5" s="4">
        <f t="shared" si="8"/>
        <v>948287519.99999988</v>
      </c>
      <c r="E5" s="5">
        <v>42814</v>
      </c>
      <c r="F5" s="4">
        <f t="shared" ref="F5:F6" si="11">K5*37000</f>
        <v>38554</v>
      </c>
      <c r="G5" s="5">
        <v>39814</v>
      </c>
      <c r="H5" s="4">
        <f t="shared" si="9"/>
        <v>259200000</v>
      </c>
      <c r="I5" s="4">
        <f t="shared" ref="I5:I6" si="12">F5*EXP(-J5*H5)</f>
        <v>31899.763472592538</v>
      </c>
      <c r="J5" s="4">
        <f t="shared" ref="J5:J6" si="13">LN(2)/D5</f>
        <v>7.3094622247052809E-10</v>
      </c>
      <c r="K5" s="4">
        <v>1.042</v>
      </c>
      <c r="L5" s="4">
        <v>229</v>
      </c>
      <c r="M5" s="4">
        <v>10168.299999999999</v>
      </c>
      <c r="N5" s="4">
        <v>101.1</v>
      </c>
      <c r="O5" s="6">
        <f t="shared" si="4"/>
        <v>1.6356705923779825E-3</v>
      </c>
      <c r="P5" s="6">
        <f t="shared" si="5"/>
        <v>3.6602620147657855E-5</v>
      </c>
      <c r="Q5" s="6">
        <v>1.5705999999999999E-3</v>
      </c>
      <c r="R5" s="9">
        <f t="shared" ref="R5:R11" si="14">Q5/O5</f>
        <v>0.96021778915558964</v>
      </c>
      <c r="S5" s="6">
        <f>3*P5+O5</f>
        <v>1.745478452820956E-3</v>
      </c>
      <c r="T5" s="7">
        <f t="shared" si="10"/>
        <v>0.87281627426441355</v>
      </c>
      <c r="U5" s="7">
        <f t="shared" si="0"/>
        <v>3.1604226895846481</v>
      </c>
      <c r="V5" s="6">
        <v>7.2798999999999997E-3</v>
      </c>
      <c r="W5" s="4">
        <v>38965</v>
      </c>
      <c r="X5" s="6">
        <f t="shared" si="6"/>
        <v>6.2679016779607294E-3</v>
      </c>
      <c r="Y5" s="6">
        <f t="shared" si="7"/>
        <v>1.1614572745449518</v>
      </c>
    </row>
    <row r="6" spans="1:25" x14ac:dyDescent="0.3">
      <c r="A6" s="8" t="s">
        <v>23</v>
      </c>
      <c r="B6">
        <v>661</v>
      </c>
      <c r="C6">
        <v>0.85099999999999998</v>
      </c>
      <c r="D6">
        <f t="shared" si="8"/>
        <v>948287519.99999988</v>
      </c>
      <c r="E6" s="1">
        <v>42814</v>
      </c>
      <c r="F6">
        <f t="shared" si="11"/>
        <v>38554</v>
      </c>
      <c r="G6" s="1">
        <v>39814</v>
      </c>
      <c r="H6">
        <f t="shared" si="9"/>
        <v>259200000</v>
      </c>
      <c r="I6">
        <f t="shared" si="12"/>
        <v>31899.763472592538</v>
      </c>
      <c r="J6">
        <f t="shared" si="13"/>
        <v>7.3094622247052809E-10</v>
      </c>
      <c r="K6">
        <v>1.042</v>
      </c>
      <c r="L6">
        <v>228.4</v>
      </c>
      <c r="M6">
        <v>10088.299999999999</v>
      </c>
      <c r="N6">
        <v>100.7</v>
      </c>
      <c r="O6" s="2">
        <f t="shared" si="4"/>
        <v>1.6270648612971867E-3</v>
      </c>
      <c r="P6" s="2">
        <f t="shared" si="5"/>
        <v>3.6438787582501609E-5</v>
      </c>
      <c r="Q6" s="2">
        <v>1.5923000000000001E-3</v>
      </c>
      <c r="R6" s="10">
        <f t="shared" si="14"/>
        <v>0.97863338940927647</v>
      </c>
      <c r="S6" s="2">
        <f>3*P6+O6</f>
        <v>1.7363812240446916E-3</v>
      </c>
      <c r="T6" s="3">
        <f t="shared" si="10"/>
        <v>0.88951146131504488</v>
      </c>
      <c r="U6" s="3">
        <f t="shared" si="0"/>
        <v>0.91023423379316881</v>
      </c>
      <c r="V6" s="2">
        <v>7.2759000000000001E-3</v>
      </c>
      <c r="W6">
        <v>38954</v>
      </c>
      <c r="X6" s="2">
        <f t="shared" si="6"/>
        <v>6.2825931630671791E-3</v>
      </c>
      <c r="Y6" s="2">
        <f t="shared" si="7"/>
        <v>1.1581045933026619</v>
      </c>
    </row>
    <row r="7" spans="1:25" x14ac:dyDescent="0.3">
      <c r="A7" s="13" t="s">
        <v>26</v>
      </c>
      <c r="B7" s="4">
        <v>661</v>
      </c>
      <c r="C7" s="4">
        <v>0.85099999999999998</v>
      </c>
      <c r="D7" s="4">
        <f>30.07*365*24*3600</f>
        <v>948287519.99999988</v>
      </c>
      <c r="E7" s="5">
        <v>42814</v>
      </c>
      <c r="F7" s="4">
        <f t="shared" ref="F7:F9" si="15">K7*37000</f>
        <v>38554</v>
      </c>
      <c r="G7" s="5">
        <v>39814</v>
      </c>
      <c r="H7" s="4">
        <f t="shared" ref="H7:H9" si="16">(E7-G7)*24*3600</f>
        <v>259200000</v>
      </c>
      <c r="I7" s="4">
        <f t="shared" ref="I7:I9" si="17">F7*EXP(-J7*H7)</f>
        <v>31899.763472592538</v>
      </c>
      <c r="J7" s="4">
        <f t="shared" ref="J7:J9" si="18">LN(2)/D7</f>
        <v>7.3094622247052809E-10</v>
      </c>
      <c r="K7" s="4">
        <v>1.042</v>
      </c>
      <c r="L7" s="4">
        <v>14.36</v>
      </c>
      <c r="M7" s="4">
        <v>11810.9</v>
      </c>
      <c r="N7" s="4">
        <v>108.9</v>
      </c>
      <c r="O7" s="6">
        <f t="shared" si="4"/>
        <v>3.0297830356941006E-2</v>
      </c>
      <c r="P7" s="6">
        <f t="shared" si="5"/>
        <v>9.4359981502925008E-4</v>
      </c>
      <c r="Q7" s="6">
        <v>3.2863999999999997E-2</v>
      </c>
      <c r="R7" s="9">
        <f>Q7/O7</f>
        <v>1.0846981322697618</v>
      </c>
      <c r="S7" s="6">
        <f t="shared" ref="S7:S11" si="19">3*P7+O7</f>
        <v>3.3128629802028756E-2</v>
      </c>
      <c r="T7" s="7">
        <f>0.97*Q7/S7</f>
        <v>0.96225168956573692</v>
      </c>
      <c r="U7" s="7">
        <f t="shared" si="0"/>
        <v>7.3959681468459832</v>
      </c>
      <c r="V7" s="6">
        <v>0.18402499999999999</v>
      </c>
      <c r="W7" s="4">
        <v>49230</v>
      </c>
      <c r="X7" s="6">
        <f t="shared" si="6"/>
        <v>0.12628692042708056</v>
      </c>
      <c r="Y7" s="6">
        <f t="shared" si="7"/>
        <v>1.4571976209227306</v>
      </c>
    </row>
    <row r="8" spans="1:25" x14ac:dyDescent="0.3">
      <c r="A8" s="13" t="s">
        <v>27</v>
      </c>
      <c r="B8" s="11">
        <v>661</v>
      </c>
      <c r="C8" s="11">
        <v>0.85099999999999998</v>
      </c>
      <c r="D8" s="11">
        <f>30.07*365*24*3600</f>
        <v>948287519.99999988</v>
      </c>
      <c r="E8" s="1">
        <v>42814</v>
      </c>
      <c r="F8">
        <f t="shared" si="15"/>
        <v>38554</v>
      </c>
      <c r="G8" s="1">
        <v>39814</v>
      </c>
      <c r="H8">
        <f t="shared" si="16"/>
        <v>259200000</v>
      </c>
      <c r="I8">
        <f t="shared" si="17"/>
        <v>31899.763472592538</v>
      </c>
      <c r="J8">
        <f t="shared" si="18"/>
        <v>7.3094622247052809E-10</v>
      </c>
      <c r="K8">
        <v>1.042</v>
      </c>
      <c r="L8">
        <v>10.08</v>
      </c>
      <c r="M8">
        <v>11452.3</v>
      </c>
      <c r="N8">
        <v>107.3</v>
      </c>
      <c r="O8" s="2">
        <f t="shared" si="4"/>
        <v>4.1851898270809561E-2</v>
      </c>
      <c r="P8" s="2">
        <f t="shared" si="5"/>
        <v>1.6057028788690132E-3</v>
      </c>
      <c r="Q8" s="2">
        <v>4.3739E-2</v>
      </c>
      <c r="R8" s="10">
        <f>Q8/O8</f>
        <v>1.0450899913064788</v>
      </c>
      <c r="S8" s="2">
        <f t="shared" si="19"/>
        <v>4.6669006907416599E-2</v>
      </c>
      <c r="T8" s="3">
        <f>0.97*Q8/S8</f>
        <v>0.9091007675429571</v>
      </c>
      <c r="U8" s="3">
        <f t="shared" si="0"/>
        <v>1.381211714640614</v>
      </c>
      <c r="V8" s="2">
        <v>0.26486500000000002</v>
      </c>
      <c r="W8">
        <v>49121</v>
      </c>
      <c r="X8" s="2">
        <f t="shared" si="6"/>
        <v>0.17951041231546822</v>
      </c>
      <c r="Y8" s="2">
        <f t="shared" si="7"/>
        <v>1.4754854416719363</v>
      </c>
    </row>
    <row r="9" spans="1:25" x14ac:dyDescent="0.3">
      <c r="A9" s="13" t="s">
        <v>28</v>
      </c>
      <c r="B9" s="4">
        <v>661</v>
      </c>
      <c r="C9" s="4">
        <v>0.85099999999999998</v>
      </c>
      <c r="D9" s="4">
        <f t="shared" ref="D9:D11" si="20">30.07*365*24*3600</f>
        <v>948287519.99999988</v>
      </c>
      <c r="E9" s="5">
        <v>42814</v>
      </c>
      <c r="F9" s="4">
        <f t="shared" si="15"/>
        <v>38554</v>
      </c>
      <c r="G9" s="5">
        <v>39814</v>
      </c>
      <c r="H9" s="4">
        <f t="shared" si="16"/>
        <v>259200000</v>
      </c>
      <c r="I9" s="4">
        <f t="shared" si="17"/>
        <v>31899.763472592538</v>
      </c>
      <c r="J9" s="4">
        <f t="shared" si="18"/>
        <v>7.3094622247052809E-10</v>
      </c>
      <c r="K9" s="4">
        <v>1.042</v>
      </c>
      <c r="L9" s="4">
        <v>14.48</v>
      </c>
      <c r="M9" s="4">
        <v>12900.5</v>
      </c>
      <c r="N9" s="4">
        <v>113.9</v>
      </c>
      <c r="O9" s="6">
        <f t="shared" si="4"/>
        <v>3.2818668584155629E-2</v>
      </c>
      <c r="P9" s="6">
        <f t="shared" si="5"/>
        <v>1.0141405728368677E-3</v>
      </c>
      <c r="Q9" s="6">
        <v>3.2815700000000003E-2</v>
      </c>
      <c r="R9" s="9">
        <f t="shared" si="14"/>
        <v>0.99990954586874803</v>
      </c>
      <c r="S9" s="6">
        <f t="shared" si="19"/>
        <v>3.5861090302666231E-2</v>
      </c>
      <c r="T9" s="7">
        <f t="shared" si="10"/>
        <v>0.88762580087068321</v>
      </c>
      <c r="U9" s="7">
        <f t="shared" ref="U9:U11" si="21">(O9-Q9)^2/P9^2</f>
        <v>8.5684529121661486E-6</v>
      </c>
      <c r="V9" s="6">
        <v>0.18431500000000001</v>
      </c>
      <c r="W9" s="4">
        <v>49476</v>
      </c>
      <c r="X9" s="6">
        <f t="shared" si="6"/>
        <v>0.12586616385951582</v>
      </c>
      <c r="Y9" s="6">
        <f t="shared" si="7"/>
        <v>1.4643729049033483</v>
      </c>
    </row>
    <row r="10" spans="1:25" x14ac:dyDescent="0.3">
      <c r="A10" s="13" t="s">
        <v>29</v>
      </c>
      <c r="B10" s="11">
        <v>661</v>
      </c>
      <c r="C10" s="11">
        <v>0.85099999999999998</v>
      </c>
      <c r="D10" s="11">
        <f t="shared" si="20"/>
        <v>948287519.99999988</v>
      </c>
      <c r="E10" s="1">
        <v>42814</v>
      </c>
      <c r="F10">
        <f t="shared" ref="F10:F11" si="22">K10*37000</f>
        <v>38554</v>
      </c>
      <c r="G10" s="1">
        <v>39814</v>
      </c>
      <c r="H10">
        <f t="shared" ref="H10:H11" si="23">(E10-G10)*24*3600</f>
        <v>259200000</v>
      </c>
      <c r="I10">
        <f t="shared" ref="I10:I11" si="24">F10*EXP(-J10*H10)</f>
        <v>31899.763472592538</v>
      </c>
      <c r="J10">
        <f t="shared" ref="J10:J11" si="25">LN(2)/D10</f>
        <v>7.3094622247052809E-10</v>
      </c>
      <c r="K10">
        <v>1.042</v>
      </c>
      <c r="L10">
        <v>13.08</v>
      </c>
      <c r="M10">
        <v>11645.2</v>
      </c>
      <c r="N10">
        <v>108.2</v>
      </c>
      <c r="O10" s="2">
        <f t="shared" si="4"/>
        <v>3.2796098698359658E-2</v>
      </c>
      <c r="P10" s="2">
        <f t="shared" si="5"/>
        <v>1.0732042982709198E-3</v>
      </c>
      <c r="Q10" s="2">
        <v>3.2927699999999997E-2</v>
      </c>
      <c r="R10" s="10">
        <f t="shared" si="14"/>
        <v>1.0040127120866031</v>
      </c>
      <c r="S10" s="2">
        <f t="shared" si="19"/>
        <v>3.601571159317242E-2</v>
      </c>
      <c r="T10" s="3">
        <f t="shared" si="10"/>
        <v>0.88683154065613157</v>
      </c>
      <c r="U10" s="3">
        <f t="shared" si="21"/>
        <v>1.5036804830212474E-2</v>
      </c>
      <c r="V10" s="2">
        <v>0.18396000000000001</v>
      </c>
      <c r="W10">
        <v>49733</v>
      </c>
      <c r="X10" s="2">
        <f t="shared" si="6"/>
        <v>0.14006186038586893</v>
      </c>
      <c r="Y10" s="2">
        <f t="shared" si="7"/>
        <v>1.3134196525249071</v>
      </c>
    </row>
    <row r="11" spans="1:25" x14ac:dyDescent="0.3">
      <c r="A11" s="13" t="s">
        <v>30</v>
      </c>
      <c r="B11" s="4">
        <v>661</v>
      </c>
      <c r="C11" s="4">
        <v>0.85099999999999998</v>
      </c>
      <c r="D11" s="4">
        <f t="shared" si="20"/>
        <v>948287519.99999988</v>
      </c>
      <c r="E11" s="5">
        <v>42814</v>
      </c>
      <c r="F11" s="4">
        <f t="shared" si="22"/>
        <v>38554</v>
      </c>
      <c r="G11" s="5">
        <v>39814</v>
      </c>
      <c r="H11" s="4">
        <f t="shared" si="23"/>
        <v>259200000</v>
      </c>
      <c r="I11" s="4">
        <f t="shared" si="24"/>
        <v>31899.763472592538</v>
      </c>
      <c r="J11" s="4">
        <f t="shared" si="25"/>
        <v>7.3094622247052809E-10</v>
      </c>
      <c r="K11" s="4">
        <v>1.042</v>
      </c>
      <c r="L11" s="4">
        <v>12.24</v>
      </c>
      <c r="M11" s="4">
        <v>12192.2</v>
      </c>
      <c r="N11" s="4">
        <v>110.7</v>
      </c>
      <c r="O11" s="6">
        <f t="shared" si="4"/>
        <v>3.6693035189762045E-2</v>
      </c>
      <c r="P11" s="6">
        <f t="shared" si="5"/>
        <v>1.2442764650411491E-3</v>
      </c>
      <c r="Q11" s="6">
        <v>3.27893E-2</v>
      </c>
      <c r="R11" s="9">
        <f t="shared" si="14"/>
        <v>0.8936110035712922</v>
      </c>
      <c r="S11" s="6">
        <f t="shared" si="19"/>
        <v>4.0425864584885493E-2</v>
      </c>
      <c r="T11" s="7">
        <f t="shared" si="10"/>
        <v>0.7867641502933137</v>
      </c>
      <c r="U11" s="7">
        <f t="shared" si="21"/>
        <v>9.8429873228299094</v>
      </c>
      <c r="V11" s="6">
        <v>0.18412300000000001</v>
      </c>
      <c r="W11" s="4">
        <v>50210</v>
      </c>
      <c r="X11" s="6">
        <f t="shared" si="6"/>
        <v>0.15110950418119387</v>
      </c>
      <c r="Y11" s="6">
        <f t="shared" si="7"/>
        <v>1.2184739867799446</v>
      </c>
    </row>
    <row r="12" spans="1:25" x14ac:dyDescent="0.3">
      <c r="U12" s="12">
        <f>SUM(U2:U11)/9</f>
        <v>2.8329570885405491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2017-06-12T01:44:57Z</dcterms:modified>
</cp:coreProperties>
</file>