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88Inch_Activation\88_Run\"/>
    </mc:Choice>
  </mc:AlternateContent>
  <bookViews>
    <workbookView xWindow="0" yWindow="0" windowWidth="23040" windowHeight="9684"/>
  </bookViews>
  <sheets>
    <sheet name="Sheet1" sheetId="1" r:id="rId1"/>
  </sheets>
  <definedNames>
    <definedName name="solver_typ" localSheetId="0" hidden="1">2</definedName>
    <definedName name="solver_ver" localSheetId="0" hidden="1">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1" l="1"/>
  <c r="M19" i="1"/>
  <c r="M17" i="1"/>
  <c r="M15" i="1"/>
  <c r="M16" i="1"/>
  <c r="M14" i="1"/>
  <c r="N14" i="1" s="1"/>
  <c r="M13" i="1"/>
  <c r="M12" i="1"/>
  <c r="M11" i="1"/>
  <c r="N11" i="1"/>
  <c r="N12" i="1"/>
  <c r="N13" i="1"/>
  <c r="N15" i="1"/>
  <c r="N16" i="1"/>
  <c r="N17" i="1"/>
  <c r="N18" i="1"/>
  <c r="N19" i="1"/>
  <c r="O12" i="1"/>
  <c r="O13" i="1"/>
  <c r="O14" i="1"/>
  <c r="O15" i="1"/>
  <c r="O16" i="1"/>
  <c r="O17" i="1"/>
  <c r="O18" i="1"/>
  <c r="O19" i="1"/>
  <c r="R2" i="1"/>
  <c r="R5" i="1"/>
  <c r="R7" i="1"/>
  <c r="L17" i="1"/>
  <c r="L18" i="1"/>
  <c r="L19" i="1"/>
  <c r="R17" i="1"/>
  <c r="S17" i="1" s="1"/>
  <c r="Q17" i="1"/>
  <c r="R16" i="1"/>
  <c r="S16" i="1"/>
  <c r="Q16" i="1"/>
  <c r="L14" i="1"/>
  <c r="L15" i="1"/>
  <c r="L16" i="1"/>
  <c r="S15" i="1"/>
  <c r="R15" i="1"/>
  <c r="Q15" i="1"/>
  <c r="S14" i="1"/>
  <c r="R14" i="1"/>
  <c r="Q14" i="1"/>
  <c r="S13" i="1"/>
  <c r="R13" i="1"/>
  <c r="Q13" i="1"/>
  <c r="F13" i="1"/>
  <c r="L12" i="1"/>
  <c r="L13" i="1"/>
  <c r="S2" i="1"/>
  <c r="S5" i="1"/>
  <c r="S6" i="1"/>
  <c r="S7" i="1"/>
  <c r="O10" i="1"/>
  <c r="S12" i="1"/>
  <c r="O11" i="1"/>
  <c r="R12" i="1"/>
  <c r="Q12" i="1"/>
  <c r="Q11" i="1"/>
  <c r="L11" i="1"/>
  <c r="Q8" i="1"/>
  <c r="Q7" i="1"/>
  <c r="Q2" i="1"/>
  <c r="Q5" i="1"/>
  <c r="Q6" i="1"/>
  <c r="O3" i="1" l="1"/>
  <c r="O4" i="1"/>
  <c r="O5" i="1"/>
  <c r="O6" i="1"/>
  <c r="O7" i="1"/>
  <c r="O8" i="1"/>
  <c r="O9" i="1"/>
  <c r="O2" i="1"/>
  <c r="M10" i="1" l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M2" i="1"/>
  <c r="N2" i="1" s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<sst xmlns="http://schemas.openxmlformats.org/spreadsheetml/2006/main" count="97" uniqueCount="56">
  <si>
    <t>Radius [cm]</t>
  </si>
  <si>
    <t>Thickness [cm]</t>
  </si>
  <si>
    <t>BR</t>
  </si>
  <si>
    <t>Rx Product</t>
  </si>
  <si>
    <t>Zr89</t>
  </si>
  <si>
    <t>Au196</t>
  </si>
  <si>
    <t>Au198</t>
  </si>
  <si>
    <t>Rx</t>
  </si>
  <si>
    <t>90Zr(n,2n)</t>
  </si>
  <si>
    <t>197Au(n,2n)</t>
  </si>
  <si>
    <t>197Au(n,g)</t>
  </si>
  <si>
    <t>27Al(n,p)</t>
  </si>
  <si>
    <t>27Al(n,a)</t>
  </si>
  <si>
    <t>58Ni(n,p)</t>
  </si>
  <si>
    <t>Ni57</t>
  </si>
  <si>
    <t>Co58</t>
  </si>
  <si>
    <t>Na24</t>
  </si>
  <si>
    <t>Mg27</t>
  </si>
  <si>
    <t>115In(n,g)</t>
  </si>
  <si>
    <t>115In(n,n')</t>
  </si>
  <si>
    <t>In115M</t>
  </si>
  <si>
    <t>In116M</t>
  </si>
  <si>
    <t>58Ni(n,2n)</t>
  </si>
  <si>
    <t>Src [src s^-1]</t>
  </si>
  <si>
    <t>Rx [vol^-1 src^-1]</t>
  </si>
  <si>
    <t>Density</t>
  </si>
  <si>
    <t>Volume</t>
  </si>
  <si>
    <t>Half-Life</t>
  </si>
  <si>
    <t>Lambda</t>
  </si>
  <si>
    <t>AW</t>
  </si>
  <si>
    <t>Rx [atoms atoms^-1 s^-1]</t>
  </si>
  <si>
    <t>Isotopic Fraction</t>
  </si>
  <si>
    <t>Yes</t>
  </si>
  <si>
    <t>No</t>
  </si>
  <si>
    <t>-</t>
  </si>
  <si>
    <t>% Rx ↑ 20 MeV</t>
  </si>
  <si>
    <t>103Rh(n,n')</t>
  </si>
  <si>
    <t>103RhM</t>
  </si>
  <si>
    <t>46Ti(n,2n)</t>
  </si>
  <si>
    <t>Sc47</t>
  </si>
  <si>
    <t>47Ti(n,p)</t>
  </si>
  <si>
    <t>48Ti(n,p)</t>
  </si>
  <si>
    <t>Sc48</t>
  </si>
  <si>
    <t>49Ti(n,p)</t>
  </si>
  <si>
    <t>Sc49</t>
  </si>
  <si>
    <t>49Ti(n,np)</t>
  </si>
  <si>
    <t>141Pr(n,2n)</t>
  </si>
  <si>
    <t>Pr140</t>
  </si>
  <si>
    <t>63Cu(n,2n)</t>
  </si>
  <si>
    <t>Cu62</t>
  </si>
  <si>
    <t>65Cu(n,2n)</t>
  </si>
  <si>
    <t>Cu64</t>
  </si>
  <si>
    <r>
      <t xml:space="preserve">Rx </t>
    </r>
    <r>
      <rPr>
        <b/>
        <sz val="11"/>
        <color theme="1"/>
        <rFont val="Calibri"/>
        <family val="2"/>
      </rPr>
      <t>↓20MeV</t>
    </r>
    <r>
      <rPr>
        <b/>
        <sz val="11"/>
        <color theme="1"/>
        <rFont val="Calibri"/>
        <family val="2"/>
        <scheme val="minor"/>
      </rPr>
      <t xml:space="preserve"> [vol^-1 src^-1]</t>
    </r>
  </si>
  <si>
    <t>Rx ↓20MeV [atoms atoms^-1 s^-1]</t>
  </si>
  <si>
    <t>Gamma E [kev]</t>
  </si>
  <si>
    <t>σ→ 35MeV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</si>
</sst>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 vertical="center"/>
    </xf>
    <xf numFmtId="11" fontId="0" fillId="0" borderId="0" xfId="0" applyNumberFormat="1"/>
    <xf numFmtId="11" fontId="0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Font="1"/>
    <xf numFmtId="11" fontId="1" fillId="0" borderId="0" xfId="0" applyNumberFormat="1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ill="1" applyAlignment="1">
      <alignment horizontal="right"/>
    </xf>
    <xf numFmtId="11" fontId="0" fillId="2" borderId="0" xfId="0" applyNumberFormat="1" applyFill="1" applyAlignment="1">
      <alignment horizontal="right"/>
    </xf>
    <xf numFmtId="0" fontId="0" fillId="2" borderId="0" xfId="0" applyFont="1" applyFill="1" applyAlignment="1">
      <alignment horizontal="right"/>
    </xf>
    <xf numFmtId="164" fontId="0" fillId="2" borderId="0" xfId="0" applyNumberFormat="1" applyFont="1" applyFill="1" applyAlignment="1">
      <alignment horizontal="right"/>
    </xf>
    <xf numFmtId="0" fontId="0" fillId="2" borderId="0" xfId="0" applyFill="1"/>
    <xf numFmtId="11" fontId="0" fillId="2" borderId="0" xfId="0" applyNumberFormat="1" applyFill="1"/>
    <xf numFmtId="10" fontId="0" fillId="2" borderId="0" xfId="0" applyNumberFormat="1" applyFont="1" applyFill="1"/>
    <xf numFmtId="11" fontId="0" fillId="2" borderId="0" xfId="0" applyNumberFormat="1" applyFont="1" applyFill="1"/>
    <xf numFmtId="0" fontId="0" fillId="2" borderId="0" xfId="0" applyFont="1" applyFill="1" applyAlignment="1">
      <alignment horizontal="right" vertical="center"/>
    </xf>
    <xf numFmtId="11" fontId="0" fillId="2" borderId="0" xfId="0" applyNumberFormat="1" applyFont="1" applyFill="1" applyAlignment="1">
      <alignment horizontal="right" vertical="center"/>
    </xf>
    <xf numFmtId="0" fontId="0" fillId="3" borderId="0" xfId="0" applyFont="1" applyFill="1"/>
    <xf numFmtId="0" fontId="0" fillId="3" borderId="0" xfId="0" applyFill="1" applyAlignment="1">
      <alignment horizontal="right"/>
    </xf>
    <xf numFmtId="11" fontId="0" fillId="3" borderId="0" xfId="0" applyNumberFormat="1" applyFill="1" applyAlignment="1">
      <alignment horizontal="right"/>
    </xf>
    <xf numFmtId="0" fontId="0" fillId="3" borderId="0" xfId="0" applyFont="1" applyFill="1" applyAlignment="1">
      <alignment horizontal="right"/>
    </xf>
    <xf numFmtId="164" fontId="0" fillId="3" borderId="0" xfId="0" applyNumberFormat="1" applyFont="1" applyFill="1" applyAlignment="1">
      <alignment horizontal="right"/>
    </xf>
    <xf numFmtId="0" fontId="0" fillId="3" borderId="0" xfId="0" applyFill="1"/>
    <xf numFmtId="1" fontId="0" fillId="3" borderId="0" xfId="0" applyNumberFormat="1" applyFill="1"/>
    <xf numFmtId="11" fontId="0" fillId="3" borderId="0" xfId="0" applyNumberFormat="1" applyFill="1"/>
    <xf numFmtId="10" fontId="0" fillId="3" borderId="0" xfId="0" applyNumberFormat="1" applyFont="1" applyFill="1"/>
    <xf numFmtId="11" fontId="0" fillId="3" borderId="0" xfId="0" applyNumberFormat="1" applyFont="1" applyFill="1"/>
    <xf numFmtId="0" fontId="0" fillId="3" borderId="0" xfId="0" applyFont="1" applyFill="1" applyAlignment="1">
      <alignment horizontal="right" vertical="center"/>
    </xf>
    <xf numFmtId="11" fontId="0" fillId="3" borderId="0" xfId="0" applyNumberFormat="1" applyFont="1" applyFill="1" applyAlignment="1">
      <alignment horizontal="right" vertical="center"/>
    </xf>
    <xf numFmtId="164" fontId="0" fillId="3" borderId="0" xfId="0" applyNumberFormat="1" applyFont="1" applyFill="1"/>
    <xf numFmtId="1" fontId="0" fillId="3" borderId="0" xfId="0" applyNumberFormat="1" applyFont="1" applyFill="1"/>
    <xf numFmtId="11" fontId="0" fillId="3" borderId="0" xfId="0" applyNumberFormat="1" applyFill="1" applyBorder="1"/>
    <xf numFmtId="164" fontId="0" fillId="3" borderId="0" xfId="0" applyNumberFormat="1" applyFill="1" applyAlignment="1">
      <alignment horizontal="right"/>
    </xf>
    <xf numFmtId="0" fontId="0" fillId="4" borderId="0" xfId="0" applyFont="1" applyFill="1"/>
    <xf numFmtId="0" fontId="0" fillId="4" borderId="0" xfId="0" applyFill="1" applyAlignment="1">
      <alignment horizontal="right"/>
    </xf>
    <xf numFmtId="11" fontId="0" fillId="4" borderId="0" xfId="0" applyNumberFormat="1" applyFill="1" applyBorder="1"/>
    <xf numFmtId="11" fontId="0" fillId="4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/>
    <xf numFmtId="1" fontId="0" fillId="4" borderId="0" xfId="0" applyNumberFormat="1" applyFill="1"/>
    <xf numFmtId="11" fontId="0" fillId="4" borderId="0" xfId="0" applyNumberFormat="1" applyFill="1"/>
    <xf numFmtId="10" fontId="0" fillId="4" borderId="0" xfId="0" applyNumberFormat="1" applyFill="1"/>
    <xf numFmtId="11" fontId="0" fillId="4" borderId="0" xfId="0" applyNumberFormat="1" applyFont="1" applyFill="1"/>
    <xf numFmtId="11" fontId="0" fillId="2" borderId="0" xfId="0" applyNumberFormat="1" applyFill="1" applyBorder="1"/>
    <xf numFmtId="0" fontId="0" fillId="4" borderId="0" xfId="0" applyFont="1" applyFill="1" applyAlignment="1">
      <alignment horizontal="right" vertical="center"/>
    </xf>
    <xf numFmtId="11" fontId="0" fillId="4" borderId="0" xfId="0" applyNumberFormat="1" applyFont="1" applyFill="1" applyAlignment="1">
      <alignment horizontal="right" vertical="center"/>
    </xf>
    <xf numFmtId="164" fontId="0" fillId="4" borderId="0" xfId="0" applyNumberFormat="1" applyFill="1"/>
    <xf numFmtId="1" fontId="0" fillId="4" borderId="0" xfId="0" applyNumberFormat="1" applyFont="1" applyFill="1"/>
    <xf numFmtId="10" fontId="0" fillId="4" borderId="0" xfId="0" applyNumberFormat="1" applyFont="1" applyFill="1"/>
    <xf numFmtId="1" fontId="0" fillId="4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1" fontId="0" fillId="2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3" borderId="0" xfId="0" applyNumberFormat="1" applyFont="1" applyFill="1" applyAlignment="1">
      <alignment horizontal="right"/>
    </xf>
    <xf numFmtId="1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G23" sqref="G23"/>
    </sheetView>
  </sheetViews>
  <sheetFormatPr defaultRowHeight="14.4" x14ac:dyDescent="0.3"/>
  <cols>
    <col min="1" max="1" width="10.77734375" customWidth="1"/>
    <col min="2" max="2" width="8.88671875" customWidth="1"/>
    <col min="3" max="3" width="9.109375" customWidth="1"/>
    <col min="4" max="4" width="7" bestFit="1" customWidth="1"/>
    <col min="5" max="5" width="11.77734375" customWidth="1"/>
    <col min="6" max="6" width="10.6640625" customWidth="1"/>
    <col min="7" max="7" width="7.77734375" customWidth="1"/>
    <col min="8" max="8" width="9.77734375" customWidth="1"/>
    <col min="11" max="11" width="9.109375" customWidth="1"/>
    <col min="13" max="13" width="8.88671875" style="11"/>
    <col min="14" max="14" width="8.88671875" style="6"/>
    <col min="15" max="15" width="13.44140625" customWidth="1"/>
    <col min="16" max="16" width="7.5546875" customWidth="1"/>
    <col min="17" max="17" width="8.33203125" customWidth="1"/>
    <col min="18" max="18" width="13.88671875" customWidth="1"/>
    <col min="19" max="19" width="17.5546875" customWidth="1"/>
  </cols>
  <sheetData>
    <row r="1" spans="1:19" s="9" customFormat="1" ht="29.4" customHeight="1" x14ac:dyDescent="0.3">
      <c r="A1" s="8" t="s">
        <v>7</v>
      </c>
      <c r="B1" s="8" t="s">
        <v>3</v>
      </c>
      <c r="C1" s="8" t="s">
        <v>54</v>
      </c>
      <c r="D1" s="8" t="s">
        <v>2</v>
      </c>
      <c r="E1" s="8" t="s">
        <v>23</v>
      </c>
      <c r="F1" s="8" t="s">
        <v>24</v>
      </c>
      <c r="G1" s="8" t="s">
        <v>0</v>
      </c>
      <c r="H1" s="8" t="s">
        <v>1</v>
      </c>
      <c r="I1" s="8" t="s">
        <v>25</v>
      </c>
      <c r="J1" s="8" t="s">
        <v>29</v>
      </c>
      <c r="K1" s="8" t="s">
        <v>31</v>
      </c>
      <c r="L1" s="8" t="s">
        <v>26</v>
      </c>
      <c r="M1" s="10" t="s">
        <v>27</v>
      </c>
      <c r="N1" s="13" t="s">
        <v>28</v>
      </c>
      <c r="O1" s="8" t="s">
        <v>30</v>
      </c>
      <c r="P1" s="8" t="s">
        <v>55</v>
      </c>
      <c r="Q1" s="8" t="s">
        <v>35</v>
      </c>
      <c r="R1" s="8" t="s">
        <v>52</v>
      </c>
      <c r="S1" s="8" t="s">
        <v>53</v>
      </c>
    </row>
    <row r="2" spans="1:19" x14ac:dyDescent="0.3">
      <c r="A2" s="41" t="s">
        <v>8</v>
      </c>
      <c r="B2" s="42" t="s">
        <v>4</v>
      </c>
      <c r="C2" s="42">
        <v>909.15</v>
      </c>
      <c r="D2" s="42">
        <v>99.04</v>
      </c>
      <c r="E2" s="43">
        <v>9950000000</v>
      </c>
      <c r="F2" s="44">
        <v>1.0648899999999999E-7</v>
      </c>
      <c r="G2" s="42">
        <v>2.5</v>
      </c>
      <c r="H2" s="42">
        <v>0.1</v>
      </c>
      <c r="I2" s="42">
        <v>6.49</v>
      </c>
      <c r="J2" s="42">
        <v>89.904700000000005</v>
      </c>
      <c r="K2" s="45">
        <v>0.51449999999999996</v>
      </c>
      <c r="L2" s="46">
        <f t="shared" ref="L2:L19" si="0">3.141592654*G2^2*H2</f>
        <v>1.9634954087500001</v>
      </c>
      <c r="M2" s="47">
        <f>78.41*3600</f>
        <v>282276</v>
      </c>
      <c r="N2" s="48">
        <f t="shared" ref="N2:N19" si="1">0.6931471806/M2</f>
        <v>2.4555654061981891E-6</v>
      </c>
      <c r="O2" s="48">
        <f>F2/(6.022E+23*I2/J2)/K2</f>
        <v>4.7611988262947092E-30</v>
      </c>
      <c r="P2" s="46" t="s">
        <v>32</v>
      </c>
      <c r="Q2" s="49">
        <f>3.81830600658953E-08/F2</f>
        <v>0.35856342031473021</v>
      </c>
      <c r="R2" s="50">
        <f>F2-Q2*F2</f>
        <v>6.8305939934104698E-8</v>
      </c>
      <c r="S2" s="48">
        <f t="shared" ref="S2:S11" si="2">R2/(6.022E+23*I2/J2)/K2</f>
        <v>3.054007090339999E-30</v>
      </c>
    </row>
    <row r="3" spans="1:19" x14ac:dyDescent="0.3">
      <c r="A3" s="41" t="s">
        <v>22</v>
      </c>
      <c r="B3" s="52" t="s">
        <v>14</v>
      </c>
      <c r="C3" s="52">
        <v>1378</v>
      </c>
      <c r="D3" s="52">
        <v>81.7</v>
      </c>
      <c r="E3" s="43">
        <v>9950000000</v>
      </c>
      <c r="F3" s="53">
        <v>9.9718300000000003E-9</v>
      </c>
      <c r="G3" s="42">
        <v>2.5</v>
      </c>
      <c r="H3" s="42">
        <v>0.1</v>
      </c>
      <c r="I3" s="46">
        <v>8.9079999999999995</v>
      </c>
      <c r="J3" s="46">
        <v>57.935299999999998</v>
      </c>
      <c r="K3" s="54">
        <v>0.68076899999999996</v>
      </c>
      <c r="L3" s="46">
        <f t="shared" si="0"/>
        <v>1.9634954087500001</v>
      </c>
      <c r="M3" s="55">
        <f>35.6*3600</f>
        <v>128160</v>
      </c>
      <c r="N3" s="48">
        <f t="shared" si="1"/>
        <v>5.4084517837078655E-6</v>
      </c>
      <c r="O3" s="48">
        <f t="shared" ref="O3:O19" si="3">F3/(6.022E+23*I3/J3)/K3</f>
        <v>1.5819669113377647E-31</v>
      </c>
      <c r="P3" s="46" t="s">
        <v>33</v>
      </c>
      <c r="Q3" s="49" t="s">
        <v>34</v>
      </c>
      <c r="R3" s="46" t="s">
        <v>34</v>
      </c>
      <c r="S3" s="46" t="s">
        <v>34</v>
      </c>
    </row>
    <row r="4" spans="1:19" s="1" customFormat="1" x14ac:dyDescent="0.3">
      <c r="A4" s="41" t="s">
        <v>13</v>
      </c>
      <c r="B4" s="52" t="s">
        <v>15</v>
      </c>
      <c r="C4" s="52">
        <v>810.76</v>
      </c>
      <c r="D4" s="52">
        <v>99.45</v>
      </c>
      <c r="E4" s="43">
        <v>9950000000</v>
      </c>
      <c r="F4" s="53">
        <v>5.3626400000000002E-7</v>
      </c>
      <c r="G4" s="42">
        <v>2.5</v>
      </c>
      <c r="H4" s="42">
        <v>0.1</v>
      </c>
      <c r="I4" s="41">
        <v>8.9079999999999995</v>
      </c>
      <c r="J4" s="46">
        <v>57.935299999999998</v>
      </c>
      <c r="K4" s="54">
        <v>0.68076899999999996</v>
      </c>
      <c r="L4" s="46">
        <f t="shared" si="0"/>
        <v>1.9634954087500001</v>
      </c>
      <c r="M4" s="55">
        <f>70.86*24*3600</f>
        <v>6122304</v>
      </c>
      <c r="N4" s="48">
        <f t="shared" si="1"/>
        <v>1.1321672046994073E-7</v>
      </c>
      <c r="O4" s="48">
        <f t="shared" si="3"/>
        <v>8.5074846215953854E-30</v>
      </c>
      <c r="P4" s="41" t="s">
        <v>33</v>
      </c>
      <c r="Q4" s="56" t="s">
        <v>34</v>
      </c>
      <c r="R4" s="41" t="s">
        <v>34</v>
      </c>
      <c r="S4" s="41" t="s">
        <v>34</v>
      </c>
    </row>
    <row r="5" spans="1:19" x14ac:dyDescent="0.3">
      <c r="A5" s="41" t="s">
        <v>19</v>
      </c>
      <c r="B5" s="42" t="s">
        <v>20</v>
      </c>
      <c r="C5" s="42">
        <v>335</v>
      </c>
      <c r="D5" s="42">
        <v>45.8</v>
      </c>
      <c r="E5" s="43">
        <v>9950000000</v>
      </c>
      <c r="F5" s="44">
        <v>2.3977300000000001E-7</v>
      </c>
      <c r="G5" s="42">
        <v>2.5</v>
      </c>
      <c r="H5" s="42">
        <v>0.1</v>
      </c>
      <c r="I5" s="42">
        <v>7.31</v>
      </c>
      <c r="J5" s="42">
        <v>114.9038</v>
      </c>
      <c r="K5" s="45">
        <v>0.95709999999999995</v>
      </c>
      <c r="L5" s="46">
        <f t="shared" si="0"/>
        <v>1.9634954087500001</v>
      </c>
      <c r="M5" s="47">
        <f>4.5*3600</f>
        <v>16200</v>
      </c>
      <c r="N5" s="48">
        <f t="shared" si="1"/>
        <v>4.2786863000000001E-5</v>
      </c>
      <c r="O5" s="48">
        <f t="shared" si="3"/>
        <v>6.5391187516882981E-30</v>
      </c>
      <c r="P5" s="41" t="s">
        <v>32</v>
      </c>
      <c r="Q5" s="56">
        <f>2.22127700342762E-09/F5</f>
        <v>9.2640831262386508E-3</v>
      </c>
      <c r="R5" s="50">
        <f>F5-Q5*F5</f>
        <v>2.3755172299657238E-7</v>
      </c>
      <c r="S5" s="48">
        <f t="shared" si="2"/>
        <v>6.4785398120003117E-30</v>
      </c>
    </row>
    <row r="6" spans="1:19" x14ac:dyDescent="0.3">
      <c r="A6" s="41" t="s">
        <v>18</v>
      </c>
      <c r="B6" s="42" t="s">
        <v>21</v>
      </c>
      <c r="C6" s="42">
        <v>1293.56</v>
      </c>
      <c r="D6" s="42">
        <v>84.8</v>
      </c>
      <c r="E6" s="43">
        <v>9950000000</v>
      </c>
      <c r="F6" s="44">
        <v>2.1133900000000001E-7</v>
      </c>
      <c r="G6" s="42">
        <v>2.5</v>
      </c>
      <c r="H6" s="42">
        <v>0.1</v>
      </c>
      <c r="I6" s="42">
        <v>7.31</v>
      </c>
      <c r="J6" s="42">
        <v>114.9038</v>
      </c>
      <c r="K6" s="45">
        <v>0.95709999999999995</v>
      </c>
      <c r="L6" s="46">
        <f t="shared" si="0"/>
        <v>1.9634954087500001</v>
      </c>
      <c r="M6" s="47">
        <f>54.12*60</f>
        <v>3247.2</v>
      </c>
      <c r="N6" s="48">
        <f t="shared" si="1"/>
        <v>2.134599595343681E-4</v>
      </c>
      <c r="O6" s="48">
        <f t="shared" si="3"/>
        <v>5.7636632058782821E-30</v>
      </c>
      <c r="P6" s="41" t="s">
        <v>32</v>
      </c>
      <c r="Q6" s="56">
        <f t="shared" ref="Q6" si="4">5.1122620112361E-11/F6</f>
        <v>2.4189865624594137E-4</v>
      </c>
      <c r="R6" s="48">
        <v>2.6426000000000001E-7</v>
      </c>
      <c r="S6" s="48">
        <f t="shared" si="2"/>
        <v>7.2069312279579007E-30</v>
      </c>
    </row>
    <row r="7" spans="1:19" x14ac:dyDescent="0.3">
      <c r="A7" s="41" t="s">
        <v>9</v>
      </c>
      <c r="B7" s="42" t="s">
        <v>5</v>
      </c>
      <c r="C7" s="42">
        <v>355.7</v>
      </c>
      <c r="D7" s="42">
        <v>80.900000000000006</v>
      </c>
      <c r="E7" s="43">
        <v>9950000000</v>
      </c>
      <c r="F7" s="44">
        <v>8.2837199999999995E-7</v>
      </c>
      <c r="G7" s="42">
        <v>2</v>
      </c>
      <c r="H7" s="42">
        <v>2.5399999999999999E-2</v>
      </c>
      <c r="I7" s="42">
        <v>19.32</v>
      </c>
      <c r="J7" s="42">
        <v>196.9666</v>
      </c>
      <c r="K7" s="45">
        <v>1</v>
      </c>
      <c r="L7" s="46">
        <f t="shared" si="0"/>
        <v>0.31918581364639997</v>
      </c>
      <c r="M7" s="47">
        <f>2.695*24*3600</f>
        <v>232847.99999999997</v>
      </c>
      <c r="N7" s="48">
        <f t="shared" si="1"/>
        <v>2.9768225649350652E-6</v>
      </c>
      <c r="O7" s="48">
        <f t="shared" si="3"/>
        <v>1.402394260857188E-29</v>
      </c>
      <c r="P7" s="41" t="s">
        <v>32</v>
      </c>
      <c r="Q7" s="56">
        <f>0.00000005472448/F7</f>
        <v>6.6062686812205146E-2</v>
      </c>
      <c r="R7" s="50">
        <f>F7-Q7*F7</f>
        <v>7.7364752E-7</v>
      </c>
      <c r="S7" s="48">
        <f t="shared" si="2"/>
        <v>1.3097483280149457E-29</v>
      </c>
    </row>
    <row r="8" spans="1:19" x14ac:dyDescent="0.3">
      <c r="A8" s="41" t="s">
        <v>10</v>
      </c>
      <c r="B8" s="42" t="s">
        <v>6</v>
      </c>
      <c r="C8" s="42">
        <v>411.8</v>
      </c>
      <c r="D8" s="42">
        <v>95.62</v>
      </c>
      <c r="E8" s="43">
        <v>9950000000</v>
      </c>
      <c r="F8" s="44">
        <v>2.6017300000000001E-7</v>
      </c>
      <c r="G8" s="42">
        <v>2</v>
      </c>
      <c r="H8" s="42">
        <v>2.5399999999999999E-2</v>
      </c>
      <c r="I8" s="42">
        <v>19.32</v>
      </c>
      <c r="J8" s="42">
        <v>196.9666</v>
      </c>
      <c r="K8" s="45">
        <v>1</v>
      </c>
      <c r="L8" s="46">
        <f t="shared" si="0"/>
        <v>0.31918581364639997</v>
      </c>
      <c r="M8" s="47">
        <f>6.17*24*3600</f>
        <v>533088</v>
      </c>
      <c r="N8" s="48">
        <f t="shared" si="1"/>
        <v>1.3002490782009725E-6</v>
      </c>
      <c r="O8" s="48">
        <f t="shared" si="3"/>
        <v>4.4046047190150949E-30</v>
      </c>
      <c r="P8" s="41" t="s">
        <v>32</v>
      </c>
      <c r="Q8" s="56">
        <f>0.0000000000028500317/F8</f>
        <v>1.0954371514338535E-5</v>
      </c>
      <c r="R8" s="46" t="s">
        <v>34</v>
      </c>
      <c r="S8" s="46" t="s">
        <v>34</v>
      </c>
    </row>
    <row r="9" spans="1:19" x14ac:dyDescent="0.3">
      <c r="A9" s="41" t="s">
        <v>11</v>
      </c>
      <c r="B9" s="52" t="s">
        <v>17</v>
      </c>
      <c r="C9" s="52">
        <v>843.76</v>
      </c>
      <c r="D9" s="52">
        <v>71.8</v>
      </c>
      <c r="E9" s="43">
        <v>9950000000</v>
      </c>
      <c r="F9" s="53">
        <v>5.8313400000000003E-8</v>
      </c>
      <c r="G9" s="42">
        <v>2.5</v>
      </c>
      <c r="H9" s="42">
        <v>0.1</v>
      </c>
      <c r="I9" s="42">
        <v>2.7</v>
      </c>
      <c r="J9" s="42">
        <v>26.9815</v>
      </c>
      <c r="K9" s="45">
        <v>1</v>
      </c>
      <c r="L9" s="46">
        <f t="shared" si="0"/>
        <v>1.9634954087500001</v>
      </c>
      <c r="M9" s="47">
        <f>15*3600</f>
        <v>54000</v>
      </c>
      <c r="N9" s="48">
        <f t="shared" si="1"/>
        <v>1.28360589E-5</v>
      </c>
      <c r="O9" s="48">
        <f t="shared" si="3"/>
        <v>9.6767593029263074E-31</v>
      </c>
      <c r="P9" s="41" t="s">
        <v>33</v>
      </c>
      <c r="Q9" s="56" t="s">
        <v>34</v>
      </c>
      <c r="R9" s="46" t="s">
        <v>34</v>
      </c>
      <c r="S9" s="46" t="s">
        <v>34</v>
      </c>
    </row>
    <row r="10" spans="1:19" x14ac:dyDescent="0.3">
      <c r="A10" s="41" t="s">
        <v>12</v>
      </c>
      <c r="B10" s="52" t="s">
        <v>16</v>
      </c>
      <c r="C10" s="52">
        <v>1368.63</v>
      </c>
      <c r="D10" s="52">
        <v>99.99</v>
      </c>
      <c r="E10" s="43">
        <v>9950000000</v>
      </c>
      <c r="F10" s="53">
        <v>5.7165899999999998E-8</v>
      </c>
      <c r="G10" s="42">
        <v>2.5</v>
      </c>
      <c r="H10" s="42">
        <v>0.1</v>
      </c>
      <c r="I10" s="42">
        <v>2.7</v>
      </c>
      <c r="J10" s="42">
        <v>26.9815</v>
      </c>
      <c r="K10" s="45">
        <v>1</v>
      </c>
      <c r="L10" s="46">
        <f t="shared" si="0"/>
        <v>1.9634954087500001</v>
      </c>
      <c r="M10" s="57">
        <f>114.74*24*3600</f>
        <v>9913536</v>
      </c>
      <c r="N10" s="48">
        <f t="shared" si="1"/>
        <v>6.9919268018999477E-8</v>
      </c>
      <c r="O10" s="48">
        <f>F10/(6.022E+23*I10/J10)/K10</f>
        <v>9.4863385540056828E-31</v>
      </c>
      <c r="P10" s="41" t="s">
        <v>33</v>
      </c>
      <c r="Q10" s="48" t="s">
        <v>34</v>
      </c>
      <c r="R10" s="46" t="s">
        <v>34</v>
      </c>
      <c r="S10" s="46" t="s">
        <v>34</v>
      </c>
    </row>
    <row r="11" spans="1:19" x14ac:dyDescent="0.3">
      <c r="A11" s="14" t="s">
        <v>36</v>
      </c>
      <c r="B11" s="23" t="s">
        <v>37</v>
      </c>
      <c r="C11" s="23" t="s">
        <v>34</v>
      </c>
      <c r="D11" s="23" t="s">
        <v>34</v>
      </c>
      <c r="E11" s="51">
        <v>9950000000</v>
      </c>
      <c r="F11" s="24">
        <v>1.69262E-7</v>
      </c>
      <c r="G11" s="15">
        <v>2.5</v>
      </c>
      <c r="H11" s="15">
        <v>0.01</v>
      </c>
      <c r="I11" s="15">
        <v>12.41</v>
      </c>
      <c r="J11" s="15">
        <v>102.90560000000001</v>
      </c>
      <c r="K11" s="58">
        <v>1</v>
      </c>
      <c r="L11" s="19">
        <f t="shared" si="0"/>
        <v>0.19634954087500001</v>
      </c>
      <c r="M11" s="59">
        <f>56.114*60</f>
        <v>3366.8399999999997</v>
      </c>
      <c r="N11" s="20">
        <f t="shared" si="1"/>
        <v>2.0587470167872547E-4</v>
      </c>
      <c r="O11" s="20">
        <f t="shared" si="3"/>
        <v>2.3306976845308806E-30</v>
      </c>
      <c r="P11" s="14" t="s">
        <v>32</v>
      </c>
      <c r="Q11" s="21">
        <f>3.12128660697748E-16/F11</f>
        <v>1.8440563191841525E-9</v>
      </c>
      <c r="R11" s="19" t="s">
        <v>34</v>
      </c>
      <c r="S11" s="19" t="s">
        <v>34</v>
      </c>
    </row>
    <row r="12" spans="1:19" s="1" customFormat="1" x14ac:dyDescent="0.3">
      <c r="A12" s="25" t="s">
        <v>38</v>
      </c>
      <c r="B12" s="35" t="s">
        <v>39</v>
      </c>
      <c r="C12" s="35">
        <v>159.38</v>
      </c>
      <c r="D12" s="35">
        <v>68.3</v>
      </c>
      <c r="E12" s="27">
        <v>9950000000</v>
      </c>
      <c r="F12" s="36">
        <v>2.8210199999999998E-9</v>
      </c>
      <c r="G12" s="26">
        <v>2.5</v>
      </c>
      <c r="H12" s="26">
        <v>0.1</v>
      </c>
      <c r="I12" s="28">
        <v>4.43</v>
      </c>
      <c r="J12" s="28">
        <v>45.952599999999997</v>
      </c>
      <c r="K12" s="29">
        <v>8.2500000000000004E-2</v>
      </c>
      <c r="L12" s="30">
        <f t="shared" si="0"/>
        <v>1.9634954087500001</v>
      </c>
      <c r="M12" s="61">
        <f>3.3492*24*3600</f>
        <v>289370.88</v>
      </c>
      <c r="N12" s="32">
        <f t="shared" si="1"/>
        <v>2.3953591342708707E-6</v>
      </c>
      <c r="O12" s="32">
        <f>F12/(6.022E+23*I12/J12)/K12</f>
        <v>5.8900343564124228E-31</v>
      </c>
      <c r="P12" s="25" t="s">
        <v>32</v>
      </c>
      <c r="Q12" s="33">
        <f>0.0000000013519826/F12</f>
        <v>0.47925310703220819</v>
      </c>
      <c r="R12" s="34">
        <f>F12-Q12*F12</f>
        <v>1.4690373999999999E-9</v>
      </c>
      <c r="S12" s="32">
        <f>R12/(6.022E+23*I12/J12)/K12</f>
        <v>3.0672170905753168E-31</v>
      </c>
    </row>
    <row r="13" spans="1:19" s="1" customFormat="1" x14ac:dyDescent="0.3">
      <c r="A13" s="25" t="s">
        <v>40</v>
      </c>
      <c r="B13" s="35" t="s">
        <v>39</v>
      </c>
      <c r="C13" s="35">
        <v>159.38</v>
      </c>
      <c r="D13" s="35">
        <v>68.3</v>
      </c>
      <c r="E13" s="27">
        <v>9950000000</v>
      </c>
      <c r="F13" s="36">
        <f>0.00000000947201</f>
        <v>9.4720100000000003E-9</v>
      </c>
      <c r="G13" s="26">
        <v>2.5</v>
      </c>
      <c r="H13" s="26">
        <v>0.1</v>
      </c>
      <c r="I13" s="28">
        <v>4.43</v>
      </c>
      <c r="J13" s="28">
        <v>46.951799999999999</v>
      </c>
      <c r="K13" s="29">
        <v>7.4399999999999994E-2</v>
      </c>
      <c r="L13" s="30">
        <f t="shared" si="0"/>
        <v>1.9634954087500001</v>
      </c>
      <c r="M13" s="61">
        <f>3.3492*24*3600</f>
        <v>289370.88</v>
      </c>
      <c r="N13" s="32">
        <f t="shared" si="1"/>
        <v>2.3953591342708707E-6</v>
      </c>
      <c r="O13" s="32">
        <f t="shared" si="3"/>
        <v>2.240665263708304E-30</v>
      </c>
      <c r="P13" s="25" t="s">
        <v>32</v>
      </c>
      <c r="Q13" s="33">
        <f>0.0000000004602625/F13</f>
        <v>4.8591851148805792E-2</v>
      </c>
      <c r="R13" s="34">
        <f>F13-Q13*F13</f>
        <v>9.0117475000000005E-9</v>
      </c>
      <c r="S13" s="32">
        <f>R13/(6.022E+23*I13/J13)/K13</f>
        <v>2.1317871907398907E-30</v>
      </c>
    </row>
    <row r="14" spans="1:19" x14ac:dyDescent="0.3">
      <c r="A14" s="25" t="s">
        <v>41</v>
      </c>
      <c r="B14" s="35" t="s">
        <v>42</v>
      </c>
      <c r="C14" s="35">
        <v>1312.12</v>
      </c>
      <c r="D14" s="35">
        <v>100.1</v>
      </c>
      <c r="E14" s="39">
        <v>9950000000</v>
      </c>
      <c r="F14" s="36">
        <v>2.23879E-8</v>
      </c>
      <c r="G14" s="26">
        <v>2.5</v>
      </c>
      <c r="H14" s="26">
        <v>0.1</v>
      </c>
      <c r="I14" s="26">
        <v>4.43</v>
      </c>
      <c r="J14" s="26">
        <v>47.947899999999997</v>
      </c>
      <c r="K14" s="40">
        <v>0.73719999999999997</v>
      </c>
      <c r="L14" s="30">
        <f t="shared" si="0"/>
        <v>1.9634954087500001</v>
      </c>
      <c r="M14" s="62">
        <f>43.67*3600</f>
        <v>157212</v>
      </c>
      <c r="N14" s="32">
        <f t="shared" si="1"/>
        <v>4.4089966452942525E-6</v>
      </c>
      <c r="O14" s="32">
        <f t="shared" si="3"/>
        <v>5.4582465045665332E-31</v>
      </c>
      <c r="P14" s="25" t="s">
        <v>32</v>
      </c>
      <c r="Q14" s="33">
        <f>0.0000000026225023/F14</f>
        <v>0.11713927166013784</v>
      </c>
      <c r="R14" s="34">
        <f>F14-Q14*F14</f>
        <v>1.9765397700000001E-8</v>
      </c>
      <c r="S14" s="32">
        <f>R14/(6.022E+23*I14/J14)/K14</f>
        <v>4.8188714844801165E-31</v>
      </c>
    </row>
    <row r="15" spans="1:19" s="1" customFormat="1" x14ac:dyDescent="0.3">
      <c r="A15" s="14" t="s">
        <v>43</v>
      </c>
      <c r="B15" s="23" t="s">
        <v>44</v>
      </c>
      <c r="C15" s="23">
        <v>1761.9</v>
      </c>
      <c r="D15" s="23">
        <v>0.05</v>
      </c>
      <c r="E15" s="16">
        <v>9950000000</v>
      </c>
      <c r="F15" s="24">
        <v>1.1612700000000001E-9</v>
      </c>
      <c r="G15" s="15">
        <v>2.5</v>
      </c>
      <c r="H15" s="15">
        <v>0.1</v>
      </c>
      <c r="I15" s="14">
        <v>4.43</v>
      </c>
      <c r="J15" s="17">
        <v>48.947899999999997</v>
      </c>
      <c r="K15" s="18">
        <v>5.4100000000000002E-2</v>
      </c>
      <c r="L15" s="19">
        <f t="shared" si="0"/>
        <v>1.9634954087500001</v>
      </c>
      <c r="M15" s="59">
        <f>57.18*60</f>
        <v>3430.8</v>
      </c>
      <c r="N15" s="20">
        <f t="shared" si="1"/>
        <v>2.0203660388247639E-4</v>
      </c>
      <c r="O15" s="20">
        <f t="shared" si="3"/>
        <v>3.938451741117117E-31</v>
      </c>
      <c r="P15" s="14" t="s">
        <v>32</v>
      </c>
      <c r="Q15" s="21">
        <f>0.00000000010387232/F15</f>
        <v>8.9447174214437625E-2</v>
      </c>
      <c r="R15" s="22">
        <f>F15-Q15*F15</f>
        <v>1.0573976800000001E-9</v>
      </c>
      <c r="S15" s="20">
        <f>R15/(6.022E+23*I15/J15)/K15</f>
        <v>3.5861683620942595E-31</v>
      </c>
    </row>
    <row r="16" spans="1:19" s="1" customFormat="1" x14ac:dyDescent="0.3">
      <c r="A16" s="14" t="s">
        <v>45</v>
      </c>
      <c r="B16" s="23" t="s">
        <v>42</v>
      </c>
      <c r="C16" s="23">
        <v>1312.12</v>
      </c>
      <c r="D16" s="23">
        <v>100.1</v>
      </c>
      <c r="E16" s="16">
        <v>9950000000</v>
      </c>
      <c r="F16" s="24">
        <v>4.6237500000000002E-10</v>
      </c>
      <c r="G16" s="15">
        <v>2.5</v>
      </c>
      <c r="H16" s="15">
        <v>0.1</v>
      </c>
      <c r="I16" s="14">
        <v>4.43</v>
      </c>
      <c r="J16" s="17">
        <v>48.947899999999997</v>
      </c>
      <c r="K16" s="18">
        <v>5.4100000000000002E-2</v>
      </c>
      <c r="L16" s="19">
        <f t="shared" si="0"/>
        <v>1.9634954087500001</v>
      </c>
      <c r="M16" s="60">
        <f>43.67*3600</f>
        <v>157212</v>
      </c>
      <c r="N16" s="20">
        <f t="shared" si="1"/>
        <v>4.4089966452942525E-6</v>
      </c>
      <c r="O16" s="20">
        <f t="shared" si="3"/>
        <v>1.5681466186149879E-31</v>
      </c>
      <c r="P16" s="14" t="s">
        <v>32</v>
      </c>
      <c r="Q16" s="21">
        <f>0.00000000026807533/F16</f>
        <v>0.57977903217085691</v>
      </c>
      <c r="R16" s="22">
        <f>F16-Q16*F16</f>
        <v>1.9429967000000002E-10</v>
      </c>
      <c r="S16" s="20">
        <f>R16/(6.022E+23*I16/J16)/K16</f>
        <v>6.5896808977238827E-32</v>
      </c>
    </row>
    <row r="17" spans="1:19" x14ac:dyDescent="0.3">
      <c r="A17" s="25" t="s">
        <v>46</v>
      </c>
      <c r="B17" s="26" t="s">
        <v>47</v>
      </c>
      <c r="C17" s="26">
        <v>511</v>
      </c>
      <c r="D17" s="26">
        <v>102</v>
      </c>
      <c r="E17" s="27">
        <v>9950000000</v>
      </c>
      <c r="F17" s="27">
        <v>2.9333899999999998E-7</v>
      </c>
      <c r="G17" s="26">
        <v>2.5</v>
      </c>
      <c r="H17" s="26">
        <v>0.1</v>
      </c>
      <c r="I17" s="26">
        <v>6.77</v>
      </c>
      <c r="J17" s="28">
        <v>140.90770000000001</v>
      </c>
      <c r="K17" s="29">
        <v>1</v>
      </c>
      <c r="L17" s="30">
        <f t="shared" si="0"/>
        <v>1.9634954087500001</v>
      </c>
      <c r="M17" s="31">
        <f>3.39*60</f>
        <v>203.4</v>
      </c>
      <c r="N17" s="32">
        <f t="shared" si="1"/>
        <v>3.4078032477876108E-3</v>
      </c>
      <c r="O17" s="32">
        <f t="shared" si="3"/>
        <v>1.0138532866024968E-29</v>
      </c>
      <c r="P17" s="25" t="s">
        <v>32</v>
      </c>
      <c r="Q17" s="33">
        <f>0.00000007241918/F17</f>
        <v>0.24687879893229336</v>
      </c>
      <c r="R17" s="34">
        <f>F17-Q17*F17</f>
        <v>2.2091981999999998E-7</v>
      </c>
      <c r="S17" s="32">
        <f>R17/(6.022E+23*I17/J17)/K17</f>
        <v>7.6355440491251425E-30</v>
      </c>
    </row>
    <row r="18" spans="1:19" s="1" customFormat="1" x14ac:dyDescent="0.3">
      <c r="A18" s="25" t="s">
        <v>48</v>
      </c>
      <c r="B18" s="35" t="s">
        <v>49</v>
      </c>
      <c r="C18" s="35">
        <v>511</v>
      </c>
      <c r="D18" s="35">
        <v>195.66</v>
      </c>
      <c r="E18" s="27">
        <v>9950000000</v>
      </c>
      <c r="F18" s="36">
        <v>1.9567799999999999E-7</v>
      </c>
      <c r="G18" s="26">
        <v>2.5</v>
      </c>
      <c r="H18" s="26">
        <v>0.1</v>
      </c>
      <c r="I18" s="28">
        <v>8.9600000000000009</v>
      </c>
      <c r="J18" s="25">
        <v>62.929600000000001</v>
      </c>
      <c r="K18" s="37">
        <v>0.69169999999999998</v>
      </c>
      <c r="L18" s="30">
        <f t="shared" si="0"/>
        <v>1.9634954087500001</v>
      </c>
      <c r="M18" s="38">
        <f>9.673*60</f>
        <v>580.38</v>
      </c>
      <c r="N18" s="32">
        <f t="shared" si="1"/>
        <v>1.1942988741858783E-3</v>
      </c>
      <c r="O18" s="32">
        <f t="shared" si="3"/>
        <v>3.2993655509769556E-30</v>
      </c>
      <c r="P18" s="25" t="s">
        <v>33</v>
      </c>
      <c r="Q18" s="25" t="s">
        <v>34</v>
      </c>
      <c r="R18" s="25" t="s">
        <v>34</v>
      </c>
      <c r="S18" s="25" t="s">
        <v>34</v>
      </c>
    </row>
    <row r="19" spans="1:19" s="1" customFormat="1" x14ac:dyDescent="0.3">
      <c r="A19" s="25" t="s">
        <v>50</v>
      </c>
      <c r="B19" s="35" t="s">
        <v>51</v>
      </c>
      <c r="C19" s="35">
        <v>511</v>
      </c>
      <c r="D19" s="35">
        <v>21.65</v>
      </c>
      <c r="E19" s="27">
        <v>9950000000</v>
      </c>
      <c r="F19" s="36">
        <v>3.8516100000000002E-7</v>
      </c>
      <c r="G19" s="26">
        <v>2.5</v>
      </c>
      <c r="H19" s="26">
        <v>0.1</v>
      </c>
      <c r="I19" s="28">
        <v>8.9600000000000009</v>
      </c>
      <c r="J19" s="25">
        <v>64.927800000000005</v>
      </c>
      <c r="K19" s="37">
        <v>0.30830000000000002</v>
      </c>
      <c r="L19" s="30">
        <f t="shared" si="0"/>
        <v>1.9634954087500001</v>
      </c>
      <c r="M19" s="38">
        <f>12.701*3600</f>
        <v>45723.6</v>
      </c>
      <c r="N19" s="32">
        <f t="shared" si="1"/>
        <v>1.515950582631289E-5</v>
      </c>
      <c r="O19" s="32">
        <f t="shared" si="3"/>
        <v>1.5033174810839276E-29</v>
      </c>
      <c r="P19" s="25" t="s">
        <v>33</v>
      </c>
      <c r="Q19" s="25" t="s">
        <v>34</v>
      </c>
      <c r="R19" s="25" t="s">
        <v>34</v>
      </c>
      <c r="S19" s="25" t="s">
        <v>34</v>
      </c>
    </row>
    <row r="20" spans="1:19" s="1" customFormat="1" x14ac:dyDescent="0.3">
      <c r="B20" s="2"/>
      <c r="C20" s="2"/>
      <c r="D20" s="2"/>
      <c r="E20" s="4"/>
      <c r="F20" s="5"/>
      <c r="G20" s="3"/>
      <c r="H20" s="3"/>
      <c r="L20"/>
      <c r="M20" s="12"/>
      <c r="N20" s="7"/>
    </row>
    <row r="22" spans="1:19" x14ac:dyDescent="0.3">
      <c r="I22" s="6"/>
    </row>
    <row r="23" spans="1:19" x14ac:dyDescent="0.3">
      <c r="H23" s="6"/>
      <c r="I23" s="6"/>
      <c r="J23" s="6"/>
    </row>
    <row r="24" spans="1:19" x14ac:dyDescent="0.3">
      <c r="H24" s="6"/>
      <c r="I24" s="6"/>
    </row>
    <row r="25" spans="1:19" x14ac:dyDescent="0.3">
      <c r="H25" s="6"/>
      <c r="I25" s="6"/>
    </row>
    <row r="26" spans="1:19" x14ac:dyDescent="0.3">
      <c r="H26" s="6"/>
      <c r="I26" s="6"/>
    </row>
    <row r="27" spans="1:19" x14ac:dyDescent="0.3">
      <c r="H27" s="6"/>
      <c r="I27" s="6"/>
    </row>
    <row r="28" spans="1:19" x14ac:dyDescent="0.3">
      <c r="H28" s="6"/>
      <c r="I28" s="6"/>
    </row>
    <row r="29" spans="1:19" x14ac:dyDescent="0.3">
      <c r="H29" s="6"/>
      <c r="I29" s="6"/>
    </row>
    <row r="30" spans="1:19" x14ac:dyDescent="0.3">
      <c r="H30" s="6"/>
      <c r="I30" s="6"/>
    </row>
    <row r="31" spans="1:19" x14ac:dyDescent="0.3">
      <c r="H31" s="6"/>
      <c r="I31" s="6"/>
    </row>
    <row r="32" spans="1:19" x14ac:dyDescent="0.3">
      <c r="H32" s="6"/>
      <c r="I32" s="6"/>
    </row>
    <row r="33" spans="8:9" x14ac:dyDescent="0.3">
      <c r="H33" s="6"/>
      <c r="I33" s="6"/>
    </row>
    <row r="34" spans="8:9" x14ac:dyDescent="0.3">
      <c r="H34" s="6"/>
      <c r="I34" s="6"/>
    </row>
    <row r="35" spans="8:9" x14ac:dyDescent="0.3">
      <c r="H35" s="6"/>
      <c r="I35" s="6"/>
    </row>
    <row r="36" spans="8:9" x14ac:dyDescent="0.3">
      <c r="H36" s="6"/>
      <c r="I36" s="6"/>
    </row>
    <row r="37" spans="8:9" x14ac:dyDescent="0.3">
      <c r="H37" s="6"/>
      <c r="I37" s="6"/>
    </row>
    <row r="38" spans="8:9" x14ac:dyDescent="0.3">
      <c r="H38" s="6"/>
      <c r="I38" s="6"/>
    </row>
    <row r="39" spans="8:9" x14ac:dyDescent="0.3">
      <c r="H39" s="6"/>
      <c r="I39" s="6"/>
    </row>
    <row r="40" spans="8:9" x14ac:dyDescent="0.3">
      <c r="H40" s="6"/>
      <c r="I40" s="6"/>
    </row>
    <row r="41" spans="8:9" x14ac:dyDescent="0.3">
      <c r="H41" s="6"/>
      <c r="I41" s="6"/>
    </row>
    <row r="42" spans="8:9" x14ac:dyDescent="0.3">
      <c r="H42" s="6"/>
      <c r="I42" s="6"/>
    </row>
    <row r="43" spans="8:9" x14ac:dyDescent="0.3">
      <c r="H43" s="6"/>
      <c r="I43" s="6"/>
    </row>
    <row r="44" spans="8:9" x14ac:dyDescent="0.3">
      <c r="H44" s="6"/>
      <c r="I44" s="6"/>
    </row>
    <row r="45" spans="8:9" x14ac:dyDescent="0.3">
      <c r="H45" s="6"/>
      <c r="I45" s="6"/>
    </row>
    <row r="46" spans="8:9" x14ac:dyDescent="0.3">
      <c r="H46" s="6"/>
      <c r="I46" s="6"/>
    </row>
    <row r="47" spans="8:9" x14ac:dyDescent="0.3">
      <c r="H47" s="6"/>
      <c r="I47" s="6"/>
    </row>
    <row r="48" spans="8:9" x14ac:dyDescent="0.3">
      <c r="H48" s="6"/>
      <c r="I48" s="6"/>
    </row>
    <row r="49" spans="8:9" x14ac:dyDescent="0.3">
      <c r="H49" s="6"/>
      <c r="I49" s="6"/>
    </row>
    <row r="50" spans="8:9" x14ac:dyDescent="0.3">
      <c r="H50" s="6"/>
      <c r="I50" s="6"/>
    </row>
    <row r="51" spans="8:9" x14ac:dyDescent="0.3">
      <c r="H51" s="6"/>
      <c r="I51" s="6"/>
    </row>
    <row r="52" spans="8:9" x14ac:dyDescent="0.3">
      <c r="H52" s="6"/>
      <c r="I5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2016-11-11T17:50:01Z</dcterms:modified>
</cp:coreProperties>
</file>